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en\Beuth\Business Value_BC Analysis\+WS19_20\"/>
    </mc:Choice>
  </mc:AlternateContent>
  <bookViews>
    <workbookView xWindow="0" yWindow="0" windowWidth="19200" windowHeight="6470" firstSheet="1" activeTab="4"/>
  </bookViews>
  <sheets>
    <sheet name="Sales Forecast" sheetId="1" r:id="rId1"/>
    <sheet name="Break-even " sheetId="2" r:id="rId2"/>
    <sheet name="Product cost structure" sheetId="3" r:id="rId3"/>
    <sheet name="Equipment" sheetId="4" r:id="rId4"/>
    <sheet name="Payroll" sheetId="5" r:id="rId5"/>
    <sheet name="Fixed and Variable Costs" sheetId="6" r:id="rId6"/>
    <sheet name="Cashflow" sheetId="7" r:id="rId7"/>
    <sheet name="Income statement" sheetId="8" r:id="rId8"/>
    <sheet name="Balance Sheet" sheetId="9" r:id="rId9"/>
  </sheets>
  <calcPr calcId="162913"/>
</workbook>
</file>

<file path=xl/calcChain.xml><?xml version="1.0" encoding="utf-8"?>
<calcChain xmlns="http://schemas.openxmlformats.org/spreadsheetml/2006/main">
  <c r="Q21" i="9" l="1"/>
  <c r="Q19" i="9"/>
  <c r="Q17" i="9"/>
  <c r="E16" i="9"/>
  <c r="C16" i="9"/>
  <c r="D16" i="9" s="1"/>
  <c r="Q15" i="9"/>
  <c r="Q14" i="9"/>
  <c r="Q13" i="9"/>
  <c r="Q8" i="9"/>
  <c r="Q6" i="9"/>
  <c r="Q4" i="9"/>
  <c r="N20" i="8"/>
  <c r="M20" i="8"/>
  <c r="L20" i="8"/>
  <c r="K20" i="8"/>
  <c r="J20" i="8"/>
  <c r="I20" i="8"/>
  <c r="H20" i="8"/>
  <c r="G20" i="8"/>
  <c r="F20" i="8"/>
  <c r="E20" i="8"/>
  <c r="D20" i="8"/>
  <c r="C20" i="8"/>
  <c r="Q20" i="8" s="1"/>
  <c r="R20" i="8" s="1"/>
  <c r="S20" i="8" s="1"/>
  <c r="T20" i="8" s="1"/>
  <c r="U20" i="8" s="1"/>
  <c r="F15" i="8"/>
  <c r="D15" i="8"/>
  <c r="N14" i="8"/>
  <c r="M14" i="8"/>
  <c r="L14" i="8"/>
  <c r="K14" i="8"/>
  <c r="J14" i="8"/>
  <c r="I14" i="8"/>
  <c r="H14" i="8"/>
  <c r="G14" i="8"/>
  <c r="F14" i="8"/>
  <c r="E14" i="8"/>
  <c r="D14" i="8"/>
  <c r="C14" i="8"/>
  <c r="D5" i="8"/>
  <c r="Q25" i="7"/>
  <c r="T19" i="7"/>
  <c r="N19" i="7"/>
  <c r="N15" i="8" s="1"/>
  <c r="M19" i="7"/>
  <c r="M15" i="8" s="1"/>
  <c r="L19" i="7"/>
  <c r="L15" i="8" s="1"/>
  <c r="K19" i="7"/>
  <c r="K15" i="8" s="1"/>
  <c r="J19" i="7"/>
  <c r="J15" i="8" s="1"/>
  <c r="I19" i="7"/>
  <c r="I15" i="8" s="1"/>
  <c r="H19" i="7"/>
  <c r="H15" i="8" s="1"/>
  <c r="G19" i="7"/>
  <c r="G15" i="8" s="1"/>
  <c r="F19" i="7"/>
  <c r="E19" i="7"/>
  <c r="E15" i="8" s="1"/>
  <c r="D19" i="7"/>
  <c r="C19" i="7"/>
  <c r="C15" i="8" s="1"/>
  <c r="N17" i="7"/>
  <c r="M17" i="7"/>
  <c r="L17" i="7"/>
  <c r="K17" i="7"/>
  <c r="J17" i="7"/>
  <c r="I17" i="7"/>
  <c r="H17" i="7"/>
  <c r="G17" i="7"/>
  <c r="F17" i="7"/>
  <c r="E17" i="7"/>
  <c r="D17" i="7"/>
  <c r="C17" i="7"/>
  <c r="Q17" i="7" s="1"/>
  <c r="R17" i="7" s="1"/>
  <c r="S17" i="7" s="1"/>
  <c r="T17" i="7" s="1"/>
  <c r="U17" i="7" s="1"/>
  <c r="N16" i="7"/>
  <c r="M16" i="7"/>
  <c r="L16" i="7"/>
  <c r="K16" i="7"/>
  <c r="J16" i="7"/>
  <c r="I16" i="7"/>
  <c r="H16" i="7"/>
  <c r="G16" i="7"/>
  <c r="F16" i="7"/>
  <c r="E16" i="7"/>
  <c r="D16" i="7"/>
  <c r="C16" i="7"/>
  <c r="Q16" i="7" s="1"/>
  <c r="R16" i="7" s="1"/>
  <c r="S16" i="7" s="1"/>
  <c r="T16" i="7" s="1"/>
  <c r="U16" i="7" s="1"/>
  <c r="N15" i="7"/>
  <c r="M15" i="7"/>
  <c r="L15" i="7"/>
  <c r="K15" i="7"/>
  <c r="J15" i="7"/>
  <c r="I15" i="7"/>
  <c r="H15" i="7"/>
  <c r="G15" i="7"/>
  <c r="F15" i="7"/>
  <c r="E15" i="7"/>
  <c r="D15" i="7"/>
  <c r="C15" i="7"/>
  <c r="Q15" i="7" s="1"/>
  <c r="R15" i="7" s="1"/>
  <c r="S15" i="7" s="1"/>
  <c r="T15" i="7" s="1"/>
  <c r="U15" i="7" s="1"/>
  <c r="Q7" i="7"/>
  <c r="G6" i="7"/>
  <c r="G9" i="7" s="1"/>
  <c r="F6" i="7"/>
  <c r="F9" i="7" s="1"/>
  <c r="C6" i="7"/>
  <c r="C9" i="7" s="1"/>
  <c r="C25" i="6"/>
  <c r="D24" i="6"/>
  <c r="D23" i="6"/>
  <c r="D22" i="6"/>
  <c r="D25" i="6" s="1"/>
  <c r="D21" i="6"/>
  <c r="D20" i="6"/>
  <c r="F9" i="6"/>
  <c r="F7" i="8" s="1"/>
  <c r="F10" i="8" s="1"/>
  <c r="E9" i="6"/>
  <c r="H8" i="6"/>
  <c r="H9" i="6" s="1"/>
  <c r="G8" i="6"/>
  <c r="G9" i="6" s="1"/>
  <c r="F8" i="6"/>
  <c r="E8" i="6"/>
  <c r="D8" i="6"/>
  <c r="D9" i="6" s="1"/>
  <c r="C8" i="6"/>
  <c r="C9" i="6" s="1"/>
  <c r="N11" i="5"/>
  <c r="N13" i="8" s="1"/>
  <c r="M11" i="5"/>
  <c r="M13" i="8" s="1"/>
  <c r="J11" i="5"/>
  <c r="J13" i="8" s="1"/>
  <c r="I11" i="5"/>
  <c r="I13" i="7" s="1"/>
  <c r="F11" i="5"/>
  <c r="F13" i="8" s="1"/>
  <c r="E11" i="5"/>
  <c r="E13" i="8" s="1"/>
  <c r="N10" i="5"/>
  <c r="M10" i="5"/>
  <c r="L10" i="5"/>
  <c r="K10" i="5"/>
  <c r="J10" i="5"/>
  <c r="I10" i="5"/>
  <c r="H10" i="5"/>
  <c r="G10" i="5"/>
  <c r="F10" i="5"/>
  <c r="E10" i="5"/>
  <c r="D10" i="5"/>
  <c r="C10" i="5"/>
  <c r="O10" i="5" s="1"/>
  <c r="R10" i="5" s="1"/>
  <c r="S10" i="5" s="1"/>
  <c r="T10" i="5" s="1"/>
  <c r="U10" i="5" s="1"/>
  <c r="V10" i="5" s="1"/>
  <c r="S9" i="5"/>
  <c r="T9" i="5" s="1"/>
  <c r="U9" i="5" s="1"/>
  <c r="V9" i="5" s="1"/>
  <c r="R9" i="5"/>
  <c r="O9" i="5"/>
  <c r="N8" i="5"/>
  <c r="M8" i="5"/>
  <c r="L8" i="5"/>
  <c r="L11" i="5" s="1"/>
  <c r="K8" i="5"/>
  <c r="K11" i="5" s="1"/>
  <c r="J8" i="5"/>
  <c r="I8" i="5"/>
  <c r="H8" i="5"/>
  <c r="H11" i="5" s="1"/>
  <c r="G8" i="5"/>
  <c r="G11" i="5" s="1"/>
  <c r="F8" i="5"/>
  <c r="E8" i="5"/>
  <c r="D8" i="5"/>
  <c r="D11" i="5" s="1"/>
  <c r="C8" i="5"/>
  <c r="O8" i="5" s="1"/>
  <c r="E17" i="4"/>
  <c r="F17" i="4" s="1"/>
  <c r="E7" i="4"/>
  <c r="E6" i="4"/>
  <c r="E16" i="4" s="1"/>
  <c r="F16" i="4" s="1"/>
  <c r="E5" i="4"/>
  <c r="E8" i="4" s="1"/>
  <c r="C17" i="3"/>
  <c r="D16" i="3"/>
  <c r="C10" i="3"/>
  <c r="C8" i="3"/>
  <c r="H11" i="1"/>
  <c r="I5" i="8" s="1"/>
  <c r="G11" i="1"/>
  <c r="H5" i="8" s="1"/>
  <c r="F11" i="1"/>
  <c r="G5" i="8" s="1"/>
  <c r="E11" i="1"/>
  <c r="F5" i="8" s="1"/>
  <c r="F11" i="8" s="1"/>
  <c r="D11" i="1"/>
  <c r="E6" i="7" s="1"/>
  <c r="E9" i="7" s="1"/>
  <c r="C11" i="1"/>
  <c r="D6" i="7" s="1"/>
  <c r="D9" i="7" s="1"/>
  <c r="B11" i="1"/>
  <c r="C5" i="8" s="1"/>
  <c r="I10" i="1"/>
  <c r="J8" i="6" s="1"/>
  <c r="J9" i="6" s="1"/>
  <c r="H10" i="1"/>
  <c r="I8" i="6" s="1"/>
  <c r="I9" i="6" s="1"/>
  <c r="G10" i="1"/>
  <c r="I7" i="8" l="1"/>
  <c r="I10" i="8" s="1"/>
  <c r="I18" i="7"/>
  <c r="I11" i="8"/>
  <c r="C9" i="9"/>
  <c r="C14" i="7"/>
  <c r="Q14" i="7" s="1"/>
  <c r="O11" i="5"/>
  <c r="R8" i="5"/>
  <c r="G13" i="8"/>
  <c r="G13" i="7"/>
  <c r="K13" i="8"/>
  <c r="K13" i="7"/>
  <c r="H13" i="7"/>
  <c r="H13" i="8"/>
  <c r="L13" i="8"/>
  <c r="L13" i="7"/>
  <c r="I22" i="7"/>
  <c r="C18" i="7"/>
  <c r="C7" i="8"/>
  <c r="C10" i="8" s="1"/>
  <c r="G7" i="8"/>
  <c r="G10" i="8" s="1"/>
  <c r="G18" i="7"/>
  <c r="J7" i="8"/>
  <c r="J10" i="8" s="1"/>
  <c r="J18" i="7"/>
  <c r="D13" i="8"/>
  <c r="D13" i="7"/>
  <c r="H11" i="8"/>
  <c r="D18" i="7"/>
  <c r="D7" i="8"/>
  <c r="D10" i="8" s="1"/>
  <c r="H7" i="8"/>
  <c r="H10" i="8" s="1"/>
  <c r="H18" i="7"/>
  <c r="Q15" i="8"/>
  <c r="R15" i="8" s="1"/>
  <c r="S15" i="8" s="1"/>
  <c r="T15" i="8" s="1"/>
  <c r="U15" i="8" s="1"/>
  <c r="E15" i="4"/>
  <c r="I11" i="1"/>
  <c r="S19" i="7"/>
  <c r="R19" i="7"/>
  <c r="U19" i="7"/>
  <c r="E5" i="8"/>
  <c r="F18" i="7"/>
  <c r="D11" i="8"/>
  <c r="J10" i="1"/>
  <c r="I13" i="8"/>
  <c r="F16" i="9"/>
  <c r="C11" i="8"/>
  <c r="G11" i="8"/>
  <c r="C11" i="5"/>
  <c r="T14" i="8"/>
  <c r="Q14" i="8"/>
  <c r="U14" i="8"/>
  <c r="H6" i="7"/>
  <c r="H9" i="7" s="1"/>
  <c r="E13" i="7"/>
  <c r="E22" i="7" s="1"/>
  <c r="M13" i="7"/>
  <c r="R14" i="8"/>
  <c r="E7" i="8"/>
  <c r="E10" i="8" s="1"/>
  <c r="E18" i="7"/>
  <c r="I6" i="7"/>
  <c r="I9" i="7" s="1"/>
  <c r="F13" i="7"/>
  <c r="F22" i="7" s="1"/>
  <c r="J13" i="7"/>
  <c r="J22" i="7" s="1"/>
  <c r="N13" i="7"/>
  <c r="Q19" i="7"/>
  <c r="S14" i="8"/>
  <c r="J5" i="8" l="1"/>
  <c r="J11" i="8" s="1"/>
  <c r="J6" i="7"/>
  <c r="J9" i="7" s="1"/>
  <c r="G16" i="9"/>
  <c r="G22" i="7"/>
  <c r="C13" i="8"/>
  <c r="C13" i="7"/>
  <c r="H22" i="7"/>
  <c r="D9" i="9"/>
  <c r="J11" i="1"/>
  <c r="K10" i="1"/>
  <c r="K8" i="6"/>
  <c r="K9" i="6" s="1"/>
  <c r="E11" i="8"/>
  <c r="E18" i="4"/>
  <c r="F15" i="4"/>
  <c r="F18" i="4" s="1"/>
  <c r="D22" i="7"/>
  <c r="R11" i="5"/>
  <c r="Q13" i="8" s="1"/>
  <c r="S8" i="5"/>
  <c r="H16" i="9" l="1"/>
  <c r="K11" i="1"/>
  <c r="L10" i="1"/>
  <c r="L8" i="6"/>
  <c r="L9" i="6" s="1"/>
  <c r="C22" i="7"/>
  <c r="C26" i="7" s="1"/>
  <c r="Q13" i="7"/>
  <c r="K7" i="8"/>
  <c r="K10" i="8" s="1"/>
  <c r="K18" i="7"/>
  <c r="T8" i="5"/>
  <c r="S11" i="5"/>
  <c r="R16" i="8"/>
  <c r="T16" i="8"/>
  <c r="S16" i="8"/>
  <c r="Q16" i="8"/>
  <c r="U16" i="8"/>
  <c r="K5" i="8"/>
  <c r="K11" i="8" s="1"/>
  <c r="K18" i="8" s="1"/>
  <c r="K22" i="8" s="1"/>
  <c r="K6" i="7"/>
  <c r="K9" i="7" s="1"/>
  <c r="E9" i="9"/>
  <c r="Q17" i="8"/>
  <c r="C7" i="2" s="1"/>
  <c r="L16" i="8"/>
  <c r="L17" i="8" s="1"/>
  <c r="H16" i="8"/>
  <c r="H17" i="8" s="1"/>
  <c r="H18" i="8" s="1"/>
  <c r="H22" i="8" s="1"/>
  <c r="D16" i="8"/>
  <c r="D17" i="8" s="1"/>
  <c r="D18" i="8" s="1"/>
  <c r="D22" i="8" s="1"/>
  <c r="M16" i="8"/>
  <c r="M17" i="8" s="1"/>
  <c r="G16" i="8"/>
  <c r="G17" i="8" s="1"/>
  <c r="G18" i="8" s="1"/>
  <c r="G22" i="8" s="1"/>
  <c r="K16" i="8"/>
  <c r="K17" i="8" s="1"/>
  <c r="F16" i="8"/>
  <c r="F17" i="8" s="1"/>
  <c r="F18" i="8" s="1"/>
  <c r="F22" i="8" s="1"/>
  <c r="E16" i="8"/>
  <c r="E17" i="8" s="1"/>
  <c r="E18" i="8" s="1"/>
  <c r="E22" i="8" s="1"/>
  <c r="N16" i="8"/>
  <c r="N17" i="8" s="1"/>
  <c r="C16" i="8"/>
  <c r="C10" i="9" s="1"/>
  <c r="J16" i="8"/>
  <c r="J17" i="8" s="1"/>
  <c r="J18" i="8" s="1"/>
  <c r="J22" i="8" s="1"/>
  <c r="I16" i="8"/>
  <c r="I17" i="8" s="1"/>
  <c r="I18" i="8" s="1"/>
  <c r="I22" i="8" s="1"/>
  <c r="E24" i="8" l="1"/>
  <c r="E26" i="8" s="1"/>
  <c r="J24" i="8"/>
  <c r="J26" i="8" s="1"/>
  <c r="I24" i="8"/>
  <c r="I26" i="8" s="1"/>
  <c r="F24" i="8"/>
  <c r="F26" i="8" s="1"/>
  <c r="K24" i="8"/>
  <c r="K26" i="8"/>
  <c r="C5" i="9"/>
  <c r="C7" i="9" s="1"/>
  <c r="D25" i="7"/>
  <c r="D26" i="7" s="1"/>
  <c r="D10" i="9"/>
  <c r="C11" i="9"/>
  <c r="C12" i="9" s="1"/>
  <c r="H24" i="8"/>
  <c r="H26" i="8" s="1"/>
  <c r="F9" i="9"/>
  <c r="K22" i="7"/>
  <c r="L7" i="8"/>
  <c r="L10" i="8" s="1"/>
  <c r="L18" i="7"/>
  <c r="L22" i="7" s="1"/>
  <c r="I16" i="9"/>
  <c r="D26" i="8"/>
  <c r="D24" i="8"/>
  <c r="G24" i="8"/>
  <c r="G26" i="8" s="1"/>
  <c r="C17" i="8"/>
  <c r="C18" i="8" s="1"/>
  <c r="C22" i="8" s="1"/>
  <c r="R13" i="7"/>
  <c r="R13" i="8"/>
  <c r="R17" i="8" s="1"/>
  <c r="D7" i="2" s="1"/>
  <c r="M8" i="6"/>
  <c r="M9" i="6" s="1"/>
  <c r="L11" i="1"/>
  <c r="M10" i="1"/>
  <c r="U8" i="5"/>
  <c r="T11" i="5"/>
  <c r="L6" i="7"/>
  <c r="L9" i="7" s="1"/>
  <c r="L5" i="8"/>
  <c r="L11" i="8" s="1"/>
  <c r="L18" i="8" s="1"/>
  <c r="L22" i="8" s="1"/>
  <c r="F18" i="9" l="1"/>
  <c r="F28" i="8"/>
  <c r="H28" i="8"/>
  <c r="H18" i="9"/>
  <c r="I28" i="8"/>
  <c r="I18" i="9"/>
  <c r="J18" i="9"/>
  <c r="J28" i="8"/>
  <c r="G18" i="9"/>
  <c r="G28" i="8"/>
  <c r="E28" i="8"/>
  <c r="E18" i="9"/>
  <c r="J16" i="9"/>
  <c r="D5" i="9"/>
  <c r="D7" i="9" s="1"/>
  <c r="E25" i="7"/>
  <c r="E26" i="7" s="1"/>
  <c r="L24" i="8"/>
  <c r="L26" i="8" s="1"/>
  <c r="N8" i="6"/>
  <c r="N9" i="6" s="1"/>
  <c r="M11" i="1"/>
  <c r="P10" i="1"/>
  <c r="S13" i="7"/>
  <c r="S13" i="8"/>
  <c r="S17" i="8" s="1"/>
  <c r="E7" i="2" s="1"/>
  <c r="C24" i="8"/>
  <c r="C26" i="8" s="1"/>
  <c r="D28" i="8"/>
  <c r="D18" i="9"/>
  <c r="G9" i="9"/>
  <c r="K18" i="9"/>
  <c r="K28" i="8"/>
  <c r="M6" i="7"/>
  <c r="M9" i="7" s="1"/>
  <c r="M5" i="8"/>
  <c r="M11" i="8" s="1"/>
  <c r="M18" i="8" s="1"/>
  <c r="M22" i="8" s="1"/>
  <c r="U11" i="5"/>
  <c r="V8" i="5"/>
  <c r="V11" i="5" s="1"/>
  <c r="M7" i="8"/>
  <c r="M10" i="8" s="1"/>
  <c r="M18" i="7"/>
  <c r="M22" i="7" s="1"/>
  <c r="P9" i="6"/>
  <c r="Q7" i="8" s="1"/>
  <c r="Q10" i="8" s="1"/>
  <c r="E10" i="9"/>
  <c r="D11" i="9"/>
  <c r="D12" i="9" s="1"/>
  <c r="L28" i="8" l="1"/>
  <c r="L18" i="9"/>
  <c r="C18" i="9"/>
  <c r="C28" i="8"/>
  <c r="F10" i="9"/>
  <c r="E11" i="9"/>
  <c r="U13" i="8"/>
  <c r="U17" i="8" s="1"/>
  <c r="G7" i="2" s="1"/>
  <c r="U13" i="7"/>
  <c r="C5" i="2"/>
  <c r="P8" i="6"/>
  <c r="P11" i="1"/>
  <c r="Q10" i="1"/>
  <c r="T13" i="8"/>
  <c r="T17" i="8" s="1"/>
  <c r="F7" i="2" s="1"/>
  <c r="T13" i="7"/>
  <c r="N5" i="8"/>
  <c r="N6" i="7"/>
  <c r="N9" i="7" s="1"/>
  <c r="K16" i="9"/>
  <c r="M24" i="8"/>
  <c r="M26" i="8" s="1"/>
  <c r="N7" i="8"/>
  <c r="N10" i="8" s="1"/>
  <c r="N18" i="7"/>
  <c r="N22" i="7" s="1"/>
  <c r="E5" i="9"/>
  <c r="E7" i="9" s="1"/>
  <c r="F25" i="7"/>
  <c r="F26" i="7" s="1"/>
  <c r="H9" i="9"/>
  <c r="M28" i="8" l="1"/>
  <c r="M18" i="9"/>
  <c r="L16" i="9"/>
  <c r="Q5" i="8"/>
  <c r="Q6" i="7"/>
  <c r="Q9" i="7" s="1"/>
  <c r="D17" i="9"/>
  <c r="C20" i="9"/>
  <c r="C22" i="9" s="1"/>
  <c r="Q18" i="7"/>
  <c r="Q22" i="7" s="1"/>
  <c r="E12" i="9"/>
  <c r="N11" i="8"/>
  <c r="N18" i="8" s="1"/>
  <c r="N22" i="8" s="1"/>
  <c r="I9" i="9"/>
  <c r="F5" i="9"/>
  <c r="F7" i="9" s="1"/>
  <c r="G25" i="7"/>
  <c r="G26" i="7" s="1"/>
  <c r="Q11" i="1"/>
  <c r="R10" i="1"/>
  <c r="Q8" i="6"/>
  <c r="Q9" i="6" s="1"/>
  <c r="D5" i="2"/>
  <c r="G10" i="9"/>
  <c r="F11" i="9"/>
  <c r="N24" i="8" l="1"/>
  <c r="N26" i="8" s="1"/>
  <c r="Q22" i="8"/>
  <c r="R7" i="8"/>
  <c r="R10" i="8" s="1"/>
  <c r="R18" i="7"/>
  <c r="R22" i="7" s="1"/>
  <c r="F12" i="9"/>
  <c r="R8" i="6"/>
  <c r="R9" i="6" s="1"/>
  <c r="E5" i="2"/>
  <c r="R11" i="1"/>
  <c r="S10" i="1"/>
  <c r="J9" i="9"/>
  <c r="D20" i="9"/>
  <c r="D22" i="9" s="1"/>
  <c r="E17" i="9"/>
  <c r="M16" i="9"/>
  <c r="H10" i="9"/>
  <c r="G11" i="9"/>
  <c r="R5" i="8"/>
  <c r="R6" i="7"/>
  <c r="R9" i="7" s="1"/>
  <c r="R26" i="7" s="1"/>
  <c r="Q26" i="7"/>
  <c r="R25" i="7" s="1"/>
  <c r="G5" i="9"/>
  <c r="G7" i="9" s="1"/>
  <c r="H25" i="7"/>
  <c r="H26" i="7" s="1"/>
  <c r="Q11" i="8"/>
  <c r="Q18" i="8" s="1"/>
  <c r="C6" i="2"/>
  <c r="N18" i="9" l="1"/>
  <c r="N28" i="8"/>
  <c r="S25" i="7"/>
  <c r="R5" i="9"/>
  <c r="R7" i="9" s="1"/>
  <c r="N16" i="9"/>
  <c r="K9" i="9"/>
  <c r="R11" i="8"/>
  <c r="R18" i="8" s="1"/>
  <c r="R22" i="8" s="1"/>
  <c r="D6" i="2"/>
  <c r="S7" i="8"/>
  <c r="S10" i="8" s="1"/>
  <c r="S18" i="7"/>
  <c r="Q24" i="8"/>
  <c r="C8" i="2" s="1"/>
  <c r="C9" i="2" s="1"/>
  <c r="I25" i="7"/>
  <c r="I26" i="7" s="1"/>
  <c r="H5" i="9"/>
  <c r="H7" i="9" s="1"/>
  <c r="G12" i="9"/>
  <c r="E20" i="9"/>
  <c r="E22" i="9" s="1"/>
  <c r="F17" i="9"/>
  <c r="S8" i="6"/>
  <c r="S9" i="6" s="1"/>
  <c r="F5" i="2"/>
  <c r="S11" i="1"/>
  <c r="T10" i="1"/>
  <c r="I10" i="9"/>
  <c r="H11" i="9"/>
  <c r="H12" i="9" s="1"/>
  <c r="S5" i="8"/>
  <c r="S6" i="7"/>
  <c r="S9" i="7" s="1"/>
  <c r="G5" i="2" l="1"/>
  <c r="T11" i="1"/>
  <c r="T8" i="6"/>
  <c r="T9" i="6" s="1"/>
  <c r="I5" i="9"/>
  <c r="I7" i="9" s="1"/>
  <c r="J25" i="7"/>
  <c r="J26" i="7" s="1"/>
  <c r="F20" i="9"/>
  <c r="F22" i="9" s="1"/>
  <c r="G17" i="9"/>
  <c r="E6" i="2"/>
  <c r="S11" i="8"/>
  <c r="S18" i="8" s="1"/>
  <c r="S22" i="8" s="1"/>
  <c r="T5" i="8"/>
  <c r="T6" i="7"/>
  <c r="T9" i="7" s="1"/>
  <c r="Q26" i="8"/>
  <c r="Q28" i="8" s="1"/>
  <c r="L9" i="9"/>
  <c r="R24" i="8"/>
  <c r="D8" i="2" s="1"/>
  <c r="D9" i="2" s="1"/>
  <c r="Q16" i="9"/>
  <c r="J10" i="9"/>
  <c r="I11" i="9"/>
  <c r="I12" i="9" s="1"/>
  <c r="T7" i="8"/>
  <c r="T10" i="8" s="1"/>
  <c r="T18" i="7"/>
  <c r="M9" i="9" l="1"/>
  <c r="F6" i="2"/>
  <c r="T11" i="8"/>
  <c r="T18" i="8" s="1"/>
  <c r="T22" i="8" s="1"/>
  <c r="R16" i="9"/>
  <c r="S24" i="8"/>
  <c r="U7" i="8"/>
  <c r="U10" i="8" s="1"/>
  <c r="U18" i="7"/>
  <c r="U5" i="8"/>
  <c r="U6" i="7"/>
  <c r="U9" i="7" s="1"/>
  <c r="K10" i="9"/>
  <c r="J11" i="9"/>
  <c r="J12" i="9" s="1"/>
  <c r="R26" i="8"/>
  <c r="G20" i="9"/>
  <c r="G22" i="9" s="1"/>
  <c r="H17" i="9"/>
  <c r="J5" i="9"/>
  <c r="J7" i="9" s="1"/>
  <c r="K25" i="7"/>
  <c r="K26" i="7" s="1"/>
  <c r="N9" i="9" l="1"/>
  <c r="H20" i="9"/>
  <c r="H22" i="9" s="1"/>
  <c r="I17" i="9"/>
  <c r="L10" i="9"/>
  <c r="K11" i="9"/>
  <c r="K12" i="9" s="1"/>
  <c r="K5" i="9"/>
  <c r="K7" i="9" s="1"/>
  <c r="L25" i="7"/>
  <c r="L26" i="7" s="1"/>
  <c r="S21" i="7"/>
  <c r="S22" i="7" s="1"/>
  <c r="S26" i="7" s="1"/>
  <c r="E8" i="2"/>
  <c r="E9" i="2" s="1"/>
  <c r="S16" i="9"/>
  <c r="R28" i="8"/>
  <c r="R18" i="9"/>
  <c r="U11" i="8"/>
  <c r="U18" i="8" s="1"/>
  <c r="U22" i="8" s="1"/>
  <c r="G6" i="2"/>
  <c r="S26" i="8"/>
  <c r="T24" i="8"/>
  <c r="S28" i="8" l="1"/>
  <c r="S18" i="9"/>
  <c r="S5" i="9"/>
  <c r="S7" i="9" s="1"/>
  <c r="T25" i="7"/>
  <c r="Q9" i="9"/>
  <c r="T16" i="9"/>
  <c r="M10" i="9"/>
  <c r="L11" i="9"/>
  <c r="L12" i="9" s="1"/>
  <c r="U24" i="8"/>
  <c r="U26" i="8"/>
  <c r="L5" i="9"/>
  <c r="L7" i="9" s="1"/>
  <c r="M25" i="7"/>
  <c r="M26" i="7" s="1"/>
  <c r="I20" i="9"/>
  <c r="I22" i="9" s="1"/>
  <c r="J17" i="9"/>
  <c r="T21" i="7"/>
  <c r="T22" i="7" s="1"/>
  <c r="F8" i="2"/>
  <c r="F9" i="2" s="1"/>
  <c r="T26" i="8"/>
  <c r="U16" i="9" l="1"/>
  <c r="T18" i="9"/>
  <c r="T28" i="8"/>
  <c r="U21" i="7"/>
  <c r="U22" i="7" s="1"/>
  <c r="G8" i="2"/>
  <c r="G9" i="2" s="1"/>
  <c r="J20" i="9"/>
  <c r="J22" i="9" s="1"/>
  <c r="K17" i="9"/>
  <c r="M5" i="9"/>
  <c r="M7" i="9" s="1"/>
  <c r="N25" i="7"/>
  <c r="N26" i="7" s="1"/>
  <c r="N5" i="9" s="1"/>
  <c r="U18" i="9"/>
  <c r="U28" i="8"/>
  <c r="T26" i="7"/>
  <c r="N10" i="9"/>
  <c r="M11" i="9"/>
  <c r="M12" i="9" s="1"/>
  <c r="R9" i="9"/>
  <c r="L17" i="9" l="1"/>
  <c r="K20" i="9"/>
  <c r="K22" i="9" s="1"/>
  <c r="Q10" i="9"/>
  <c r="N11" i="9"/>
  <c r="N12" i="9" s="1"/>
  <c r="S9" i="9"/>
  <c r="Q5" i="9"/>
  <c r="Q7" i="9" s="1"/>
  <c r="N7" i="9"/>
  <c r="T5" i="9"/>
  <c r="T7" i="9" s="1"/>
  <c r="U25" i="7"/>
  <c r="U26" i="7"/>
  <c r="U5" i="9" s="1"/>
  <c r="U7" i="9" s="1"/>
  <c r="T9" i="9" l="1"/>
  <c r="R10" i="9"/>
  <c r="Q11" i="9"/>
  <c r="Q12" i="9" s="1"/>
  <c r="M17" i="9"/>
  <c r="L20" i="9"/>
  <c r="L22" i="9" s="1"/>
  <c r="U9" i="9" l="1"/>
  <c r="S10" i="9"/>
  <c r="R11" i="9"/>
  <c r="R12" i="9" s="1"/>
  <c r="N17" i="9"/>
  <c r="M20" i="9"/>
  <c r="M22" i="9" s="1"/>
  <c r="T10" i="9" l="1"/>
  <c r="S11" i="9"/>
  <c r="S12" i="9" s="1"/>
  <c r="Q18" i="9"/>
  <c r="N20" i="9"/>
  <c r="N22" i="9" s="1"/>
  <c r="R17" i="9" l="1"/>
  <c r="Q20" i="9"/>
  <c r="Q22" i="9" s="1"/>
  <c r="U10" i="9"/>
  <c r="U11" i="9" s="1"/>
  <c r="U12" i="9" s="1"/>
  <c r="T11" i="9"/>
  <c r="T12" i="9" s="1"/>
  <c r="R20" i="9" l="1"/>
  <c r="R22" i="9" s="1"/>
  <c r="S17" i="9"/>
  <c r="S20" i="9" l="1"/>
  <c r="S22" i="9" s="1"/>
  <c r="T17" i="9"/>
  <c r="T20" i="9" l="1"/>
  <c r="T22" i="9" s="1"/>
  <c r="U17" i="9"/>
  <c r="U20" i="9" s="1"/>
  <c r="U22" i="9" s="1"/>
</calcChain>
</file>

<file path=xl/sharedStrings.xml><?xml version="1.0" encoding="utf-8"?>
<sst xmlns="http://schemas.openxmlformats.org/spreadsheetml/2006/main" count="171" uniqueCount="90">
  <si>
    <t>Price per unit (second)</t>
  </si>
  <si>
    <t>Product development</t>
  </si>
  <si>
    <t>Sales Forecast (EUR)</t>
  </si>
  <si>
    <t>Time [ Weeks ]</t>
  </si>
  <si>
    <t>Engineers</t>
  </si>
  <si>
    <t>Man hours</t>
  </si>
  <si>
    <t>Month</t>
  </si>
  <si>
    <t>Year</t>
  </si>
  <si>
    <t>Engineer Salary [ Year ]</t>
  </si>
  <si>
    <t>Units (Hours)</t>
  </si>
  <si>
    <t>Total Development Costs</t>
  </si>
  <si>
    <t>Infrastructure (Reference on a P2.xlarge)</t>
  </si>
  <si>
    <t>Transcription hours</t>
  </si>
  <si>
    <t>P2. AWS (61 GB Ram, Gpu) price per hour</t>
  </si>
  <si>
    <t>Hours of audio transcribed with a P2 instance per hour</t>
  </si>
  <si>
    <t>Total Revenue</t>
  </si>
  <si>
    <t>Equipment</t>
  </si>
  <si>
    <t>Quantity</t>
  </si>
  <si>
    <t>Price</t>
  </si>
  <si>
    <t>Total</t>
  </si>
  <si>
    <t>Computers</t>
  </si>
  <si>
    <t>Chairs</t>
  </si>
  <si>
    <t>Desks</t>
  </si>
  <si>
    <t>Engineer [ support ]</t>
  </si>
  <si>
    <t>Depreciation</t>
  </si>
  <si>
    <t>Final Value</t>
  </si>
  <si>
    <t>Life [ Months ]</t>
  </si>
  <si>
    <t>Monthly depreciation</t>
  </si>
  <si>
    <t>Yearly depreciation</t>
  </si>
  <si>
    <t xml:space="preserve"> </t>
  </si>
  <si>
    <t>Engineer [ Dev ] x 4</t>
  </si>
  <si>
    <t>Management assistant</t>
  </si>
  <si>
    <t>Variable Costs (EUR)</t>
  </si>
  <si>
    <t xml:space="preserve">Audio hours </t>
  </si>
  <si>
    <t>P2.xlarge cost</t>
  </si>
  <si>
    <t>Cash Flow (EUR)</t>
  </si>
  <si>
    <t>Inflows</t>
  </si>
  <si>
    <t>Revenue</t>
  </si>
  <si>
    <t>Capital inflows</t>
  </si>
  <si>
    <t>Fixed Costs (EUR)</t>
  </si>
  <si>
    <t>Monthly</t>
  </si>
  <si>
    <t>Yearly</t>
  </si>
  <si>
    <t>Office Rental</t>
  </si>
  <si>
    <t>Total Inflows</t>
  </si>
  <si>
    <t>Banking - Account</t>
  </si>
  <si>
    <t>Accounting services</t>
  </si>
  <si>
    <t>Electricity</t>
  </si>
  <si>
    <t>Utilities</t>
  </si>
  <si>
    <t xml:space="preserve">Total </t>
  </si>
  <si>
    <t>Outflows</t>
  </si>
  <si>
    <t>Payroll</t>
  </si>
  <si>
    <t>Income Statement (EUR)</t>
  </si>
  <si>
    <t>Sales</t>
  </si>
  <si>
    <t>Rent</t>
  </si>
  <si>
    <t>Cost of Infrastructure</t>
  </si>
  <si>
    <t>Accounting</t>
  </si>
  <si>
    <t>Total Direct Cost</t>
  </si>
  <si>
    <t>Banking services</t>
  </si>
  <si>
    <t>Operational Income</t>
  </si>
  <si>
    <t>Infrastructure</t>
  </si>
  <si>
    <t>Other services</t>
  </si>
  <si>
    <t>Taxes</t>
  </si>
  <si>
    <t>Total Outflows</t>
  </si>
  <si>
    <t>Previous cash flow</t>
  </si>
  <si>
    <t>Cash Flow</t>
  </si>
  <si>
    <t>Total non operational cost</t>
  </si>
  <si>
    <t>EBI</t>
  </si>
  <si>
    <t>Financial expenses</t>
  </si>
  <si>
    <t>Balance Sheet (EUR)</t>
  </si>
  <si>
    <t>Financial Income</t>
  </si>
  <si>
    <t>Assets</t>
  </si>
  <si>
    <t>Cash</t>
  </si>
  <si>
    <t>Icome tax</t>
  </si>
  <si>
    <t>Income tax</t>
  </si>
  <si>
    <t>Net Income</t>
  </si>
  <si>
    <t>Total Current Assets</t>
  </si>
  <si>
    <t>EBITDA</t>
  </si>
  <si>
    <t>Total Fixed Assets</t>
  </si>
  <si>
    <t>Total Assets</t>
  </si>
  <si>
    <t>Liabilities and Equity</t>
  </si>
  <si>
    <t>Capital</t>
  </si>
  <si>
    <t>Cumulative P/L</t>
  </si>
  <si>
    <t>Exercise Profit/Loss</t>
  </si>
  <si>
    <t>Total E + L</t>
  </si>
  <si>
    <t>check</t>
  </si>
  <si>
    <t>Break-Even Analysis</t>
  </si>
  <si>
    <t>Processed hours</t>
  </si>
  <si>
    <t>Fixed costs</t>
  </si>
  <si>
    <t>Variable costs</t>
  </si>
  <si>
    <t>Total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</si>
</sst>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\(#,##0.00\)"/>
    <numFmt numFmtId="165" formatCode="#,##0;\(#,##0\)"/>
  </numFmts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4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8"/>
      <color theme="1"/>
      <name val="Arial"/>
    </font>
    <font>
      <i/>
      <sz val="8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/>
    <xf numFmtId="165" fontId="1" fillId="0" borderId="0" xfId="0" applyNumberFormat="1" applyFont="1" applyAlignment="1"/>
    <xf numFmtId="165" fontId="1" fillId="0" borderId="0" xfId="0" applyNumberFormat="1" applyFont="1"/>
    <xf numFmtId="0" fontId="2" fillId="0" borderId="1" xfId="0" applyFont="1" applyBorder="1" applyAlignment="1"/>
    <xf numFmtId="164" fontId="2" fillId="0" borderId="1" xfId="0" applyNumberFormat="1" applyFont="1" applyBorder="1"/>
    <xf numFmtId="3" fontId="1" fillId="0" borderId="0" xfId="0" applyNumberFormat="1" applyFont="1"/>
    <xf numFmtId="165" fontId="2" fillId="0" borderId="1" xfId="0" applyNumberFormat="1" applyFont="1" applyBorder="1"/>
    <xf numFmtId="3" fontId="2" fillId="0" borderId="1" xfId="0" applyNumberFormat="1" applyFont="1" applyBorder="1"/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9" fontId="1" fillId="0" borderId="0" xfId="0" applyNumberFormat="1" applyFont="1" applyAlignment="1"/>
    <xf numFmtId="3" fontId="2" fillId="0" borderId="0" xfId="0" applyNumberFormat="1" applyFont="1"/>
    <xf numFmtId="3" fontId="1" fillId="0" borderId="0" xfId="0" applyNumberFormat="1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4" fillId="0" borderId="1" xfId="0" applyFont="1" applyBorder="1" applyAlignment="1"/>
    <xf numFmtId="165" fontId="4" fillId="0" borderId="1" xfId="0" applyNumberFormat="1" applyFont="1" applyBorder="1"/>
    <xf numFmtId="165" fontId="5" fillId="0" borderId="0" xfId="0" applyNumberFormat="1" applyFont="1"/>
    <xf numFmtId="0" fontId="6" fillId="0" borderId="0" xfId="0" applyFont="1" applyAlignment="1"/>
    <xf numFmtId="165" fontId="2" fillId="0" borderId="0" xfId="0" applyNumberFormat="1" applyFont="1"/>
    <xf numFmtId="0" fontId="4" fillId="0" borderId="2" xfId="0" applyFont="1" applyBorder="1" applyAlignment="1"/>
    <xf numFmtId="165" fontId="4" fillId="0" borderId="3" xfId="0" applyNumberFormat="1" applyFont="1" applyBorder="1"/>
    <xf numFmtId="165" fontId="4" fillId="0" borderId="4" xfId="0" applyNumberFormat="1" applyFont="1" applyBorder="1"/>
    <xf numFmtId="165" fontId="4" fillId="0" borderId="2" xfId="0" applyNumberFormat="1" applyFont="1" applyBorder="1"/>
    <xf numFmtId="0" fontId="4" fillId="0" borderId="0" xfId="0" applyFont="1"/>
    <xf numFmtId="165" fontId="4" fillId="0" borderId="0" xfId="0" applyNumberFormat="1" applyFont="1"/>
    <xf numFmtId="4" fontId="1" fillId="0" borderId="0" xfId="0" applyNumberFormat="1" applyFont="1"/>
    <xf numFmtId="164" fontId="7" fillId="0" borderId="0" xfId="0" applyNumberFormat="1" applyFont="1" applyAlignment="1">
      <alignment horizontal="center"/>
    </xf>
    <xf numFmtId="0" fontId="2" fillId="0" borderId="2" xfId="0" applyFont="1" applyBorder="1" applyAlignment="1"/>
    <xf numFmtId="165" fontId="2" fillId="0" borderId="3" xfId="0" applyNumberFormat="1" applyFont="1" applyBorder="1"/>
    <xf numFmtId="165" fontId="2" fillId="0" borderId="4" xfId="0" applyNumberFormat="1" applyFont="1" applyBorder="1"/>
    <xf numFmtId="1" fontId="1" fillId="0" borderId="0" xfId="0" applyNumberFormat="1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/>
  </cellXfs>
  <cellStyles count="1">
    <cellStyle name="Standard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de-DE"/>
              <a:t>Break-Even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'Break-even '!$B$6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cat>
            <c:numRef>
              <c:f>'Break-even '!$C$5:$G$5</c:f>
              <c:numCache>
                <c:formatCode>#,##0</c:formatCode>
                <c:ptCount val="5"/>
                <c:pt idx="0">
                  <c:v>2058.4598580000006</c:v>
                </c:pt>
                <c:pt idx="1">
                  <c:v>4116.9197160000012</c:v>
                </c:pt>
                <c:pt idx="2">
                  <c:v>8233.8394320000025</c:v>
                </c:pt>
                <c:pt idx="3">
                  <c:v>12350.759148000005</c:v>
                </c:pt>
                <c:pt idx="4">
                  <c:v>16055.986892400007</c:v>
                </c:pt>
              </c:numCache>
            </c:numRef>
          </c:cat>
          <c:val>
            <c:numRef>
              <c:f>'Break-even '!$C$6:$G$6</c:f>
              <c:numCache>
                <c:formatCode>#,##0;\(#,##0\)</c:formatCode>
                <c:ptCount val="5"/>
                <c:pt idx="0">
                  <c:v>74104.554888000013</c:v>
                </c:pt>
                <c:pt idx="1">
                  <c:v>148209.10977600003</c:v>
                </c:pt>
                <c:pt idx="2">
                  <c:v>296418.21955200005</c:v>
                </c:pt>
                <c:pt idx="3">
                  <c:v>444627.32932800014</c:v>
                </c:pt>
                <c:pt idx="4">
                  <c:v>578015.52812640031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4C-4702-B859-E365A6D05E5A}"/>
            </c:ext>
          </c:extLst>
        </c:ser>
        <c:ser>
          <c:idx val="1"/>
          <c:order val="1"/>
          <c:tx>
            <c:strRef>
              <c:f>'Break-even '!$B$7</c:f>
              <c:strCache>
                <c:ptCount val="1"/>
                <c:pt idx="0">
                  <c:v>Fixed costs</c:v>
                </c:pt>
              </c:strCache>
            </c:strRef>
          </c:tx>
          <c:spPr>
            <a:ln w="19050" cmpd="sng">
              <a:solidFill>
                <a:schemeClr val="accent2"/>
              </a:solidFill>
              <a:prstDash val="sysDot"/>
            </a:ln>
          </c:spPr>
          <c:marker>
            <c:symbol val="none"/>
          </c:marker>
          <c:cat>
            <c:numRef>
              <c:f>'Break-even '!$C$5:$G$5</c:f>
              <c:numCache>
                <c:formatCode>#,##0</c:formatCode>
                <c:ptCount val="5"/>
                <c:pt idx="0">
                  <c:v>2058.4598580000006</c:v>
                </c:pt>
                <c:pt idx="1">
                  <c:v>4116.9197160000012</c:v>
                </c:pt>
                <c:pt idx="2">
                  <c:v>8233.8394320000025</c:v>
                </c:pt>
                <c:pt idx="3">
                  <c:v>12350.759148000005</c:v>
                </c:pt>
                <c:pt idx="4">
                  <c:v>16055.986892400007</c:v>
                </c:pt>
              </c:numCache>
            </c:numRef>
          </c:cat>
          <c:val>
            <c:numRef>
              <c:f>'Break-even '!$C$7:$G$7</c:f>
              <c:numCache>
                <c:formatCode>#,##0;\(#,##0\)</c:formatCode>
                <c:ptCount val="5"/>
                <c:pt idx="0">
                  <c:v>368720.83333333331</c:v>
                </c:pt>
                <c:pt idx="1">
                  <c:v>188720.83333333334</c:v>
                </c:pt>
                <c:pt idx="2">
                  <c:v>188720.83333333334</c:v>
                </c:pt>
                <c:pt idx="3">
                  <c:v>188720.83333333334</c:v>
                </c:pt>
                <c:pt idx="4">
                  <c:v>188720.83333333334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4C-4702-B859-E365A6D05E5A}"/>
            </c:ext>
          </c:extLst>
        </c:ser>
        <c:ser>
          <c:idx val="2"/>
          <c:order val="2"/>
          <c:tx>
            <c:strRef>
              <c:f>'Break-even '!$B$8</c:f>
              <c:strCache>
                <c:ptCount val="1"/>
                <c:pt idx="0">
                  <c:v>Variable costs</c:v>
                </c:pt>
              </c:strCache>
            </c:strRef>
          </c:tx>
          <c:spPr>
            <a:ln w="19050" cmpd="sng">
              <a:solidFill>
                <a:schemeClr val="accent3"/>
              </a:solidFill>
              <a:prstDash val="sysDot"/>
            </a:ln>
          </c:spPr>
          <c:marker>
            <c:symbol val="none"/>
          </c:marker>
          <c:cat>
            <c:numRef>
              <c:f>'Break-even '!$C$5:$G$5</c:f>
              <c:numCache>
                <c:formatCode>#,##0</c:formatCode>
                <c:ptCount val="5"/>
                <c:pt idx="0">
                  <c:v>2058.4598580000006</c:v>
                </c:pt>
                <c:pt idx="1">
                  <c:v>4116.9197160000012</c:v>
                </c:pt>
                <c:pt idx="2">
                  <c:v>8233.8394320000025</c:v>
                </c:pt>
                <c:pt idx="3">
                  <c:v>12350.759148000005</c:v>
                </c:pt>
                <c:pt idx="4">
                  <c:v>16055.986892400007</c:v>
                </c:pt>
              </c:numCache>
            </c:numRef>
          </c:cat>
          <c:val>
            <c:numRef>
              <c:f>'Break-even '!$C$8:$G$8</c:f>
              <c:numCache>
                <c:formatCode>#,##0;\(#,##0\)</c:formatCode>
                <c:ptCount val="5"/>
                <c:pt idx="0">
                  <c:v>1852.6138722000007</c:v>
                </c:pt>
                <c:pt idx="1">
                  <c:v>3705.227744400001</c:v>
                </c:pt>
                <c:pt idx="2">
                  <c:v>37496.534707760009</c:v>
                </c:pt>
                <c:pt idx="3">
                  <c:v>84552.927061640046</c:v>
                </c:pt>
                <c:pt idx="4">
                  <c:v>126903.68018013208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4C-4702-B859-E365A6D05E5A}"/>
            </c:ext>
          </c:extLst>
        </c:ser>
        <c:ser>
          <c:idx val="3"/>
          <c:order val="3"/>
          <c:tx>
            <c:strRef>
              <c:f>'Break-even '!$B$9</c:f>
              <c:strCache>
                <c:ptCount val="1"/>
                <c:pt idx="0">
                  <c:v>Total Costs</c:v>
                </c:pt>
              </c:strCache>
            </c:strRef>
          </c:tx>
          <c:marker>
            <c:symbol val="none"/>
          </c:marker>
          <c:cat>
            <c:numRef>
              <c:f>'Break-even '!$C$5:$G$5</c:f>
              <c:numCache>
                <c:formatCode>#,##0</c:formatCode>
                <c:ptCount val="5"/>
                <c:pt idx="0">
                  <c:v>2058.4598580000006</c:v>
                </c:pt>
                <c:pt idx="1">
                  <c:v>4116.9197160000012</c:v>
                </c:pt>
                <c:pt idx="2">
                  <c:v>8233.8394320000025</c:v>
                </c:pt>
                <c:pt idx="3">
                  <c:v>12350.759148000005</c:v>
                </c:pt>
                <c:pt idx="4">
                  <c:v>16055.986892400007</c:v>
                </c:pt>
              </c:numCache>
            </c:numRef>
          </c:cat>
          <c:val>
            <c:numRef>
              <c:f>'Break-even '!$C$9:$G$9</c:f>
              <c:numCache>
                <c:formatCode>#,##0;\(#,##0\)</c:formatCode>
                <c:ptCount val="5"/>
                <c:pt idx="0">
                  <c:v>370573.44720553333</c:v>
                </c:pt>
                <c:pt idx="1">
                  <c:v>192426.06107773335</c:v>
                </c:pt>
                <c:pt idx="2">
                  <c:v>226217.36804109334</c:v>
                </c:pt>
                <c:pt idx="3">
                  <c:v>273273.76039497339</c:v>
                </c:pt>
                <c:pt idx="4">
                  <c:v>315624.51351346541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4C-4702-B859-E365A6D05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085114"/>
        <c:axId val="1134643648"/>
      </c:lineChart>
      <c:catAx>
        <c:axId val="18720851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de-DE"/>
                  <a:t>Processed hours</a:t>
                </a:r>
              </a:p>
            </c:rich>
          </c:tx>
          <c:layout/>
          <c:overlay val="0"/>
        </c:title>
        <c:numFmt formatCode="#,##0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134643648"/>
        <c:crosses val="autoZero"/>
        <c:auto val="1"/>
        <c:lblAlgn val="ctr"/>
        <c:lblOffset val="100"/>
        <c:noMultiLvlLbl val="1"/>
      </c:catAx>
      <c:valAx>
        <c:axId val="11346436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#,##0;\(#,##0\)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87208511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de-DE"/>
        </a:p>
      </c:txPr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10</xdr:row>
      <xdr:rowOff>171450</xdr:rowOff>
    </xdr:from>
    <xdr:ext cx="5715000" cy="353377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6:T11"/>
  <sheetViews>
    <sheetView showGridLines="0" workbookViewId="0"/>
  </sheetViews>
  <sheetFormatPr baseColWidth="10" defaultColWidth="14.453125" defaultRowHeight="15.75" customHeight="1" x14ac:dyDescent="0.25"/>
  <cols>
    <col min="1" max="1" width="19.81640625" customWidth="1"/>
    <col min="2" max="13" width="7" customWidth="1"/>
    <col min="16" max="20" width="10.26953125" customWidth="1"/>
  </cols>
  <sheetData>
    <row r="6" spans="1:20" ht="15.75" customHeight="1" x14ac:dyDescent="0.25">
      <c r="A6" s="1" t="s">
        <v>0</v>
      </c>
      <c r="B6" s="1">
        <v>0.01</v>
      </c>
    </row>
    <row r="7" spans="1:20" ht="15.75" customHeight="1" x14ac:dyDescent="0.4">
      <c r="A7" s="3" t="s">
        <v>2</v>
      </c>
      <c r="O7" s="43" t="s">
        <v>2</v>
      </c>
      <c r="P7" s="44"/>
      <c r="Q7" s="44"/>
    </row>
    <row r="8" spans="1:20" ht="15.75" customHeight="1" x14ac:dyDescent="0.25">
      <c r="A8" s="4" t="s">
        <v>6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  <c r="K8" s="5">
        <v>10</v>
      </c>
      <c r="L8" s="5">
        <v>11</v>
      </c>
      <c r="M8" s="5">
        <v>12</v>
      </c>
      <c r="O8" s="4" t="s">
        <v>7</v>
      </c>
      <c r="P8" s="5">
        <v>1</v>
      </c>
      <c r="Q8" s="5">
        <v>2</v>
      </c>
      <c r="R8" s="5">
        <v>3</v>
      </c>
      <c r="S8" s="5">
        <v>4</v>
      </c>
      <c r="T8" s="5">
        <v>5</v>
      </c>
    </row>
    <row r="10" spans="1:20" ht="15.75" customHeight="1" x14ac:dyDescent="0.25">
      <c r="A10" s="1" t="s">
        <v>9</v>
      </c>
      <c r="B10" s="8"/>
      <c r="C10" s="9"/>
      <c r="D10" s="9"/>
      <c r="E10" s="9"/>
      <c r="F10" s="8">
        <v>180</v>
      </c>
      <c r="G10" s="9">
        <f t="shared" ref="G10:M10" si="0">F10*1.1</f>
        <v>198.00000000000003</v>
      </c>
      <c r="H10" s="9">
        <f t="shared" si="0"/>
        <v>217.80000000000004</v>
      </c>
      <c r="I10" s="9">
        <f t="shared" si="0"/>
        <v>239.58000000000007</v>
      </c>
      <c r="J10" s="9">
        <f t="shared" si="0"/>
        <v>263.53800000000012</v>
      </c>
      <c r="K10" s="9">
        <f t="shared" si="0"/>
        <v>289.89180000000016</v>
      </c>
      <c r="L10" s="9">
        <f t="shared" si="0"/>
        <v>318.88098000000019</v>
      </c>
      <c r="M10" s="9">
        <f t="shared" si="0"/>
        <v>350.76907800000026</v>
      </c>
      <c r="O10" s="1" t="s">
        <v>9</v>
      </c>
      <c r="P10" s="12">
        <f>SUM(B10:M10)</f>
        <v>2058.4598580000006</v>
      </c>
      <c r="Q10" s="12">
        <f t="shared" ref="Q10:R10" si="1">P10*2</f>
        <v>4116.9197160000012</v>
      </c>
      <c r="R10" s="12">
        <f t="shared" si="1"/>
        <v>8233.8394320000025</v>
      </c>
      <c r="S10" s="12">
        <f>R10*1.5</f>
        <v>12350.759148000005</v>
      </c>
      <c r="T10" s="12">
        <f>S10*1.3</f>
        <v>16055.986892400007</v>
      </c>
    </row>
    <row r="11" spans="1:20" x14ac:dyDescent="0.3">
      <c r="A11" s="10" t="s">
        <v>15</v>
      </c>
      <c r="B11" s="13">
        <f t="shared" ref="B11:M11" si="2">B10*$B$6*3600</f>
        <v>0</v>
      </c>
      <c r="C11" s="13">
        <f t="shared" si="2"/>
        <v>0</v>
      </c>
      <c r="D11" s="13">
        <f t="shared" si="2"/>
        <v>0</v>
      </c>
      <c r="E11" s="13">
        <f t="shared" si="2"/>
        <v>0</v>
      </c>
      <c r="F11" s="13">
        <f t="shared" si="2"/>
        <v>6480</v>
      </c>
      <c r="G11" s="13">
        <f t="shared" si="2"/>
        <v>7128.0000000000018</v>
      </c>
      <c r="H11" s="13">
        <f t="shared" si="2"/>
        <v>7840.8000000000011</v>
      </c>
      <c r="I11" s="13">
        <f t="shared" si="2"/>
        <v>8624.8800000000028</v>
      </c>
      <c r="J11" s="13">
        <f t="shared" si="2"/>
        <v>9487.3680000000058</v>
      </c>
      <c r="K11" s="13">
        <f t="shared" si="2"/>
        <v>10436.104800000005</v>
      </c>
      <c r="L11" s="13">
        <f t="shared" si="2"/>
        <v>11479.715280000006</v>
      </c>
      <c r="M11" s="13">
        <f t="shared" si="2"/>
        <v>12627.686808000009</v>
      </c>
      <c r="O11" s="10" t="s">
        <v>15</v>
      </c>
      <c r="P11" s="14">
        <f t="shared" ref="P11:T11" si="3">P10*$B$6*3600</f>
        <v>74104.554888000013</v>
      </c>
      <c r="Q11" s="14">
        <f t="shared" si="3"/>
        <v>148209.10977600003</v>
      </c>
      <c r="R11" s="14">
        <f t="shared" si="3"/>
        <v>296418.21955200005</v>
      </c>
      <c r="S11" s="14">
        <f t="shared" si="3"/>
        <v>444627.32932800014</v>
      </c>
      <c r="T11" s="14">
        <f t="shared" si="3"/>
        <v>578015.52812640031</v>
      </c>
    </row>
  </sheetData>
  <mergeCells count="1">
    <mergeCell ref="O7:Q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J18"/>
  <sheetViews>
    <sheetView showGridLines="0" topLeftCell="A11" workbookViewId="0"/>
  </sheetViews>
  <sheetFormatPr baseColWidth="10" defaultColWidth="14.453125" defaultRowHeight="15.75" customHeight="1" x14ac:dyDescent="0.25"/>
  <cols>
    <col min="2" max="2" width="19.81640625" customWidth="1"/>
  </cols>
  <sheetData>
    <row r="2" spans="2:10" ht="15.75" customHeight="1" x14ac:dyDescent="0.35">
      <c r="B2" s="45" t="s">
        <v>85</v>
      </c>
      <c r="C2" s="44"/>
    </row>
    <row r="3" spans="2:10" x14ac:dyDescent="0.3">
      <c r="B3" s="15" t="s">
        <v>7</v>
      </c>
      <c r="C3" s="5">
        <v>1</v>
      </c>
      <c r="D3" s="5">
        <v>2</v>
      </c>
      <c r="E3" s="5">
        <v>3</v>
      </c>
      <c r="F3" s="5">
        <v>4</v>
      </c>
      <c r="G3" s="5">
        <v>5</v>
      </c>
    </row>
    <row r="5" spans="2:10" ht="15.75" customHeight="1" x14ac:dyDescent="0.25">
      <c r="B5" s="1" t="s">
        <v>86</v>
      </c>
      <c r="C5" s="12">
        <f>'Sales Forecast'!P10</f>
        <v>2058.4598580000006</v>
      </c>
      <c r="D5" s="12">
        <f>'Sales Forecast'!Q10</f>
        <v>4116.9197160000012</v>
      </c>
      <c r="E5" s="12">
        <f>'Sales Forecast'!R10</f>
        <v>8233.8394320000025</v>
      </c>
      <c r="F5" s="12">
        <f>'Sales Forecast'!S10</f>
        <v>12350.759148000005</v>
      </c>
      <c r="G5" s="12">
        <f>'Sales Forecast'!T10</f>
        <v>16055.986892400007</v>
      </c>
      <c r="J5" s="1"/>
    </row>
    <row r="6" spans="2:10" x14ac:dyDescent="0.3">
      <c r="B6" s="39" t="s">
        <v>37</v>
      </c>
      <c r="C6" s="40">
        <f>'Income statement'!Q5</f>
        <v>74104.554888000013</v>
      </c>
      <c r="D6" s="40">
        <f>'Income statement'!R5</f>
        <v>148209.10977600003</v>
      </c>
      <c r="E6" s="40">
        <f>'Income statement'!S5</f>
        <v>296418.21955200005</v>
      </c>
      <c r="F6" s="40">
        <f>'Income statement'!T5</f>
        <v>444627.32932800014</v>
      </c>
      <c r="G6" s="41">
        <f>'Income statement'!U5</f>
        <v>578015.52812640031</v>
      </c>
    </row>
    <row r="7" spans="2:10" ht="15.75" customHeight="1" x14ac:dyDescent="0.25">
      <c r="B7" s="1" t="s">
        <v>87</v>
      </c>
      <c r="C7" s="9">
        <f>'Income statement'!Q17+'Income statement'!Q20</f>
        <v>368720.83333333331</v>
      </c>
      <c r="D7" s="9">
        <f>'Income statement'!R17+'Income statement'!R20</f>
        <v>188720.83333333334</v>
      </c>
      <c r="E7" s="9">
        <f>'Income statement'!S17+'Income statement'!S20</f>
        <v>188720.83333333334</v>
      </c>
      <c r="F7" s="9">
        <f>'Income statement'!T17+'Income statement'!T20</f>
        <v>188720.83333333334</v>
      </c>
      <c r="G7" s="9">
        <f>'Income statement'!U17+'Income statement'!U20</f>
        <v>188720.83333333334</v>
      </c>
    </row>
    <row r="8" spans="2:10" ht="15.75" customHeight="1" x14ac:dyDescent="0.25">
      <c r="B8" s="1" t="s">
        <v>88</v>
      </c>
      <c r="C8" s="9">
        <f>'Income statement'!Q10+'Income statement'!Q24</f>
        <v>1852.6138722000007</v>
      </c>
      <c r="D8" s="9">
        <f>'Income statement'!R10+'Income statement'!R24</f>
        <v>3705.227744400001</v>
      </c>
      <c r="E8" s="9">
        <f>'Income statement'!S10+'Income statement'!S24</f>
        <v>37496.534707760009</v>
      </c>
      <c r="F8" s="9">
        <f>'Income statement'!T10+'Income statement'!T24</f>
        <v>84552.927061640046</v>
      </c>
      <c r="G8" s="9">
        <f>'Income statement'!U10+'Income statement'!U24</f>
        <v>126903.68018013208</v>
      </c>
    </row>
    <row r="9" spans="2:10" x14ac:dyDescent="0.3">
      <c r="B9" s="39" t="s">
        <v>89</v>
      </c>
      <c r="C9" s="40">
        <f t="shared" ref="C9:G9" si="0">C7+C8</f>
        <v>370573.44720553333</v>
      </c>
      <c r="D9" s="40">
        <f t="shared" si="0"/>
        <v>192426.06107773335</v>
      </c>
      <c r="E9" s="40">
        <f t="shared" si="0"/>
        <v>226217.36804109334</v>
      </c>
      <c r="F9" s="40">
        <f t="shared" si="0"/>
        <v>273273.76039497339</v>
      </c>
      <c r="G9" s="41">
        <f t="shared" si="0"/>
        <v>315624.51351346541</v>
      </c>
    </row>
    <row r="14" spans="2:10" ht="15.75" customHeight="1" x14ac:dyDescent="0.25">
      <c r="C14" s="42"/>
      <c r="D14" s="42"/>
      <c r="E14" s="42"/>
      <c r="F14" s="42"/>
    </row>
    <row r="15" spans="2:10" ht="15.75" customHeight="1" x14ac:dyDescent="0.25">
      <c r="C15" s="42"/>
      <c r="D15" s="42"/>
      <c r="E15" s="42"/>
      <c r="F15" s="42"/>
    </row>
    <row r="16" spans="2:10" ht="15.75" customHeight="1" x14ac:dyDescent="0.25">
      <c r="C16" s="42"/>
      <c r="D16" s="42"/>
      <c r="E16" s="42"/>
      <c r="F16" s="42"/>
    </row>
    <row r="17" spans="3:6" ht="15.75" customHeight="1" x14ac:dyDescent="0.25">
      <c r="C17" s="42"/>
      <c r="D17" s="42"/>
      <c r="E17" s="42"/>
      <c r="F17" s="42"/>
    </row>
    <row r="18" spans="3:6" ht="15.75" customHeight="1" x14ac:dyDescent="0.25">
      <c r="C18" s="42"/>
      <c r="D18" s="42"/>
      <c r="E18" s="42"/>
      <c r="F18" s="42"/>
    </row>
  </sheetData>
  <mergeCells count="1">
    <mergeCell ref="B2:C2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5:D17"/>
  <sheetViews>
    <sheetView showGridLines="0" workbookViewId="0"/>
  </sheetViews>
  <sheetFormatPr baseColWidth="10" defaultColWidth="14.453125" defaultRowHeight="15.75" customHeight="1" x14ac:dyDescent="0.25"/>
  <cols>
    <col min="2" max="2" width="46" customWidth="1"/>
    <col min="4" max="4" width="18.08984375" customWidth="1"/>
  </cols>
  <sheetData>
    <row r="5" spans="2:4" x14ac:dyDescent="0.3">
      <c r="B5" s="2" t="s">
        <v>1</v>
      </c>
    </row>
    <row r="6" spans="2:4" ht="15.75" customHeight="1" x14ac:dyDescent="0.25">
      <c r="B6" s="1" t="s">
        <v>3</v>
      </c>
      <c r="C6" s="1">
        <v>52</v>
      </c>
    </row>
    <row r="7" spans="2:4" ht="15.75" customHeight="1" x14ac:dyDescent="0.25">
      <c r="B7" s="1" t="s">
        <v>4</v>
      </c>
      <c r="C7" s="1">
        <v>4</v>
      </c>
    </row>
    <row r="8" spans="2:4" ht="15.75" customHeight="1" x14ac:dyDescent="0.25">
      <c r="B8" s="1" t="s">
        <v>5</v>
      </c>
      <c r="C8" s="6">
        <f>C6*C7*40</f>
        <v>8320</v>
      </c>
    </row>
    <row r="9" spans="2:4" ht="15.75" customHeight="1" x14ac:dyDescent="0.25">
      <c r="B9" s="1" t="s">
        <v>8</v>
      </c>
      <c r="C9" s="7">
        <v>60000</v>
      </c>
    </row>
    <row r="10" spans="2:4" x14ac:dyDescent="0.3">
      <c r="B10" s="10" t="s">
        <v>10</v>
      </c>
      <c r="C10" s="11">
        <f>C9*C7</f>
        <v>240000</v>
      </c>
    </row>
    <row r="14" spans="2:4" x14ac:dyDescent="0.3">
      <c r="B14" s="2" t="s">
        <v>11</v>
      </c>
    </row>
    <row r="15" spans="2:4" ht="15.75" customHeight="1" x14ac:dyDescent="0.25">
      <c r="B15" s="1" t="s">
        <v>12</v>
      </c>
      <c r="C15" s="1">
        <v>1</v>
      </c>
    </row>
    <row r="16" spans="2:4" ht="15.75" customHeight="1" x14ac:dyDescent="0.25">
      <c r="B16" s="1" t="s">
        <v>13</v>
      </c>
      <c r="C16" s="1">
        <v>0.9</v>
      </c>
      <c r="D16" s="6">
        <f>C16*24*30</f>
        <v>648</v>
      </c>
    </row>
    <row r="17" spans="2:3" ht="15.75" customHeight="1" x14ac:dyDescent="0.25">
      <c r="B17" s="1" t="s">
        <v>14</v>
      </c>
      <c r="C17" s="6">
        <f>5*61/2</f>
        <v>152.5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F18"/>
  <sheetViews>
    <sheetView showGridLines="0" workbookViewId="0"/>
  </sheetViews>
  <sheetFormatPr baseColWidth="10" defaultColWidth="14.453125" defaultRowHeight="15.75" customHeight="1" x14ac:dyDescent="0.25"/>
  <cols>
    <col min="3" max="3" width="10.81640625" customWidth="1"/>
    <col min="4" max="4" width="13.81640625" customWidth="1"/>
    <col min="5" max="5" width="19.81640625" customWidth="1"/>
    <col min="6" max="6" width="16.81640625" customWidth="1"/>
  </cols>
  <sheetData>
    <row r="3" spans="2:6" x14ac:dyDescent="0.3">
      <c r="B3" s="2" t="s">
        <v>16</v>
      </c>
    </row>
    <row r="4" spans="2:6" x14ac:dyDescent="0.3">
      <c r="C4" s="15" t="s">
        <v>17</v>
      </c>
      <c r="D4" s="15" t="s">
        <v>18</v>
      </c>
      <c r="E4" s="15" t="s">
        <v>19</v>
      </c>
    </row>
    <row r="5" spans="2:6" ht="15.75" customHeight="1" x14ac:dyDescent="0.25">
      <c r="B5" s="1" t="s">
        <v>20</v>
      </c>
      <c r="C5" s="1">
        <v>6</v>
      </c>
      <c r="D5" s="1">
        <v>1000</v>
      </c>
      <c r="E5" s="16">
        <f t="shared" ref="E5:E7" si="0">D5*C5</f>
        <v>6000</v>
      </c>
    </row>
    <row r="6" spans="2:6" ht="15.75" customHeight="1" x14ac:dyDescent="0.25">
      <c r="B6" s="1" t="s">
        <v>21</v>
      </c>
      <c r="C6" s="1">
        <v>5</v>
      </c>
      <c r="D6" s="1">
        <v>100</v>
      </c>
      <c r="E6" s="16">
        <f t="shared" si="0"/>
        <v>500</v>
      </c>
    </row>
    <row r="7" spans="2:6" ht="15.75" customHeight="1" x14ac:dyDescent="0.25">
      <c r="B7" s="1" t="s">
        <v>22</v>
      </c>
      <c r="C7" s="1">
        <v>5</v>
      </c>
      <c r="D7" s="1">
        <v>150</v>
      </c>
      <c r="E7" s="16">
        <f t="shared" si="0"/>
        <v>750</v>
      </c>
    </row>
    <row r="8" spans="2:6" x14ac:dyDescent="0.3">
      <c r="B8" s="2" t="s">
        <v>19</v>
      </c>
      <c r="C8" s="17"/>
      <c r="D8" s="17"/>
      <c r="E8" s="18">
        <f>SUM(E5:E7)</f>
        <v>7250</v>
      </c>
    </row>
    <row r="12" spans="2:6" x14ac:dyDescent="0.3">
      <c r="B12" s="2" t="s">
        <v>24</v>
      </c>
    </row>
    <row r="14" spans="2:6" x14ac:dyDescent="0.3">
      <c r="C14" s="2" t="s">
        <v>25</v>
      </c>
      <c r="D14" s="2" t="s">
        <v>26</v>
      </c>
      <c r="E14" s="2" t="s">
        <v>27</v>
      </c>
      <c r="F14" s="2" t="s">
        <v>28</v>
      </c>
    </row>
    <row r="15" spans="2:6" ht="15.75" customHeight="1" x14ac:dyDescent="0.25">
      <c r="B15" s="1" t="s">
        <v>20</v>
      </c>
      <c r="C15" s="19">
        <v>0.5</v>
      </c>
      <c r="D15" s="1">
        <v>60</v>
      </c>
      <c r="E15" s="16">
        <f t="shared" ref="E15:E17" si="1">(E5-E5*C15)/D15</f>
        <v>50</v>
      </c>
      <c r="F15" s="16">
        <f t="shared" ref="F15:F17" si="2">E15*12</f>
        <v>600</v>
      </c>
    </row>
    <row r="16" spans="2:6" ht="15.75" customHeight="1" x14ac:dyDescent="0.25">
      <c r="B16" s="1" t="s">
        <v>21</v>
      </c>
      <c r="C16" s="19">
        <v>0.3</v>
      </c>
      <c r="D16" s="1">
        <v>72</v>
      </c>
      <c r="E16" s="16">
        <f t="shared" si="1"/>
        <v>4.8611111111111107</v>
      </c>
      <c r="F16" s="16">
        <f t="shared" si="2"/>
        <v>58.333333333333329</v>
      </c>
    </row>
    <row r="17" spans="2:6" ht="15.75" customHeight="1" x14ac:dyDescent="0.25">
      <c r="B17" s="1" t="s">
        <v>22</v>
      </c>
      <c r="C17" s="19">
        <v>0.5</v>
      </c>
      <c r="D17" s="1">
        <v>72</v>
      </c>
      <c r="E17" s="16">
        <f t="shared" si="1"/>
        <v>5.208333333333333</v>
      </c>
      <c r="F17" s="16">
        <f t="shared" si="2"/>
        <v>62.5</v>
      </c>
    </row>
    <row r="18" spans="2:6" x14ac:dyDescent="0.3">
      <c r="B18" s="2" t="s">
        <v>19</v>
      </c>
      <c r="C18" s="17"/>
      <c r="D18" s="17"/>
      <c r="E18" s="18">
        <f t="shared" ref="E18:F18" si="3">SUM(E15:E17)</f>
        <v>60.06944444444445</v>
      </c>
      <c r="F18" s="18">
        <f t="shared" si="3"/>
        <v>720.83333333333337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5:V11"/>
  <sheetViews>
    <sheetView showGridLines="0" tabSelected="1" workbookViewId="0">
      <selection activeCell="C9" sqref="C9"/>
    </sheetView>
  </sheetViews>
  <sheetFormatPr baseColWidth="10" defaultColWidth="14.453125" defaultRowHeight="15.75" customHeight="1" x14ac:dyDescent="0.25"/>
  <cols>
    <col min="2" max="2" width="19.81640625" customWidth="1"/>
    <col min="3" max="15" width="7.54296875" customWidth="1"/>
    <col min="16" max="16" width="4.08984375" customWidth="1"/>
    <col min="17" max="17" width="19.81640625" customWidth="1"/>
    <col min="18" max="22" width="7.7265625" customWidth="1"/>
  </cols>
  <sheetData>
    <row r="5" spans="1:22" x14ac:dyDescent="0.3">
      <c r="C5" s="2" t="s">
        <v>6</v>
      </c>
      <c r="R5" s="2" t="s">
        <v>7</v>
      </c>
    </row>
    <row r="6" spans="1:22" ht="15.75" customHeight="1" x14ac:dyDescent="0.25">
      <c r="C6" s="5">
        <v>1</v>
      </c>
      <c r="D6" s="5">
        <v>2</v>
      </c>
      <c r="E6" s="5">
        <v>3</v>
      </c>
      <c r="F6" s="5">
        <v>4</v>
      </c>
      <c r="G6" s="5">
        <v>5</v>
      </c>
      <c r="H6" s="5">
        <v>6</v>
      </c>
      <c r="I6" s="5">
        <v>7</v>
      </c>
      <c r="J6" s="5">
        <v>8</v>
      </c>
      <c r="K6" s="5">
        <v>9</v>
      </c>
      <c r="L6" s="5">
        <v>10</v>
      </c>
      <c r="M6" s="5">
        <v>11</v>
      </c>
      <c r="N6" s="5">
        <v>12</v>
      </c>
      <c r="R6" s="5">
        <v>1</v>
      </c>
      <c r="S6" s="5">
        <v>2</v>
      </c>
      <c r="T6" s="5">
        <v>3</v>
      </c>
      <c r="U6" s="5">
        <v>4</v>
      </c>
      <c r="V6" s="5">
        <v>5</v>
      </c>
    </row>
    <row r="7" spans="1:22" x14ac:dyDescent="0.3">
      <c r="O7" s="2" t="s">
        <v>19</v>
      </c>
    </row>
    <row r="8" spans="1:22" x14ac:dyDescent="0.3">
      <c r="B8" s="1" t="s">
        <v>23</v>
      </c>
      <c r="C8" s="12">
        <f t="shared" ref="C8:N8" si="0">50000/12</f>
        <v>4166.666666666667</v>
      </c>
      <c r="D8" s="12">
        <f t="shared" si="0"/>
        <v>4166.666666666667</v>
      </c>
      <c r="E8" s="12">
        <f t="shared" si="0"/>
        <v>4166.666666666667</v>
      </c>
      <c r="F8" s="12">
        <f t="shared" si="0"/>
        <v>4166.666666666667</v>
      </c>
      <c r="G8" s="12">
        <f t="shared" si="0"/>
        <v>4166.666666666667</v>
      </c>
      <c r="H8" s="12">
        <f t="shared" si="0"/>
        <v>4166.666666666667</v>
      </c>
      <c r="I8" s="12">
        <f t="shared" si="0"/>
        <v>4166.666666666667</v>
      </c>
      <c r="J8" s="12">
        <f t="shared" si="0"/>
        <v>4166.666666666667</v>
      </c>
      <c r="K8" s="12">
        <f t="shared" si="0"/>
        <v>4166.666666666667</v>
      </c>
      <c r="L8" s="12">
        <f t="shared" si="0"/>
        <v>4166.666666666667</v>
      </c>
      <c r="M8" s="12">
        <f t="shared" si="0"/>
        <v>4166.666666666667</v>
      </c>
      <c r="N8" s="12">
        <f t="shared" si="0"/>
        <v>4166.666666666667</v>
      </c>
      <c r="O8" s="20">
        <f t="shared" ref="O8:O10" si="1">SUM(C8:N8)</f>
        <v>49999.999999999993</v>
      </c>
      <c r="Q8" s="1" t="s">
        <v>23</v>
      </c>
      <c r="R8" s="12">
        <f t="shared" ref="R8:R10" si="2">O8</f>
        <v>49999.999999999993</v>
      </c>
      <c r="S8" s="12">
        <f t="shared" ref="S8:V8" si="3">R8</f>
        <v>49999.999999999993</v>
      </c>
      <c r="T8" s="12">
        <f t="shared" si="3"/>
        <v>49999.999999999993</v>
      </c>
      <c r="U8" s="12">
        <f t="shared" si="3"/>
        <v>49999.999999999993</v>
      </c>
      <c r="V8" s="12">
        <f t="shared" si="3"/>
        <v>49999.999999999993</v>
      </c>
    </row>
    <row r="9" spans="1:22" x14ac:dyDescent="0.3">
      <c r="A9" s="1" t="s">
        <v>29</v>
      </c>
      <c r="B9" s="1" t="s">
        <v>30</v>
      </c>
      <c r="C9" s="21">
        <v>20000</v>
      </c>
      <c r="D9" s="21">
        <v>20000</v>
      </c>
      <c r="E9" s="21">
        <v>20000</v>
      </c>
      <c r="F9" s="21">
        <v>20000</v>
      </c>
      <c r="G9" s="21">
        <v>20000</v>
      </c>
      <c r="H9" s="21">
        <v>20000</v>
      </c>
      <c r="I9" s="21">
        <v>20000</v>
      </c>
      <c r="J9" s="21">
        <v>20000</v>
      </c>
      <c r="K9" s="21">
        <v>20000</v>
      </c>
      <c r="L9" s="21">
        <v>20000</v>
      </c>
      <c r="M9" s="21">
        <v>20000</v>
      </c>
      <c r="N9" s="21">
        <v>20000</v>
      </c>
      <c r="O9" s="20">
        <f t="shared" si="1"/>
        <v>240000</v>
      </c>
      <c r="Q9" s="1" t="s">
        <v>30</v>
      </c>
      <c r="R9" s="12">
        <f t="shared" si="2"/>
        <v>240000</v>
      </c>
      <c r="S9" s="12">
        <f>$R9/4</f>
        <v>60000</v>
      </c>
      <c r="T9" s="12">
        <f t="shared" ref="T9:V9" si="4">S9</f>
        <v>60000</v>
      </c>
      <c r="U9" s="12">
        <f t="shared" si="4"/>
        <v>60000</v>
      </c>
      <c r="V9" s="12">
        <f t="shared" si="4"/>
        <v>60000</v>
      </c>
    </row>
    <row r="10" spans="1:22" x14ac:dyDescent="0.3">
      <c r="B10" s="1" t="s">
        <v>31</v>
      </c>
      <c r="C10" s="12">
        <f t="shared" ref="C10:N10" si="5">36000/12</f>
        <v>3000</v>
      </c>
      <c r="D10" s="12">
        <f t="shared" si="5"/>
        <v>3000</v>
      </c>
      <c r="E10" s="12">
        <f t="shared" si="5"/>
        <v>3000</v>
      </c>
      <c r="F10" s="12">
        <f t="shared" si="5"/>
        <v>3000</v>
      </c>
      <c r="G10" s="12">
        <f t="shared" si="5"/>
        <v>3000</v>
      </c>
      <c r="H10" s="12">
        <f t="shared" si="5"/>
        <v>3000</v>
      </c>
      <c r="I10" s="12">
        <f t="shared" si="5"/>
        <v>3000</v>
      </c>
      <c r="J10" s="12">
        <f t="shared" si="5"/>
        <v>3000</v>
      </c>
      <c r="K10" s="12">
        <f t="shared" si="5"/>
        <v>3000</v>
      </c>
      <c r="L10" s="12">
        <f t="shared" si="5"/>
        <v>3000</v>
      </c>
      <c r="M10" s="12">
        <f t="shared" si="5"/>
        <v>3000</v>
      </c>
      <c r="N10" s="12">
        <f t="shared" si="5"/>
        <v>3000</v>
      </c>
      <c r="O10" s="20">
        <f t="shared" si="1"/>
        <v>36000</v>
      </c>
      <c r="Q10" s="1" t="s">
        <v>31</v>
      </c>
      <c r="R10" s="12">
        <f t="shared" si="2"/>
        <v>36000</v>
      </c>
      <c r="S10" s="12">
        <f t="shared" ref="S10:V10" si="6">R10</f>
        <v>36000</v>
      </c>
      <c r="T10" s="12">
        <f t="shared" si="6"/>
        <v>36000</v>
      </c>
      <c r="U10" s="12">
        <f t="shared" si="6"/>
        <v>36000</v>
      </c>
      <c r="V10" s="12">
        <f t="shared" si="6"/>
        <v>36000</v>
      </c>
    </row>
    <row r="11" spans="1:22" x14ac:dyDescent="0.3">
      <c r="B11" s="10" t="s">
        <v>19</v>
      </c>
      <c r="C11" s="14">
        <f t="shared" ref="C11:O11" si="7">SUM(C8:C10)</f>
        <v>27166.666666666668</v>
      </c>
      <c r="D11" s="14">
        <f t="shared" si="7"/>
        <v>27166.666666666668</v>
      </c>
      <c r="E11" s="14">
        <f t="shared" si="7"/>
        <v>27166.666666666668</v>
      </c>
      <c r="F11" s="14">
        <f t="shared" si="7"/>
        <v>27166.666666666668</v>
      </c>
      <c r="G11" s="14">
        <f t="shared" si="7"/>
        <v>27166.666666666668</v>
      </c>
      <c r="H11" s="14">
        <f t="shared" si="7"/>
        <v>27166.666666666668</v>
      </c>
      <c r="I11" s="14">
        <f t="shared" si="7"/>
        <v>27166.666666666668</v>
      </c>
      <c r="J11" s="14">
        <f t="shared" si="7"/>
        <v>27166.666666666668</v>
      </c>
      <c r="K11" s="14">
        <f t="shared" si="7"/>
        <v>27166.666666666668</v>
      </c>
      <c r="L11" s="14">
        <f t="shared" si="7"/>
        <v>27166.666666666668</v>
      </c>
      <c r="M11" s="14">
        <f t="shared" si="7"/>
        <v>27166.666666666668</v>
      </c>
      <c r="N11" s="14">
        <f t="shared" si="7"/>
        <v>27166.666666666668</v>
      </c>
      <c r="O11" s="14">
        <f t="shared" si="7"/>
        <v>326000</v>
      </c>
      <c r="Q11" s="10" t="s">
        <v>19</v>
      </c>
      <c r="R11" s="14">
        <f t="shared" ref="R11:V11" si="8">SUM(R8:R10)</f>
        <v>326000</v>
      </c>
      <c r="S11" s="14">
        <f t="shared" si="8"/>
        <v>146000</v>
      </c>
      <c r="T11" s="14">
        <f t="shared" si="8"/>
        <v>146000</v>
      </c>
      <c r="U11" s="14">
        <f t="shared" si="8"/>
        <v>146000</v>
      </c>
      <c r="V11" s="14">
        <f t="shared" si="8"/>
        <v>146000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5:T25"/>
  <sheetViews>
    <sheetView showGridLines="0" workbookViewId="0"/>
  </sheetViews>
  <sheetFormatPr baseColWidth="10" defaultColWidth="14.453125" defaultRowHeight="15.75" customHeight="1" x14ac:dyDescent="0.25"/>
  <cols>
    <col min="2" max="2" width="23.26953125" customWidth="1"/>
    <col min="3" max="3" width="9.08984375" customWidth="1"/>
    <col min="4" max="4" width="8.453125" customWidth="1"/>
    <col min="5" max="6" width="4.7265625" customWidth="1"/>
    <col min="7" max="14" width="6.81640625" customWidth="1"/>
    <col min="16" max="18" width="5.81640625" customWidth="1"/>
    <col min="19" max="20" width="6.81640625" customWidth="1"/>
  </cols>
  <sheetData>
    <row r="5" spans="2:20" ht="15.75" customHeight="1" x14ac:dyDescent="0.35">
      <c r="B5" s="22" t="s">
        <v>32</v>
      </c>
    </row>
    <row r="6" spans="2:20" x14ac:dyDescent="0.3">
      <c r="C6" s="2" t="s">
        <v>6</v>
      </c>
      <c r="P6" s="2" t="s">
        <v>7</v>
      </c>
    </row>
    <row r="7" spans="2:20" ht="15.75" customHeight="1" x14ac:dyDescent="0.25">
      <c r="C7" s="5">
        <v>1</v>
      </c>
      <c r="D7" s="5">
        <v>2</v>
      </c>
      <c r="E7" s="5">
        <v>3</v>
      </c>
      <c r="F7" s="5">
        <v>4</v>
      </c>
      <c r="G7" s="5">
        <v>5</v>
      </c>
      <c r="H7" s="5">
        <v>6</v>
      </c>
      <c r="I7" s="5">
        <v>7</v>
      </c>
      <c r="J7" s="5">
        <v>8</v>
      </c>
      <c r="K7" s="5">
        <v>9</v>
      </c>
      <c r="L7" s="5">
        <v>10</v>
      </c>
      <c r="M7" s="5">
        <v>11</v>
      </c>
      <c r="N7" s="5">
        <v>12</v>
      </c>
      <c r="P7" s="5">
        <v>1</v>
      </c>
      <c r="Q7" s="5">
        <v>2</v>
      </c>
      <c r="R7" s="5">
        <v>3</v>
      </c>
      <c r="S7" s="5">
        <v>4</v>
      </c>
      <c r="T7" s="5">
        <v>5</v>
      </c>
    </row>
    <row r="8" spans="2:20" ht="15.75" customHeight="1" x14ac:dyDescent="0.25">
      <c r="B8" s="1" t="s">
        <v>33</v>
      </c>
      <c r="C8" s="9">
        <f>'Sales Forecast'!B10</f>
        <v>0</v>
      </c>
      <c r="D8" s="9">
        <f>'Sales Forecast'!C10</f>
        <v>0</v>
      </c>
      <c r="E8" s="9">
        <f>'Sales Forecast'!D10</f>
        <v>0</v>
      </c>
      <c r="F8" s="9">
        <f>'Sales Forecast'!E10</f>
        <v>0</v>
      </c>
      <c r="G8" s="9">
        <f>'Sales Forecast'!F10</f>
        <v>180</v>
      </c>
      <c r="H8" s="9">
        <f>'Sales Forecast'!G10</f>
        <v>198.00000000000003</v>
      </c>
      <c r="I8" s="9">
        <f>'Sales Forecast'!H10</f>
        <v>217.80000000000004</v>
      </c>
      <c r="J8" s="9">
        <f>'Sales Forecast'!I10</f>
        <v>239.58000000000007</v>
      </c>
      <c r="K8" s="9">
        <f>'Sales Forecast'!J10</f>
        <v>263.53800000000012</v>
      </c>
      <c r="L8" s="9">
        <f>'Sales Forecast'!K10</f>
        <v>289.89180000000016</v>
      </c>
      <c r="M8" s="9">
        <f>'Sales Forecast'!L10</f>
        <v>318.88098000000019</v>
      </c>
      <c r="N8" s="9">
        <f>'Sales Forecast'!M10</f>
        <v>350.76907800000026</v>
      </c>
      <c r="O8" s="9"/>
      <c r="P8" s="9">
        <f>'Sales Forecast'!P10</f>
        <v>2058.4598580000006</v>
      </c>
      <c r="Q8" s="9">
        <f>'Sales Forecast'!Q10</f>
        <v>4116.9197160000012</v>
      </c>
      <c r="R8" s="9">
        <f>'Sales Forecast'!R10</f>
        <v>8233.8394320000025</v>
      </c>
      <c r="S8" s="9">
        <f>'Sales Forecast'!S10</f>
        <v>12350.759148000005</v>
      </c>
      <c r="T8" s="9">
        <f>'Sales Forecast'!T10</f>
        <v>16055.986892400007</v>
      </c>
    </row>
    <row r="9" spans="2:20" ht="15.75" customHeight="1" x14ac:dyDescent="0.25">
      <c r="B9" s="1" t="s">
        <v>34</v>
      </c>
      <c r="C9" s="9">
        <f>C8*'Product cost structure'!$C$16</f>
        <v>0</v>
      </c>
      <c r="D9" s="9">
        <f>D8*'Product cost structure'!$C$16</f>
        <v>0</v>
      </c>
      <c r="E9" s="9">
        <f>E8*'Product cost structure'!$C$16</f>
        <v>0</v>
      </c>
      <c r="F9" s="9">
        <f>F8*'Product cost structure'!$C$16</f>
        <v>0</v>
      </c>
      <c r="G9" s="9">
        <f>G8*'Product cost structure'!$C$16</f>
        <v>162</v>
      </c>
      <c r="H9" s="9">
        <f>H8*'Product cost structure'!$C$16</f>
        <v>178.20000000000002</v>
      </c>
      <c r="I9" s="9">
        <f>I8*'Product cost structure'!$C$16</f>
        <v>196.02000000000004</v>
      </c>
      <c r="J9" s="9">
        <f>J8*'Product cost structure'!$C$16</f>
        <v>215.62200000000007</v>
      </c>
      <c r="K9" s="9">
        <f>K8*'Product cost structure'!$C$16</f>
        <v>237.18420000000012</v>
      </c>
      <c r="L9" s="9">
        <f>L8*'Product cost structure'!$C$16</f>
        <v>260.90262000000013</v>
      </c>
      <c r="M9" s="9">
        <f>M8*'Product cost structure'!$C$16</f>
        <v>286.99288200000018</v>
      </c>
      <c r="N9" s="9">
        <f>N8*'Product cost structure'!$C$16</f>
        <v>315.69217020000025</v>
      </c>
      <c r="O9" s="9"/>
      <c r="P9" s="9">
        <f>SUM(C9:N9)</f>
        <v>1852.6138722000007</v>
      </c>
      <c r="Q9" s="9">
        <f>Q8*'Product cost structure'!$C$16</f>
        <v>3705.227744400001</v>
      </c>
      <c r="R9" s="9">
        <f>R8*'Product cost structure'!$C$16</f>
        <v>7410.4554888000021</v>
      </c>
      <c r="S9" s="9">
        <f>S8*'Product cost structure'!$C$16</f>
        <v>11115.683233200005</v>
      </c>
      <c r="T9" s="9">
        <f>T8*'Product cost structure'!$C$16</f>
        <v>14450.388203160008</v>
      </c>
    </row>
    <row r="18" spans="2:14" ht="15.75" customHeight="1" x14ac:dyDescent="0.35">
      <c r="B18" s="22" t="s">
        <v>39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14" x14ac:dyDescent="0.3">
      <c r="C19" s="24" t="s">
        <v>40</v>
      </c>
      <c r="D19" s="24" t="s">
        <v>41</v>
      </c>
    </row>
    <row r="20" spans="2:14" ht="12.5" x14ac:dyDescent="0.25">
      <c r="B20" s="1" t="s">
        <v>42</v>
      </c>
      <c r="C20" s="21">
        <v>2000</v>
      </c>
      <c r="D20" s="12">
        <f t="shared" ref="D20:D24" si="0">C20*12</f>
        <v>24000</v>
      </c>
    </row>
    <row r="21" spans="2:14" ht="12.5" x14ac:dyDescent="0.25">
      <c r="B21" s="1" t="s">
        <v>44</v>
      </c>
      <c r="C21" s="21">
        <v>100</v>
      </c>
      <c r="D21" s="12">
        <f t="shared" si="0"/>
        <v>1200</v>
      </c>
    </row>
    <row r="22" spans="2:14" ht="12.5" x14ac:dyDescent="0.25">
      <c r="B22" s="1" t="s">
        <v>45</v>
      </c>
      <c r="C22" s="21">
        <v>1000</v>
      </c>
      <c r="D22" s="12">
        <f t="shared" si="0"/>
        <v>12000</v>
      </c>
    </row>
    <row r="23" spans="2:14" ht="12.5" x14ac:dyDescent="0.25">
      <c r="B23" s="1" t="s">
        <v>46</v>
      </c>
      <c r="C23" s="21">
        <v>200</v>
      </c>
      <c r="D23" s="12">
        <f t="shared" si="0"/>
        <v>2400</v>
      </c>
    </row>
    <row r="24" spans="2:14" ht="12.5" x14ac:dyDescent="0.25">
      <c r="B24" s="1" t="s">
        <v>47</v>
      </c>
      <c r="C24" s="21">
        <v>200</v>
      </c>
      <c r="D24" s="12">
        <f t="shared" si="0"/>
        <v>2400</v>
      </c>
    </row>
    <row r="25" spans="2:14" ht="13" x14ac:dyDescent="0.3">
      <c r="B25" s="10" t="s">
        <v>48</v>
      </c>
      <c r="C25" s="14">
        <f t="shared" ref="C25:D25" si="1">SUM(C20:C24)</f>
        <v>3500</v>
      </c>
      <c r="D25" s="14">
        <f t="shared" si="1"/>
        <v>42000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6"/>
    <outlinePr summaryBelow="0" summaryRight="0"/>
  </sheetPr>
  <dimension ref="A2:AA26"/>
  <sheetViews>
    <sheetView showGridLines="0" workbookViewId="0"/>
  </sheetViews>
  <sheetFormatPr baseColWidth="10" defaultColWidth="14.453125" defaultRowHeight="15.75" customHeight="1" x14ac:dyDescent="0.25"/>
  <cols>
    <col min="1" max="1" width="3.453125" customWidth="1"/>
    <col min="2" max="2" width="16.54296875" customWidth="1"/>
    <col min="3" max="15" width="9.54296875" customWidth="1"/>
    <col min="16" max="16" width="24.7265625" customWidth="1"/>
    <col min="17" max="21" width="9.54296875" customWidth="1"/>
  </cols>
  <sheetData>
    <row r="2" spans="1:27" ht="15.75" customHeight="1" x14ac:dyDescent="0.4">
      <c r="B2" s="3" t="s">
        <v>35</v>
      </c>
      <c r="P2" s="3" t="s">
        <v>35</v>
      </c>
      <c r="Q2" s="2" t="s">
        <v>7</v>
      </c>
    </row>
    <row r="3" spans="1:27" x14ac:dyDescent="0.3">
      <c r="B3" s="2" t="s">
        <v>6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P3" s="2" t="s">
        <v>6</v>
      </c>
      <c r="Q3" s="5">
        <v>1</v>
      </c>
      <c r="R3" s="5">
        <v>2</v>
      </c>
      <c r="S3" s="5">
        <v>3</v>
      </c>
      <c r="T3" s="5">
        <v>4</v>
      </c>
      <c r="U3" s="5">
        <v>5</v>
      </c>
    </row>
    <row r="5" spans="1:27" x14ac:dyDescent="0.3">
      <c r="B5" s="2" t="s">
        <v>36</v>
      </c>
      <c r="O5" s="23"/>
      <c r="P5" s="2" t="s">
        <v>36</v>
      </c>
    </row>
    <row r="6" spans="1:27" ht="15.75" customHeight="1" x14ac:dyDescent="0.25">
      <c r="B6" s="1" t="s">
        <v>37</v>
      </c>
      <c r="C6" s="9">
        <f>'Sales Forecast'!B11</f>
        <v>0</v>
      </c>
      <c r="D6" s="9">
        <f>'Sales Forecast'!C11</f>
        <v>0</v>
      </c>
      <c r="E6" s="9">
        <f>'Sales Forecast'!D11</f>
        <v>0</v>
      </c>
      <c r="F6" s="9">
        <f>'Sales Forecast'!E11</f>
        <v>0</v>
      </c>
      <c r="G6" s="9">
        <f>'Sales Forecast'!F11</f>
        <v>6480</v>
      </c>
      <c r="H6" s="9">
        <f>'Sales Forecast'!G11</f>
        <v>7128.0000000000018</v>
      </c>
      <c r="I6" s="9">
        <f>'Sales Forecast'!H11</f>
        <v>7840.8000000000011</v>
      </c>
      <c r="J6" s="9">
        <f>'Sales Forecast'!I11</f>
        <v>8624.8800000000028</v>
      </c>
      <c r="K6" s="9">
        <f>'Sales Forecast'!J11</f>
        <v>9487.3680000000058</v>
      </c>
      <c r="L6" s="9">
        <f>'Sales Forecast'!K11</f>
        <v>10436.104800000005</v>
      </c>
      <c r="M6" s="9">
        <f>'Sales Forecast'!L11</f>
        <v>11479.715280000006</v>
      </c>
      <c r="N6" s="9">
        <f>'Sales Forecast'!M11</f>
        <v>12627.686808000009</v>
      </c>
      <c r="O6" s="9"/>
      <c r="P6" s="1" t="s">
        <v>37</v>
      </c>
      <c r="Q6" s="9">
        <f>'Sales Forecast'!P11</f>
        <v>74104.554888000013</v>
      </c>
      <c r="R6" s="9">
        <f>'Sales Forecast'!Q11</f>
        <v>148209.10977600003</v>
      </c>
      <c r="S6" s="9">
        <f>'Sales Forecast'!R11</f>
        <v>296418.21955200005</v>
      </c>
      <c r="T6" s="9">
        <f>'Sales Forecast'!S11</f>
        <v>444627.32932800014</v>
      </c>
      <c r="U6" s="9">
        <f>'Sales Forecast'!T11</f>
        <v>578015.52812640031</v>
      </c>
    </row>
    <row r="7" spans="1:27" ht="15.75" customHeight="1" x14ac:dyDescent="0.25">
      <c r="B7" s="1" t="s">
        <v>38</v>
      </c>
      <c r="C7" s="8">
        <v>38000</v>
      </c>
      <c r="D7" s="8">
        <v>31000</v>
      </c>
      <c r="E7" s="8">
        <v>30300</v>
      </c>
      <c r="F7" s="8">
        <v>31000</v>
      </c>
      <c r="G7" s="8">
        <v>24000</v>
      </c>
      <c r="H7" s="8">
        <v>24000</v>
      </c>
      <c r="I7" s="8">
        <v>22800</v>
      </c>
      <c r="J7" s="8">
        <v>22200</v>
      </c>
      <c r="K7" s="8">
        <v>22000</v>
      </c>
      <c r="L7" s="8">
        <v>20000</v>
      </c>
      <c r="M7" s="8">
        <v>20000</v>
      </c>
      <c r="N7" s="8">
        <v>18000</v>
      </c>
      <c r="O7" s="9"/>
      <c r="P7" s="1" t="s">
        <v>38</v>
      </c>
      <c r="Q7" s="9">
        <f>SUM(C7:N7)</f>
        <v>303300</v>
      </c>
      <c r="R7" s="8">
        <v>45000</v>
      </c>
      <c r="S7" s="9"/>
      <c r="T7" s="9"/>
      <c r="U7" s="9"/>
    </row>
    <row r="8" spans="1:27" ht="15.75" customHeight="1" x14ac:dyDescent="0.25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Q8" s="9"/>
      <c r="R8" s="9"/>
      <c r="S8" s="9"/>
      <c r="T8" s="9"/>
      <c r="U8" s="9"/>
    </row>
    <row r="9" spans="1:27" ht="15.75" customHeight="1" x14ac:dyDescent="0.35">
      <c r="A9" s="25"/>
      <c r="B9" s="26" t="s">
        <v>43</v>
      </c>
      <c r="C9" s="27">
        <f t="shared" ref="C9:N9" si="0">SUM(C6:C8)</f>
        <v>38000</v>
      </c>
      <c r="D9" s="27">
        <f t="shared" si="0"/>
        <v>31000</v>
      </c>
      <c r="E9" s="27">
        <f t="shared" si="0"/>
        <v>30300</v>
      </c>
      <c r="F9" s="27">
        <f t="shared" si="0"/>
        <v>31000</v>
      </c>
      <c r="G9" s="27">
        <f t="shared" si="0"/>
        <v>30480</v>
      </c>
      <c r="H9" s="27">
        <f t="shared" si="0"/>
        <v>31128</v>
      </c>
      <c r="I9" s="27">
        <f t="shared" si="0"/>
        <v>30640.800000000003</v>
      </c>
      <c r="J9" s="27">
        <f t="shared" si="0"/>
        <v>30824.880000000005</v>
      </c>
      <c r="K9" s="27">
        <f t="shared" si="0"/>
        <v>31487.368000000006</v>
      </c>
      <c r="L9" s="27">
        <f t="shared" si="0"/>
        <v>30436.104800000005</v>
      </c>
      <c r="M9" s="27">
        <f t="shared" si="0"/>
        <v>31479.715280000004</v>
      </c>
      <c r="N9" s="27">
        <f t="shared" si="0"/>
        <v>30627.686808000009</v>
      </c>
      <c r="O9" s="28"/>
      <c r="P9" s="26" t="s">
        <v>43</v>
      </c>
      <c r="Q9" s="27">
        <f t="shared" ref="Q9:U9" si="1">SUM(Q6:Q8)</f>
        <v>377404.55488800001</v>
      </c>
      <c r="R9" s="27">
        <f t="shared" si="1"/>
        <v>193209.10977600003</v>
      </c>
      <c r="S9" s="27">
        <f t="shared" si="1"/>
        <v>296418.21955200005</v>
      </c>
      <c r="T9" s="27">
        <f t="shared" si="1"/>
        <v>444627.32932800014</v>
      </c>
      <c r="U9" s="27">
        <f t="shared" si="1"/>
        <v>578015.52812640031</v>
      </c>
      <c r="V9" s="25"/>
      <c r="W9" s="25"/>
      <c r="X9" s="25"/>
      <c r="Y9" s="25"/>
      <c r="Z9" s="25"/>
      <c r="AA9" s="25"/>
    </row>
    <row r="10" spans="1:27" ht="15.75" customHeight="1" x14ac:dyDescent="0.25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Q10" s="9"/>
      <c r="R10" s="9"/>
      <c r="S10" s="9"/>
      <c r="T10" s="9"/>
      <c r="U10" s="9"/>
    </row>
    <row r="11" spans="1:27" ht="15.75" customHeight="1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Q11" s="9"/>
      <c r="R11" s="9"/>
      <c r="S11" s="9"/>
      <c r="T11" s="9"/>
      <c r="U11" s="9"/>
    </row>
    <row r="12" spans="1:27" x14ac:dyDescent="0.3">
      <c r="B12" s="2" t="s">
        <v>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2" t="s">
        <v>49</v>
      </c>
      <c r="Q12" s="9"/>
      <c r="R12" s="9"/>
      <c r="S12" s="9"/>
      <c r="T12" s="9"/>
      <c r="U12" s="9"/>
    </row>
    <row r="13" spans="1:27" ht="15.75" customHeight="1" x14ac:dyDescent="0.25">
      <c r="B13" s="1" t="s">
        <v>50</v>
      </c>
      <c r="C13" s="9">
        <f>Payroll!C11</f>
        <v>27166.666666666668</v>
      </c>
      <c r="D13" s="9">
        <f>Payroll!D11</f>
        <v>27166.666666666668</v>
      </c>
      <c r="E13" s="9">
        <f>Payroll!E11</f>
        <v>27166.666666666668</v>
      </c>
      <c r="F13" s="9">
        <f>Payroll!F11</f>
        <v>27166.666666666668</v>
      </c>
      <c r="G13" s="9">
        <f>Payroll!G11</f>
        <v>27166.666666666668</v>
      </c>
      <c r="H13" s="9">
        <f>Payroll!H11</f>
        <v>27166.666666666668</v>
      </c>
      <c r="I13" s="9">
        <f>Payroll!I11</f>
        <v>27166.666666666668</v>
      </c>
      <c r="J13" s="9">
        <f>Payroll!J11</f>
        <v>27166.666666666668</v>
      </c>
      <c r="K13" s="9">
        <f>Payroll!K11</f>
        <v>27166.666666666668</v>
      </c>
      <c r="L13" s="9">
        <f>Payroll!L11</f>
        <v>27166.666666666668</v>
      </c>
      <c r="M13" s="9">
        <f>Payroll!M11</f>
        <v>27166.666666666668</v>
      </c>
      <c r="N13" s="9">
        <f>Payroll!N11</f>
        <v>27166.666666666668</v>
      </c>
      <c r="O13" s="9"/>
      <c r="P13" s="1" t="s">
        <v>50</v>
      </c>
      <c r="Q13" s="9">
        <f>SUM(C13:N13)</f>
        <v>326000</v>
      </c>
      <c r="R13" s="9">
        <f>Payroll!S11</f>
        <v>146000</v>
      </c>
      <c r="S13" s="9">
        <f>Payroll!T11</f>
        <v>146000</v>
      </c>
      <c r="T13" s="9">
        <f>Payroll!U11</f>
        <v>146000</v>
      </c>
      <c r="U13" s="9">
        <f>Payroll!V11</f>
        <v>146000</v>
      </c>
    </row>
    <row r="14" spans="1:27" ht="15.75" customHeight="1" x14ac:dyDescent="0.25">
      <c r="B14" s="1" t="s">
        <v>16</v>
      </c>
      <c r="C14" s="9">
        <f>Equipment!E8</f>
        <v>7250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" t="s">
        <v>16</v>
      </c>
      <c r="Q14" s="9">
        <f>C14</f>
        <v>7250</v>
      </c>
      <c r="R14" s="9"/>
      <c r="S14" s="9"/>
      <c r="T14" s="9"/>
      <c r="U14" s="9"/>
    </row>
    <row r="15" spans="1:27" ht="15.75" customHeight="1" x14ac:dyDescent="0.25">
      <c r="B15" s="1" t="s">
        <v>53</v>
      </c>
      <c r="C15" s="9">
        <f>'Fixed and Variable Costs'!$C$20</f>
        <v>2000</v>
      </c>
      <c r="D15" s="9">
        <f>'Fixed and Variable Costs'!$C$20</f>
        <v>2000</v>
      </c>
      <c r="E15" s="9">
        <f>'Fixed and Variable Costs'!$C$20</f>
        <v>2000</v>
      </c>
      <c r="F15" s="9">
        <f>'Fixed and Variable Costs'!$C$20</f>
        <v>2000</v>
      </c>
      <c r="G15" s="9">
        <f>'Fixed and Variable Costs'!$C$20</f>
        <v>2000</v>
      </c>
      <c r="H15" s="9">
        <f>'Fixed and Variable Costs'!$C$20</f>
        <v>2000</v>
      </c>
      <c r="I15" s="9">
        <f>'Fixed and Variable Costs'!$C$20</f>
        <v>2000</v>
      </c>
      <c r="J15" s="9">
        <f>'Fixed and Variable Costs'!$C$20</f>
        <v>2000</v>
      </c>
      <c r="K15" s="9">
        <f>'Fixed and Variable Costs'!$C$20</f>
        <v>2000</v>
      </c>
      <c r="L15" s="9">
        <f>'Fixed and Variable Costs'!$C$20</f>
        <v>2000</v>
      </c>
      <c r="M15" s="9">
        <f>'Fixed and Variable Costs'!$C$20</f>
        <v>2000</v>
      </c>
      <c r="N15" s="9">
        <f>'Fixed and Variable Costs'!$C$20</f>
        <v>2000</v>
      </c>
      <c r="O15" s="9"/>
      <c r="P15" s="1" t="s">
        <v>53</v>
      </c>
      <c r="Q15" s="9">
        <f t="shared" ref="Q15:Q18" si="2">SUM(C15:N15)</f>
        <v>24000</v>
      </c>
      <c r="R15" s="9">
        <f t="shared" ref="R15:U15" si="3">Q15</f>
        <v>24000</v>
      </c>
      <c r="S15" s="9">
        <f t="shared" si="3"/>
        <v>24000</v>
      </c>
      <c r="T15" s="9">
        <f t="shared" si="3"/>
        <v>24000</v>
      </c>
      <c r="U15" s="9">
        <f t="shared" si="3"/>
        <v>24000</v>
      </c>
    </row>
    <row r="16" spans="1:27" ht="15.75" customHeight="1" x14ac:dyDescent="0.25">
      <c r="B16" s="1" t="s">
        <v>55</v>
      </c>
      <c r="C16" s="9">
        <f>'Fixed and Variable Costs'!$C$22</f>
        <v>1000</v>
      </c>
      <c r="D16" s="9">
        <f>'Fixed and Variable Costs'!$C$22</f>
        <v>1000</v>
      </c>
      <c r="E16" s="9">
        <f>'Fixed and Variable Costs'!$C$22</f>
        <v>1000</v>
      </c>
      <c r="F16" s="9">
        <f>'Fixed and Variable Costs'!$C$22</f>
        <v>1000</v>
      </c>
      <c r="G16" s="9">
        <f>'Fixed and Variable Costs'!$C$22</f>
        <v>1000</v>
      </c>
      <c r="H16" s="9">
        <f>'Fixed and Variable Costs'!$C$22</f>
        <v>1000</v>
      </c>
      <c r="I16" s="9">
        <f>'Fixed and Variable Costs'!$C$22</f>
        <v>1000</v>
      </c>
      <c r="J16" s="9">
        <f>'Fixed and Variable Costs'!$C$22</f>
        <v>1000</v>
      </c>
      <c r="K16" s="9">
        <f>'Fixed and Variable Costs'!$C$22</f>
        <v>1000</v>
      </c>
      <c r="L16" s="9">
        <f>'Fixed and Variable Costs'!$C$22</f>
        <v>1000</v>
      </c>
      <c r="M16" s="9">
        <f>'Fixed and Variable Costs'!$C$22</f>
        <v>1000</v>
      </c>
      <c r="N16" s="9">
        <f>'Fixed and Variable Costs'!$C$22</f>
        <v>1000</v>
      </c>
      <c r="O16" s="9"/>
      <c r="P16" s="1" t="s">
        <v>55</v>
      </c>
      <c r="Q16" s="9">
        <f t="shared" si="2"/>
        <v>12000</v>
      </c>
      <c r="R16" s="9">
        <f t="shared" ref="R16:U16" si="4">Q16</f>
        <v>12000</v>
      </c>
      <c r="S16" s="9">
        <f t="shared" si="4"/>
        <v>12000</v>
      </c>
      <c r="T16" s="9">
        <f t="shared" si="4"/>
        <v>12000</v>
      </c>
      <c r="U16" s="9">
        <f t="shared" si="4"/>
        <v>12000</v>
      </c>
    </row>
    <row r="17" spans="1:27" ht="15.75" customHeight="1" x14ac:dyDescent="0.25">
      <c r="B17" s="1" t="s">
        <v>57</v>
      </c>
      <c r="C17" s="9">
        <f>'Fixed and Variable Costs'!$C$21</f>
        <v>100</v>
      </c>
      <c r="D17" s="9">
        <f>'Fixed and Variable Costs'!$C$21</f>
        <v>100</v>
      </c>
      <c r="E17" s="9">
        <f>'Fixed and Variable Costs'!$C$21</f>
        <v>100</v>
      </c>
      <c r="F17" s="9">
        <f>'Fixed and Variable Costs'!$C$21</f>
        <v>100</v>
      </c>
      <c r="G17" s="9">
        <f>'Fixed and Variable Costs'!$C$21</f>
        <v>100</v>
      </c>
      <c r="H17" s="9">
        <f>'Fixed and Variable Costs'!$C$21</f>
        <v>100</v>
      </c>
      <c r="I17" s="9">
        <f>'Fixed and Variable Costs'!$C$21</f>
        <v>100</v>
      </c>
      <c r="J17" s="9">
        <f>'Fixed and Variable Costs'!$C$21</f>
        <v>100</v>
      </c>
      <c r="K17" s="9">
        <f>'Fixed and Variable Costs'!$C$21</f>
        <v>100</v>
      </c>
      <c r="L17" s="9">
        <f>'Fixed and Variable Costs'!$C$21</f>
        <v>100</v>
      </c>
      <c r="M17" s="9">
        <f>'Fixed and Variable Costs'!$C$21</f>
        <v>100</v>
      </c>
      <c r="N17" s="9">
        <f>'Fixed and Variable Costs'!$C$21</f>
        <v>100</v>
      </c>
      <c r="O17" s="9"/>
      <c r="P17" s="1" t="s">
        <v>57</v>
      </c>
      <c r="Q17" s="9">
        <f t="shared" si="2"/>
        <v>1200</v>
      </c>
      <c r="R17" s="9">
        <f t="shared" ref="R17:U17" si="5">Q17</f>
        <v>1200</v>
      </c>
      <c r="S17" s="9">
        <f t="shared" si="5"/>
        <v>1200</v>
      </c>
      <c r="T17" s="9">
        <f t="shared" si="5"/>
        <v>1200</v>
      </c>
      <c r="U17" s="9">
        <f t="shared" si="5"/>
        <v>1200</v>
      </c>
    </row>
    <row r="18" spans="1:27" ht="15.75" customHeight="1" x14ac:dyDescent="0.25">
      <c r="B18" s="1" t="s">
        <v>59</v>
      </c>
      <c r="C18" s="9">
        <f>'Fixed and Variable Costs'!C9</f>
        <v>0</v>
      </c>
      <c r="D18" s="9">
        <f>'Fixed and Variable Costs'!D9</f>
        <v>0</v>
      </c>
      <c r="E18" s="9">
        <f>'Fixed and Variable Costs'!E9</f>
        <v>0</v>
      </c>
      <c r="F18" s="9">
        <f>'Fixed and Variable Costs'!F9</f>
        <v>0</v>
      </c>
      <c r="G18" s="9">
        <f>'Fixed and Variable Costs'!G9</f>
        <v>162</v>
      </c>
      <c r="H18" s="9">
        <f>'Fixed and Variable Costs'!H9</f>
        <v>178.20000000000002</v>
      </c>
      <c r="I18" s="9">
        <f>'Fixed and Variable Costs'!I9</f>
        <v>196.02000000000004</v>
      </c>
      <c r="J18" s="9">
        <f>'Fixed and Variable Costs'!J9</f>
        <v>215.62200000000007</v>
      </c>
      <c r="K18" s="9">
        <f>'Fixed and Variable Costs'!K9</f>
        <v>237.18420000000012</v>
      </c>
      <c r="L18" s="9">
        <f>'Fixed and Variable Costs'!L9</f>
        <v>260.90262000000013</v>
      </c>
      <c r="M18" s="9">
        <f>'Fixed and Variable Costs'!M9</f>
        <v>286.99288200000018</v>
      </c>
      <c r="N18" s="9">
        <f>'Fixed and Variable Costs'!N9</f>
        <v>315.69217020000025</v>
      </c>
      <c r="O18" s="9"/>
      <c r="P18" s="1" t="s">
        <v>59</v>
      </c>
      <c r="Q18" s="9">
        <f t="shared" si="2"/>
        <v>1852.6138722000007</v>
      </c>
      <c r="R18" s="9">
        <f>'Fixed and Variable Costs'!Q9</f>
        <v>3705.227744400001</v>
      </c>
      <c r="S18" s="9">
        <f>'Fixed and Variable Costs'!R9</f>
        <v>7410.4554888000021</v>
      </c>
      <c r="T18" s="9">
        <f>'Fixed and Variable Costs'!S9</f>
        <v>11115.683233200005</v>
      </c>
      <c r="U18" s="9">
        <f>'Fixed and Variable Costs'!T9</f>
        <v>14450.388203160008</v>
      </c>
    </row>
    <row r="19" spans="1:27" ht="15.75" customHeight="1" x14ac:dyDescent="0.25">
      <c r="B19" s="1" t="s">
        <v>60</v>
      </c>
      <c r="C19" s="9">
        <f>SUM('Fixed and Variable Costs'!$C$23:$C$24)</f>
        <v>400</v>
      </c>
      <c r="D19" s="9">
        <f>SUM('Fixed and Variable Costs'!$C$23:$C$24)</f>
        <v>400</v>
      </c>
      <c r="E19" s="9">
        <f>SUM('Fixed and Variable Costs'!$C$23:$C$24)</f>
        <v>400</v>
      </c>
      <c r="F19" s="9">
        <f>SUM('Fixed and Variable Costs'!$C$23:$C$24)</f>
        <v>400</v>
      </c>
      <c r="G19" s="9">
        <f>SUM('Fixed and Variable Costs'!$C$23:$C$24)</f>
        <v>400</v>
      </c>
      <c r="H19" s="9">
        <f>SUM('Fixed and Variable Costs'!$C$23:$C$24)</f>
        <v>400</v>
      </c>
      <c r="I19" s="9">
        <f>SUM('Fixed and Variable Costs'!$C$23:$C$24)</f>
        <v>400</v>
      </c>
      <c r="J19" s="9">
        <f>SUM('Fixed and Variable Costs'!$C$23:$C$24)</f>
        <v>400</v>
      </c>
      <c r="K19" s="9">
        <f>SUM('Fixed and Variable Costs'!$C$23:$C$24)</f>
        <v>400</v>
      </c>
      <c r="L19" s="9">
        <f>SUM('Fixed and Variable Costs'!$C$23:$C$24)</f>
        <v>400</v>
      </c>
      <c r="M19" s="9">
        <f>SUM('Fixed and Variable Costs'!$C$23:$C$24)</f>
        <v>400</v>
      </c>
      <c r="N19" s="9">
        <f>SUM('Fixed and Variable Costs'!$C$23:$C$24)</f>
        <v>400</v>
      </c>
      <c r="O19" s="9"/>
      <c r="P19" s="1" t="s">
        <v>60</v>
      </c>
      <c r="Q19" s="9">
        <f>SUM('Fixed and Variable Costs'!$D$23:$D$24)</f>
        <v>4800</v>
      </c>
      <c r="R19" s="9">
        <f>SUM('Fixed and Variable Costs'!$D$23:$D$24)</f>
        <v>4800</v>
      </c>
      <c r="S19" s="9">
        <f>SUM('Fixed and Variable Costs'!$D$23:$D$24)</f>
        <v>4800</v>
      </c>
      <c r="T19" s="9">
        <f>SUM('Fixed and Variable Costs'!$D$23:$D$24)</f>
        <v>4800</v>
      </c>
      <c r="U19" s="9">
        <f>SUM('Fixed and Variable Costs'!$D$23:$D$24)</f>
        <v>4800</v>
      </c>
    </row>
    <row r="20" spans="1:27" ht="12.5" x14ac:dyDescent="0.25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Q20" s="9"/>
      <c r="R20" s="9"/>
      <c r="S20" s="9"/>
      <c r="T20" s="9"/>
      <c r="U20" s="9"/>
    </row>
    <row r="21" spans="1:27" ht="12.5" x14ac:dyDescent="0.25">
      <c r="B21" s="1" t="s">
        <v>61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" t="s">
        <v>61</v>
      </c>
      <c r="Q21" s="9"/>
      <c r="R21" s="9"/>
      <c r="S21" s="9">
        <f>'Income statement'!S24</f>
        <v>30086.079218960007</v>
      </c>
      <c r="T21" s="9">
        <f>'Income statement'!T24</f>
        <v>73437.243828440041</v>
      </c>
      <c r="U21" s="9">
        <f>'Income statement'!U24</f>
        <v>112453.29197697208</v>
      </c>
    </row>
    <row r="22" spans="1:27" ht="15.5" x14ac:dyDescent="0.35">
      <c r="A22" s="25"/>
      <c r="B22" s="26" t="s">
        <v>62</v>
      </c>
      <c r="C22" s="27">
        <f t="shared" ref="C22:N22" si="6">SUM(C13:C21)</f>
        <v>37916.666666666672</v>
      </c>
      <c r="D22" s="27">
        <f t="shared" si="6"/>
        <v>30666.666666666668</v>
      </c>
      <c r="E22" s="27">
        <f t="shared" si="6"/>
        <v>30666.666666666668</v>
      </c>
      <c r="F22" s="27">
        <f t="shared" si="6"/>
        <v>30666.666666666668</v>
      </c>
      <c r="G22" s="27">
        <f t="shared" si="6"/>
        <v>30828.666666666668</v>
      </c>
      <c r="H22" s="27">
        <f t="shared" si="6"/>
        <v>30844.866666666669</v>
      </c>
      <c r="I22" s="27">
        <f t="shared" si="6"/>
        <v>30862.686666666668</v>
      </c>
      <c r="J22" s="27">
        <f t="shared" si="6"/>
        <v>30882.288666666667</v>
      </c>
      <c r="K22" s="27">
        <f t="shared" si="6"/>
        <v>30903.850866666668</v>
      </c>
      <c r="L22" s="27">
        <f t="shared" si="6"/>
        <v>30927.569286666669</v>
      </c>
      <c r="M22" s="27">
        <f t="shared" si="6"/>
        <v>30953.659548666667</v>
      </c>
      <c r="N22" s="27">
        <f t="shared" si="6"/>
        <v>30982.358836866668</v>
      </c>
      <c r="O22" s="28"/>
      <c r="P22" s="26" t="s">
        <v>62</v>
      </c>
      <c r="Q22" s="27">
        <f t="shared" ref="Q22:U22" si="7">SUM(Q13:Q21)</f>
        <v>377102.61387220002</v>
      </c>
      <c r="R22" s="27">
        <f t="shared" si="7"/>
        <v>191705.22774440001</v>
      </c>
      <c r="S22" s="27">
        <f t="shared" si="7"/>
        <v>225496.53470776003</v>
      </c>
      <c r="T22" s="27">
        <f t="shared" si="7"/>
        <v>272552.92706164002</v>
      </c>
      <c r="U22" s="27">
        <f t="shared" si="7"/>
        <v>314903.6801801321</v>
      </c>
      <c r="V22" s="25"/>
      <c r="W22" s="25"/>
      <c r="X22" s="25"/>
      <c r="Y22" s="25"/>
      <c r="Z22" s="25"/>
      <c r="AA22" s="25"/>
    </row>
    <row r="23" spans="1:27" ht="12.5" x14ac:dyDescent="0.25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Q23" s="9"/>
      <c r="R23" s="9"/>
      <c r="S23" s="9"/>
      <c r="T23" s="9"/>
      <c r="U23" s="9"/>
    </row>
    <row r="24" spans="1:27" ht="12.5" x14ac:dyDescent="0.25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Q24" s="9"/>
      <c r="R24" s="9"/>
      <c r="S24" s="9"/>
      <c r="T24" s="9"/>
      <c r="U24" s="9"/>
    </row>
    <row r="25" spans="1:27" ht="13" x14ac:dyDescent="0.3">
      <c r="B25" s="2" t="s">
        <v>63</v>
      </c>
      <c r="C25" s="8">
        <v>0</v>
      </c>
      <c r="D25" s="9">
        <f t="shared" ref="D25:N25" si="8">C26</f>
        <v>83.333333333328483</v>
      </c>
      <c r="E25" s="9">
        <f t="shared" si="8"/>
        <v>416.6666666666606</v>
      </c>
      <c r="F25" s="9">
        <f t="shared" si="8"/>
        <v>49.999999999992724</v>
      </c>
      <c r="G25" s="9">
        <f t="shared" si="8"/>
        <v>383.33333333332484</v>
      </c>
      <c r="H25" s="9">
        <f t="shared" si="8"/>
        <v>34.666666666656965</v>
      </c>
      <c r="I25" s="9">
        <f t="shared" si="8"/>
        <v>317.79999999998836</v>
      </c>
      <c r="J25" s="9">
        <f t="shared" si="8"/>
        <v>95.913333333322953</v>
      </c>
      <c r="K25" s="9">
        <f t="shared" si="8"/>
        <v>38.504666666660341</v>
      </c>
      <c r="L25" s="9">
        <f t="shared" si="8"/>
        <v>622.02179999999862</v>
      </c>
      <c r="M25" s="9">
        <f t="shared" si="8"/>
        <v>130.5573133333346</v>
      </c>
      <c r="N25" s="9">
        <f t="shared" si="8"/>
        <v>656.61304466667207</v>
      </c>
      <c r="O25" s="9"/>
      <c r="P25" s="2" t="s">
        <v>63</v>
      </c>
      <c r="Q25" s="9">
        <f>C25</f>
        <v>0</v>
      </c>
      <c r="R25" s="9">
        <f t="shared" ref="R25:U25" si="9">Q26</f>
        <v>301.94101579999551</v>
      </c>
      <c r="S25" s="9">
        <f t="shared" si="9"/>
        <v>1805.8230474000156</v>
      </c>
      <c r="T25" s="9">
        <f t="shared" si="9"/>
        <v>72727.507891640038</v>
      </c>
      <c r="U25" s="9">
        <f t="shared" si="9"/>
        <v>244801.91015800016</v>
      </c>
    </row>
    <row r="26" spans="1:27" ht="15.5" x14ac:dyDescent="0.35">
      <c r="A26" s="25"/>
      <c r="B26" s="31" t="s">
        <v>64</v>
      </c>
      <c r="C26" s="32">
        <f>C9-C22</f>
        <v>83.333333333328483</v>
      </c>
      <c r="D26" s="32">
        <f t="shared" ref="D26:N26" si="10">D9-D22+D25</f>
        <v>416.6666666666606</v>
      </c>
      <c r="E26" s="32">
        <f t="shared" si="10"/>
        <v>49.999999999992724</v>
      </c>
      <c r="F26" s="32">
        <f t="shared" si="10"/>
        <v>383.33333333332484</v>
      </c>
      <c r="G26" s="32">
        <f t="shared" si="10"/>
        <v>34.666666666656965</v>
      </c>
      <c r="H26" s="32">
        <f t="shared" si="10"/>
        <v>317.79999999998836</v>
      </c>
      <c r="I26" s="32">
        <f t="shared" si="10"/>
        <v>95.913333333322953</v>
      </c>
      <c r="J26" s="32">
        <f t="shared" si="10"/>
        <v>38.504666666660341</v>
      </c>
      <c r="K26" s="32">
        <f t="shared" si="10"/>
        <v>622.02179999999862</v>
      </c>
      <c r="L26" s="32">
        <f t="shared" si="10"/>
        <v>130.5573133333346</v>
      </c>
      <c r="M26" s="32">
        <f t="shared" si="10"/>
        <v>656.61304466667207</v>
      </c>
      <c r="N26" s="33">
        <f t="shared" si="10"/>
        <v>301.9410158000137</v>
      </c>
      <c r="O26" s="28"/>
      <c r="P26" s="31" t="s">
        <v>64</v>
      </c>
      <c r="Q26" s="34">
        <f>Q9-Q22</f>
        <v>301.94101579999551</v>
      </c>
      <c r="R26" s="32">
        <f t="shared" ref="R26:U26" si="11">R9-R22+R25</f>
        <v>1805.8230474000156</v>
      </c>
      <c r="S26" s="32">
        <f t="shared" si="11"/>
        <v>72727.507891640038</v>
      </c>
      <c r="T26" s="32">
        <f t="shared" si="11"/>
        <v>244801.91015800016</v>
      </c>
      <c r="U26" s="33">
        <f t="shared" si="11"/>
        <v>507913.75810426835</v>
      </c>
      <c r="V26" s="25"/>
      <c r="W26" s="25"/>
      <c r="X26" s="25"/>
      <c r="Y26" s="25"/>
      <c r="Z26" s="25"/>
      <c r="AA26" s="2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6"/>
    <outlinePr summaryBelow="0" summaryRight="0"/>
  </sheetPr>
  <dimension ref="A1:AA28"/>
  <sheetViews>
    <sheetView showGridLines="0" workbookViewId="0"/>
  </sheetViews>
  <sheetFormatPr baseColWidth="10" defaultColWidth="14.453125" defaultRowHeight="15.75" customHeight="1" x14ac:dyDescent="0.25"/>
  <cols>
    <col min="1" max="1" width="4.81640625" customWidth="1"/>
    <col min="2" max="2" width="24.26953125" customWidth="1"/>
    <col min="3" max="14" width="9.453125" customWidth="1"/>
    <col min="15" max="15" width="11.453125" customWidth="1"/>
    <col min="16" max="16" width="25" customWidth="1"/>
    <col min="17" max="17" width="10.7265625" customWidth="1"/>
    <col min="18" max="18" width="9.453125" customWidth="1"/>
    <col min="19" max="21" width="9.08984375" customWidth="1"/>
  </cols>
  <sheetData>
    <row r="1" spans="1:27" ht="15.75" customHeight="1" x14ac:dyDescent="0.5">
      <c r="B1" s="29" t="s">
        <v>51</v>
      </c>
      <c r="P1" s="46" t="s">
        <v>51</v>
      </c>
      <c r="Q1" s="44"/>
      <c r="R1" s="44"/>
    </row>
    <row r="2" spans="1:27" x14ac:dyDescent="0.3">
      <c r="Q2" s="2" t="s">
        <v>7</v>
      </c>
    </row>
    <row r="3" spans="1:27" x14ac:dyDescent="0.3">
      <c r="B3" s="2" t="s">
        <v>6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P3" s="2" t="s">
        <v>6</v>
      </c>
      <c r="Q3" s="5">
        <v>1</v>
      </c>
      <c r="R3" s="5">
        <v>2</v>
      </c>
      <c r="S3" s="5">
        <v>3</v>
      </c>
      <c r="T3" s="5">
        <v>4</v>
      </c>
      <c r="U3" s="5">
        <v>5</v>
      </c>
    </row>
    <row r="5" spans="1:27" ht="15.75" customHeight="1" x14ac:dyDescent="0.25">
      <c r="B5" s="1" t="s">
        <v>52</v>
      </c>
      <c r="C5" s="9">
        <f>'Sales Forecast'!B11</f>
        <v>0</v>
      </c>
      <c r="D5" s="9">
        <f>'Sales Forecast'!C11</f>
        <v>0</v>
      </c>
      <c r="E5" s="9">
        <f>'Sales Forecast'!D11</f>
        <v>0</v>
      </c>
      <c r="F5" s="9">
        <f>'Sales Forecast'!E11</f>
        <v>0</v>
      </c>
      <c r="G5" s="9">
        <f>'Sales Forecast'!F11</f>
        <v>6480</v>
      </c>
      <c r="H5" s="9">
        <f>'Sales Forecast'!G11</f>
        <v>7128.0000000000018</v>
      </c>
      <c r="I5" s="9">
        <f>'Sales Forecast'!H11</f>
        <v>7840.8000000000011</v>
      </c>
      <c r="J5" s="9">
        <f>'Sales Forecast'!I11</f>
        <v>8624.8800000000028</v>
      </c>
      <c r="K5" s="9">
        <f>'Sales Forecast'!J11</f>
        <v>9487.3680000000058</v>
      </c>
      <c r="L5" s="9">
        <f>'Sales Forecast'!K11</f>
        <v>10436.104800000005</v>
      </c>
      <c r="M5" s="9">
        <f>'Sales Forecast'!L11</f>
        <v>11479.715280000006</v>
      </c>
      <c r="N5" s="9">
        <f>'Sales Forecast'!M11</f>
        <v>12627.686808000009</v>
      </c>
      <c r="O5" s="9"/>
      <c r="P5" s="1" t="s">
        <v>52</v>
      </c>
      <c r="Q5" s="9">
        <f>'Sales Forecast'!P11</f>
        <v>74104.554888000013</v>
      </c>
      <c r="R5" s="9">
        <f>'Sales Forecast'!Q11</f>
        <v>148209.10977600003</v>
      </c>
      <c r="S5" s="9">
        <f>'Sales Forecast'!R11</f>
        <v>296418.21955200005</v>
      </c>
      <c r="T5" s="9">
        <f>'Sales Forecast'!S11</f>
        <v>444627.32932800014</v>
      </c>
      <c r="U5" s="9">
        <f>'Sales Forecast'!T11</f>
        <v>578015.52812640031</v>
      </c>
    </row>
    <row r="6" spans="1:27" ht="15.75" customHeight="1" x14ac:dyDescent="0.25"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Q6" s="9"/>
      <c r="R6" s="9"/>
      <c r="S6" s="9"/>
      <c r="T6" s="9"/>
      <c r="U6" s="9"/>
    </row>
    <row r="7" spans="1:27" ht="15.75" customHeight="1" x14ac:dyDescent="0.25">
      <c r="B7" s="1" t="s">
        <v>54</v>
      </c>
      <c r="C7" s="9">
        <f>'Fixed and Variable Costs'!C9</f>
        <v>0</v>
      </c>
      <c r="D7" s="9">
        <f>'Fixed and Variable Costs'!D9</f>
        <v>0</v>
      </c>
      <c r="E7" s="9">
        <f>'Fixed and Variable Costs'!E9</f>
        <v>0</v>
      </c>
      <c r="F7" s="9">
        <f>'Fixed and Variable Costs'!F9</f>
        <v>0</v>
      </c>
      <c r="G7" s="9">
        <f>'Fixed and Variable Costs'!G9</f>
        <v>162</v>
      </c>
      <c r="H7" s="9">
        <f>'Fixed and Variable Costs'!H9</f>
        <v>178.20000000000002</v>
      </c>
      <c r="I7" s="9">
        <f>'Fixed and Variable Costs'!I9</f>
        <v>196.02000000000004</v>
      </c>
      <c r="J7" s="9">
        <f>'Fixed and Variable Costs'!J9</f>
        <v>215.62200000000007</v>
      </c>
      <c r="K7" s="9">
        <f>'Fixed and Variable Costs'!K9</f>
        <v>237.18420000000012</v>
      </c>
      <c r="L7" s="9">
        <f>'Fixed and Variable Costs'!L9</f>
        <v>260.90262000000013</v>
      </c>
      <c r="M7" s="9">
        <f>'Fixed and Variable Costs'!M9</f>
        <v>286.99288200000018</v>
      </c>
      <c r="N7" s="9">
        <f>'Fixed and Variable Costs'!N9</f>
        <v>315.69217020000025</v>
      </c>
      <c r="O7" s="9"/>
      <c r="P7" s="1" t="s">
        <v>54</v>
      </c>
      <c r="Q7" s="9">
        <f>'Fixed and Variable Costs'!P9</f>
        <v>1852.6138722000007</v>
      </c>
      <c r="R7" s="9">
        <f>'Fixed and Variable Costs'!Q9</f>
        <v>3705.227744400001</v>
      </c>
      <c r="S7" s="9">
        <f>'Fixed and Variable Costs'!R9</f>
        <v>7410.4554888000021</v>
      </c>
      <c r="T7" s="9">
        <f>'Fixed and Variable Costs'!S9</f>
        <v>11115.683233200005</v>
      </c>
      <c r="U7" s="9">
        <f>'Fixed and Variable Costs'!T9</f>
        <v>14450.388203160008</v>
      </c>
    </row>
    <row r="8" spans="1:27" ht="15.75" customHeight="1" x14ac:dyDescent="0.25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Q8" s="9"/>
      <c r="R8" s="9"/>
      <c r="S8" s="9"/>
      <c r="T8" s="9"/>
      <c r="U8" s="9"/>
    </row>
    <row r="9" spans="1:27" ht="15.75" customHeight="1" x14ac:dyDescent="0.25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Q9" s="9"/>
      <c r="R9" s="9"/>
      <c r="S9" s="9"/>
      <c r="T9" s="9"/>
      <c r="U9" s="9"/>
    </row>
    <row r="10" spans="1:27" x14ac:dyDescent="0.3">
      <c r="B10" s="2" t="s">
        <v>56</v>
      </c>
      <c r="C10" s="30">
        <f t="shared" ref="C10:N10" si="0">SUM(C7:C9)</f>
        <v>0</v>
      </c>
      <c r="D10" s="30">
        <f t="shared" si="0"/>
        <v>0</v>
      </c>
      <c r="E10" s="30">
        <f t="shared" si="0"/>
        <v>0</v>
      </c>
      <c r="F10" s="30">
        <f t="shared" si="0"/>
        <v>0</v>
      </c>
      <c r="G10" s="30">
        <f t="shared" si="0"/>
        <v>162</v>
      </c>
      <c r="H10" s="30">
        <f t="shared" si="0"/>
        <v>178.20000000000002</v>
      </c>
      <c r="I10" s="30">
        <f t="shared" si="0"/>
        <v>196.02000000000004</v>
      </c>
      <c r="J10" s="30">
        <f t="shared" si="0"/>
        <v>215.62200000000007</v>
      </c>
      <c r="K10" s="30">
        <f t="shared" si="0"/>
        <v>237.18420000000012</v>
      </c>
      <c r="L10" s="30">
        <f t="shared" si="0"/>
        <v>260.90262000000013</v>
      </c>
      <c r="M10" s="30">
        <f t="shared" si="0"/>
        <v>286.99288200000018</v>
      </c>
      <c r="N10" s="30">
        <f t="shared" si="0"/>
        <v>315.69217020000025</v>
      </c>
      <c r="O10" s="9"/>
      <c r="P10" s="2" t="s">
        <v>56</v>
      </c>
      <c r="Q10" s="9">
        <f t="shared" ref="Q10:U10" si="1">SUM(Q7:Q9)</f>
        <v>1852.6138722000007</v>
      </c>
      <c r="R10" s="9">
        <f t="shared" si="1"/>
        <v>3705.227744400001</v>
      </c>
      <c r="S10" s="9">
        <f t="shared" si="1"/>
        <v>7410.4554888000021</v>
      </c>
      <c r="T10" s="9">
        <f t="shared" si="1"/>
        <v>11115.683233200005</v>
      </c>
      <c r="U10" s="9">
        <f t="shared" si="1"/>
        <v>14450.388203160008</v>
      </c>
    </row>
    <row r="11" spans="1:27" x14ac:dyDescent="0.3">
      <c r="A11" s="17"/>
      <c r="B11" s="10" t="s">
        <v>58</v>
      </c>
      <c r="C11" s="13">
        <f t="shared" ref="C11:N11" si="2">C5-C10</f>
        <v>0</v>
      </c>
      <c r="D11" s="13">
        <f t="shared" si="2"/>
        <v>0</v>
      </c>
      <c r="E11" s="13">
        <f t="shared" si="2"/>
        <v>0</v>
      </c>
      <c r="F11" s="13">
        <f t="shared" si="2"/>
        <v>0</v>
      </c>
      <c r="G11" s="13">
        <f t="shared" si="2"/>
        <v>6318</v>
      </c>
      <c r="H11" s="13">
        <f t="shared" si="2"/>
        <v>6949.800000000002</v>
      </c>
      <c r="I11" s="13">
        <f t="shared" si="2"/>
        <v>7644.7800000000007</v>
      </c>
      <c r="J11" s="13">
        <f t="shared" si="2"/>
        <v>8409.2580000000034</v>
      </c>
      <c r="K11" s="13">
        <f t="shared" si="2"/>
        <v>9250.1838000000062</v>
      </c>
      <c r="L11" s="13">
        <f t="shared" si="2"/>
        <v>10175.202180000004</v>
      </c>
      <c r="M11" s="13">
        <f t="shared" si="2"/>
        <v>11192.722398000005</v>
      </c>
      <c r="N11" s="13">
        <f t="shared" si="2"/>
        <v>12311.99463780001</v>
      </c>
      <c r="O11" s="30"/>
      <c r="P11" s="10" t="s">
        <v>58</v>
      </c>
      <c r="Q11" s="13">
        <f t="shared" ref="Q11:U11" si="3">Q5-Q10</f>
        <v>72251.94101580001</v>
      </c>
      <c r="R11" s="13">
        <f t="shared" si="3"/>
        <v>144503.88203160002</v>
      </c>
      <c r="S11" s="13">
        <f t="shared" si="3"/>
        <v>289007.76406320004</v>
      </c>
      <c r="T11" s="13">
        <f t="shared" si="3"/>
        <v>433511.64609480015</v>
      </c>
      <c r="U11" s="13">
        <f t="shared" si="3"/>
        <v>563565.13992324029</v>
      </c>
      <c r="V11" s="17"/>
      <c r="W11" s="17"/>
      <c r="X11" s="17"/>
      <c r="Y11" s="17"/>
      <c r="Z11" s="17"/>
      <c r="AA11" s="17"/>
    </row>
    <row r="12" spans="1:27" ht="15.75" customHeight="1" x14ac:dyDescent="0.2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Q12" s="9"/>
      <c r="R12" s="9"/>
      <c r="S12" s="9"/>
      <c r="T12" s="9"/>
      <c r="U12" s="9"/>
    </row>
    <row r="13" spans="1:27" ht="15.75" customHeight="1" x14ac:dyDescent="0.25">
      <c r="B13" s="1" t="s">
        <v>50</v>
      </c>
      <c r="C13" s="9">
        <f>Payroll!C11</f>
        <v>27166.666666666668</v>
      </c>
      <c r="D13" s="9">
        <f>Payroll!D11</f>
        <v>27166.666666666668</v>
      </c>
      <c r="E13" s="9">
        <f>Payroll!E11</f>
        <v>27166.666666666668</v>
      </c>
      <c r="F13" s="9">
        <f>Payroll!F11</f>
        <v>27166.666666666668</v>
      </c>
      <c r="G13" s="9">
        <f>Payroll!G11</f>
        <v>27166.666666666668</v>
      </c>
      <c r="H13" s="9">
        <f>Payroll!H11</f>
        <v>27166.666666666668</v>
      </c>
      <c r="I13" s="9">
        <f>Payroll!I11</f>
        <v>27166.666666666668</v>
      </c>
      <c r="J13" s="9">
        <f>Payroll!J11</f>
        <v>27166.666666666668</v>
      </c>
      <c r="K13" s="9">
        <f>Payroll!K11</f>
        <v>27166.666666666668</v>
      </c>
      <c r="L13" s="9">
        <f>Payroll!L11</f>
        <v>27166.666666666668</v>
      </c>
      <c r="M13" s="9">
        <f>Payroll!M11</f>
        <v>27166.666666666668</v>
      </c>
      <c r="N13" s="9">
        <f>Payroll!N11</f>
        <v>27166.666666666668</v>
      </c>
      <c r="O13" s="9"/>
      <c r="P13" s="1" t="s">
        <v>50</v>
      </c>
      <c r="Q13" s="9">
        <f>Payroll!R11</f>
        <v>326000</v>
      </c>
      <c r="R13" s="9">
        <f>Payroll!S11</f>
        <v>146000</v>
      </c>
      <c r="S13" s="9">
        <f>Payroll!T11</f>
        <v>146000</v>
      </c>
      <c r="T13" s="9">
        <f>Payroll!U11</f>
        <v>146000</v>
      </c>
      <c r="U13" s="9">
        <f>Payroll!V11</f>
        <v>146000</v>
      </c>
    </row>
    <row r="14" spans="1:27" ht="15.75" customHeight="1" x14ac:dyDescent="0.25">
      <c r="B14" s="1" t="s">
        <v>53</v>
      </c>
      <c r="C14" s="9">
        <f>'Fixed and Variable Costs'!$C$20</f>
        <v>2000</v>
      </c>
      <c r="D14" s="9">
        <f>'Fixed and Variable Costs'!$C$20</f>
        <v>2000</v>
      </c>
      <c r="E14" s="9">
        <f>'Fixed and Variable Costs'!$C$20</f>
        <v>2000</v>
      </c>
      <c r="F14" s="9">
        <f>'Fixed and Variable Costs'!$C$20</f>
        <v>2000</v>
      </c>
      <c r="G14" s="9">
        <f>'Fixed and Variable Costs'!$C$20</f>
        <v>2000</v>
      </c>
      <c r="H14" s="9">
        <f>'Fixed and Variable Costs'!$C$20</f>
        <v>2000</v>
      </c>
      <c r="I14" s="9">
        <f>'Fixed and Variable Costs'!$C$20</f>
        <v>2000</v>
      </c>
      <c r="J14" s="9">
        <f>'Fixed and Variable Costs'!$C$20</f>
        <v>2000</v>
      </c>
      <c r="K14" s="9">
        <f>'Fixed and Variable Costs'!$C$20</f>
        <v>2000</v>
      </c>
      <c r="L14" s="9">
        <f>'Fixed and Variable Costs'!$C$20</f>
        <v>2000</v>
      </c>
      <c r="M14" s="9">
        <f>'Fixed and Variable Costs'!$C$20</f>
        <v>2000</v>
      </c>
      <c r="N14" s="9">
        <f>'Fixed and Variable Costs'!$C$20</f>
        <v>2000</v>
      </c>
      <c r="O14" s="9"/>
      <c r="P14" s="1" t="s">
        <v>53</v>
      </c>
      <c r="Q14" s="9">
        <f>'Fixed and Variable Costs'!$D$20</f>
        <v>24000</v>
      </c>
      <c r="R14" s="9">
        <f>'Fixed and Variable Costs'!$D$20</f>
        <v>24000</v>
      </c>
      <c r="S14" s="9">
        <f>'Fixed and Variable Costs'!$D$20</f>
        <v>24000</v>
      </c>
      <c r="T14" s="9">
        <f>'Fixed and Variable Costs'!$D$20</f>
        <v>24000</v>
      </c>
      <c r="U14" s="9">
        <f>'Fixed and Variable Costs'!$D$20</f>
        <v>24000</v>
      </c>
    </row>
    <row r="15" spans="1:27" ht="15.75" customHeight="1" x14ac:dyDescent="0.25">
      <c r="B15" s="1" t="s">
        <v>60</v>
      </c>
      <c r="C15" s="9">
        <f>'Fixed and Variable Costs'!$C$22+Cashflow!C19</f>
        <v>1400</v>
      </c>
      <c r="D15" s="9">
        <f>'Fixed and Variable Costs'!$C$22+Cashflow!D19</f>
        <v>1400</v>
      </c>
      <c r="E15" s="9">
        <f>'Fixed and Variable Costs'!$C$22+Cashflow!E19</f>
        <v>1400</v>
      </c>
      <c r="F15" s="9">
        <f>'Fixed and Variable Costs'!$C$22+Cashflow!F19</f>
        <v>1400</v>
      </c>
      <c r="G15" s="9">
        <f>'Fixed and Variable Costs'!$C$22+Cashflow!G19</f>
        <v>1400</v>
      </c>
      <c r="H15" s="9">
        <f>'Fixed and Variable Costs'!$C$22+Cashflow!H19</f>
        <v>1400</v>
      </c>
      <c r="I15" s="9">
        <f>'Fixed and Variable Costs'!$C$22+Cashflow!I19</f>
        <v>1400</v>
      </c>
      <c r="J15" s="9">
        <f>'Fixed and Variable Costs'!$C$22+Cashflow!J19</f>
        <v>1400</v>
      </c>
      <c r="K15" s="9">
        <f>'Fixed and Variable Costs'!$C$22+Cashflow!K19</f>
        <v>1400</v>
      </c>
      <c r="L15" s="9">
        <f>'Fixed and Variable Costs'!$C$22+Cashflow!L19</f>
        <v>1400</v>
      </c>
      <c r="M15" s="9">
        <f>'Fixed and Variable Costs'!$C$22+Cashflow!M19</f>
        <v>1400</v>
      </c>
      <c r="N15" s="9">
        <f>'Fixed and Variable Costs'!$C$22+Cashflow!N19</f>
        <v>1400</v>
      </c>
      <c r="O15" s="9"/>
      <c r="P15" s="1" t="s">
        <v>60</v>
      </c>
      <c r="Q15" s="9">
        <f>SUM(C15:N15)</f>
        <v>16800</v>
      </c>
      <c r="R15" s="9">
        <f t="shared" ref="R15:U15" si="4">Q15</f>
        <v>16800</v>
      </c>
      <c r="S15" s="9">
        <f t="shared" si="4"/>
        <v>16800</v>
      </c>
      <c r="T15" s="9">
        <f t="shared" si="4"/>
        <v>16800</v>
      </c>
      <c r="U15" s="9">
        <f t="shared" si="4"/>
        <v>16800</v>
      </c>
    </row>
    <row r="16" spans="1:27" ht="15.75" customHeight="1" x14ac:dyDescent="0.25">
      <c r="B16" s="1" t="s">
        <v>24</v>
      </c>
      <c r="C16" s="9">
        <f>Equipment!$E$18</f>
        <v>60.06944444444445</v>
      </c>
      <c r="D16" s="9">
        <f>Equipment!$E$18</f>
        <v>60.06944444444445</v>
      </c>
      <c r="E16" s="9">
        <f>Equipment!$E$18</f>
        <v>60.06944444444445</v>
      </c>
      <c r="F16" s="9">
        <f>Equipment!$E$18</f>
        <v>60.06944444444445</v>
      </c>
      <c r="G16" s="9">
        <f>Equipment!$E$18</f>
        <v>60.06944444444445</v>
      </c>
      <c r="H16" s="9">
        <f>Equipment!$E$18</f>
        <v>60.06944444444445</v>
      </c>
      <c r="I16" s="9">
        <f>Equipment!$E$18</f>
        <v>60.06944444444445</v>
      </c>
      <c r="J16" s="9">
        <f>Equipment!$E$18</f>
        <v>60.06944444444445</v>
      </c>
      <c r="K16" s="9">
        <f>Equipment!$E$18</f>
        <v>60.06944444444445</v>
      </c>
      <c r="L16" s="9">
        <f>Equipment!$E$18</f>
        <v>60.06944444444445</v>
      </c>
      <c r="M16" s="9">
        <f>Equipment!$E$18</f>
        <v>60.06944444444445</v>
      </c>
      <c r="N16" s="9">
        <f>Equipment!$E$18</f>
        <v>60.06944444444445</v>
      </c>
      <c r="O16" s="9"/>
      <c r="P16" s="1" t="s">
        <v>24</v>
      </c>
      <c r="Q16" s="9">
        <f>Equipment!$F$18</f>
        <v>720.83333333333337</v>
      </c>
      <c r="R16" s="9">
        <f>Equipment!$F$18</f>
        <v>720.83333333333337</v>
      </c>
      <c r="S16" s="9">
        <f>Equipment!$F$18</f>
        <v>720.83333333333337</v>
      </c>
      <c r="T16" s="9">
        <f>Equipment!$F$18</f>
        <v>720.83333333333337</v>
      </c>
      <c r="U16" s="9">
        <f>Equipment!$F$18</f>
        <v>720.83333333333337</v>
      </c>
    </row>
    <row r="17" spans="1:27" x14ac:dyDescent="0.3">
      <c r="A17" s="17"/>
      <c r="B17" s="2" t="s">
        <v>65</v>
      </c>
      <c r="C17" s="30">
        <f t="shared" ref="C17:N17" si="5">SUM(C13:C16)</f>
        <v>30626.736111111113</v>
      </c>
      <c r="D17" s="30">
        <f t="shared" si="5"/>
        <v>30626.736111111113</v>
      </c>
      <c r="E17" s="30">
        <f t="shared" si="5"/>
        <v>30626.736111111113</v>
      </c>
      <c r="F17" s="30">
        <f t="shared" si="5"/>
        <v>30626.736111111113</v>
      </c>
      <c r="G17" s="30">
        <f t="shared" si="5"/>
        <v>30626.736111111113</v>
      </c>
      <c r="H17" s="30">
        <f t="shared" si="5"/>
        <v>30626.736111111113</v>
      </c>
      <c r="I17" s="30">
        <f t="shared" si="5"/>
        <v>30626.736111111113</v>
      </c>
      <c r="J17" s="30">
        <f t="shared" si="5"/>
        <v>30626.736111111113</v>
      </c>
      <c r="K17" s="30">
        <f t="shared" si="5"/>
        <v>30626.736111111113</v>
      </c>
      <c r="L17" s="30">
        <f t="shared" si="5"/>
        <v>30626.736111111113</v>
      </c>
      <c r="M17" s="30">
        <f t="shared" si="5"/>
        <v>30626.736111111113</v>
      </c>
      <c r="N17" s="30">
        <f t="shared" si="5"/>
        <v>30626.736111111113</v>
      </c>
      <c r="O17" s="30"/>
      <c r="P17" s="2" t="s">
        <v>65</v>
      </c>
      <c r="Q17" s="30">
        <f t="shared" ref="Q17:U17" si="6">SUM(Q13:Q16)</f>
        <v>367520.83333333331</v>
      </c>
      <c r="R17" s="30">
        <f t="shared" si="6"/>
        <v>187520.83333333334</v>
      </c>
      <c r="S17" s="30">
        <f t="shared" si="6"/>
        <v>187520.83333333334</v>
      </c>
      <c r="T17" s="30">
        <f t="shared" si="6"/>
        <v>187520.83333333334</v>
      </c>
      <c r="U17" s="30">
        <f t="shared" si="6"/>
        <v>187520.83333333334</v>
      </c>
      <c r="V17" s="17"/>
      <c r="W17" s="17"/>
      <c r="X17" s="17"/>
      <c r="Y17" s="17"/>
      <c r="Z17" s="17"/>
      <c r="AA17" s="17"/>
    </row>
    <row r="18" spans="1:27" ht="15.75" customHeight="1" x14ac:dyDescent="0.35">
      <c r="A18" s="35"/>
      <c r="B18" s="26" t="s">
        <v>66</v>
      </c>
      <c r="C18" s="27">
        <f t="shared" ref="C18:N18" si="7">C11-C17</f>
        <v>-30626.736111111113</v>
      </c>
      <c r="D18" s="27">
        <f t="shared" si="7"/>
        <v>-30626.736111111113</v>
      </c>
      <c r="E18" s="27">
        <f t="shared" si="7"/>
        <v>-30626.736111111113</v>
      </c>
      <c r="F18" s="27">
        <f t="shared" si="7"/>
        <v>-30626.736111111113</v>
      </c>
      <c r="G18" s="27">
        <f t="shared" si="7"/>
        <v>-24308.736111111113</v>
      </c>
      <c r="H18" s="27">
        <f t="shared" si="7"/>
        <v>-23676.93611111111</v>
      </c>
      <c r="I18" s="27">
        <f t="shared" si="7"/>
        <v>-22981.956111111111</v>
      </c>
      <c r="J18" s="27">
        <f t="shared" si="7"/>
        <v>-22217.478111111108</v>
      </c>
      <c r="K18" s="27">
        <f t="shared" si="7"/>
        <v>-21376.552311111107</v>
      </c>
      <c r="L18" s="27">
        <f t="shared" si="7"/>
        <v>-20451.533931111109</v>
      </c>
      <c r="M18" s="27">
        <f t="shared" si="7"/>
        <v>-19434.013713111108</v>
      </c>
      <c r="N18" s="27">
        <f t="shared" si="7"/>
        <v>-18314.741473311104</v>
      </c>
      <c r="O18" s="36"/>
      <c r="P18" s="26" t="s">
        <v>66</v>
      </c>
      <c r="Q18" s="27">
        <f t="shared" ref="Q18:U18" si="8">Q11-Q17</f>
        <v>-295268.89231753332</v>
      </c>
      <c r="R18" s="27">
        <f t="shared" si="8"/>
        <v>-43016.951301733323</v>
      </c>
      <c r="S18" s="27">
        <f t="shared" si="8"/>
        <v>101486.9307298667</v>
      </c>
      <c r="T18" s="27">
        <f t="shared" si="8"/>
        <v>245990.8127614668</v>
      </c>
      <c r="U18" s="27">
        <f t="shared" si="8"/>
        <v>376044.30658990692</v>
      </c>
      <c r="V18" s="35"/>
      <c r="W18" s="35"/>
      <c r="X18" s="35"/>
      <c r="Y18" s="35"/>
      <c r="Z18" s="35"/>
      <c r="AA18" s="35"/>
    </row>
    <row r="19" spans="1:27" ht="15.75" customHeight="1" x14ac:dyDescent="0.25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Q19" s="9"/>
      <c r="R19" s="9"/>
      <c r="S19" s="9"/>
      <c r="T19" s="9"/>
      <c r="U19" s="9"/>
    </row>
    <row r="20" spans="1:27" ht="12.5" x14ac:dyDescent="0.25">
      <c r="B20" s="1" t="s">
        <v>67</v>
      </c>
      <c r="C20" s="9">
        <f>'Fixed and Variable Costs'!$C$21</f>
        <v>100</v>
      </c>
      <c r="D20" s="9">
        <f>'Fixed and Variable Costs'!$C$21</f>
        <v>100</v>
      </c>
      <c r="E20" s="9">
        <f>'Fixed and Variable Costs'!$C$21</f>
        <v>100</v>
      </c>
      <c r="F20" s="9">
        <f>'Fixed and Variable Costs'!$C$21</f>
        <v>100</v>
      </c>
      <c r="G20" s="9">
        <f>'Fixed and Variable Costs'!$C$21</f>
        <v>100</v>
      </c>
      <c r="H20" s="9">
        <f>'Fixed and Variable Costs'!$C$21</f>
        <v>100</v>
      </c>
      <c r="I20" s="9">
        <f>'Fixed and Variable Costs'!$C$21</f>
        <v>100</v>
      </c>
      <c r="J20" s="9">
        <f>'Fixed and Variable Costs'!$C$21</f>
        <v>100</v>
      </c>
      <c r="K20" s="9">
        <f>'Fixed and Variable Costs'!$C$21</f>
        <v>100</v>
      </c>
      <c r="L20" s="9">
        <f>'Fixed and Variable Costs'!$C$21</f>
        <v>100</v>
      </c>
      <c r="M20" s="9">
        <f>'Fixed and Variable Costs'!$C$21</f>
        <v>100</v>
      </c>
      <c r="N20" s="9">
        <f>'Fixed and Variable Costs'!$C$21</f>
        <v>100</v>
      </c>
      <c r="O20" s="9"/>
      <c r="P20" s="1" t="s">
        <v>67</v>
      </c>
      <c r="Q20" s="9">
        <f>SUM(C20:N20)</f>
        <v>1200</v>
      </c>
      <c r="R20" s="9">
        <f t="shared" ref="R20:U20" si="9">Q20</f>
        <v>1200</v>
      </c>
      <c r="S20" s="9">
        <f t="shared" si="9"/>
        <v>1200</v>
      </c>
      <c r="T20" s="9">
        <f t="shared" si="9"/>
        <v>1200</v>
      </c>
      <c r="U20" s="9">
        <f t="shared" si="9"/>
        <v>1200</v>
      </c>
    </row>
    <row r="21" spans="1:27" ht="12.5" x14ac:dyDescent="0.25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Q21" s="9"/>
      <c r="R21" s="9"/>
      <c r="S21" s="9"/>
      <c r="T21" s="9"/>
      <c r="U21" s="9"/>
    </row>
    <row r="22" spans="1:27" ht="15.5" x14ac:dyDescent="0.35">
      <c r="A22" s="35"/>
      <c r="B22" s="26" t="s">
        <v>69</v>
      </c>
      <c r="C22" s="27">
        <f t="shared" ref="C22:N22" si="10">C18-C20</f>
        <v>-30726.736111111113</v>
      </c>
      <c r="D22" s="27">
        <f t="shared" si="10"/>
        <v>-30726.736111111113</v>
      </c>
      <c r="E22" s="27">
        <f t="shared" si="10"/>
        <v>-30726.736111111113</v>
      </c>
      <c r="F22" s="27">
        <f t="shared" si="10"/>
        <v>-30726.736111111113</v>
      </c>
      <c r="G22" s="27">
        <f t="shared" si="10"/>
        <v>-24408.736111111113</v>
      </c>
      <c r="H22" s="27">
        <f t="shared" si="10"/>
        <v>-23776.93611111111</v>
      </c>
      <c r="I22" s="27">
        <f t="shared" si="10"/>
        <v>-23081.956111111111</v>
      </c>
      <c r="J22" s="27">
        <f t="shared" si="10"/>
        <v>-22317.478111111108</v>
      </c>
      <c r="K22" s="27">
        <f t="shared" si="10"/>
        <v>-21476.552311111107</v>
      </c>
      <c r="L22" s="27">
        <f t="shared" si="10"/>
        <v>-20551.533931111109</v>
      </c>
      <c r="M22" s="27">
        <f t="shared" si="10"/>
        <v>-19534.013713111108</v>
      </c>
      <c r="N22" s="27">
        <f t="shared" si="10"/>
        <v>-18414.741473311104</v>
      </c>
      <c r="O22" s="36"/>
      <c r="P22" s="26" t="s">
        <v>69</v>
      </c>
      <c r="Q22" s="27">
        <f>SUM(C22:N22)</f>
        <v>-296468.89231753326</v>
      </c>
      <c r="R22" s="27">
        <f t="shared" ref="R22:U22" si="11">R18-R20</f>
        <v>-44216.951301733323</v>
      </c>
      <c r="S22" s="27">
        <f t="shared" si="11"/>
        <v>100286.9307298667</v>
      </c>
      <c r="T22" s="27">
        <f t="shared" si="11"/>
        <v>244790.8127614668</v>
      </c>
      <c r="U22" s="27">
        <f t="shared" si="11"/>
        <v>374844.30658990692</v>
      </c>
      <c r="V22" s="35"/>
      <c r="W22" s="35"/>
      <c r="X22" s="35"/>
      <c r="Y22" s="35"/>
      <c r="Z22" s="35"/>
      <c r="AA22" s="35"/>
    </row>
    <row r="23" spans="1:27" ht="12.5" x14ac:dyDescent="0.25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Q23" s="9"/>
      <c r="R23" s="9"/>
      <c r="S23" s="9"/>
      <c r="T23" s="9"/>
      <c r="U23" s="9"/>
    </row>
    <row r="24" spans="1:27" ht="12.5" x14ac:dyDescent="0.25">
      <c r="A24" s="19">
        <v>0.3</v>
      </c>
      <c r="B24" s="1" t="s">
        <v>72</v>
      </c>
      <c r="C24" s="9">
        <f t="shared" ref="C24:N24" si="12">IF(C22&gt;0,C22*$A$24,0)</f>
        <v>0</v>
      </c>
      <c r="D24" s="9">
        <f t="shared" si="12"/>
        <v>0</v>
      </c>
      <c r="E24" s="9">
        <f t="shared" si="12"/>
        <v>0</v>
      </c>
      <c r="F24" s="9">
        <f t="shared" si="12"/>
        <v>0</v>
      </c>
      <c r="G24" s="9">
        <f t="shared" si="12"/>
        <v>0</v>
      </c>
      <c r="H24" s="9">
        <f t="shared" si="12"/>
        <v>0</v>
      </c>
      <c r="I24" s="9">
        <f t="shared" si="12"/>
        <v>0</v>
      </c>
      <c r="J24" s="9">
        <f t="shared" si="12"/>
        <v>0</v>
      </c>
      <c r="K24" s="9">
        <f t="shared" si="12"/>
        <v>0</v>
      </c>
      <c r="L24" s="9">
        <f t="shared" si="12"/>
        <v>0</v>
      </c>
      <c r="M24" s="9">
        <f t="shared" si="12"/>
        <v>0</v>
      </c>
      <c r="N24" s="9">
        <f t="shared" si="12"/>
        <v>0</v>
      </c>
      <c r="O24" s="9"/>
      <c r="P24" s="1" t="s">
        <v>73</v>
      </c>
      <c r="Q24" s="9">
        <f t="shared" ref="Q24:U24" si="13">IF(Q22&gt;0,Q22*$A$24,0)</f>
        <v>0</v>
      </c>
      <c r="R24" s="9">
        <f t="shared" si="13"/>
        <v>0</v>
      </c>
      <c r="S24" s="9">
        <f t="shared" si="13"/>
        <v>30086.079218960007</v>
      </c>
      <c r="T24" s="9">
        <f t="shared" si="13"/>
        <v>73437.243828440041</v>
      </c>
      <c r="U24" s="9">
        <f t="shared" si="13"/>
        <v>112453.29197697208</v>
      </c>
    </row>
    <row r="25" spans="1:27" ht="12.5" x14ac:dyDescent="0.25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Q25" s="9"/>
      <c r="R25" s="9"/>
      <c r="S25" s="9"/>
      <c r="T25" s="9"/>
      <c r="U25" s="9"/>
    </row>
    <row r="26" spans="1:27" ht="15.5" x14ac:dyDescent="0.35">
      <c r="A26" s="35"/>
      <c r="B26" s="31" t="s">
        <v>74</v>
      </c>
      <c r="C26" s="32">
        <f t="shared" ref="C26:N26" si="14">C22-C24</f>
        <v>-30726.736111111113</v>
      </c>
      <c r="D26" s="32">
        <f t="shared" si="14"/>
        <v>-30726.736111111113</v>
      </c>
      <c r="E26" s="32">
        <f t="shared" si="14"/>
        <v>-30726.736111111113</v>
      </c>
      <c r="F26" s="32">
        <f t="shared" si="14"/>
        <v>-30726.736111111113</v>
      </c>
      <c r="G26" s="32">
        <f t="shared" si="14"/>
        <v>-24408.736111111113</v>
      </c>
      <c r="H26" s="32">
        <f t="shared" si="14"/>
        <v>-23776.93611111111</v>
      </c>
      <c r="I26" s="32">
        <f t="shared" si="14"/>
        <v>-23081.956111111111</v>
      </c>
      <c r="J26" s="32">
        <f t="shared" si="14"/>
        <v>-22317.478111111108</v>
      </c>
      <c r="K26" s="32">
        <f t="shared" si="14"/>
        <v>-21476.552311111107</v>
      </c>
      <c r="L26" s="32">
        <f t="shared" si="14"/>
        <v>-20551.533931111109</v>
      </c>
      <c r="M26" s="32">
        <f t="shared" si="14"/>
        <v>-19534.013713111108</v>
      </c>
      <c r="N26" s="33">
        <f t="shared" si="14"/>
        <v>-18414.741473311104</v>
      </c>
      <c r="O26" s="36"/>
      <c r="P26" s="31" t="s">
        <v>74</v>
      </c>
      <c r="Q26" s="34">
        <f t="shared" ref="Q26:U26" si="15">Q22-Q24</f>
        <v>-296468.89231753326</v>
      </c>
      <c r="R26" s="32">
        <f t="shared" si="15"/>
        <v>-44216.951301733323</v>
      </c>
      <c r="S26" s="32">
        <f t="shared" si="15"/>
        <v>70200.851510906694</v>
      </c>
      <c r="T26" s="32">
        <f t="shared" si="15"/>
        <v>171353.56893302675</v>
      </c>
      <c r="U26" s="33">
        <f t="shared" si="15"/>
        <v>262391.01461293484</v>
      </c>
      <c r="V26" s="35"/>
      <c r="W26" s="35"/>
      <c r="X26" s="35"/>
      <c r="Y26" s="35"/>
      <c r="Z26" s="35"/>
      <c r="AA26" s="35"/>
    </row>
    <row r="27" spans="1:27" ht="12.5" x14ac:dyDescent="0.25"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Q27" s="9"/>
      <c r="R27" s="9"/>
      <c r="S27" s="9"/>
      <c r="T27" s="9"/>
      <c r="U27" s="9"/>
    </row>
    <row r="28" spans="1:27" ht="15.5" x14ac:dyDescent="0.35">
      <c r="A28" s="35"/>
      <c r="B28" s="31" t="s">
        <v>76</v>
      </c>
      <c r="C28" s="32">
        <f t="shared" ref="C28:N28" si="16">C26-C24-C16</f>
        <v>-30786.805555555558</v>
      </c>
      <c r="D28" s="32">
        <f t="shared" si="16"/>
        <v>-30786.805555555558</v>
      </c>
      <c r="E28" s="32">
        <f t="shared" si="16"/>
        <v>-30786.805555555558</v>
      </c>
      <c r="F28" s="32">
        <f t="shared" si="16"/>
        <v>-30786.805555555558</v>
      </c>
      <c r="G28" s="32">
        <f t="shared" si="16"/>
        <v>-24468.805555555558</v>
      </c>
      <c r="H28" s="32">
        <f t="shared" si="16"/>
        <v>-23837.005555555555</v>
      </c>
      <c r="I28" s="32">
        <f t="shared" si="16"/>
        <v>-23142.025555555556</v>
      </c>
      <c r="J28" s="32">
        <f t="shared" si="16"/>
        <v>-22377.547555555553</v>
      </c>
      <c r="K28" s="32">
        <f t="shared" si="16"/>
        <v>-21536.621755555552</v>
      </c>
      <c r="L28" s="32">
        <f t="shared" si="16"/>
        <v>-20611.603375555555</v>
      </c>
      <c r="M28" s="32">
        <f t="shared" si="16"/>
        <v>-19594.083157555553</v>
      </c>
      <c r="N28" s="33">
        <f t="shared" si="16"/>
        <v>-18474.810917755549</v>
      </c>
      <c r="O28" s="36"/>
      <c r="P28" s="31" t="s">
        <v>76</v>
      </c>
      <c r="Q28" s="34">
        <f t="shared" ref="Q28:U28" si="17">Q26-Q24+Q16</f>
        <v>-295748.05898419995</v>
      </c>
      <c r="R28" s="32">
        <f t="shared" si="17"/>
        <v>-43496.117968399987</v>
      </c>
      <c r="S28" s="32">
        <f t="shared" si="17"/>
        <v>40835.605625280026</v>
      </c>
      <c r="T28" s="32">
        <f t="shared" si="17"/>
        <v>98637.158437920036</v>
      </c>
      <c r="U28" s="33">
        <f t="shared" si="17"/>
        <v>150658.55596929611</v>
      </c>
      <c r="V28" s="35"/>
      <c r="W28" s="35"/>
      <c r="X28" s="35"/>
      <c r="Y28" s="35"/>
      <c r="Z28" s="35"/>
      <c r="AA28" s="35"/>
    </row>
  </sheetData>
  <mergeCells count="1">
    <mergeCell ref="P1:R1"/>
  </mergeCells>
  <conditionalFormatting sqref="C5:O28 Q5:U28">
    <cfRule type="cellIs" dxfId="1" priority="1" operator="lessThan">
      <formula>0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6"/>
    <outlinePr summaryBelow="0" summaryRight="0"/>
  </sheetPr>
  <dimension ref="A1:AA22"/>
  <sheetViews>
    <sheetView showGridLines="0" workbookViewId="0"/>
  </sheetViews>
  <sheetFormatPr baseColWidth="10" defaultColWidth="14.453125" defaultRowHeight="15.75" customHeight="1" x14ac:dyDescent="0.25"/>
  <cols>
    <col min="1" max="1" width="3.7265625" customWidth="1"/>
    <col min="2" max="2" width="23.453125" customWidth="1"/>
    <col min="3" max="15" width="9.453125" customWidth="1"/>
    <col min="16" max="16" width="28.26953125" customWidth="1"/>
    <col min="17" max="21" width="9.453125" customWidth="1"/>
  </cols>
  <sheetData>
    <row r="1" spans="1:27" ht="15.75" customHeight="1" x14ac:dyDescent="0.5">
      <c r="B1" s="29" t="s">
        <v>68</v>
      </c>
      <c r="P1" s="46" t="s">
        <v>68</v>
      </c>
      <c r="Q1" s="44"/>
    </row>
    <row r="2" spans="1:27" x14ac:dyDescent="0.3">
      <c r="B2" s="2"/>
      <c r="C2" s="24" t="s">
        <v>6</v>
      </c>
      <c r="P2" s="2"/>
      <c r="Q2" s="24" t="s">
        <v>7</v>
      </c>
    </row>
    <row r="3" spans="1:27" ht="15.75" customHeight="1" x14ac:dyDescent="0.25"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23"/>
      <c r="Q3" s="5">
        <v>1</v>
      </c>
      <c r="R3" s="5">
        <v>2</v>
      </c>
      <c r="S3" s="5">
        <v>3</v>
      </c>
      <c r="T3" s="5">
        <v>4</v>
      </c>
      <c r="U3" s="5">
        <v>5</v>
      </c>
    </row>
    <row r="4" spans="1:27" ht="15.75" customHeight="1" x14ac:dyDescent="0.35">
      <c r="B4" s="22" t="s">
        <v>70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22" t="s">
        <v>70</v>
      </c>
      <c r="Q4" s="37">
        <f t="shared" ref="Q4:Q6" si="0">N4</f>
        <v>0</v>
      </c>
      <c r="R4" s="37"/>
      <c r="S4" s="37"/>
      <c r="T4" s="37"/>
      <c r="U4" s="37"/>
    </row>
    <row r="5" spans="1:27" ht="15.75" customHeight="1" x14ac:dyDescent="0.25">
      <c r="B5" s="1" t="s">
        <v>71</v>
      </c>
      <c r="C5" s="9">
        <f>Cashflow!C26</f>
        <v>83.333333333328483</v>
      </c>
      <c r="D5" s="9">
        <f>Cashflow!D26</f>
        <v>416.6666666666606</v>
      </c>
      <c r="E5" s="9">
        <f>Cashflow!E26</f>
        <v>49.999999999992724</v>
      </c>
      <c r="F5" s="9">
        <f>Cashflow!F26</f>
        <v>383.33333333332484</v>
      </c>
      <c r="G5" s="9">
        <f>Cashflow!G26</f>
        <v>34.666666666656965</v>
      </c>
      <c r="H5" s="9">
        <f>Cashflow!H26</f>
        <v>317.79999999998836</v>
      </c>
      <c r="I5" s="9">
        <f>Cashflow!I26</f>
        <v>95.913333333322953</v>
      </c>
      <c r="J5" s="9">
        <f>Cashflow!J26</f>
        <v>38.504666666660341</v>
      </c>
      <c r="K5" s="9">
        <f>Cashflow!K26</f>
        <v>622.02179999999862</v>
      </c>
      <c r="L5" s="9">
        <f>Cashflow!L26</f>
        <v>130.5573133333346</v>
      </c>
      <c r="M5" s="9">
        <f>Cashflow!M26</f>
        <v>656.61304466667207</v>
      </c>
      <c r="N5" s="9">
        <f>Cashflow!N26</f>
        <v>301.9410158000137</v>
      </c>
      <c r="O5" s="9"/>
      <c r="P5" s="1" t="s">
        <v>71</v>
      </c>
      <c r="Q5" s="9">
        <f t="shared" si="0"/>
        <v>301.9410158000137</v>
      </c>
      <c r="R5" s="9">
        <f>Cashflow!R26</f>
        <v>1805.8230474000156</v>
      </c>
      <c r="S5" s="9">
        <f>Cashflow!S26</f>
        <v>72727.507891640038</v>
      </c>
      <c r="T5" s="9">
        <f>Cashflow!T26</f>
        <v>244801.91015800016</v>
      </c>
      <c r="U5" s="9">
        <f>Cashflow!U26</f>
        <v>507913.75810426835</v>
      </c>
    </row>
    <row r="6" spans="1:27" ht="15.75" customHeight="1" x14ac:dyDescent="0.25">
      <c r="B6" s="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"/>
      <c r="Q6" s="9">
        <f t="shared" si="0"/>
        <v>0</v>
      </c>
      <c r="R6" s="9"/>
      <c r="S6" s="9"/>
      <c r="T6" s="9"/>
      <c r="U6" s="9"/>
    </row>
    <row r="7" spans="1:27" x14ac:dyDescent="0.3">
      <c r="B7" s="2" t="s">
        <v>75</v>
      </c>
      <c r="C7" s="30">
        <f t="shared" ref="C7:N7" si="1">SUM(C4:C6)</f>
        <v>83.333333333328483</v>
      </c>
      <c r="D7" s="30">
        <f t="shared" si="1"/>
        <v>416.6666666666606</v>
      </c>
      <c r="E7" s="30">
        <f t="shared" si="1"/>
        <v>49.999999999992724</v>
      </c>
      <c r="F7" s="30">
        <f t="shared" si="1"/>
        <v>383.33333333332484</v>
      </c>
      <c r="G7" s="30">
        <f t="shared" si="1"/>
        <v>34.666666666656965</v>
      </c>
      <c r="H7" s="30">
        <f t="shared" si="1"/>
        <v>317.79999999998836</v>
      </c>
      <c r="I7" s="30">
        <f t="shared" si="1"/>
        <v>95.913333333322953</v>
      </c>
      <c r="J7" s="30">
        <f t="shared" si="1"/>
        <v>38.504666666660341</v>
      </c>
      <c r="K7" s="30">
        <f t="shared" si="1"/>
        <v>622.02179999999862</v>
      </c>
      <c r="L7" s="30">
        <f t="shared" si="1"/>
        <v>130.5573133333346</v>
      </c>
      <c r="M7" s="30">
        <f t="shared" si="1"/>
        <v>656.61304466667207</v>
      </c>
      <c r="N7" s="30">
        <f t="shared" si="1"/>
        <v>301.9410158000137</v>
      </c>
      <c r="O7" s="30"/>
      <c r="P7" s="2" t="s">
        <v>75</v>
      </c>
      <c r="Q7" s="30">
        <f t="shared" ref="Q7:U7" si="2">SUM(Q4:Q6)</f>
        <v>301.9410158000137</v>
      </c>
      <c r="R7" s="30">
        <f t="shared" si="2"/>
        <v>1805.8230474000156</v>
      </c>
      <c r="S7" s="30">
        <f t="shared" si="2"/>
        <v>72727.507891640038</v>
      </c>
      <c r="T7" s="30">
        <f t="shared" si="2"/>
        <v>244801.91015800016</v>
      </c>
      <c r="U7" s="30">
        <f t="shared" si="2"/>
        <v>507913.75810426835</v>
      </c>
    </row>
    <row r="8" spans="1:27" ht="15.75" customHeight="1" x14ac:dyDescent="0.25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Q8" s="9">
        <f t="shared" ref="Q8:Q10" si="3">N8</f>
        <v>0</v>
      </c>
      <c r="R8" s="9"/>
      <c r="S8" s="9"/>
      <c r="T8" s="9"/>
      <c r="U8" s="9"/>
    </row>
    <row r="9" spans="1:27" ht="15.75" customHeight="1" x14ac:dyDescent="0.25">
      <c r="B9" s="1" t="s">
        <v>16</v>
      </c>
      <c r="C9" s="9">
        <f>Equipment!$E$8</f>
        <v>7250</v>
      </c>
      <c r="D9" s="9">
        <f t="shared" ref="D9:N9" si="4">C9</f>
        <v>7250</v>
      </c>
      <c r="E9" s="9">
        <f t="shared" si="4"/>
        <v>7250</v>
      </c>
      <c r="F9" s="9">
        <f t="shared" si="4"/>
        <v>7250</v>
      </c>
      <c r="G9" s="9">
        <f t="shared" si="4"/>
        <v>7250</v>
      </c>
      <c r="H9" s="9">
        <f t="shared" si="4"/>
        <v>7250</v>
      </c>
      <c r="I9" s="9">
        <f t="shared" si="4"/>
        <v>7250</v>
      </c>
      <c r="J9" s="9">
        <f t="shared" si="4"/>
        <v>7250</v>
      </c>
      <c r="K9" s="9">
        <f t="shared" si="4"/>
        <v>7250</v>
      </c>
      <c r="L9" s="9">
        <f t="shared" si="4"/>
        <v>7250</v>
      </c>
      <c r="M9" s="9">
        <f t="shared" si="4"/>
        <v>7250</v>
      </c>
      <c r="N9" s="9">
        <f t="shared" si="4"/>
        <v>7250</v>
      </c>
      <c r="O9" s="9"/>
      <c r="P9" s="1" t="s">
        <v>16</v>
      </c>
      <c r="Q9" s="9">
        <f t="shared" si="3"/>
        <v>7250</v>
      </c>
      <c r="R9" s="9">
        <f t="shared" ref="R9:U9" si="5">Q9</f>
        <v>7250</v>
      </c>
      <c r="S9" s="9">
        <f t="shared" si="5"/>
        <v>7250</v>
      </c>
      <c r="T9" s="9">
        <f t="shared" si="5"/>
        <v>7250</v>
      </c>
      <c r="U9" s="9">
        <f t="shared" si="5"/>
        <v>7250</v>
      </c>
    </row>
    <row r="10" spans="1:27" ht="15.75" customHeight="1" x14ac:dyDescent="0.25">
      <c r="B10" s="1" t="s">
        <v>24</v>
      </c>
      <c r="C10" s="9">
        <f>-'Income statement'!C16</f>
        <v>-60.06944444444445</v>
      </c>
      <c r="D10" s="9">
        <f>C10-'Income statement'!D16</f>
        <v>-120.1388888888889</v>
      </c>
      <c r="E10" s="9">
        <f>D10-'Income statement'!E16</f>
        <v>-180.20833333333334</v>
      </c>
      <c r="F10" s="9">
        <f>E10-'Income statement'!F16</f>
        <v>-240.2777777777778</v>
      </c>
      <c r="G10" s="9">
        <f>F10-'Income statement'!G16</f>
        <v>-300.34722222222223</v>
      </c>
      <c r="H10" s="9">
        <f>G10-'Income statement'!H16</f>
        <v>-360.41666666666669</v>
      </c>
      <c r="I10" s="9">
        <f>H10-'Income statement'!I16</f>
        <v>-420.48611111111114</v>
      </c>
      <c r="J10" s="9">
        <f>I10-'Income statement'!J16</f>
        <v>-480.5555555555556</v>
      </c>
      <c r="K10" s="9">
        <f>J10-'Income statement'!K16</f>
        <v>-540.625</v>
      </c>
      <c r="L10" s="9">
        <f>K10-'Income statement'!L16</f>
        <v>-600.69444444444446</v>
      </c>
      <c r="M10" s="9">
        <f>L10-'Income statement'!M16</f>
        <v>-660.76388888888891</v>
      </c>
      <c r="N10" s="9">
        <f>M10-'Income statement'!N16</f>
        <v>-720.83333333333337</v>
      </c>
      <c r="O10" s="9"/>
      <c r="P10" s="1" t="s">
        <v>24</v>
      </c>
      <c r="Q10" s="9">
        <f t="shared" si="3"/>
        <v>-720.83333333333337</v>
      </c>
      <c r="R10" s="8">
        <f>-Equipment!$F$18+Q10</f>
        <v>-1441.6666666666667</v>
      </c>
      <c r="S10" s="8">
        <f>-Equipment!$F$18+R10</f>
        <v>-2162.5</v>
      </c>
      <c r="T10" s="8">
        <f>-Equipment!$F$18+S10</f>
        <v>-2883.3333333333335</v>
      </c>
      <c r="U10" s="8">
        <f>-Equipment!$F$18+T10</f>
        <v>-3604.166666666667</v>
      </c>
    </row>
    <row r="11" spans="1:27" x14ac:dyDescent="0.3">
      <c r="B11" s="2" t="s">
        <v>77</v>
      </c>
      <c r="C11" s="30">
        <f t="shared" ref="C11:N11" si="6">SUM(C9:C10)</f>
        <v>7189.9305555555557</v>
      </c>
      <c r="D11" s="30">
        <f t="shared" si="6"/>
        <v>7129.8611111111113</v>
      </c>
      <c r="E11" s="30">
        <f t="shared" si="6"/>
        <v>7069.791666666667</v>
      </c>
      <c r="F11" s="30">
        <f t="shared" si="6"/>
        <v>7009.7222222222226</v>
      </c>
      <c r="G11" s="30">
        <f t="shared" si="6"/>
        <v>6949.6527777777774</v>
      </c>
      <c r="H11" s="30">
        <f t="shared" si="6"/>
        <v>6889.583333333333</v>
      </c>
      <c r="I11" s="30">
        <f t="shared" si="6"/>
        <v>6829.5138888888887</v>
      </c>
      <c r="J11" s="30">
        <f t="shared" si="6"/>
        <v>6769.4444444444443</v>
      </c>
      <c r="K11" s="30">
        <f t="shared" si="6"/>
        <v>6709.375</v>
      </c>
      <c r="L11" s="30">
        <f t="shared" si="6"/>
        <v>6649.3055555555557</v>
      </c>
      <c r="M11" s="30">
        <f t="shared" si="6"/>
        <v>6589.2361111111113</v>
      </c>
      <c r="N11" s="30">
        <f t="shared" si="6"/>
        <v>6529.166666666667</v>
      </c>
      <c r="O11" s="30"/>
      <c r="P11" s="2" t="s">
        <v>77</v>
      </c>
      <c r="Q11" s="30">
        <f t="shared" ref="Q11:U11" si="7">SUM(Q9:Q10)</f>
        <v>6529.166666666667</v>
      </c>
      <c r="R11" s="30">
        <f t="shared" si="7"/>
        <v>5808.333333333333</v>
      </c>
      <c r="S11" s="30">
        <f t="shared" si="7"/>
        <v>5087.5</v>
      </c>
      <c r="T11" s="30">
        <f t="shared" si="7"/>
        <v>4366.6666666666661</v>
      </c>
      <c r="U11" s="30">
        <f t="shared" si="7"/>
        <v>3645.833333333333</v>
      </c>
    </row>
    <row r="12" spans="1:27" ht="15.75" customHeight="1" x14ac:dyDescent="0.35">
      <c r="A12" s="25"/>
      <c r="B12" s="31" t="s">
        <v>78</v>
      </c>
      <c r="C12" s="32">
        <f t="shared" ref="C12:N12" si="8">C11+C7</f>
        <v>7273.2638888888841</v>
      </c>
      <c r="D12" s="32">
        <f t="shared" si="8"/>
        <v>7546.5277777777719</v>
      </c>
      <c r="E12" s="32">
        <f t="shared" si="8"/>
        <v>7119.7916666666597</v>
      </c>
      <c r="F12" s="32">
        <f t="shared" si="8"/>
        <v>7393.0555555555475</v>
      </c>
      <c r="G12" s="32">
        <f t="shared" si="8"/>
        <v>6984.3194444444343</v>
      </c>
      <c r="H12" s="32">
        <f t="shared" si="8"/>
        <v>7207.3833333333214</v>
      </c>
      <c r="I12" s="32">
        <f t="shared" si="8"/>
        <v>6925.4272222222116</v>
      </c>
      <c r="J12" s="32">
        <f t="shared" si="8"/>
        <v>6807.9491111111047</v>
      </c>
      <c r="K12" s="32">
        <f t="shared" si="8"/>
        <v>7331.3967999999986</v>
      </c>
      <c r="L12" s="32">
        <f t="shared" si="8"/>
        <v>6779.8628688888903</v>
      </c>
      <c r="M12" s="32">
        <f t="shared" si="8"/>
        <v>7245.8491557777834</v>
      </c>
      <c r="N12" s="33">
        <f t="shared" si="8"/>
        <v>6831.1076824666807</v>
      </c>
      <c r="O12" s="36"/>
      <c r="P12" s="31" t="s">
        <v>78</v>
      </c>
      <c r="Q12" s="34">
        <f t="shared" ref="Q12:U12" si="9">Q11+Q7</f>
        <v>6831.1076824666807</v>
      </c>
      <c r="R12" s="32">
        <f t="shared" si="9"/>
        <v>7614.1563807333487</v>
      </c>
      <c r="S12" s="32">
        <f t="shared" si="9"/>
        <v>77815.007891640038</v>
      </c>
      <c r="T12" s="32">
        <f t="shared" si="9"/>
        <v>249168.57682466682</v>
      </c>
      <c r="U12" s="33">
        <f t="shared" si="9"/>
        <v>511559.59143760166</v>
      </c>
      <c r="V12" s="25"/>
      <c r="W12" s="25"/>
      <c r="X12" s="25"/>
      <c r="Y12" s="25"/>
      <c r="Z12" s="25"/>
      <c r="AA12" s="25"/>
    </row>
    <row r="13" spans="1:27" ht="15.75" customHeight="1" x14ac:dyDescent="0.25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Q13" s="9">
        <f t="shared" ref="Q13:Q16" si="10">N13</f>
        <v>0</v>
      </c>
      <c r="R13" s="9"/>
      <c r="S13" s="9"/>
      <c r="T13" s="9"/>
      <c r="U13" s="9"/>
    </row>
    <row r="14" spans="1:27" ht="15.75" customHeight="1" x14ac:dyDescent="0.35">
      <c r="B14" s="22" t="s">
        <v>79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22" t="s">
        <v>79</v>
      </c>
      <c r="Q14" s="9">
        <f t="shared" si="10"/>
        <v>0</v>
      </c>
      <c r="R14" s="9"/>
      <c r="S14" s="9"/>
      <c r="T14" s="9"/>
      <c r="U14" s="9"/>
    </row>
    <row r="15" spans="1:27" ht="15.75" customHeight="1" x14ac:dyDescent="0.25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Q15" s="9">
        <f t="shared" si="10"/>
        <v>0</v>
      </c>
      <c r="R15" s="9"/>
      <c r="S15" s="9"/>
      <c r="T15" s="9"/>
      <c r="U15" s="9"/>
    </row>
    <row r="16" spans="1:27" ht="15.75" customHeight="1" x14ac:dyDescent="0.25">
      <c r="B16" s="1" t="s">
        <v>80</v>
      </c>
      <c r="C16" s="9">
        <f>Cashflow!C7</f>
        <v>38000</v>
      </c>
      <c r="D16" s="9">
        <f>C16+Cashflow!D7</f>
        <v>69000</v>
      </c>
      <c r="E16" s="9">
        <f>D16+Cashflow!E7</f>
        <v>99300</v>
      </c>
      <c r="F16" s="9">
        <f>E16+Cashflow!F7</f>
        <v>130300</v>
      </c>
      <c r="G16" s="9">
        <f>F16+Cashflow!G7</f>
        <v>154300</v>
      </c>
      <c r="H16" s="9">
        <f>G16+Cashflow!H7</f>
        <v>178300</v>
      </c>
      <c r="I16" s="9">
        <f>H16+Cashflow!I7</f>
        <v>201100</v>
      </c>
      <c r="J16" s="9">
        <f>I16+Cashflow!J7</f>
        <v>223300</v>
      </c>
      <c r="K16" s="9">
        <f>J16+Cashflow!K7</f>
        <v>245300</v>
      </c>
      <c r="L16" s="9">
        <f>K16+Cashflow!L7</f>
        <v>265300</v>
      </c>
      <c r="M16" s="9">
        <f>L16+Cashflow!M7</f>
        <v>285300</v>
      </c>
      <c r="N16" s="9">
        <f>M16+Cashflow!N7</f>
        <v>303300</v>
      </c>
      <c r="O16" s="9"/>
      <c r="P16" s="1" t="s">
        <v>80</v>
      </c>
      <c r="Q16" s="9">
        <f t="shared" si="10"/>
        <v>303300</v>
      </c>
      <c r="R16" s="9">
        <f>Q16+Cashflow!R7</f>
        <v>348300</v>
      </c>
      <c r="S16" s="9">
        <f>R16+Cashflow!S7</f>
        <v>348300</v>
      </c>
      <c r="T16" s="9">
        <f>S16+Cashflow!T7</f>
        <v>348300</v>
      </c>
      <c r="U16" s="9">
        <f>T16+Cashflow!U7</f>
        <v>348300</v>
      </c>
    </row>
    <row r="17" spans="1:27" ht="15.75" customHeight="1" x14ac:dyDescent="0.25">
      <c r="B17" s="1" t="s">
        <v>81</v>
      </c>
      <c r="C17" s="8">
        <v>0</v>
      </c>
      <c r="D17" s="9">
        <f t="shared" ref="D17:N17" si="11">C18+C17</f>
        <v>-30726.736111111113</v>
      </c>
      <c r="E17" s="9">
        <f t="shared" si="11"/>
        <v>-61453.472222222226</v>
      </c>
      <c r="F17" s="9">
        <f t="shared" si="11"/>
        <v>-92180.208333333343</v>
      </c>
      <c r="G17" s="9">
        <f t="shared" si="11"/>
        <v>-122906.94444444445</v>
      </c>
      <c r="H17" s="9">
        <f t="shared" si="11"/>
        <v>-147315.68055555556</v>
      </c>
      <c r="I17" s="9">
        <f t="shared" si="11"/>
        <v>-171092.61666666667</v>
      </c>
      <c r="J17" s="9">
        <f t="shared" si="11"/>
        <v>-194174.57277777779</v>
      </c>
      <c r="K17" s="9">
        <f t="shared" si="11"/>
        <v>-216492.05088888889</v>
      </c>
      <c r="L17" s="9">
        <f t="shared" si="11"/>
        <v>-237968.60319999998</v>
      </c>
      <c r="M17" s="9">
        <f t="shared" si="11"/>
        <v>-258520.13713111109</v>
      </c>
      <c r="N17" s="9">
        <f t="shared" si="11"/>
        <v>-278054.15084422217</v>
      </c>
      <c r="O17" s="9"/>
      <c r="P17" s="1" t="s">
        <v>81</v>
      </c>
      <c r="Q17" s="9">
        <f>C17</f>
        <v>0</v>
      </c>
      <c r="R17" s="9">
        <f>Q18</f>
        <v>-296468.89231753326</v>
      </c>
      <c r="S17" s="9">
        <f t="shared" ref="S17:U17" si="12">R18+R17</f>
        <v>-340685.84361926658</v>
      </c>
      <c r="T17" s="9">
        <f t="shared" si="12"/>
        <v>-270484.99210835987</v>
      </c>
      <c r="U17" s="9">
        <f t="shared" si="12"/>
        <v>-99131.423175333126</v>
      </c>
    </row>
    <row r="18" spans="1:27" ht="15.75" customHeight="1" x14ac:dyDescent="0.25">
      <c r="B18" s="1" t="s">
        <v>82</v>
      </c>
      <c r="C18" s="9">
        <f>'Income statement'!C26</f>
        <v>-30726.736111111113</v>
      </c>
      <c r="D18" s="9">
        <f>'Income statement'!D26</f>
        <v>-30726.736111111113</v>
      </c>
      <c r="E18" s="9">
        <f>'Income statement'!E26</f>
        <v>-30726.736111111113</v>
      </c>
      <c r="F18" s="9">
        <f>'Income statement'!F26</f>
        <v>-30726.736111111113</v>
      </c>
      <c r="G18" s="9">
        <f>'Income statement'!G26</f>
        <v>-24408.736111111113</v>
      </c>
      <c r="H18" s="9">
        <f>'Income statement'!H26</f>
        <v>-23776.93611111111</v>
      </c>
      <c r="I18" s="9">
        <f>'Income statement'!I26</f>
        <v>-23081.956111111111</v>
      </c>
      <c r="J18" s="9">
        <f>'Income statement'!J26</f>
        <v>-22317.478111111108</v>
      </c>
      <c r="K18" s="9">
        <f>'Income statement'!K26</f>
        <v>-21476.552311111107</v>
      </c>
      <c r="L18" s="9">
        <f>'Income statement'!L26</f>
        <v>-20551.533931111109</v>
      </c>
      <c r="M18" s="9">
        <f>'Income statement'!M26</f>
        <v>-19534.013713111108</v>
      </c>
      <c r="N18" s="9">
        <f>'Income statement'!N26</f>
        <v>-18414.741473311104</v>
      </c>
      <c r="O18" s="9"/>
      <c r="P18" s="1" t="s">
        <v>82</v>
      </c>
      <c r="Q18" s="9">
        <f>N18+N17</f>
        <v>-296468.89231753326</v>
      </c>
      <c r="R18" s="9">
        <f>'Income statement'!R26</f>
        <v>-44216.951301733323</v>
      </c>
      <c r="S18" s="9">
        <f>'Income statement'!S26</f>
        <v>70200.851510906694</v>
      </c>
      <c r="T18" s="9">
        <f>'Income statement'!T26</f>
        <v>171353.56893302675</v>
      </c>
      <c r="U18" s="9">
        <f>'Income statement'!U26</f>
        <v>262391.01461293484</v>
      </c>
    </row>
    <row r="19" spans="1:27" ht="15.75" customHeight="1" x14ac:dyDescent="0.25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Q19" s="9">
        <f>N19</f>
        <v>0</v>
      </c>
      <c r="R19" s="9"/>
      <c r="S19" s="9"/>
      <c r="T19" s="9"/>
      <c r="U19" s="9"/>
    </row>
    <row r="20" spans="1:27" ht="15.5" x14ac:dyDescent="0.35">
      <c r="A20" s="25"/>
      <c r="B20" s="22" t="s">
        <v>83</v>
      </c>
      <c r="C20" s="36">
        <f t="shared" ref="C20:N20" si="13">SUM(C15:C18)</f>
        <v>7273.2638888888869</v>
      </c>
      <c r="D20" s="36">
        <f t="shared" si="13"/>
        <v>7546.5277777777774</v>
      </c>
      <c r="E20" s="36">
        <f t="shared" si="13"/>
        <v>7119.7916666666606</v>
      </c>
      <c r="F20" s="36">
        <f t="shared" si="13"/>
        <v>7393.0555555555438</v>
      </c>
      <c r="G20" s="36">
        <f t="shared" si="13"/>
        <v>6984.3194444444343</v>
      </c>
      <c r="H20" s="36">
        <f t="shared" si="13"/>
        <v>7207.3833333333278</v>
      </c>
      <c r="I20" s="36">
        <f t="shared" si="13"/>
        <v>6925.4272222222207</v>
      </c>
      <c r="J20" s="36">
        <f t="shared" si="13"/>
        <v>6807.9491111110983</v>
      </c>
      <c r="K20" s="36">
        <f t="shared" si="13"/>
        <v>7331.3968000000059</v>
      </c>
      <c r="L20" s="36">
        <f t="shared" si="13"/>
        <v>6779.8628688889075</v>
      </c>
      <c r="M20" s="36">
        <f t="shared" si="13"/>
        <v>7245.849155777807</v>
      </c>
      <c r="N20" s="36">
        <f t="shared" si="13"/>
        <v>6831.1076824667289</v>
      </c>
      <c r="O20" s="36"/>
      <c r="P20" s="22" t="s">
        <v>83</v>
      </c>
      <c r="Q20" s="36">
        <f t="shared" ref="Q20:U20" si="14">SUM(Q15:Q18)</f>
        <v>6831.1076824667398</v>
      </c>
      <c r="R20" s="36">
        <f t="shared" si="14"/>
        <v>7614.1563807334169</v>
      </c>
      <c r="S20" s="36">
        <f t="shared" si="14"/>
        <v>77815.007891640111</v>
      </c>
      <c r="T20" s="36">
        <f t="shared" si="14"/>
        <v>249168.57682466687</v>
      </c>
      <c r="U20" s="36">
        <f t="shared" si="14"/>
        <v>511559.59143760172</v>
      </c>
      <c r="V20" s="25"/>
      <c r="W20" s="25"/>
      <c r="X20" s="25"/>
      <c r="Y20" s="25"/>
      <c r="Z20" s="25"/>
      <c r="AA20" s="25"/>
    </row>
    <row r="21" spans="1:27" ht="12.5" x14ac:dyDescent="0.25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Q21" s="16">
        <f>N21</f>
        <v>0</v>
      </c>
      <c r="R21" s="16"/>
      <c r="S21" s="16"/>
      <c r="T21" s="16"/>
      <c r="U21" s="16"/>
    </row>
    <row r="22" spans="1:27" ht="12.5" x14ac:dyDescent="0.25">
      <c r="B22" s="1" t="s">
        <v>84</v>
      </c>
      <c r="C22" s="38">
        <f t="shared" ref="C22:N22" si="15">C20-C12</f>
        <v>0</v>
      </c>
      <c r="D22" s="38">
        <f t="shared" si="15"/>
        <v>0</v>
      </c>
      <c r="E22" s="38">
        <f t="shared" si="15"/>
        <v>0</v>
      </c>
      <c r="F22" s="38">
        <f t="shared" si="15"/>
        <v>0</v>
      </c>
      <c r="G22" s="38">
        <f t="shared" si="15"/>
        <v>0</v>
      </c>
      <c r="H22" s="38">
        <f t="shared" si="15"/>
        <v>0</v>
      </c>
      <c r="I22" s="38">
        <f t="shared" si="15"/>
        <v>9.0949470177292824E-12</v>
      </c>
      <c r="J22" s="38">
        <f t="shared" si="15"/>
        <v>0</v>
      </c>
      <c r="K22" s="38">
        <f t="shared" si="15"/>
        <v>7.2759576141834259E-12</v>
      </c>
      <c r="L22" s="38">
        <f t="shared" si="15"/>
        <v>1.7280399333685637E-11</v>
      </c>
      <c r="M22" s="38">
        <f t="shared" si="15"/>
        <v>2.3646862246096134E-11</v>
      </c>
      <c r="N22" s="38">
        <f t="shared" si="15"/>
        <v>4.8203219193965197E-11</v>
      </c>
      <c r="O22" s="38"/>
      <c r="P22" s="1" t="s">
        <v>84</v>
      </c>
      <c r="Q22" s="38">
        <f t="shared" ref="Q22:U22" si="16">Q20-Q12</f>
        <v>5.9117155615240335E-11</v>
      </c>
      <c r="R22" s="38">
        <f t="shared" si="16"/>
        <v>6.8212102632969618E-11</v>
      </c>
      <c r="S22" s="38">
        <f t="shared" si="16"/>
        <v>0</v>
      </c>
      <c r="T22" s="38">
        <f t="shared" si="16"/>
        <v>0</v>
      </c>
      <c r="U22" s="38">
        <f t="shared" si="16"/>
        <v>0</v>
      </c>
    </row>
  </sheetData>
  <mergeCells count="1">
    <mergeCell ref="P1:Q1"/>
  </mergeCells>
  <conditionalFormatting sqref="C4:O20 Q4:U20">
    <cfRule type="cellIs" dxfId="0" priority="1" operator="lessThan">
      <formula>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Sales Forecast</vt:lpstr>
      <vt:lpstr>Break-even </vt:lpstr>
      <vt:lpstr>Product cost structure</vt:lpstr>
      <vt:lpstr>Equipment</vt:lpstr>
      <vt:lpstr>Payroll</vt:lpstr>
      <vt:lpstr>Fixed and Variable Costs</vt:lpstr>
      <vt:lpstr>Cashflow</vt:lpstr>
      <vt:lpstr>Income statement</vt:lpstr>
      <vt:lpstr>Balance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Dressler</cp:lastModifiedBy>
  <dcterms:modified xsi:type="dcterms:W3CDTF">2020-01-22T10:50:45Z</dcterms:modified>
</cp:coreProperties>
</file>