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Electrobounce\"/>
    </mc:Choice>
  </mc:AlternateContent>
  <bookViews>
    <workbookView xWindow="0" yWindow="0" windowWidth="25200" windowHeight="12075" tabRatio="876" activeTab="12"/>
  </bookViews>
  <sheets>
    <sheet name="U vs Vd images" sheetId="22" r:id="rId1"/>
    <sheet name="We vs Vd images" sheetId="23" r:id="rId2"/>
    <sheet name="U vs Vd all Big Rs" sheetId="19" r:id="rId3"/>
    <sheet name="We vs Vd all big Rs" sheetId="20" r:id="rId4"/>
    <sheet name="U vs Vd all YK dished" sheetId="24" r:id="rId5"/>
    <sheet name="We vs Vd all YK dished" sheetId="25" r:id="rId6"/>
    <sheet name="U vs Vd curves" sheetId="15" r:id="rId7"/>
    <sheet name="Chart2" sheetId="12" r:id="rId8"/>
    <sheet name="Chart4" sheetId="18" r:id="rId9"/>
    <sheet name="Sheet3" sheetId="6" r:id="rId10"/>
    <sheet name="Sheet5" sheetId="8" r:id="rId11"/>
    <sheet name="calculation sheet" sheetId="9" r:id="rId12"/>
    <sheet name="Sheet7" sheetId="13" r:id="rId13"/>
    <sheet name="Data_UvV" sheetId="26" r:id="rId14"/>
    <sheet name="modified SEFIT_YK_BA" sheetId="16" r:id="rId15"/>
  </sheets>
  <externalReferences>
    <externalReference r:id="rId16"/>
    <externalReference r:id="rId17"/>
    <externalReference r:id="rId18"/>
  </externalReferences>
  <definedNames>
    <definedName name="_xlnm._FilterDatabase" localSheetId="12" hidden="1">Sheet7!$B$22:$C$36</definedName>
  </definedNames>
  <calcPr calcId="162913"/>
</workbook>
</file>

<file path=xl/calcChain.xml><?xml version="1.0" encoding="utf-8"?>
<calcChain xmlns="http://schemas.openxmlformats.org/spreadsheetml/2006/main">
  <c r="U7" i="13" l="1"/>
  <c r="U8" i="13"/>
  <c r="U9" i="13"/>
  <c r="U10" i="13"/>
  <c r="U11" i="13"/>
  <c r="U12" i="13"/>
  <c r="U13" i="13"/>
  <c r="U14" i="13"/>
  <c r="U15" i="13"/>
  <c r="U16" i="13"/>
  <c r="U17" i="13"/>
  <c r="U18" i="13"/>
  <c r="U6" i="13"/>
  <c r="G5" i="26" l="1"/>
  <c r="G4" i="26"/>
  <c r="G3" i="26"/>
  <c r="G2" i="26"/>
  <c r="AI6" i="16" l="1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5" i="16"/>
  <c r="AA8" i="16"/>
  <c r="AB8" i="16" s="1"/>
  <c r="AA16" i="16"/>
  <c r="AB16" i="16" s="1"/>
  <c r="AA32" i="16"/>
  <c r="AB32" i="16" s="1"/>
  <c r="Z6" i="16"/>
  <c r="AE6" i="16" s="1"/>
  <c r="Z7" i="16"/>
  <c r="AE7" i="16" s="1"/>
  <c r="Z8" i="16"/>
  <c r="AE8" i="16" s="1"/>
  <c r="Z9" i="16"/>
  <c r="AA9" i="16" s="1"/>
  <c r="AB9" i="16" s="1"/>
  <c r="Z10" i="16"/>
  <c r="AE10" i="16" s="1"/>
  <c r="Z11" i="16"/>
  <c r="AE11" i="16" s="1"/>
  <c r="Z12" i="16"/>
  <c r="AE12" i="16" s="1"/>
  <c r="Z13" i="16"/>
  <c r="AA13" i="16" s="1"/>
  <c r="AB13" i="16" s="1"/>
  <c r="Z14" i="16"/>
  <c r="AE14" i="16" s="1"/>
  <c r="Z15" i="16"/>
  <c r="AE15" i="16" s="1"/>
  <c r="Z16" i="16"/>
  <c r="AE16" i="16" s="1"/>
  <c r="Z17" i="16"/>
  <c r="AA17" i="16" s="1"/>
  <c r="AB17" i="16" s="1"/>
  <c r="Z18" i="16"/>
  <c r="AE18" i="16" s="1"/>
  <c r="Z19" i="16"/>
  <c r="AE19" i="16" s="1"/>
  <c r="Z20" i="16"/>
  <c r="AE20" i="16" s="1"/>
  <c r="Z21" i="16"/>
  <c r="AA21" i="16" s="1"/>
  <c r="AB21" i="16" s="1"/>
  <c r="Z22" i="16"/>
  <c r="AE22" i="16" s="1"/>
  <c r="Z23" i="16"/>
  <c r="AE23" i="16" s="1"/>
  <c r="Z24" i="16"/>
  <c r="AE24" i="16" s="1"/>
  <c r="Z25" i="16"/>
  <c r="AA25" i="16" s="1"/>
  <c r="AB25" i="16" s="1"/>
  <c r="Z26" i="16"/>
  <c r="AE26" i="16" s="1"/>
  <c r="Z27" i="16"/>
  <c r="AE27" i="16" s="1"/>
  <c r="Z28" i="16"/>
  <c r="AE28" i="16" s="1"/>
  <c r="Z29" i="16"/>
  <c r="AA29" i="16" s="1"/>
  <c r="AB29" i="16" s="1"/>
  <c r="Z30" i="16"/>
  <c r="AE30" i="16" s="1"/>
  <c r="Z31" i="16"/>
  <c r="AE31" i="16" s="1"/>
  <c r="Z32" i="16"/>
  <c r="AE32" i="16" s="1"/>
  <c r="Z33" i="16"/>
  <c r="AA33" i="16" s="1"/>
  <c r="AB33" i="16" s="1"/>
  <c r="Z5" i="16"/>
  <c r="AE5" i="16" s="1"/>
  <c r="AA20" i="16" l="1"/>
  <c r="AB20" i="16" s="1"/>
  <c r="AE33" i="16"/>
  <c r="AE17" i="16"/>
  <c r="AE29" i="16"/>
  <c r="AE13" i="16"/>
  <c r="AA28" i="16"/>
  <c r="AB28" i="16" s="1"/>
  <c r="AA12" i="16"/>
  <c r="AB12" i="16" s="1"/>
  <c r="AE25" i="16"/>
  <c r="AE9" i="16"/>
  <c r="AA24" i="16"/>
  <c r="AB24" i="16" s="1"/>
  <c r="AE21" i="16"/>
  <c r="AA31" i="16"/>
  <c r="AB31" i="16" s="1"/>
  <c r="AA27" i="16"/>
  <c r="AB27" i="16" s="1"/>
  <c r="AA23" i="16"/>
  <c r="AB23" i="16" s="1"/>
  <c r="AA19" i="16"/>
  <c r="AB19" i="16" s="1"/>
  <c r="AC19" i="16" s="1"/>
  <c r="AA15" i="16"/>
  <c r="AB15" i="16" s="1"/>
  <c r="AA11" i="16"/>
  <c r="AB11" i="16" s="1"/>
  <c r="AA7" i="16"/>
  <c r="AB7" i="16" s="1"/>
  <c r="AA5" i="16"/>
  <c r="AB5" i="16" s="1"/>
  <c r="AF5" i="16" s="1"/>
  <c r="AA30" i="16"/>
  <c r="AB30" i="16" s="1"/>
  <c r="AA26" i="16"/>
  <c r="AB26" i="16" s="1"/>
  <c r="AA22" i="16"/>
  <c r="AB22" i="16" s="1"/>
  <c r="AA18" i="16"/>
  <c r="AB18" i="16" s="1"/>
  <c r="AC18" i="16" s="1"/>
  <c r="AA14" i="16"/>
  <c r="AB14" i="16" s="1"/>
  <c r="AA10" i="16"/>
  <c r="AB10" i="16" s="1"/>
  <c r="AA6" i="16"/>
  <c r="AB6" i="16" s="1"/>
  <c r="AF30" i="16"/>
  <c r="AC30" i="16"/>
  <c r="AD30" i="16"/>
  <c r="AF28" i="16"/>
  <c r="AC28" i="16"/>
  <c r="AD28" i="16"/>
  <c r="AF24" i="16"/>
  <c r="AC24" i="16"/>
  <c r="AD24" i="16"/>
  <c r="AF22" i="16"/>
  <c r="AC22" i="16"/>
  <c r="AD22" i="16"/>
  <c r="AF18" i="16"/>
  <c r="AF16" i="16"/>
  <c r="AC16" i="16"/>
  <c r="AD16" i="16"/>
  <c r="AF14" i="16"/>
  <c r="AC14" i="16"/>
  <c r="AD14" i="16"/>
  <c r="AF12" i="16"/>
  <c r="AC12" i="16"/>
  <c r="AD12" i="16"/>
  <c r="AF10" i="16"/>
  <c r="AC10" i="16"/>
  <c r="AD10" i="16"/>
  <c r="AF6" i="16"/>
  <c r="AC6" i="16"/>
  <c r="AD6" i="16"/>
  <c r="AC33" i="16"/>
  <c r="AD33" i="16"/>
  <c r="AF33" i="16"/>
  <c r="AF32" i="16"/>
  <c r="AC32" i="16"/>
  <c r="AD32" i="16"/>
  <c r="AF26" i="16"/>
  <c r="AC26" i="16"/>
  <c r="AD26" i="16"/>
  <c r="AF20" i="16"/>
  <c r="AC20" i="16"/>
  <c r="AD20" i="16"/>
  <c r="AF8" i="16"/>
  <c r="AC8" i="16"/>
  <c r="AD8" i="16"/>
  <c r="AC31" i="16"/>
  <c r="AD31" i="16"/>
  <c r="AF31" i="16"/>
  <c r="AC29" i="16"/>
  <c r="AD29" i="16"/>
  <c r="AF29" i="16"/>
  <c r="AC27" i="16"/>
  <c r="AD27" i="16"/>
  <c r="AF27" i="16"/>
  <c r="AC25" i="16"/>
  <c r="AD25" i="16"/>
  <c r="AF25" i="16"/>
  <c r="AC23" i="16"/>
  <c r="AD23" i="16"/>
  <c r="AF23" i="16"/>
  <c r="AC21" i="16"/>
  <c r="AD21" i="16"/>
  <c r="AF21" i="16"/>
  <c r="AF19" i="16"/>
  <c r="AC17" i="16"/>
  <c r="AD17" i="16"/>
  <c r="AF17" i="16"/>
  <c r="AC15" i="16"/>
  <c r="AD15" i="16"/>
  <c r="AF15" i="16"/>
  <c r="AC13" i="16"/>
  <c r="AD13" i="16"/>
  <c r="AF13" i="16"/>
  <c r="AC11" i="16"/>
  <c r="AD11" i="16"/>
  <c r="AF11" i="16"/>
  <c r="AC9" i="16"/>
  <c r="AD9" i="16"/>
  <c r="AF9" i="16"/>
  <c r="AC7" i="16"/>
  <c r="AD7" i="16"/>
  <c r="AF7" i="16"/>
  <c r="D49" i="9"/>
  <c r="D48" i="9"/>
  <c r="D47" i="9"/>
  <c r="AG13" i="16" l="1"/>
  <c r="AH13" i="16" s="1"/>
  <c r="AD19" i="16"/>
  <c r="AD5" i="16"/>
  <c r="AC5" i="16"/>
  <c r="AG5" i="16" s="1"/>
  <c r="AH5" i="16" s="1"/>
  <c r="AD18" i="16"/>
  <c r="AG9" i="16"/>
  <c r="AH9" i="16" s="1"/>
  <c r="AG17" i="16"/>
  <c r="AH17" i="16" s="1"/>
  <c r="AG21" i="16"/>
  <c r="AH21" i="16" s="1"/>
  <c r="AG25" i="16"/>
  <c r="AH25" i="16" s="1"/>
  <c r="AG29" i="16"/>
  <c r="AH29" i="16" s="1"/>
  <c r="AG8" i="16"/>
  <c r="AH8" i="16" s="1"/>
  <c r="AG26" i="16"/>
  <c r="AH26" i="16" s="1"/>
  <c r="AG10" i="16"/>
  <c r="AH10" i="16" s="1"/>
  <c r="AG14" i="16"/>
  <c r="AH14" i="16" s="1"/>
  <c r="AG18" i="16"/>
  <c r="AH18" i="16" s="1"/>
  <c r="AG24" i="16"/>
  <c r="AH24" i="16" s="1"/>
  <c r="AG30" i="16"/>
  <c r="AH30" i="16" s="1"/>
  <c r="AG7" i="16"/>
  <c r="AH7" i="16" s="1"/>
  <c r="AG11" i="16"/>
  <c r="AH11" i="16" s="1"/>
  <c r="AG15" i="16"/>
  <c r="AH15" i="16" s="1"/>
  <c r="AG19" i="16"/>
  <c r="AH19" i="16" s="1"/>
  <c r="AG23" i="16"/>
  <c r="AH23" i="16" s="1"/>
  <c r="AG27" i="16"/>
  <c r="AH27" i="16" s="1"/>
  <c r="AG31" i="16"/>
  <c r="AH31" i="16" s="1"/>
  <c r="AG20" i="16"/>
  <c r="AH20" i="16" s="1"/>
  <c r="AG32" i="16"/>
  <c r="AH32" i="16" s="1"/>
  <c r="AG33" i="16"/>
  <c r="AH33" i="16" s="1"/>
  <c r="AG6" i="16"/>
  <c r="AH6" i="16" s="1"/>
  <c r="AG12" i="16"/>
  <c r="AH12" i="16" s="1"/>
  <c r="AG16" i="16"/>
  <c r="AH16" i="16" s="1"/>
  <c r="AG22" i="16"/>
  <c r="AH22" i="16" s="1"/>
  <c r="AG28" i="16"/>
  <c r="AH28" i="16" s="1"/>
  <c r="D39" i="9"/>
  <c r="D40" i="9"/>
  <c r="D41" i="9"/>
  <c r="D42" i="9"/>
  <c r="D43" i="9"/>
  <c r="D44" i="9"/>
  <c r="D45" i="9"/>
  <c r="D46" i="9"/>
  <c r="D38" i="9"/>
  <c r="J6" i="16" l="1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5" i="16"/>
  <c r="H40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5" i="16"/>
  <c r="K29" i="16" l="1"/>
  <c r="L29" i="16" s="1"/>
  <c r="N29" i="16" s="1"/>
  <c r="R29" i="16" s="1"/>
  <c r="F29" i="16"/>
  <c r="D29" i="16"/>
  <c r="B29" i="16"/>
  <c r="K5" i="16"/>
  <c r="L5" i="16" s="1"/>
  <c r="N5" i="16" s="1"/>
  <c r="R5" i="16" s="1"/>
  <c r="F5" i="16"/>
  <c r="D5" i="16"/>
  <c r="B5" i="16"/>
  <c r="K9" i="16"/>
  <c r="L9" i="16" s="1"/>
  <c r="N9" i="16" s="1"/>
  <c r="K10" i="16"/>
  <c r="L10" i="16" s="1"/>
  <c r="N10" i="16" s="1"/>
  <c r="F9" i="16"/>
  <c r="F10" i="16"/>
  <c r="D9" i="16"/>
  <c r="D10" i="16"/>
  <c r="B9" i="16"/>
  <c r="B10" i="16"/>
  <c r="O10" i="16" l="1"/>
  <c r="S10" i="16" s="1"/>
  <c r="T10" i="16" s="1"/>
  <c r="R10" i="16"/>
  <c r="Q10" i="16"/>
  <c r="W10" i="16" s="1"/>
  <c r="X10" i="16" s="1"/>
  <c r="R9" i="16"/>
  <c r="Q9" i="16"/>
  <c r="W9" i="16" s="1"/>
  <c r="X9" i="16" s="1"/>
  <c r="P10" i="16"/>
  <c r="U10" i="16" s="1"/>
  <c r="V10" i="16" s="1"/>
  <c r="Q29" i="16"/>
  <c r="W29" i="16" s="1"/>
  <c r="X29" i="16" s="1"/>
  <c r="Q5" i="16"/>
  <c r="W5" i="16" s="1"/>
  <c r="X5" i="16" s="1"/>
  <c r="O29" i="16"/>
  <c r="S29" i="16" s="1"/>
  <c r="T29" i="16" s="1"/>
  <c r="O9" i="16"/>
  <c r="S9" i="16" s="1"/>
  <c r="T9" i="16" s="1"/>
  <c r="P9" i="16"/>
  <c r="U9" i="16" s="1"/>
  <c r="V9" i="16" s="1"/>
  <c r="P5" i="16"/>
  <c r="U5" i="16" s="1"/>
  <c r="V5" i="16" s="1"/>
  <c r="P29" i="16"/>
  <c r="U29" i="16" s="1"/>
  <c r="V29" i="16" s="1"/>
  <c r="O5" i="16"/>
  <c r="S5" i="16" s="1"/>
  <c r="T5" i="16" s="1"/>
  <c r="K33" i="16"/>
  <c r="L33" i="16" s="1"/>
  <c r="N33" i="16" s="1"/>
  <c r="F33" i="16"/>
  <c r="D33" i="16"/>
  <c r="B33" i="16"/>
  <c r="L32" i="16"/>
  <c r="N32" i="16" s="1"/>
  <c r="K32" i="16"/>
  <c r="F32" i="16"/>
  <c r="D32" i="16"/>
  <c r="B32" i="16"/>
  <c r="K31" i="16"/>
  <c r="L31" i="16" s="1"/>
  <c r="N31" i="16" s="1"/>
  <c r="F31" i="16"/>
  <c r="D31" i="16"/>
  <c r="O31" i="16" s="1"/>
  <c r="S31" i="16" s="1"/>
  <c r="T31" i="16" s="1"/>
  <c r="B31" i="16"/>
  <c r="K30" i="16"/>
  <c r="L30" i="16" s="1"/>
  <c r="N30" i="16" s="1"/>
  <c r="O30" i="16" s="1"/>
  <c r="S30" i="16" s="1"/>
  <c r="T30" i="16" s="1"/>
  <c r="F30" i="16"/>
  <c r="D30" i="16"/>
  <c r="B30" i="16"/>
  <c r="P28" i="16"/>
  <c r="U28" i="16" s="1"/>
  <c r="V28" i="16" s="1"/>
  <c r="K28" i="16"/>
  <c r="L28" i="16" s="1"/>
  <c r="N28" i="16" s="1"/>
  <c r="F28" i="16"/>
  <c r="E28" i="16"/>
  <c r="D28" i="16"/>
  <c r="B28" i="16"/>
  <c r="K27" i="16"/>
  <c r="L27" i="16" s="1"/>
  <c r="N27" i="16" s="1"/>
  <c r="F27" i="16"/>
  <c r="P27" i="16" s="1"/>
  <c r="U27" i="16" s="1"/>
  <c r="V27" i="16" s="1"/>
  <c r="E27" i="16"/>
  <c r="D27" i="16"/>
  <c r="O27" i="16" s="1"/>
  <c r="S27" i="16" s="1"/>
  <c r="T27" i="16" s="1"/>
  <c r="B27" i="16"/>
  <c r="K26" i="16"/>
  <c r="L26" i="16" s="1"/>
  <c r="N26" i="16" s="1"/>
  <c r="E26" i="16"/>
  <c r="F26" i="16" s="1"/>
  <c r="D26" i="16"/>
  <c r="B26" i="16"/>
  <c r="L25" i="16"/>
  <c r="N25" i="16" s="1"/>
  <c r="K25" i="16"/>
  <c r="E25" i="16"/>
  <c r="F25" i="16" s="1"/>
  <c r="D25" i="16"/>
  <c r="B25" i="16"/>
  <c r="K24" i="16"/>
  <c r="L24" i="16" s="1"/>
  <c r="N24" i="16" s="1"/>
  <c r="F24" i="16"/>
  <c r="E24" i="16"/>
  <c r="D24" i="16"/>
  <c r="B24" i="16"/>
  <c r="K23" i="16"/>
  <c r="L23" i="16" s="1"/>
  <c r="N23" i="16" s="1"/>
  <c r="E23" i="16"/>
  <c r="F23" i="16" s="1"/>
  <c r="D23" i="16"/>
  <c r="B23" i="16"/>
  <c r="L22" i="16"/>
  <c r="N22" i="16" s="1"/>
  <c r="K22" i="16"/>
  <c r="E22" i="16"/>
  <c r="F22" i="16" s="1"/>
  <c r="D22" i="16"/>
  <c r="B22" i="16"/>
  <c r="K21" i="16"/>
  <c r="L21" i="16" s="1"/>
  <c r="N21" i="16" s="1"/>
  <c r="E21" i="16"/>
  <c r="F21" i="16" s="1"/>
  <c r="D21" i="16"/>
  <c r="B21" i="16"/>
  <c r="P20" i="16"/>
  <c r="U20" i="16" s="1"/>
  <c r="V20" i="16" s="1"/>
  <c r="K20" i="16"/>
  <c r="L20" i="16" s="1"/>
  <c r="N20" i="16" s="1"/>
  <c r="F20" i="16"/>
  <c r="E20" i="16"/>
  <c r="D20" i="16"/>
  <c r="B20" i="16"/>
  <c r="K19" i="16"/>
  <c r="L19" i="16" s="1"/>
  <c r="N19" i="16" s="1"/>
  <c r="F19" i="16"/>
  <c r="P19" i="16" s="1"/>
  <c r="U19" i="16" s="1"/>
  <c r="V19" i="16" s="1"/>
  <c r="E19" i="16"/>
  <c r="D19" i="16"/>
  <c r="O19" i="16" s="1"/>
  <c r="S19" i="16" s="1"/>
  <c r="T19" i="16" s="1"/>
  <c r="B19" i="16"/>
  <c r="K18" i="16"/>
  <c r="L18" i="16" s="1"/>
  <c r="N18" i="16" s="1"/>
  <c r="E18" i="16"/>
  <c r="F18" i="16" s="1"/>
  <c r="D18" i="16"/>
  <c r="B18" i="16"/>
  <c r="K17" i="16"/>
  <c r="L17" i="16" s="1"/>
  <c r="N17" i="16" s="1"/>
  <c r="E17" i="16"/>
  <c r="F17" i="16" s="1"/>
  <c r="D17" i="16"/>
  <c r="B17" i="16"/>
  <c r="K16" i="16"/>
  <c r="L16" i="16" s="1"/>
  <c r="N16" i="16" s="1"/>
  <c r="F16" i="16"/>
  <c r="E16" i="16"/>
  <c r="D16" i="16"/>
  <c r="B16" i="16"/>
  <c r="L15" i="16"/>
  <c r="N15" i="16" s="1"/>
  <c r="K15" i="16"/>
  <c r="F15" i="16"/>
  <c r="D15" i="16"/>
  <c r="B15" i="16"/>
  <c r="K14" i="16"/>
  <c r="L14" i="16" s="1"/>
  <c r="N14" i="16" s="1"/>
  <c r="F14" i="16"/>
  <c r="P14" i="16" s="1"/>
  <c r="U14" i="16" s="1"/>
  <c r="V14" i="16" s="1"/>
  <c r="D14" i="16"/>
  <c r="O14" i="16" s="1"/>
  <c r="S14" i="16" s="1"/>
  <c r="T14" i="16" s="1"/>
  <c r="B14" i="16"/>
  <c r="K13" i="16"/>
  <c r="L13" i="16" s="1"/>
  <c r="N13" i="16" s="1"/>
  <c r="F13" i="16"/>
  <c r="D13" i="16"/>
  <c r="B13" i="16"/>
  <c r="K12" i="16"/>
  <c r="L12" i="16" s="1"/>
  <c r="N12" i="16" s="1"/>
  <c r="F12" i="16"/>
  <c r="D12" i="16"/>
  <c r="B12" i="16"/>
  <c r="K11" i="16"/>
  <c r="L11" i="16" s="1"/>
  <c r="N11" i="16" s="1"/>
  <c r="F11" i="16"/>
  <c r="D11" i="16"/>
  <c r="B11" i="16"/>
  <c r="O8" i="16"/>
  <c r="K8" i="16"/>
  <c r="L8" i="16" s="1"/>
  <c r="N8" i="16" s="1"/>
  <c r="F8" i="16"/>
  <c r="P8" i="16" s="1"/>
  <c r="D8" i="16"/>
  <c r="B8" i="16"/>
  <c r="K7" i="16"/>
  <c r="L7" i="16" s="1"/>
  <c r="N7" i="16" s="1"/>
  <c r="F7" i="16"/>
  <c r="D7" i="16"/>
  <c r="B7" i="16"/>
  <c r="K6" i="16"/>
  <c r="L6" i="16" s="1"/>
  <c r="N6" i="16" s="1"/>
  <c r="F6" i="16"/>
  <c r="D6" i="16"/>
  <c r="B6" i="16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E29" i="13"/>
  <c r="D29" i="13"/>
  <c r="D28" i="13"/>
  <c r="E28" i="13" s="1"/>
  <c r="D27" i="13"/>
  <c r="E27" i="13" s="1"/>
  <c r="I26" i="13"/>
  <c r="D26" i="13"/>
  <c r="E26" i="13" s="1"/>
  <c r="K25" i="13"/>
  <c r="I25" i="13"/>
  <c r="D25" i="13"/>
  <c r="E25" i="13" s="1"/>
  <c r="K24" i="13"/>
  <c r="I24" i="13"/>
  <c r="D24" i="13"/>
  <c r="E24" i="13" s="1"/>
  <c r="K23" i="13"/>
  <c r="I23" i="13"/>
  <c r="D23" i="13"/>
  <c r="E23" i="13" s="1"/>
  <c r="K22" i="13"/>
  <c r="I22" i="13"/>
  <c r="D22" i="13"/>
  <c r="E22" i="13" s="1"/>
  <c r="K21" i="13"/>
  <c r="I21" i="13"/>
  <c r="K20" i="13"/>
  <c r="I20" i="13"/>
  <c r="K19" i="13"/>
  <c r="I19" i="13"/>
  <c r="K18" i="13"/>
  <c r="I18" i="13"/>
  <c r="K17" i="13"/>
  <c r="I17" i="13"/>
  <c r="J16" i="13"/>
  <c r="K16" i="13" s="1"/>
  <c r="I16" i="13"/>
  <c r="K15" i="13"/>
  <c r="I15" i="13"/>
  <c r="K14" i="13"/>
  <c r="K13" i="13"/>
  <c r="K12" i="13"/>
  <c r="K11" i="13"/>
  <c r="S30" i="9"/>
  <c r="D30" i="9"/>
  <c r="S29" i="9"/>
  <c r="D29" i="9"/>
  <c r="O29" i="9" s="1"/>
  <c r="S28" i="9"/>
  <c r="D28" i="9"/>
  <c r="S27" i="9"/>
  <c r="J27" i="9"/>
  <c r="L27" i="9" s="1"/>
  <c r="E27" i="9"/>
  <c r="I27" i="9" s="1"/>
  <c r="K27" i="9" s="1"/>
  <c r="D27" i="9"/>
  <c r="O27" i="9" s="1"/>
  <c r="P27" i="9" s="1"/>
  <c r="S26" i="9"/>
  <c r="D26" i="9"/>
  <c r="S25" i="9"/>
  <c r="D25" i="9"/>
  <c r="B24" i="9"/>
  <c r="D24" i="9" s="1"/>
  <c r="S23" i="9"/>
  <c r="B23" i="9"/>
  <c r="D23" i="9" s="1"/>
  <c r="B22" i="9"/>
  <c r="S22" i="9" s="1"/>
  <c r="B21" i="9"/>
  <c r="B20" i="9"/>
  <c r="D20" i="9" s="1"/>
  <c r="S19" i="9"/>
  <c r="B19" i="9"/>
  <c r="D19" i="9" s="1"/>
  <c r="B18" i="9"/>
  <c r="S18" i="9" s="1"/>
  <c r="B17" i="9"/>
  <c r="B16" i="9"/>
  <c r="S16" i="9" s="1"/>
  <c r="B15" i="9"/>
  <c r="S15" i="9" s="1"/>
  <c r="B14" i="9"/>
  <c r="S14" i="9" s="1"/>
  <c r="B13" i="9"/>
  <c r="S12" i="9"/>
  <c r="J12" i="9"/>
  <c r="L12" i="9" s="1"/>
  <c r="E12" i="9"/>
  <c r="I12" i="9" s="1"/>
  <c r="K12" i="9" s="1"/>
  <c r="D12" i="9"/>
  <c r="O12" i="9" s="1"/>
  <c r="S11" i="9"/>
  <c r="D11" i="9"/>
  <c r="S10" i="9"/>
  <c r="D10" i="9"/>
  <c r="B9" i="9"/>
  <c r="D9" i="9" s="1"/>
  <c r="S8" i="9"/>
  <c r="B8" i="9"/>
  <c r="D8" i="9" s="1"/>
  <c r="S7" i="9"/>
  <c r="D7" i="9"/>
  <c r="C7" i="9"/>
  <c r="S6" i="9"/>
  <c r="D6" i="9"/>
  <c r="C6" i="9"/>
  <c r="U5" i="9"/>
  <c r="W5" i="9" s="1"/>
  <c r="S5" i="9"/>
  <c r="D5" i="9"/>
  <c r="C5" i="9"/>
  <c r="S4" i="9"/>
  <c r="J4" i="9"/>
  <c r="L4" i="9" s="1"/>
  <c r="E4" i="9"/>
  <c r="I4" i="9" s="1"/>
  <c r="K4" i="9" s="1"/>
  <c r="D4" i="9"/>
  <c r="O4" i="9" s="1"/>
  <c r="P4" i="9" s="1"/>
  <c r="C4" i="9"/>
  <c r="A4" i="9"/>
  <c r="J12" i="8"/>
  <c r="G12" i="8"/>
  <c r="J11" i="8"/>
  <c r="G11" i="8"/>
  <c r="J10" i="8"/>
  <c r="G10" i="8"/>
  <c r="J9" i="8"/>
  <c r="G9" i="8"/>
  <c r="J8" i="8"/>
  <c r="G8" i="8"/>
  <c r="D35" i="6"/>
  <c r="E35" i="6" s="1"/>
  <c r="F35" i="6" s="1"/>
  <c r="H35" i="6" s="1"/>
  <c r="D34" i="6"/>
  <c r="E34" i="6" s="1"/>
  <c r="F34" i="6" s="1"/>
  <c r="H34" i="6" s="1"/>
  <c r="D33" i="6"/>
  <c r="E33" i="6" s="1"/>
  <c r="F33" i="6" s="1"/>
  <c r="H33" i="6" s="1"/>
  <c r="E32" i="6"/>
  <c r="F32" i="6" s="1"/>
  <c r="H32" i="6" s="1"/>
  <c r="D32" i="6"/>
  <c r="D31" i="6"/>
  <c r="E31" i="6" s="1"/>
  <c r="F31" i="6" s="1"/>
  <c r="H31" i="6" s="1"/>
  <c r="D30" i="6"/>
  <c r="E30" i="6" s="1"/>
  <c r="F30" i="6" s="1"/>
  <c r="H30" i="6" s="1"/>
  <c r="D29" i="6"/>
  <c r="E29" i="6" s="1"/>
  <c r="F29" i="6" s="1"/>
  <c r="H29" i="6" s="1"/>
  <c r="N26" i="6"/>
  <c r="J26" i="6"/>
  <c r="K26" i="6" s="1"/>
  <c r="M26" i="6" s="1"/>
  <c r="G26" i="6"/>
  <c r="I26" i="6" s="1"/>
  <c r="O26" i="6" s="1"/>
  <c r="P26" i="6" s="1"/>
  <c r="N25" i="6"/>
  <c r="J25" i="6"/>
  <c r="K25" i="6" s="1"/>
  <c r="M25" i="6" s="1"/>
  <c r="H25" i="6"/>
  <c r="F25" i="6"/>
  <c r="E25" i="6"/>
  <c r="G25" i="6" s="1"/>
  <c r="D48" i="6" s="1"/>
  <c r="G48" i="6" s="1"/>
  <c r="N24" i="6"/>
  <c r="J24" i="6"/>
  <c r="K24" i="6" s="1"/>
  <c r="M24" i="6" s="1"/>
  <c r="F24" i="6"/>
  <c r="G24" i="6" s="1"/>
  <c r="I24" i="6" s="1"/>
  <c r="O24" i="6" s="1"/>
  <c r="P24" i="6" s="1"/>
  <c r="E24" i="6"/>
  <c r="N23" i="6"/>
  <c r="J23" i="6"/>
  <c r="K23" i="6" s="1"/>
  <c r="M23" i="6" s="1"/>
  <c r="F23" i="6"/>
  <c r="E23" i="6"/>
  <c r="G23" i="6" s="1"/>
  <c r="I23" i="6" s="1"/>
  <c r="N22" i="6"/>
  <c r="J22" i="6"/>
  <c r="K22" i="6" s="1"/>
  <c r="M22" i="6" s="1"/>
  <c r="F22" i="6"/>
  <c r="E22" i="6"/>
  <c r="N21" i="6"/>
  <c r="K21" i="6"/>
  <c r="M21" i="6" s="1"/>
  <c r="J21" i="6"/>
  <c r="F21" i="6"/>
  <c r="E21" i="6"/>
  <c r="N20" i="6"/>
  <c r="J20" i="6"/>
  <c r="K20" i="6" s="1"/>
  <c r="M20" i="6" s="1"/>
  <c r="G20" i="6"/>
  <c r="I20" i="6" s="1"/>
  <c r="N16" i="6"/>
  <c r="K16" i="6"/>
  <c r="M16" i="6" s="1"/>
  <c r="J16" i="6"/>
  <c r="G16" i="6"/>
  <c r="I16" i="6" s="1"/>
  <c r="N15" i="6"/>
  <c r="J15" i="6"/>
  <c r="K15" i="6" s="1"/>
  <c r="M15" i="6" s="1"/>
  <c r="F15" i="6"/>
  <c r="E15" i="6"/>
  <c r="G15" i="6" s="1"/>
  <c r="I15" i="6" s="1"/>
  <c r="N14" i="6"/>
  <c r="J14" i="6"/>
  <c r="K14" i="6" s="1"/>
  <c r="M14" i="6" s="1"/>
  <c r="F14" i="6"/>
  <c r="E14" i="6"/>
  <c r="G14" i="6" s="1"/>
  <c r="N13" i="6"/>
  <c r="K13" i="6"/>
  <c r="M13" i="6" s="1"/>
  <c r="J13" i="6"/>
  <c r="G13" i="6"/>
  <c r="I13" i="6" s="1"/>
  <c r="F13" i="6"/>
  <c r="E13" i="6"/>
  <c r="N12" i="6"/>
  <c r="J12" i="6"/>
  <c r="K12" i="6" s="1"/>
  <c r="M12" i="6" s="1"/>
  <c r="F12" i="6"/>
  <c r="E12" i="6"/>
  <c r="N11" i="6"/>
  <c r="K11" i="6"/>
  <c r="M11" i="6" s="1"/>
  <c r="J11" i="6"/>
  <c r="F11" i="6"/>
  <c r="E11" i="6"/>
  <c r="N10" i="6"/>
  <c r="J10" i="6"/>
  <c r="K10" i="6" s="1"/>
  <c r="M10" i="6" s="1"/>
  <c r="G10" i="6"/>
  <c r="I10" i="6" s="1"/>
  <c r="J9" i="6"/>
  <c r="K9" i="6" s="1"/>
  <c r="M9" i="6" s="1"/>
  <c r="G9" i="6"/>
  <c r="I9" i="6" s="1"/>
  <c r="O9" i="6" s="1"/>
  <c r="P9" i="6" s="1"/>
  <c r="J8" i="6"/>
  <c r="K8" i="6" s="1"/>
  <c r="M8" i="6" s="1"/>
  <c r="G8" i="6"/>
  <c r="I8" i="6" s="1"/>
  <c r="O8" i="6" s="1"/>
  <c r="P8" i="6" s="1"/>
  <c r="J7" i="6"/>
  <c r="K7" i="6" s="1"/>
  <c r="M7" i="6" s="1"/>
  <c r="G7" i="6"/>
  <c r="I7" i="6" s="1"/>
  <c r="O7" i="6" s="1"/>
  <c r="P7" i="6" s="1"/>
  <c r="J6" i="6"/>
  <c r="K6" i="6" s="1"/>
  <c r="M6" i="6" s="1"/>
  <c r="F6" i="6"/>
  <c r="E6" i="6"/>
  <c r="J5" i="6"/>
  <c r="K5" i="6" s="1"/>
  <c r="M5" i="6" s="1"/>
  <c r="G5" i="6"/>
  <c r="I5" i="6" s="1"/>
  <c r="O5" i="6" s="1"/>
  <c r="P5" i="6" s="1"/>
  <c r="J4" i="6"/>
  <c r="K4" i="6" s="1"/>
  <c r="M4" i="6" s="1"/>
  <c r="F4" i="6"/>
  <c r="E4" i="6"/>
  <c r="J3" i="6"/>
  <c r="K3" i="6" s="1"/>
  <c r="M3" i="6" s="1"/>
  <c r="G3" i="6"/>
  <c r="I3" i="6" s="1"/>
  <c r="O23" i="6" l="1"/>
  <c r="P23" i="6" s="1"/>
  <c r="S9" i="9"/>
  <c r="S20" i="9"/>
  <c r="S24" i="9"/>
  <c r="E29" i="9"/>
  <c r="I29" i="9" s="1"/>
  <c r="K29" i="9" s="1"/>
  <c r="O15" i="16"/>
  <c r="S15" i="16" s="1"/>
  <c r="T15" i="16" s="1"/>
  <c r="P16" i="16"/>
  <c r="U16" i="16" s="1"/>
  <c r="V16" i="16" s="1"/>
  <c r="P18" i="16"/>
  <c r="U18" i="16" s="1"/>
  <c r="V18" i="16" s="1"/>
  <c r="P26" i="16"/>
  <c r="U26" i="16" s="1"/>
  <c r="V26" i="16" s="1"/>
  <c r="G4" i="6"/>
  <c r="I4" i="6" s="1"/>
  <c r="O4" i="6" s="1"/>
  <c r="P4" i="6" s="1"/>
  <c r="G12" i="6"/>
  <c r="I12" i="6" s="1"/>
  <c r="G21" i="6"/>
  <c r="I21" i="6" s="1"/>
  <c r="O21" i="6" s="1"/>
  <c r="P21" i="6" s="1"/>
  <c r="J29" i="9"/>
  <c r="L29" i="9" s="1"/>
  <c r="U8" i="16"/>
  <c r="V8" i="16" s="1"/>
  <c r="O11" i="16"/>
  <c r="S11" i="16" s="1"/>
  <c r="T11" i="16" s="1"/>
  <c r="O21" i="16"/>
  <c r="S21" i="16" s="1"/>
  <c r="T21" i="16" s="1"/>
  <c r="O22" i="16"/>
  <c r="S22" i="16" s="1"/>
  <c r="T22" i="16" s="1"/>
  <c r="P31" i="16"/>
  <c r="U31" i="16" s="1"/>
  <c r="V31" i="16" s="1"/>
  <c r="O32" i="16"/>
  <c r="S32" i="16" s="1"/>
  <c r="T32" i="16" s="1"/>
  <c r="G6" i="6"/>
  <c r="I6" i="6" s="1"/>
  <c r="G11" i="6"/>
  <c r="I11" i="6" s="1"/>
  <c r="O20" i="6"/>
  <c r="P20" i="6" s="1"/>
  <c r="G22" i="6"/>
  <c r="I22" i="6" s="1"/>
  <c r="O22" i="6" s="1"/>
  <c r="P22" i="6" s="1"/>
  <c r="I25" i="6"/>
  <c r="O25" i="6" s="1"/>
  <c r="P25" i="6" s="1"/>
  <c r="D18" i="9"/>
  <c r="D22" i="9"/>
  <c r="S8" i="16"/>
  <c r="T8" i="16" s="1"/>
  <c r="P17" i="16"/>
  <c r="U17" i="16" s="1"/>
  <c r="V17" i="16" s="1"/>
  <c r="O18" i="16"/>
  <c r="S18" i="16" s="1"/>
  <c r="T18" i="16" s="1"/>
  <c r="P22" i="16"/>
  <c r="U22" i="16" s="1"/>
  <c r="V22" i="16" s="1"/>
  <c r="O26" i="16"/>
  <c r="S26" i="16" s="1"/>
  <c r="T26" i="16" s="1"/>
  <c r="O12" i="6"/>
  <c r="P12" i="6" s="1"/>
  <c r="I30" i="6"/>
  <c r="J30" i="6" s="1"/>
  <c r="O3" i="6"/>
  <c r="P3" i="6" s="1"/>
  <c r="O13" i="6"/>
  <c r="P13" i="6" s="1"/>
  <c r="H14" i="6"/>
  <c r="I14" i="6"/>
  <c r="O14" i="6" s="1"/>
  <c r="P14" i="6" s="1"/>
  <c r="O15" i="6"/>
  <c r="P15" i="6" s="1"/>
  <c r="O16" i="6"/>
  <c r="P16" i="6" s="1"/>
  <c r="O6" i="6"/>
  <c r="P6" i="6" s="1"/>
  <c r="O10" i="6"/>
  <c r="P10" i="6" s="1"/>
  <c r="O11" i="6"/>
  <c r="P11" i="6" s="1"/>
  <c r="I29" i="6"/>
  <c r="J29" i="6" s="1"/>
  <c r="K29" i="6" s="1"/>
  <c r="R6" i="16"/>
  <c r="Q6" i="16"/>
  <c r="W6" i="16" s="1"/>
  <c r="X6" i="16" s="1"/>
  <c r="R23" i="16"/>
  <c r="Q23" i="16"/>
  <c r="W23" i="16" s="1"/>
  <c r="X23" i="16" s="1"/>
  <c r="R33" i="16"/>
  <c r="Q33" i="16"/>
  <c r="W33" i="16" s="1"/>
  <c r="X33" i="16" s="1"/>
  <c r="H13" i="6"/>
  <c r="B48" i="6"/>
  <c r="F48" i="6" s="1"/>
  <c r="D44" i="6"/>
  <c r="G44" i="6" s="1"/>
  <c r="D45" i="6"/>
  <c r="G45" i="6" s="1"/>
  <c r="H22" i="6"/>
  <c r="H24" i="6"/>
  <c r="I32" i="6"/>
  <c r="J32" i="6" s="1"/>
  <c r="I33" i="6"/>
  <c r="J33" i="6" s="1"/>
  <c r="I34" i="6"/>
  <c r="J34" i="6" s="1"/>
  <c r="I35" i="6"/>
  <c r="J35" i="6" s="1"/>
  <c r="O6" i="16"/>
  <c r="S6" i="16" s="1"/>
  <c r="T6" i="16" s="1"/>
  <c r="Q11" i="16"/>
  <c r="W11" i="16" s="1"/>
  <c r="X11" i="16" s="1"/>
  <c r="R11" i="16"/>
  <c r="P11" i="16"/>
  <c r="U11" i="16" s="1"/>
  <c r="V11" i="16" s="1"/>
  <c r="P12" i="16"/>
  <c r="U12" i="16" s="1"/>
  <c r="V12" i="16" s="1"/>
  <c r="O13" i="16"/>
  <c r="S13" i="16" s="1"/>
  <c r="T13" i="16" s="1"/>
  <c r="Q14" i="16"/>
  <c r="W14" i="16" s="1"/>
  <c r="X14" i="16" s="1"/>
  <c r="R14" i="16"/>
  <c r="Q18" i="16"/>
  <c r="W18" i="16" s="1"/>
  <c r="X18" i="16" s="1"/>
  <c r="R18" i="16"/>
  <c r="R20" i="16"/>
  <c r="Q20" i="16"/>
  <c r="W20" i="16" s="1"/>
  <c r="X20" i="16" s="1"/>
  <c r="O20" i="16"/>
  <c r="S20" i="16" s="1"/>
  <c r="T20" i="16" s="1"/>
  <c r="P21" i="16"/>
  <c r="U21" i="16" s="1"/>
  <c r="V21" i="16" s="1"/>
  <c r="O23" i="16"/>
  <c r="S23" i="16" s="1"/>
  <c r="T23" i="16" s="1"/>
  <c r="O25" i="16"/>
  <c r="S25" i="16" s="1"/>
  <c r="T25" i="16" s="1"/>
  <c r="R27" i="16"/>
  <c r="Q27" i="16"/>
  <c r="W27" i="16" s="1"/>
  <c r="X27" i="16" s="1"/>
  <c r="Q31" i="16"/>
  <c r="W31" i="16" s="1"/>
  <c r="X31" i="16" s="1"/>
  <c r="R31" i="16"/>
  <c r="O33" i="16"/>
  <c r="S33" i="16" s="1"/>
  <c r="T33" i="16" s="1"/>
  <c r="I31" i="6"/>
  <c r="J31" i="6" s="1"/>
  <c r="S17" i="9"/>
  <c r="D17" i="9"/>
  <c r="J17" i="9" s="1"/>
  <c r="L17" i="9" s="1"/>
  <c r="O25" i="9"/>
  <c r="Q25" i="9" s="1"/>
  <c r="J25" i="9"/>
  <c r="L25" i="9" s="1"/>
  <c r="E25" i="9"/>
  <c r="I25" i="9" s="1"/>
  <c r="K25" i="9" s="1"/>
  <c r="R13" i="16"/>
  <c r="Q13" i="16"/>
  <c r="W13" i="16" s="1"/>
  <c r="X13" i="16" s="1"/>
  <c r="P13" i="16"/>
  <c r="U13" i="16" s="1"/>
  <c r="V13" i="16" s="1"/>
  <c r="R16" i="16"/>
  <c r="Q16" i="16"/>
  <c r="W16" i="16" s="1"/>
  <c r="X16" i="16" s="1"/>
  <c r="O16" i="16"/>
  <c r="S16" i="16" s="1"/>
  <c r="T16" i="16" s="1"/>
  <c r="Q30" i="16"/>
  <c r="W30" i="16" s="1"/>
  <c r="X30" i="16" s="1"/>
  <c r="R30" i="16"/>
  <c r="B44" i="6"/>
  <c r="F44" i="6" s="1"/>
  <c r="B47" i="6"/>
  <c r="F47" i="6" s="1"/>
  <c r="H21" i="6"/>
  <c r="Q7" i="16"/>
  <c r="W7" i="16" s="1"/>
  <c r="X7" i="16" s="1"/>
  <c r="R7" i="16"/>
  <c r="P7" i="16"/>
  <c r="U7" i="16" s="1"/>
  <c r="V7" i="16" s="1"/>
  <c r="R12" i="16"/>
  <c r="Q12" i="16"/>
  <c r="W12" i="16" s="1"/>
  <c r="X12" i="16" s="1"/>
  <c r="R17" i="16"/>
  <c r="Q17" i="16"/>
  <c r="W17" i="16" s="1"/>
  <c r="X17" i="16" s="1"/>
  <c r="R22" i="16"/>
  <c r="Q22" i="16"/>
  <c r="W22" i="16" s="1"/>
  <c r="X22" i="16" s="1"/>
  <c r="R24" i="16"/>
  <c r="Q24" i="16"/>
  <c r="W24" i="16" s="1"/>
  <c r="X24" i="16" s="1"/>
  <c r="O24" i="16"/>
  <c r="S24" i="16" s="1"/>
  <c r="T24" i="16" s="1"/>
  <c r="P25" i="16"/>
  <c r="U25" i="16" s="1"/>
  <c r="V25" i="16" s="1"/>
  <c r="B45" i="6"/>
  <c r="F45" i="6" s="1"/>
  <c r="O10" i="9"/>
  <c r="Q10" i="9" s="1"/>
  <c r="J10" i="9"/>
  <c r="L10" i="9" s="1"/>
  <c r="E10" i="9"/>
  <c r="I10" i="9" s="1"/>
  <c r="K10" i="9" s="1"/>
  <c r="S21" i="9"/>
  <c r="D21" i="9"/>
  <c r="R25" i="16"/>
  <c r="Q25" i="16"/>
  <c r="W25" i="16" s="1"/>
  <c r="X25" i="16" s="1"/>
  <c r="H12" i="6"/>
  <c r="B46" i="6"/>
  <c r="F46" i="6" s="1"/>
  <c r="H15" i="6"/>
  <c r="D46" i="6"/>
  <c r="G46" i="6" s="1"/>
  <c r="H23" i="6"/>
  <c r="D47" i="6"/>
  <c r="G47" i="6" s="1"/>
  <c r="P6" i="16"/>
  <c r="U6" i="16" s="1"/>
  <c r="V6" i="16" s="1"/>
  <c r="O7" i="16"/>
  <c r="S7" i="16" s="1"/>
  <c r="T7" i="16" s="1"/>
  <c r="R8" i="16"/>
  <c r="Q8" i="16"/>
  <c r="W8" i="16" s="1"/>
  <c r="X8" i="16" s="1"/>
  <c r="O12" i="16"/>
  <c r="S12" i="16" s="1"/>
  <c r="T12" i="16" s="1"/>
  <c r="Q15" i="16"/>
  <c r="W15" i="16" s="1"/>
  <c r="X15" i="16" s="1"/>
  <c r="R15" i="16"/>
  <c r="O17" i="16"/>
  <c r="S17" i="16" s="1"/>
  <c r="T17" i="16" s="1"/>
  <c r="Q19" i="16"/>
  <c r="W19" i="16" s="1"/>
  <c r="X19" i="16" s="1"/>
  <c r="R19" i="16"/>
  <c r="R21" i="16"/>
  <c r="Q21" i="16"/>
  <c r="W21" i="16" s="1"/>
  <c r="X21" i="16" s="1"/>
  <c r="P23" i="16"/>
  <c r="U23" i="16" s="1"/>
  <c r="V23" i="16" s="1"/>
  <c r="P24" i="16"/>
  <c r="U24" i="16" s="1"/>
  <c r="V24" i="16" s="1"/>
  <c r="R26" i="16"/>
  <c r="Q26" i="16"/>
  <c r="W26" i="16" s="1"/>
  <c r="X26" i="16" s="1"/>
  <c r="R28" i="16"/>
  <c r="Q28" i="16"/>
  <c r="W28" i="16" s="1"/>
  <c r="X28" i="16" s="1"/>
  <c r="O28" i="16"/>
  <c r="S28" i="16" s="1"/>
  <c r="T28" i="16" s="1"/>
  <c r="P30" i="16"/>
  <c r="U30" i="16" s="1"/>
  <c r="V30" i="16" s="1"/>
  <c r="R32" i="16"/>
  <c r="Q32" i="16"/>
  <c r="W32" i="16" s="1"/>
  <c r="X32" i="16" s="1"/>
  <c r="P32" i="16"/>
  <c r="U32" i="16" s="1"/>
  <c r="V32" i="16" s="1"/>
  <c r="P33" i="16"/>
  <c r="U33" i="16" s="1"/>
  <c r="V33" i="16" s="1"/>
  <c r="Q12" i="9"/>
  <c r="P12" i="9"/>
  <c r="Q29" i="9"/>
  <c r="P15" i="16"/>
  <c r="U15" i="16" s="1"/>
  <c r="V15" i="16" s="1"/>
  <c r="M12" i="9"/>
  <c r="N12" i="9" s="1"/>
  <c r="M27" i="9"/>
  <c r="N27" i="9" s="1"/>
  <c r="R10" i="9"/>
  <c r="J11" i="9"/>
  <c r="L11" i="9" s="1"/>
  <c r="E11" i="9"/>
  <c r="I11" i="9" s="1"/>
  <c r="K11" i="9" s="1"/>
  <c r="O11" i="9"/>
  <c r="M4" i="9"/>
  <c r="Q4" i="9"/>
  <c r="J5" i="9"/>
  <c r="L5" i="9" s="1"/>
  <c r="E5" i="9"/>
  <c r="I5" i="9" s="1"/>
  <c r="K5" i="9" s="1"/>
  <c r="O5" i="9"/>
  <c r="R5" i="9" s="1"/>
  <c r="J6" i="9"/>
  <c r="L6" i="9" s="1"/>
  <c r="E6" i="9"/>
  <c r="I6" i="9" s="1"/>
  <c r="K6" i="9" s="1"/>
  <c r="O6" i="9"/>
  <c r="R6" i="9" s="1"/>
  <c r="J7" i="9"/>
  <c r="L7" i="9" s="1"/>
  <c r="E7" i="9"/>
  <c r="I7" i="9" s="1"/>
  <c r="K7" i="9" s="1"/>
  <c r="O7" i="9"/>
  <c r="J8" i="9"/>
  <c r="L8" i="9" s="1"/>
  <c r="E8" i="9"/>
  <c r="I8" i="9" s="1"/>
  <c r="K8" i="9" s="1"/>
  <c r="U4" i="9"/>
  <c r="W4" i="9" s="1"/>
  <c r="O8" i="9"/>
  <c r="J9" i="9"/>
  <c r="L9" i="9" s="1"/>
  <c r="E9" i="9"/>
  <c r="I9" i="9" s="1"/>
  <c r="K9" i="9" s="1"/>
  <c r="O9" i="9"/>
  <c r="M10" i="9"/>
  <c r="N10" i="9" s="1"/>
  <c r="P10" i="9"/>
  <c r="R12" i="9"/>
  <c r="S13" i="9"/>
  <c r="D13" i="9"/>
  <c r="R25" i="9"/>
  <c r="J26" i="9"/>
  <c r="L26" i="9" s="1"/>
  <c r="E26" i="9"/>
  <c r="I26" i="9" s="1"/>
  <c r="K26" i="9" s="1"/>
  <c r="O26" i="9"/>
  <c r="R29" i="9"/>
  <c r="J30" i="9"/>
  <c r="L30" i="9" s="1"/>
  <c r="E30" i="9"/>
  <c r="I30" i="9" s="1"/>
  <c r="K30" i="9" s="1"/>
  <c r="O30" i="9"/>
  <c r="R30" i="9"/>
  <c r="R26" i="9"/>
  <c r="R4" i="9"/>
  <c r="R7" i="9"/>
  <c r="R8" i="9"/>
  <c r="R11" i="9"/>
  <c r="D14" i="9"/>
  <c r="D15" i="9"/>
  <c r="D16" i="9"/>
  <c r="O17" i="9"/>
  <c r="J18" i="9"/>
  <c r="L18" i="9" s="1"/>
  <c r="E18" i="9"/>
  <c r="I18" i="9" s="1"/>
  <c r="K18" i="9" s="1"/>
  <c r="O18" i="9"/>
  <c r="J19" i="9"/>
  <c r="L19" i="9" s="1"/>
  <c r="E19" i="9"/>
  <c r="I19" i="9" s="1"/>
  <c r="K19" i="9" s="1"/>
  <c r="O19" i="9"/>
  <c r="J20" i="9"/>
  <c r="L20" i="9" s="1"/>
  <c r="E20" i="9"/>
  <c r="I20" i="9" s="1"/>
  <c r="K20" i="9" s="1"/>
  <c r="M20" i="9" s="1"/>
  <c r="N20" i="9" s="1"/>
  <c r="O20" i="9"/>
  <c r="J21" i="9"/>
  <c r="L21" i="9" s="1"/>
  <c r="E21" i="9"/>
  <c r="I21" i="9" s="1"/>
  <c r="K21" i="9" s="1"/>
  <c r="O21" i="9"/>
  <c r="J22" i="9"/>
  <c r="L22" i="9" s="1"/>
  <c r="E22" i="9"/>
  <c r="I22" i="9" s="1"/>
  <c r="K22" i="9" s="1"/>
  <c r="O22" i="9"/>
  <c r="J23" i="9"/>
  <c r="L23" i="9" s="1"/>
  <c r="E23" i="9"/>
  <c r="I23" i="9" s="1"/>
  <c r="K23" i="9" s="1"/>
  <c r="O23" i="9"/>
  <c r="J24" i="9"/>
  <c r="L24" i="9" s="1"/>
  <c r="E24" i="9"/>
  <c r="I24" i="9" s="1"/>
  <c r="K24" i="9" s="1"/>
  <c r="M24" i="9" s="1"/>
  <c r="N24" i="9" s="1"/>
  <c r="O24" i="9"/>
  <c r="M25" i="9"/>
  <c r="N25" i="9" s="1"/>
  <c r="P25" i="9"/>
  <c r="Q27" i="9"/>
  <c r="R27" i="9"/>
  <c r="J28" i="9"/>
  <c r="L28" i="9" s="1"/>
  <c r="E28" i="9"/>
  <c r="I28" i="9" s="1"/>
  <c r="K28" i="9" s="1"/>
  <c r="O28" i="9"/>
  <c r="M29" i="9"/>
  <c r="N29" i="9" s="1"/>
  <c r="P29" i="9"/>
  <c r="E17" i="9" l="1"/>
  <c r="I17" i="9" s="1"/>
  <c r="K17" i="9" s="1"/>
  <c r="M5" i="9"/>
  <c r="N5" i="9" s="1"/>
  <c r="L34" i="6"/>
  <c r="K34" i="6"/>
  <c r="L35" i="6"/>
  <c r="K35" i="6"/>
  <c r="M22" i="9"/>
  <c r="N22" i="9" s="1"/>
  <c r="M18" i="9"/>
  <c r="N18" i="9" s="1"/>
  <c r="L31" i="6"/>
  <c r="K31" i="6"/>
  <c r="L33" i="6"/>
  <c r="K33" i="6"/>
  <c r="L30" i="6"/>
  <c r="K30" i="6"/>
  <c r="M30" i="9"/>
  <c r="N30" i="9" s="1"/>
  <c r="M26" i="9"/>
  <c r="N26" i="9" s="1"/>
  <c r="M7" i="9"/>
  <c r="N7" i="9" s="1"/>
  <c r="L32" i="6"/>
  <c r="K32" i="6"/>
  <c r="P28" i="9"/>
  <c r="Q28" i="9"/>
  <c r="P23" i="9"/>
  <c r="Q23" i="9"/>
  <c r="P21" i="9"/>
  <c r="Q21" i="9"/>
  <c r="P19" i="9"/>
  <c r="Q19" i="9"/>
  <c r="P17" i="9"/>
  <c r="Q17" i="9"/>
  <c r="O15" i="9"/>
  <c r="J15" i="9"/>
  <c r="L15" i="9" s="1"/>
  <c r="E15" i="9"/>
  <c r="I15" i="9" s="1"/>
  <c r="K15" i="9" s="1"/>
  <c r="R17" i="9"/>
  <c r="R19" i="9"/>
  <c r="R21" i="9"/>
  <c r="R23" i="9"/>
  <c r="P9" i="9"/>
  <c r="Q9" i="9"/>
  <c r="P6" i="9"/>
  <c r="Q6" i="9"/>
  <c r="P11" i="9"/>
  <c r="Q11" i="9"/>
  <c r="M28" i="9"/>
  <c r="N28" i="9" s="1"/>
  <c r="P24" i="9"/>
  <c r="Q24" i="9"/>
  <c r="M23" i="9"/>
  <c r="N23" i="9" s="1"/>
  <c r="P22" i="9"/>
  <c r="Q22" i="9"/>
  <c r="M21" i="9"/>
  <c r="N21" i="9" s="1"/>
  <c r="P20" i="9"/>
  <c r="Q20" i="9"/>
  <c r="M19" i="9"/>
  <c r="N19" i="9" s="1"/>
  <c r="P18" i="9"/>
  <c r="Q18" i="9"/>
  <c r="M17" i="9"/>
  <c r="N17" i="9" s="1"/>
  <c r="O16" i="9"/>
  <c r="J16" i="9"/>
  <c r="L16" i="9" s="1"/>
  <c r="E16" i="9"/>
  <c r="I16" i="9" s="1"/>
  <c r="K16" i="9" s="1"/>
  <c r="O14" i="9"/>
  <c r="J14" i="9"/>
  <c r="L14" i="9" s="1"/>
  <c r="E14" i="9"/>
  <c r="I14" i="9" s="1"/>
  <c r="K14" i="9" s="1"/>
  <c r="R9" i="9"/>
  <c r="R18" i="9"/>
  <c r="R20" i="9"/>
  <c r="R22" i="9"/>
  <c r="R24" i="9"/>
  <c r="R28" i="9"/>
  <c r="P30" i="9"/>
  <c r="Q30" i="9"/>
  <c r="P26" i="9"/>
  <c r="Q26" i="9"/>
  <c r="O13" i="9"/>
  <c r="J13" i="9"/>
  <c r="L13" i="9" s="1"/>
  <c r="E13" i="9"/>
  <c r="I13" i="9" s="1"/>
  <c r="K13" i="9" s="1"/>
  <c r="M9" i="9"/>
  <c r="N9" i="9" s="1"/>
  <c r="P8" i="9"/>
  <c r="Q8" i="9"/>
  <c r="M8" i="9"/>
  <c r="N8" i="9" s="1"/>
  <c r="P7" i="9"/>
  <c r="Q7" i="9"/>
  <c r="M6" i="9"/>
  <c r="N6" i="9" s="1"/>
  <c r="P5" i="9"/>
  <c r="Q5" i="9"/>
  <c r="M11" i="9"/>
  <c r="N11" i="9" s="1"/>
  <c r="M14" i="9" l="1"/>
  <c r="N14" i="9" s="1"/>
  <c r="Q14" i="9"/>
  <c r="R14" i="9"/>
  <c r="P14" i="9"/>
  <c r="M13" i="9"/>
  <c r="N13" i="9" s="1"/>
  <c r="Q13" i="9"/>
  <c r="R13" i="9"/>
  <c r="P13" i="9"/>
  <c r="M16" i="9"/>
  <c r="N16" i="9" s="1"/>
  <c r="P16" i="9"/>
  <c r="Q16" i="9"/>
  <c r="R16" i="9"/>
  <c r="M15" i="9"/>
  <c r="N15" i="9" s="1"/>
  <c r="Q15" i="9"/>
  <c r="R15" i="9"/>
  <c r="P15" i="9"/>
</calcChain>
</file>

<file path=xl/comments1.xml><?xml version="1.0" encoding="utf-8"?>
<comments xmlns="http://schemas.openxmlformats.org/spreadsheetml/2006/main">
  <authors>
    <author>yongkang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yongkang:</t>
        </r>
        <r>
          <rPr>
            <sz val="9"/>
            <color indexed="81"/>
            <rFont val="Tahoma"/>
            <family val="2"/>
          </rPr>
          <t xml:space="preserve">
wall radius 352</t>
        </r>
      </text>
    </comment>
  </commentList>
</comments>
</file>

<file path=xl/sharedStrings.xml><?xml version="1.0" encoding="utf-8"?>
<sst xmlns="http://schemas.openxmlformats.org/spreadsheetml/2006/main" count="168" uniqueCount="139">
  <si>
    <t>m/s</t>
  </si>
  <si>
    <t>v</t>
  </si>
  <si>
    <t>Volume</t>
  </si>
  <si>
    <t>exp. Velocity(m/s)</t>
  </si>
  <si>
    <t>error</t>
  </si>
  <si>
    <t xml:space="preserve">hypothetical surface </t>
  </si>
  <si>
    <t>Ave energy</t>
  </si>
  <si>
    <t xml:space="preserve"> spherical Radious</t>
  </si>
  <si>
    <t>σ</t>
  </si>
  <si>
    <t>(SE) @ infinitty</t>
  </si>
  <si>
    <t>(KE) @infinity</t>
  </si>
  <si>
    <t>(SE)0</t>
  </si>
  <si>
    <t>(KE) by SEFIT</t>
  </si>
  <si>
    <t>V by SEFIT</t>
  </si>
  <si>
    <t>mass Gram</t>
  </si>
  <si>
    <t>R of cylinder</t>
  </si>
  <si>
    <t>A of cylinder</t>
  </si>
  <si>
    <t>SE</t>
  </si>
  <si>
    <t>KE</t>
  </si>
  <si>
    <t>lower  E/σ   θ=145(rough)</t>
  </si>
  <si>
    <t>max  E/σ  (θ=175)_(rough)</t>
  </si>
  <si>
    <t>lower  E/σ  _θ=145_fine mesh</t>
  </si>
  <si>
    <t>max  E/σ  (θ=175)finemesh</t>
  </si>
  <si>
    <t>Ave energy fine mesh</t>
  </si>
  <si>
    <t>SE-FIT rough mesh</t>
  </si>
  <si>
    <t>SE-FIT fine mesh</t>
  </si>
  <si>
    <t>Scaling method (should be double checked)</t>
  </si>
  <si>
    <t>Error (SE)0 sefit (±) rough</t>
  </si>
  <si>
    <t>Error (SE)0 sefit (±) fine</t>
  </si>
  <si>
    <r>
      <t xml:space="preserve">Volume </t>
    </r>
    <r>
      <rPr>
        <sz val="6"/>
        <color theme="1"/>
        <rFont val="Calibri"/>
        <family val="2"/>
        <scheme val="minor"/>
      </rPr>
      <t>mm3</t>
    </r>
  </si>
  <si>
    <t>Error V0_Exp (±)</t>
  </si>
  <si>
    <t>Error(SE)1_Integration(±)</t>
  </si>
  <si>
    <t>Error (KE)_rough(±)</t>
  </si>
  <si>
    <t>Error (KE)_fine(±)</t>
  </si>
  <si>
    <t>Error V0_rough(±)</t>
  </si>
  <si>
    <t>Error V0_fine(±)</t>
  </si>
  <si>
    <t>Error</t>
  </si>
  <si>
    <t>size</t>
  </si>
  <si>
    <t xml:space="preserve">error </t>
  </si>
  <si>
    <t>(KE) by SEFIT_rough</t>
  </si>
  <si>
    <t>Velocity_R</t>
  </si>
  <si>
    <t>(KE) by SEFIT_fine</t>
  </si>
  <si>
    <t>Velocity_f</t>
  </si>
  <si>
    <t>(SE)0_F</t>
  </si>
  <si>
    <t>R of sphere</t>
  </si>
  <si>
    <t>Sigma</t>
  </si>
  <si>
    <t>H</t>
  </si>
  <si>
    <t>Rho</t>
  </si>
  <si>
    <t>V(mm3)</t>
  </si>
  <si>
    <t>v(mL)</t>
  </si>
  <si>
    <t>with modification factor</t>
  </si>
  <si>
    <t>new formula</t>
  </si>
  <si>
    <t>mL</t>
  </si>
  <si>
    <t>Experimental velocity</t>
  </si>
  <si>
    <t>Eqn</t>
  </si>
  <si>
    <t>R_sph</t>
  </si>
  <si>
    <t>R_cylinder</t>
  </si>
  <si>
    <t>SE2</t>
  </si>
  <si>
    <t>A_disk</t>
  </si>
  <si>
    <t>SE1</t>
  </si>
  <si>
    <t>A_sphere</t>
  </si>
  <si>
    <t>V (m/s)</t>
  </si>
  <si>
    <t>EQN (new)</t>
  </si>
  <si>
    <t>paper formula result</t>
  </si>
  <si>
    <t>Eqn paper</t>
  </si>
  <si>
    <t>U (m/s)</t>
  </si>
  <si>
    <t>V (mL)</t>
  </si>
  <si>
    <t>Bo (rgRd^2/s)</t>
  </si>
  <si>
    <t>CA (rad)</t>
  </si>
  <si>
    <t>U model (m/s)</t>
  </si>
  <si>
    <t>We model</t>
  </si>
  <si>
    <t>large puddle limit</t>
  </si>
  <si>
    <t>6^1/3 Bo^-1/2</t>
  </si>
  <si>
    <t>Babak's</t>
  </si>
  <si>
    <t>max U pred. (m/s)</t>
  </si>
  <si>
    <t>vol (mL)</t>
  </si>
  <si>
    <t>We</t>
  </si>
  <si>
    <t>Rd</t>
  </si>
  <si>
    <t>WE SEFIT</t>
  </si>
  <si>
    <t>WE exp</t>
  </si>
  <si>
    <t>U EXP (m/s)</t>
  </si>
  <si>
    <t>U SE-FIT (m/s)</t>
  </si>
  <si>
    <t>sigma</t>
  </si>
  <si>
    <t>rho</t>
  </si>
  <si>
    <t>Vol mL</t>
  </si>
  <si>
    <t>U m/s</t>
  </si>
  <si>
    <t>Rd m</t>
  </si>
  <si>
    <t>what are these?</t>
  </si>
  <si>
    <t>Volume mm3</t>
  </si>
  <si>
    <t>(SE)0_ θ = 148 (fine)_Curved wall</t>
  </si>
  <si>
    <t xml:space="preserve">  E/σ _ θ = 148 (fine)_Curved wall</t>
  </si>
  <si>
    <t>(KE) by SEFIT_curved</t>
  </si>
  <si>
    <t>(KE) by SEFIT_flat</t>
  </si>
  <si>
    <t>(SE) @ spherical mode</t>
  </si>
  <si>
    <t>V by SEFIT_Curved</t>
  </si>
  <si>
    <t>V by SEFIT_Flat</t>
  </si>
  <si>
    <t>After being modified by Yongkang _ 3/18/2016</t>
  </si>
  <si>
    <t xml:space="preserve"> E/σ _ θ = 148 (fine)_Flat wall</t>
  </si>
  <si>
    <t>(SE)0_ θ = 148 (fine)_Flat wall</t>
  </si>
  <si>
    <t xml:space="preserve"> E/σ _ θ = 148 curved wall ana</t>
  </si>
  <si>
    <t>E-curved wall ana</t>
  </si>
  <si>
    <t>KE_curved wall ana</t>
  </si>
  <si>
    <t>v_ana curved wall</t>
  </si>
  <si>
    <t>large puddle lower limt</t>
  </si>
  <si>
    <t>geyser</t>
  </si>
  <si>
    <t>Vd</t>
  </si>
  <si>
    <t>U</t>
  </si>
  <si>
    <t>We SEFIT Curved</t>
  </si>
  <si>
    <t>We SEFIT Flat</t>
  </si>
  <si>
    <t>We ana curved wall</t>
  </si>
  <si>
    <t>We phi &lt;&lt; 1 curved</t>
  </si>
  <si>
    <t>mmw asymptotic analysis</t>
  </si>
  <si>
    <t>J</t>
  </si>
  <si>
    <t>psi</t>
  </si>
  <si>
    <t>H (m)</t>
  </si>
  <si>
    <t>coeff</t>
  </si>
  <si>
    <t>H/JRs</t>
  </si>
  <si>
    <t>Vd/pi H^3</t>
  </si>
  <si>
    <t>U phi &lt;&lt; 1 curved (m/s)</t>
  </si>
  <si>
    <t>Rd (m)</t>
  </si>
  <si>
    <t>phi = h/Rs</t>
  </si>
  <si>
    <t xml:space="preserve"> </t>
  </si>
  <si>
    <t xml:space="preserve"> spherical Drop Radius (mm)</t>
  </si>
  <si>
    <t>spherical surface area of drop (mm^2)</t>
  </si>
  <si>
    <t>Rs (m) 3d printed shooter</t>
  </si>
  <si>
    <t>VolumeLaser</t>
  </si>
  <si>
    <t>VolumeSand</t>
  </si>
  <si>
    <t>USand</t>
  </si>
  <si>
    <t>ULaser</t>
  </si>
  <si>
    <t>VolumeMax</t>
  </si>
  <si>
    <t>Umax</t>
  </si>
  <si>
    <t>VolumeFlatTheory</t>
  </si>
  <si>
    <t>UFlatTheory</t>
  </si>
  <si>
    <t>VolumeFlatNum</t>
  </si>
  <si>
    <t>UFlatNum</t>
  </si>
  <si>
    <t>VolumeCurveNum</t>
  </si>
  <si>
    <t>UCurveNum</t>
  </si>
  <si>
    <t>VolumeCurveTheory</t>
  </si>
  <si>
    <t>UCurveTheory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</si>
</sst>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0000"/>
    <numFmt numFmtId="167" formatCode="0.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252525"/>
      <name val="Arial"/>
      <family val="2"/>
    </font>
    <font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52525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6" fillId="0" borderId="1" xfId="0" applyFont="1" applyBorder="1" applyAlignment="1"/>
    <xf numFmtId="0" fontId="6" fillId="0" borderId="3" xfId="0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0" fillId="3" borderId="0" xfId="0" applyFill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0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11" fillId="3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8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15" xfId="0" applyNumberFormat="1" applyBorder="1"/>
    <xf numFmtId="0" fontId="0" fillId="0" borderId="16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0" fontId="2" fillId="0" borderId="0" xfId="0" applyFont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165" fontId="11" fillId="3" borderId="0" xfId="0" applyNumberFormat="1" applyFont="1" applyFill="1" applyAlignment="1">
      <alignment horizontal="center"/>
    </xf>
    <xf numFmtId="0" fontId="1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/>
    <xf numFmtId="0" fontId="3" fillId="0" borderId="0" xfId="0" applyFont="1" applyBorder="1" applyAlignment="1"/>
    <xf numFmtId="0" fontId="3" fillId="0" borderId="5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4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168" fontId="20" fillId="0" borderId="0" xfId="0" applyNumberFormat="1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166" fontId="20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18" Type="http://schemas.openxmlformats.org/officeDocument/2006/relationships/externalLink" Target="externalLinks/externalLink3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6.xml"/><Relationship Id="rId10" Type="http://schemas.openxmlformats.org/officeDocument/2006/relationships/worksheet" Target="worksheets/sheet1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5.xml"/><Relationship Id="rId22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07943591206798"/>
          <c:y val="7.7541564047001882E-2"/>
          <c:w val="0.79860630046742687"/>
          <c:h val="0.795542707778704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85B-488A-B8E5-44B829EFEF23}"/>
              </c:ext>
            </c:extLst>
          </c:dPt>
          <c:xVal>
            <c:numRef>
              <c:f>[1]Sheet7!$B$12:$B$22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[1]Sheet7!$C$12:$C$22</c:f>
              <c:numCache>
                <c:formatCode>General</c:formatCode>
                <c:ptCount val="11"/>
                <c:pt idx="0">
                  <c:v>7.7399999999999997E-2</c:v>
                </c:pt>
                <c:pt idx="1">
                  <c:v>8.7900000000000006E-2</c:v>
                </c:pt>
                <c:pt idx="2">
                  <c:v>8.8789999999999994E-2</c:v>
                </c:pt>
                <c:pt idx="3">
                  <c:v>9.2999999999999999E-2</c:v>
                </c:pt>
                <c:pt idx="4">
                  <c:v>0.11799999999999999</c:v>
                </c:pt>
                <c:pt idx="5">
                  <c:v>0.123</c:v>
                </c:pt>
                <c:pt idx="6">
                  <c:v>0.11738571428571429</c:v>
                </c:pt>
                <c:pt idx="7">
                  <c:v>0.10484864864864867</c:v>
                </c:pt>
                <c:pt idx="8">
                  <c:v>9.3453333333333347E-2</c:v>
                </c:pt>
                <c:pt idx="9">
                  <c:v>8.6260869565217391E-2</c:v>
                </c:pt>
                <c:pt idx="10">
                  <c:v>4.7600000000000003E-2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B-488A-B8E5-44B829EFEF2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9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Sheet7!$G$26</c:f>
              <c:numCache>
                <c:formatCode>General</c:formatCode>
                <c:ptCount val="1"/>
                <c:pt idx="0">
                  <c:v>0.03</c:v>
                </c:pt>
              </c:numCache>
            </c:numRef>
          </c:xVal>
          <c:yVal>
            <c:numRef>
              <c:f>Sheet7!$H$26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B-488A-B8E5-44B829EF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15344"/>
        <c:axId val="646512992"/>
      </c:scatterChart>
      <c:valAx>
        <c:axId val="64651534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2800" i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39655869428837937"/>
              <c:y val="0.926860547095206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2992"/>
        <c:crosses val="autoZero"/>
        <c:crossBetween val="midCat"/>
        <c:minorUnit val="1"/>
      </c:valAx>
      <c:valAx>
        <c:axId val="64651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>
            <c:manualLayout>
              <c:xMode val="edge"/>
              <c:yMode val="edge"/>
              <c:x val="2.3478016181393779E-2"/>
              <c:y val="0.38247769787423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5344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07943591206798"/>
          <c:y val="7.7541564047001882E-2"/>
          <c:w val="0.79860630046742687"/>
          <c:h val="0.795542707778704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F8-46FB-B063-B9F0B014AB38}"/>
              </c:ext>
            </c:extLst>
          </c:dPt>
          <c:xVal>
            <c:numRef>
              <c:f>[1]Sheet7!$B$12:$B$22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[1]Sheet7!$C$12:$C$22</c:f>
              <c:numCache>
                <c:formatCode>General</c:formatCode>
                <c:ptCount val="11"/>
                <c:pt idx="0">
                  <c:v>7.7399999999999997E-2</c:v>
                </c:pt>
                <c:pt idx="1">
                  <c:v>8.7900000000000006E-2</c:v>
                </c:pt>
                <c:pt idx="2">
                  <c:v>8.8789999999999994E-2</c:v>
                </c:pt>
                <c:pt idx="3">
                  <c:v>9.2999999999999999E-2</c:v>
                </c:pt>
                <c:pt idx="4">
                  <c:v>0.11799999999999999</c:v>
                </c:pt>
                <c:pt idx="5">
                  <c:v>0.123</c:v>
                </c:pt>
                <c:pt idx="6">
                  <c:v>0.11738571428571429</c:v>
                </c:pt>
                <c:pt idx="7">
                  <c:v>0.10484864864864867</c:v>
                </c:pt>
                <c:pt idx="8">
                  <c:v>9.3453333333333347E-2</c:v>
                </c:pt>
                <c:pt idx="9">
                  <c:v>8.6260869565217391E-2</c:v>
                </c:pt>
                <c:pt idx="10">
                  <c:v>4.7600000000000003E-2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8-46FB-B063-B9F0B014AB3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9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Sheet7!$G$26</c:f>
              <c:numCache>
                <c:formatCode>General</c:formatCode>
                <c:ptCount val="1"/>
                <c:pt idx="0">
                  <c:v>0.03</c:v>
                </c:pt>
              </c:numCache>
            </c:numRef>
          </c:xVal>
          <c:yVal>
            <c:numRef>
              <c:f>Sheet7!$H$26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8-46FB-B063-B9F0B014AB38}"/>
            </c:ext>
          </c:extLst>
        </c:ser>
        <c:ser>
          <c:idx val="2"/>
          <c:order val="2"/>
          <c:tx>
            <c:v>Sandpaper</c:v>
          </c:tx>
          <c:spPr>
            <a:ln w="19050">
              <a:noFill/>
            </a:ln>
          </c:spPr>
          <c:marker>
            <c:symbol val="circle"/>
            <c:size val="11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Sheet7!$R$6:$R$18</c:f>
              <c:numCache>
                <c:formatCode>General</c:formatCode>
                <c:ptCount val="13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70</c:v>
                </c:pt>
              </c:numCache>
            </c:numRef>
          </c:xVal>
          <c:yVal>
            <c:numRef>
              <c:f>Sheet7!$U$6:$U$18</c:f>
              <c:numCache>
                <c:formatCode>General</c:formatCode>
                <c:ptCount val="13"/>
                <c:pt idx="0">
                  <c:v>5.4679999999999999E-2</c:v>
                </c:pt>
                <c:pt idx="1">
                  <c:v>7.1508000000000002E-2</c:v>
                </c:pt>
                <c:pt idx="2">
                  <c:v>8.6783159999999998E-2</c:v>
                </c:pt>
                <c:pt idx="3">
                  <c:v>0.10624971999999998</c:v>
                </c:pt>
                <c:pt idx="4">
                  <c:v>0.11331193333333332</c:v>
                </c:pt>
                <c:pt idx="5">
                  <c:v>0.1211472</c:v>
                </c:pt>
                <c:pt idx="6">
                  <c:v>0.122866</c:v>
                </c:pt>
                <c:pt idx="7">
                  <c:v>0.12785745000000001</c:v>
                </c:pt>
                <c:pt idx="8">
                  <c:v>0.12466752500000002</c:v>
                </c:pt>
                <c:pt idx="9">
                  <c:v>0.1165955</c:v>
                </c:pt>
                <c:pt idx="10">
                  <c:v>9.9779099999999996E-2</c:v>
                </c:pt>
                <c:pt idx="11">
                  <c:v>9.5576400000000006E-2</c:v>
                </c:pt>
                <c:pt idx="12">
                  <c:v>8.3819999999999992E-2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8-46FB-B063-B9F0B014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15344"/>
        <c:axId val="646512992"/>
      </c:scatterChart>
      <c:valAx>
        <c:axId val="64651534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2800" i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39655869428837937"/>
              <c:y val="0.926860547095206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2992"/>
        <c:crosses val="autoZero"/>
        <c:crossBetween val="midCat"/>
        <c:minorUnit val="1"/>
      </c:valAx>
      <c:valAx>
        <c:axId val="64651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>
            <c:manualLayout>
              <c:xMode val="edge"/>
              <c:yMode val="edge"/>
              <c:x val="2.3478016181393779E-2"/>
              <c:y val="0.38247769787423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5344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952494143657"/>
          <c:y val="5.3293118676251271E-2"/>
          <c:w val="0.79860630046742687"/>
          <c:h val="0.7955427077787043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Sheet7!$G$15:$G$25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Sheet7!$I$15:$I$25</c:f>
              <c:numCache>
                <c:formatCode>General</c:formatCode>
                <c:ptCount val="11"/>
                <c:pt idx="0">
                  <c:v>1.4010809249142926</c:v>
                </c:pt>
                <c:pt idx="1">
                  <c:v>1.6417718450894441</c:v>
                </c:pt>
                <c:pt idx="2">
                  <c:v>1.4634102045883917</c:v>
                </c:pt>
                <c:pt idx="3">
                  <c:v>1.2742672820589005</c:v>
                </c:pt>
                <c:pt idx="4">
                  <c:v>1.7302508316327343</c:v>
                </c:pt>
                <c:pt idx="5">
                  <c:v>1.6423215385754677</c:v>
                </c:pt>
                <c:pt idx="6">
                  <c:v>1.1872307258001786</c:v>
                </c:pt>
                <c:pt idx="7">
                  <c:v>0.75177343755149828</c:v>
                </c:pt>
                <c:pt idx="8">
                  <c:v>0.50373405443371977</c:v>
                </c:pt>
                <c:pt idx="9">
                  <c:v>0.37492318346646492</c:v>
                </c:pt>
                <c:pt idx="10">
                  <c:v>9.0611893507860322E-2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6-4324-AB6F-95A991AB0196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square"/>
            <c:size val="9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Sheet7!$G$26</c:f>
              <c:numCache>
                <c:formatCode>General</c:formatCode>
                <c:ptCount val="1"/>
                <c:pt idx="0">
                  <c:v>0.03</c:v>
                </c:pt>
              </c:numCache>
            </c:numRef>
          </c:xVal>
          <c:yVal>
            <c:numRef>
              <c:f>Sheet7!$I$26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6-4324-AB6F-95A991A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15736"/>
        <c:axId val="646512600"/>
      </c:scatterChart>
      <c:valAx>
        <c:axId val="64651573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2800" i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36424450228086702"/>
              <c:y val="0.908674213067143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2600"/>
        <c:crosses val="autoZero"/>
        <c:crossBetween val="midCat"/>
        <c:minorUnit val="1"/>
      </c:valAx>
      <c:valAx>
        <c:axId val="646512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</a:t>
                </a:r>
                <a:endParaRPr lang="en-US" sz="2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073176341925721E-2"/>
              <c:y val="0.408727276430208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57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8588943057401"/>
          <c:y val="4.6305575439433706E-2"/>
          <c:w val="0.80678391806035354"/>
          <c:h val="0.78083925872902249"/>
        </c:manualLayout>
      </c:layout>
      <c:scatterChart>
        <c:scatterStyle val="lineMarker"/>
        <c:varyColors val="0"/>
        <c:ser>
          <c:idx val="0"/>
          <c:order val="0"/>
          <c:tx>
            <c:v>Drop Tower, Dished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Sheet7!$G$15:$G$25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Sheet7!$H$15:$H$25</c:f>
              <c:numCache>
                <c:formatCode>General</c:formatCode>
                <c:ptCount val="11"/>
                <c:pt idx="0">
                  <c:v>7.7399999999999997E-2</c:v>
                </c:pt>
                <c:pt idx="1">
                  <c:v>8.7900000000000006E-2</c:v>
                </c:pt>
                <c:pt idx="2">
                  <c:v>8.8789999999999994E-2</c:v>
                </c:pt>
                <c:pt idx="3">
                  <c:v>9.2999999999999999E-2</c:v>
                </c:pt>
                <c:pt idx="4">
                  <c:v>0.11799999999999999</c:v>
                </c:pt>
                <c:pt idx="5">
                  <c:v>0.123</c:v>
                </c:pt>
                <c:pt idx="6">
                  <c:v>0.11738571428571429</c:v>
                </c:pt>
                <c:pt idx="7">
                  <c:v>0.10484864864864867</c:v>
                </c:pt>
                <c:pt idx="8">
                  <c:v>9.3453333333333347E-2</c:v>
                </c:pt>
                <c:pt idx="9">
                  <c:v>8.6260869565217391E-2</c:v>
                </c:pt>
                <c:pt idx="10">
                  <c:v>4.7600000000000003E-2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C-4310-B83F-8B9320152E7D}"/>
            </c:ext>
          </c:extLst>
        </c:ser>
        <c:ser>
          <c:idx val="8"/>
          <c:order val="1"/>
          <c:tx>
            <c:v>Drop Tower, Flat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'calculation sheet'!$B$47:$B$49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xVal>
          <c:yVal>
            <c:numRef>
              <c:f>'calculation sheet'!$C$47:$C$49</c:f>
              <c:numCache>
                <c:formatCode>0.000</c:formatCode>
                <c:ptCount val="3"/>
                <c:pt idx="0">
                  <c:v>0.1106</c:v>
                </c:pt>
                <c:pt idx="1">
                  <c:v>0.13500000000000001</c:v>
                </c:pt>
                <c:pt idx="2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C-4310-B83F-8B9320152E7D}"/>
            </c:ext>
          </c:extLst>
        </c:ser>
        <c:ser>
          <c:idx val="3"/>
          <c:order val="2"/>
          <c:tx>
            <c:v>Theory, Flat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'calculation sheet'!$C$9:$C$27</c:f>
              <c:numCache>
                <c:formatCode>General</c:formatCode>
                <c:ptCount val="1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150</c:v>
                </c:pt>
                <c:pt idx="18">
                  <c:v>300</c:v>
                </c:pt>
              </c:numCache>
            </c:numRef>
          </c:xVal>
          <c:yVal>
            <c:numRef>
              <c:f>'calculation sheet'!$R$9:$R$27</c:f>
              <c:numCache>
                <c:formatCode>0.000</c:formatCode>
                <c:ptCount val="19"/>
                <c:pt idx="0">
                  <c:v>0.12055491706532943</c:v>
                </c:pt>
                <c:pt idx="1">
                  <c:v>0.11916008103627954</c:v>
                </c:pt>
                <c:pt idx="2">
                  <c:v>0.11903558502350924</c:v>
                </c:pt>
                <c:pt idx="3">
                  <c:v>0.12037682987847416</c:v>
                </c:pt>
                <c:pt idx="4">
                  <c:v>0.12244714898442279</c:v>
                </c:pt>
                <c:pt idx="5">
                  <c:v>0.13239958569945479</c:v>
                </c:pt>
                <c:pt idx="6">
                  <c:v>0.14453545860558648</c:v>
                </c:pt>
                <c:pt idx="7">
                  <c:v>0.15166520933779562</c:v>
                </c:pt>
                <c:pt idx="8">
                  <c:v>0.16022548704213049</c:v>
                </c:pt>
                <c:pt idx="9">
                  <c:v>0.17073922070417252</c:v>
                </c:pt>
                <c:pt idx="10">
                  <c:v>0.17623201707130692</c:v>
                </c:pt>
                <c:pt idx="11">
                  <c:v>0.17983296961925482</c:v>
                </c:pt>
                <c:pt idx="12">
                  <c:v>0.18450305356055025</c:v>
                </c:pt>
                <c:pt idx="13">
                  <c:v>0.18754090870399032</c:v>
                </c:pt>
                <c:pt idx="14">
                  <c:v>0.18974716380865475</c:v>
                </c:pt>
                <c:pt idx="15">
                  <c:v>0.19145643868669115</c:v>
                </c:pt>
                <c:pt idx="16">
                  <c:v>0.19283842612501903</c:v>
                </c:pt>
                <c:pt idx="17">
                  <c:v>0.19888278099247289</c:v>
                </c:pt>
                <c:pt idx="18">
                  <c:v>0.20337062157538166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C-4310-B83F-8B9320152E7D}"/>
            </c:ext>
          </c:extLst>
        </c:ser>
        <c:ser>
          <c:idx val="6"/>
          <c:order val="3"/>
          <c:tx>
            <c:v>Numerical, Flat</c:v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SEFIT_YK_BA'!$U$5:$U$32</c:f>
              <c:numCache>
                <c:formatCode>0.000</c:formatCode>
                <c:ptCount val="28"/>
                <c:pt idx="0">
                  <c:v>0.21116474693697546</c:v>
                </c:pt>
                <c:pt idx="1">
                  <c:v>0.20697901378495775</c:v>
                </c:pt>
                <c:pt idx="2">
                  <c:v>0.20542989320923041</c:v>
                </c:pt>
                <c:pt idx="3">
                  <c:v>0.20299000216091775</c:v>
                </c:pt>
                <c:pt idx="4">
                  <c:v>0.20166887391531318</c:v>
                </c:pt>
                <c:pt idx="5">
                  <c:v>0.20002732184511618</c:v>
                </c:pt>
                <c:pt idx="6">
                  <c:v>0.1976507783550232</c:v>
                </c:pt>
                <c:pt idx="7">
                  <c:v>0.1966615436044736</c:v>
                </c:pt>
                <c:pt idx="8">
                  <c:v>0.19557919857665415</c:v>
                </c:pt>
                <c:pt idx="9">
                  <c:v>0.19432806070205391</c:v>
                </c:pt>
                <c:pt idx="10">
                  <c:v>0.19289094637645168</c:v>
                </c:pt>
                <c:pt idx="11">
                  <c:v>0.19111167723177067</c:v>
                </c:pt>
                <c:pt idx="12">
                  <c:v>0.18874686209002128</c:v>
                </c:pt>
                <c:pt idx="13">
                  <c:v>0.18542603883142933</c:v>
                </c:pt>
                <c:pt idx="14">
                  <c:v>0.18043253071568155</c:v>
                </c:pt>
                <c:pt idx="15">
                  <c:v>0.1702257775787509</c:v>
                </c:pt>
                <c:pt idx="16">
                  <c:v>0.15682784158962032</c:v>
                </c:pt>
                <c:pt idx="17">
                  <c:v>0.14695901209273071</c:v>
                </c:pt>
                <c:pt idx="18">
                  <c:v>0.1399162648546895</c:v>
                </c:pt>
                <c:pt idx="19">
                  <c:v>0.12459352947279621</c:v>
                </c:pt>
                <c:pt idx="20">
                  <c:v>0.10891956615105661</c:v>
                </c:pt>
                <c:pt idx="21">
                  <c:v>9.7242825567567512E-2</c:v>
                </c:pt>
                <c:pt idx="22">
                  <c:v>8.7903386735007291E-2</c:v>
                </c:pt>
                <c:pt idx="23">
                  <c:v>7.1820360163900324E-2</c:v>
                </c:pt>
                <c:pt idx="24">
                  <c:v>6.4991825169631659E-2</c:v>
                </c:pt>
                <c:pt idx="25">
                  <c:v>5.5316440378288048E-2</c:v>
                </c:pt>
                <c:pt idx="26" formatCode="0.0000">
                  <c:v>4.9784161119563339E-2</c:v>
                </c:pt>
                <c:pt idx="27">
                  <c:v>4.2152245810894037E-2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C-4310-B83F-8B9320152E7D}"/>
            </c:ext>
          </c:extLst>
        </c:ser>
        <c:ser>
          <c:idx val="5"/>
          <c:order val="4"/>
          <c:tx>
            <c:v>Numerical, Dished</c:v>
          </c:tx>
          <c:spPr>
            <a:ln w="19050">
              <a:noFill/>
            </a:ln>
          </c:spPr>
          <c:marker>
            <c:symbol val="circl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SEFIT_YK_BA'!$S$5:$S$32</c:f>
              <c:numCache>
                <c:formatCode>0.000</c:formatCode>
                <c:ptCount val="28"/>
                <c:pt idx="0">
                  <c:v>9.1900526828244164E-2</c:v>
                </c:pt>
                <c:pt idx="1">
                  <c:v>0.11386708291104554</c:v>
                </c:pt>
                <c:pt idx="2">
                  <c:v>0.1206750772146814</c:v>
                </c:pt>
                <c:pt idx="3">
                  <c:v>0.13004599931463318</c:v>
                </c:pt>
                <c:pt idx="4">
                  <c:v>0.13431230994046389</c:v>
                </c:pt>
                <c:pt idx="5">
                  <c:v>0.13896467306597962</c:v>
                </c:pt>
                <c:pt idx="6">
                  <c:v>0.14451075975005281</c:v>
                </c:pt>
                <c:pt idx="7">
                  <c:v>0.14639742193100302</c:v>
                </c:pt>
                <c:pt idx="8">
                  <c:v>0.14842117685811082</c:v>
                </c:pt>
                <c:pt idx="9">
                  <c:v>0.15057782301042702</c:v>
                </c:pt>
                <c:pt idx="10">
                  <c:v>0.15277355224109754</c:v>
                </c:pt>
                <c:pt idx="11">
                  <c:v>0.15502250525162878</c:v>
                </c:pt>
                <c:pt idx="12">
                  <c:v>0.15741954769431363</c:v>
                </c:pt>
                <c:pt idx="13">
                  <c:v>0.15955160611595384</c:v>
                </c:pt>
                <c:pt idx="14">
                  <c:v>0.16092465268230205</c:v>
                </c:pt>
                <c:pt idx="15">
                  <c:v>0.15777813610405061</c:v>
                </c:pt>
                <c:pt idx="16">
                  <c:v>0.15032835837205308</c:v>
                </c:pt>
                <c:pt idx="17">
                  <c:v>0.14384804288234357</c:v>
                </c:pt>
                <c:pt idx="18">
                  <c:v>0.13655388062271201</c:v>
                </c:pt>
                <c:pt idx="19">
                  <c:v>0.12266752063384122</c:v>
                </c:pt>
                <c:pt idx="20">
                  <c:v>0.10781726090825874</c:v>
                </c:pt>
                <c:pt idx="21">
                  <c:v>9.6306482098483845E-2</c:v>
                </c:pt>
                <c:pt idx="22">
                  <c:v>8.711377769406764E-2</c:v>
                </c:pt>
                <c:pt idx="23">
                  <c:v>7.1205737741544664E-2</c:v>
                </c:pt>
                <c:pt idx="24">
                  <c:v>6.4523112642600258E-2</c:v>
                </c:pt>
                <c:pt idx="25">
                  <c:v>5.4759077146592429E-2</c:v>
                </c:pt>
                <c:pt idx="26">
                  <c:v>4.9248932025711858E-2</c:v>
                </c:pt>
                <c:pt idx="27">
                  <c:v>4.1819841932237339E-2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C-4310-B83F-8B9320152E7D}"/>
            </c:ext>
          </c:extLst>
        </c:ser>
        <c:ser>
          <c:idx val="4"/>
          <c:order val="5"/>
          <c:tx>
            <c:v>U_max</c:v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'calculation sheet'!$T$3:$T$5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300</c:v>
                </c:pt>
              </c:numCache>
            </c:numRef>
          </c:xVal>
          <c:yVal>
            <c:numRef>
              <c:f>'calculation sheet'!$V$3:$V$5</c:f>
              <c:numCache>
                <c:formatCode>General</c:formatCode>
                <c:ptCount val="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C-4310-B83F-8B9320152E7D}"/>
            </c:ext>
          </c:extLst>
        </c:ser>
        <c:ser>
          <c:idx val="2"/>
          <c:order val="6"/>
          <c:spPr>
            <a:ln w="19050">
              <a:noFill/>
            </a:ln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'calculation sheet'!$B$44:$B$46</c:f>
              <c:numCache>
                <c:formatCode>General</c:formatCode>
                <c:ptCount val="3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</c:numCache>
            </c:numRef>
          </c:xVal>
          <c:yVal>
            <c:numRef>
              <c:f>'calculation sheet'!$C$44:$C$46</c:f>
              <c:numCache>
                <c:formatCode>0.000</c:formatCode>
                <c:ptCount val="3"/>
                <c:pt idx="0">
                  <c:v>1.9E-2</c:v>
                </c:pt>
                <c:pt idx="1">
                  <c:v>1.7600000000000001E-2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C-4310-B83F-8B9320152E7D}"/>
            </c:ext>
          </c:extLst>
        </c:ser>
        <c:ser>
          <c:idx val="1"/>
          <c:order val="7"/>
          <c:tx>
            <c:v>Large puddle limit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'calculation sheet'!$Y$3:$Y$4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'calculation sheet'!$Z$3:$Z$4</c:f>
              <c:numCache>
                <c:formatCode>General</c:formatCode>
                <c:ptCount val="2"/>
                <c:pt idx="0">
                  <c:v>0.01</c:v>
                </c:pt>
                <c:pt idx="1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DC-4310-B83F-8B9320152E7D}"/>
            </c:ext>
          </c:extLst>
        </c:ser>
        <c:ser>
          <c:idx val="9"/>
          <c:order val="8"/>
          <c:tx>
            <c:v>Phi &lt;&lt; 1 curved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'modified SEFIT_YK_BA'!$B$5:$B$27</c:f>
              <c:numCache>
                <c:formatCode>General</c:formatCode>
                <c:ptCount val="23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</c:numCache>
            </c:numRef>
          </c:xVal>
          <c:yVal>
            <c:numRef>
              <c:f>'modified SEFIT_YK_BA'!$AG$5:$AG$27</c:f>
              <c:numCache>
                <c:formatCode>General</c:formatCode>
                <c:ptCount val="23"/>
                <c:pt idx="0">
                  <c:v>9.2878007673887306E-2</c:v>
                </c:pt>
                <c:pt idx="1">
                  <c:v>0.11449707988007064</c:v>
                </c:pt>
                <c:pt idx="2">
                  <c:v>0.12126961092079189</c:v>
                </c:pt>
                <c:pt idx="3">
                  <c:v>0.13049964896968036</c:v>
                </c:pt>
                <c:pt idx="4">
                  <c:v>0.1345383387522868</c:v>
                </c:pt>
                <c:pt idx="5">
                  <c:v>0.13911152182470596</c:v>
                </c:pt>
                <c:pt idx="6">
                  <c:v>0.14453710498873423</c:v>
                </c:pt>
                <c:pt idx="7">
                  <c:v>0.14638894271631389</c:v>
                </c:pt>
                <c:pt idx="8">
                  <c:v>0.1483504620817927</c:v>
                </c:pt>
                <c:pt idx="9">
                  <c:v>0.15042624519339773</c:v>
                </c:pt>
                <c:pt idx="10">
                  <c:v>0.15261421554924864</c:v>
                </c:pt>
                <c:pt idx="11">
                  <c:v>0.15489592420758302</c:v>
                </c:pt>
                <c:pt idx="12">
                  <c:v>0.15721181132089143</c:v>
                </c:pt>
                <c:pt idx="13">
                  <c:v>0.15938956929909173</c:v>
                </c:pt>
                <c:pt idx="14">
                  <c:v>0.16088708233220178</c:v>
                </c:pt>
                <c:pt idx="15">
                  <c:v>0.15939033934871477</c:v>
                </c:pt>
                <c:pt idx="16">
                  <c:v>0.15354250532100577</c:v>
                </c:pt>
                <c:pt idx="17">
                  <c:v>0.14713189831130119</c:v>
                </c:pt>
                <c:pt idx="18">
                  <c:v>0.14118371450567047</c:v>
                </c:pt>
                <c:pt idx="19">
                  <c:v>0.13036772240918054</c:v>
                </c:pt>
                <c:pt idx="20">
                  <c:v>0.12120573194754208</c:v>
                </c:pt>
                <c:pt idx="21">
                  <c:v>0.11819031444097394</c:v>
                </c:pt>
                <c:pt idx="22">
                  <c:v>0.11995467784543802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DC-4310-B83F-8B932015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16128"/>
        <c:axId val="639620648"/>
      </c:scatterChart>
      <c:valAx>
        <c:axId val="646516128"/>
        <c:scaling>
          <c:logBase val="10"/>
          <c:orientation val="minMax"/>
          <c:max val="400"/>
          <c:min val="1.0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40927435068702767"/>
              <c:y val="0.873057186033563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20648"/>
        <c:crosses val="autoZero"/>
        <c:crossBetween val="midCat"/>
      </c:valAx>
      <c:valAx>
        <c:axId val="639620648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516128"/>
        <c:crossesAt val="1.0000000000000002E-2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2551939276609167"/>
          <c:y val="0.24439718176350869"/>
          <c:w val="0.25261780738946094"/>
          <c:h val="0.20764974726116875"/>
        </c:manualLayout>
      </c:layout>
      <c:overlay val="0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8588943057401"/>
          <c:y val="4.6305585094731129E-2"/>
          <c:w val="0.80678391806035354"/>
          <c:h val="0.78083933741969658"/>
        </c:manualLayout>
      </c:layout>
      <c:scatterChart>
        <c:scatterStyle val="lineMarker"/>
        <c:varyColors val="0"/>
        <c:ser>
          <c:idx val="0"/>
          <c:order val="0"/>
          <c:tx>
            <c:v>Drop Tower, Dished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Sheet7!$G$15:$G$25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Sheet7!$I$15:$I$25</c:f>
              <c:numCache>
                <c:formatCode>General</c:formatCode>
                <c:ptCount val="11"/>
                <c:pt idx="0">
                  <c:v>1.4010809249142926</c:v>
                </c:pt>
                <c:pt idx="1">
                  <c:v>1.6417718450894441</c:v>
                </c:pt>
                <c:pt idx="2">
                  <c:v>1.4634102045883917</c:v>
                </c:pt>
                <c:pt idx="3">
                  <c:v>1.2742672820589005</c:v>
                </c:pt>
                <c:pt idx="4">
                  <c:v>1.7302508316327343</c:v>
                </c:pt>
                <c:pt idx="5">
                  <c:v>1.6423215385754677</c:v>
                </c:pt>
                <c:pt idx="6">
                  <c:v>1.1872307258001786</c:v>
                </c:pt>
                <c:pt idx="7">
                  <c:v>0.75177343755149828</c:v>
                </c:pt>
                <c:pt idx="8">
                  <c:v>0.50373405443371977</c:v>
                </c:pt>
                <c:pt idx="9">
                  <c:v>0.37492318346646492</c:v>
                </c:pt>
                <c:pt idx="10">
                  <c:v>9.0611893507860322E-2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8-4391-B56C-E971AC3FF602}"/>
            </c:ext>
          </c:extLst>
        </c:ser>
        <c:ser>
          <c:idx val="7"/>
          <c:order val="1"/>
          <c:tx>
            <c:v>Drop Tower, Flat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'calculation sheet'!$B$47:$B$49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xVal>
          <c:yVal>
            <c:numRef>
              <c:f>'calculation sheet'!$D$47:$D$49</c:f>
              <c:numCache>
                <c:formatCode>General</c:formatCode>
                <c:ptCount val="3"/>
                <c:pt idx="0">
                  <c:v>3.6296215056556207</c:v>
                </c:pt>
                <c:pt idx="1">
                  <c:v>6.8133696937760195</c:v>
                </c:pt>
                <c:pt idx="2">
                  <c:v>6.3920282711655485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8-4391-B56C-E971AC3FF602}"/>
            </c:ext>
          </c:extLst>
        </c:ser>
        <c:ser>
          <c:idx val="3"/>
          <c:order val="2"/>
          <c:tx>
            <c:v>U_mmw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'calculation sheet'!$C$6:$C$27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150</c:v>
                </c:pt>
                <c:pt idx="21">
                  <c:v>300</c:v>
                </c:pt>
              </c:numCache>
            </c:numRef>
          </c:xVal>
          <c:yVal>
            <c:numRef>
              <c:f>'calculation sheet'!$Q$6:$Q$27</c:f>
              <c:numCache>
                <c:formatCode>0.000</c:formatCode>
                <c:ptCount val="22"/>
                <c:pt idx="0">
                  <c:v>1.2364547107626169</c:v>
                </c:pt>
                <c:pt idx="1">
                  <c:v>0.90800625451758832</c:v>
                </c:pt>
                <c:pt idx="2">
                  <c:v>0.73523063278669898</c:v>
                </c:pt>
                <c:pt idx="3">
                  <c:v>0.73229233709417174</c:v>
                </c:pt>
                <c:pt idx="4">
                  <c:v>0.77068969108472674</c:v>
                </c:pt>
                <c:pt idx="5">
                  <c:v>0.81726959130248245</c:v>
                </c:pt>
                <c:pt idx="6">
                  <c:v>0.91990667090033484</c:v>
                </c:pt>
                <c:pt idx="7">
                  <c:v>1.0253181781178025</c:v>
                </c:pt>
                <c:pt idx="8">
                  <c:v>1.510350995110779</c:v>
                </c:pt>
                <c:pt idx="9">
                  <c:v>2.2677583529320118</c:v>
                </c:pt>
                <c:pt idx="10">
                  <c:v>2.8583604219363732</c:v>
                </c:pt>
                <c:pt idx="11">
                  <c:v>3.7823162276993818</c:v>
                </c:pt>
                <c:pt idx="12">
                  <c:v>5.4113366969226364</c:v>
                </c:pt>
                <c:pt idx="13">
                  <c:v>6.599403419537941</c:v>
                </c:pt>
                <c:pt idx="14">
                  <c:v>7.5634498372933843</c:v>
                </c:pt>
                <c:pt idx="15">
                  <c:v>9.113506376851392</c:v>
                </c:pt>
                <c:pt idx="16">
                  <c:v>10.363743670028903</c:v>
                </c:pt>
                <c:pt idx="17">
                  <c:v>11.428219016112639</c:v>
                </c:pt>
                <c:pt idx="18">
                  <c:v>12.364076109887545</c:v>
                </c:pt>
                <c:pt idx="19">
                  <c:v>13.20457629867094</c:v>
                </c:pt>
                <c:pt idx="20">
                  <c:v>18.107677666352693</c:v>
                </c:pt>
                <c:pt idx="21">
                  <c:v>23.855479516861958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8-4391-B56C-E971AC3FF602}"/>
            </c:ext>
          </c:extLst>
        </c:ser>
        <c:ser>
          <c:idx val="2"/>
          <c:order val="3"/>
          <c:tx>
            <c:v>large puddle limit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'calculation sheet'!$Y$3:$Y$4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'calculation sheet'!$AA$3:$AA$4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8-4391-B56C-E971AC3FF602}"/>
            </c:ext>
          </c:extLst>
        </c:ser>
        <c:ser>
          <c:idx val="4"/>
          <c:order val="4"/>
          <c:tx>
            <c:v>We low Vd</c:v>
          </c:tx>
          <c:spPr>
            <a:ln w="19050">
              <a:noFill/>
            </a:ln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'calculation sheet'!$B$44:$B$46</c:f>
              <c:numCache>
                <c:formatCode>General</c:formatCode>
                <c:ptCount val="3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</c:numCache>
            </c:numRef>
          </c:xVal>
          <c:yVal>
            <c:numRef>
              <c:f>'calculation sheet'!$D$44:$D$46</c:f>
              <c:numCache>
                <c:formatCode>General</c:formatCode>
                <c:ptCount val="3"/>
                <c:pt idx="0">
                  <c:v>1.153882601776253E-2</c:v>
                </c:pt>
                <c:pt idx="1">
                  <c:v>9.1912889875043324E-3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8-4391-B56C-E971AC3FF602}"/>
            </c:ext>
          </c:extLst>
        </c:ser>
        <c:ser>
          <c:idx val="5"/>
          <c:order val="5"/>
          <c:tx>
            <c:v>Numerical, Flat</c:v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SEFIT_YK_BA'!$V$5:$V$33</c:f>
              <c:numCache>
                <c:formatCode>0.000</c:formatCode>
                <c:ptCount val="29"/>
                <c:pt idx="0">
                  <c:v>38.687789927901825</c:v>
                </c:pt>
                <c:pt idx="1">
                  <c:v>27.38653232218363</c:v>
                </c:pt>
                <c:pt idx="2">
                  <c:v>24.511249694268542</c:v>
                </c:pt>
                <c:pt idx="3">
                  <c:v>20.906935691211682</c:v>
                </c:pt>
                <c:pt idx="4">
                  <c:v>19.392994055229117</c:v>
                </c:pt>
                <c:pt idx="5">
                  <c:v>17.719859575381392</c:v>
                </c:pt>
                <c:pt idx="6">
                  <c:v>15.732393953126179</c:v>
                </c:pt>
                <c:pt idx="7">
                  <c:v>15.037794495298895</c:v>
                </c:pt>
                <c:pt idx="8">
                  <c:v>14.300121973386579</c:v>
                </c:pt>
                <c:pt idx="9">
                  <c:v>13.503140973284129</c:v>
                </c:pt>
                <c:pt idx="10">
                  <c:v>12.637811101037263</c:v>
                </c:pt>
                <c:pt idx="11">
                  <c:v>11.674246822391554</c:v>
                </c:pt>
                <c:pt idx="12">
                  <c:v>10.570865961284747</c:v>
                </c:pt>
                <c:pt idx="13">
                  <c:v>9.2692859835403496</c:v>
                </c:pt>
                <c:pt idx="14">
                  <c:v>7.6672113451457085</c:v>
                </c:pt>
                <c:pt idx="15">
                  <c:v>5.4164541987226018</c:v>
                </c:pt>
                <c:pt idx="16">
                  <c:v>3.6489458669765638</c:v>
                </c:pt>
                <c:pt idx="17">
                  <c:v>2.7024891209224817</c:v>
                </c:pt>
                <c:pt idx="18">
                  <c:v>2.1399854773217015</c:v>
                </c:pt>
                <c:pt idx="19">
                  <c:v>1.346858792416554</c:v>
                </c:pt>
                <c:pt idx="20">
                  <c:v>0.81695768433388205</c:v>
                </c:pt>
                <c:pt idx="21">
                  <c:v>0.54922881283711644</c:v>
                </c:pt>
                <c:pt idx="22">
                  <c:v>0.39205978977545886</c:v>
                </c:pt>
                <c:pt idx="23">
                  <c:v>0.2077269825040832</c:v>
                </c:pt>
                <c:pt idx="24">
                  <c:v>0.15454998828473304</c:v>
                </c:pt>
                <c:pt idx="25">
                  <c:v>9.7805409114023023E-2</c:v>
                </c:pt>
                <c:pt idx="26">
                  <c:v>7.354166743784829E-2</c:v>
                </c:pt>
                <c:pt idx="27">
                  <c:v>4.7901187097493254E-2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8-4391-B56C-E971AC3FF602}"/>
            </c:ext>
          </c:extLst>
        </c:ser>
        <c:ser>
          <c:idx val="6"/>
          <c:order val="6"/>
          <c:tx>
            <c:v>Numerical, Dished</c:v>
          </c:tx>
          <c:spPr>
            <a:ln w="19050">
              <a:noFill/>
            </a:ln>
          </c:spPr>
          <c:marker>
            <c:symbol val="circl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SEFIT_YK_BA'!$T$5:$T$33</c:f>
              <c:numCache>
                <c:formatCode>0.000</c:formatCode>
                <c:ptCount val="29"/>
                <c:pt idx="0">
                  <c:v>7.3276900402725085</c:v>
                </c:pt>
                <c:pt idx="1">
                  <c:v>8.2885928836170741</c:v>
                </c:pt>
                <c:pt idx="2">
                  <c:v>8.4581102946094813</c:v>
                </c:pt>
                <c:pt idx="3">
                  <c:v>8.5809442328642369</c:v>
                </c:pt>
                <c:pt idx="4">
                  <c:v>8.601986454695485</c:v>
                </c:pt>
                <c:pt idx="5">
                  <c:v>8.5524482592262974</c:v>
                </c:pt>
                <c:pt idx="6">
                  <c:v>8.4100412062378407</c:v>
                </c:pt>
                <c:pt idx="7">
                  <c:v>8.3332059621738193</c:v>
                </c:pt>
                <c:pt idx="8">
                  <c:v>8.2354277066347912</c:v>
                </c:pt>
                <c:pt idx="9">
                  <c:v>8.1074783281914868</c:v>
                </c:pt>
                <c:pt idx="10">
                  <c:v>7.9276510480808753</c:v>
                </c:pt>
                <c:pt idx="11">
                  <c:v>7.6814626874720728</c:v>
                </c:pt>
                <c:pt idx="12">
                  <c:v>7.3530650153125414</c:v>
                </c:pt>
                <c:pt idx="13">
                  <c:v>6.8628925715106579</c:v>
                </c:pt>
                <c:pt idx="14">
                  <c:v>6.0989196895365501</c:v>
                </c:pt>
                <c:pt idx="15">
                  <c:v>4.6532679818538032</c:v>
                </c:pt>
                <c:pt idx="16">
                  <c:v>3.3527634979203791</c:v>
                </c:pt>
                <c:pt idx="17">
                  <c:v>2.589282413876</c:v>
                </c:pt>
                <c:pt idx="18">
                  <c:v>2.038367627384305</c:v>
                </c:pt>
                <c:pt idx="19">
                  <c:v>1.3055402422907016</c:v>
                </c:pt>
                <c:pt idx="20">
                  <c:v>0.80050554644606531</c:v>
                </c:pt>
                <c:pt idx="21">
                  <c:v>0.53870277368233843</c:v>
                </c:pt>
                <c:pt idx="22">
                  <c:v>0.38504791998719218</c:v>
                </c:pt>
                <c:pt idx="23">
                  <c:v>0.20418683428689435</c:v>
                </c:pt>
                <c:pt idx="24">
                  <c:v>0.15232883806388295</c:v>
                </c:pt>
                <c:pt idx="25">
                  <c:v>9.5844382558110605E-2</c:v>
                </c:pt>
                <c:pt idx="26">
                  <c:v>7.1968875979131888E-2</c:v>
                </c:pt>
                <c:pt idx="27">
                  <c:v>4.7148688190219966E-2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8-4391-B56C-E971AC3FF602}"/>
            </c:ext>
          </c:extLst>
        </c:ser>
        <c:ser>
          <c:idx val="8"/>
          <c:order val="7"/>
          <c:tx>
            <c:v>phi &lt;&lt; 1 dished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SEFIT_YK_BA'!$AH$5:$AH$33</c:f>
              <c:numCache>
                <c:formatCode>General</c:formatCode>
                <c:ptCount val="29"/>
                <c:pt idx="0">
                  <c:v>7.4324229444966114</c:v>
                </c:pt>
                <c:pt idx="1">
                  <c:v>8.3223655067757498</c:v>
                </c:pt>
                <c:pt idx="2">
                  <c:v>8.4823402083576607</c:v>
                </c:pt>
                <c:pt idx="3">
                  <c:v>8.5809094537348471</c:v>
                </c:pt>
                <c:pt idx="4">
                  <c:v>8.5710254523316411</c:v>
                </c:pt>
                <c:pt idx="5">
                  <c:v>8.5110155519505479</c:v>
                </c:pt>
                <c:pt idx="6">
                  <c:v>8.3546835343122474</c:v>
                </c:pt>
                <c:pt idx="7">
                  <c:v>8.2743779031260001</c:v>
                </c:pt>
                <c:pt idx="8">
                  <c:v>8.1704461050325712</c:v>
                </c:pt>
                <c:pt idx="9">
                  <c:v>8.0349752645930739</c:v>
                </c:pt>
                <c:pt idx="10">
                  <c:v>7.8561848711545821</c:v>
                </c:pt>
                <c:pt idx="11">
                  <c:v>7.6156670551608903</c:v>
                </c:pt>
                <c:pt idx="12">
                  <c:v>7.2827428221536925</c:v>
                </c:pt>
                <c:pt idx="13">
                  <c:v>6.8013978461862452</c:v>
                </c:pt>
                <c:pt idx="14">
                  <c:v>6.053738412576064</c:v>
                </c:pt>
                <c:pt idx="15">
                  <c:v>4.7158714447019801</c:v>
                </c:pt>
                <c:pt idx="16">
                  <c:v>3.4733766508098496</c:v>
                </c:pt>
                <c:pt idx="17">
                  <c:v>2.6900399431254796</c:v>
                </c:pt>
                <c:pt idx="18">
                  <c:v>2.1638002839656094</c:v>
                </c:pt>
                <c:pt idx="19">
                  <c:v>1.4643496585949529</c:v>
                </c:pt>
                <c:pt idx="20">
                  <c:v>1.004633414893136</c:v>
                </c:pt>
                <c:pt idx="21">
                  <c:v>0.80570395382193361</c:v>
                </c:pt>
                <c:pt idx="22">
                  <c:v>0.72501836872492031</c:v>
                </c:pt>
                <c:pt idx="23">
                  <c:v>0.73208291679601512</c:v>
                </c:pt>
                <c:pt idx="24">
                  <c:v>0.78514650692308519</c:v>
                </c:pt>
                <c:pt idx="25">
                  <c:v>0.90693381422447761</c:v>
                </c:pt>
                <c:pt idx="26">
                  <c:v>0.99663781803006413</c:v>
                </c:pt>
                <c:pt idx="27">
                  <c:v>1.1353768239105619</c:v>
                </c:pt>
                <c:pt idx="28">
                  <c:v>1.8964113741560391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F8-4391-B56C-E971AC3F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9472"/>
        <c:axId val="639617904"/>
      </c:scatterChart>
      <c:valAx>
        <c:axId val="639619472"/>
        <c:scaling>
          <c:logBase val="10"/>
          <c:orientation val="minMax"/>
          <c:max val="3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40927435068702767"/>
              <c:y val="0.873057186033563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17904"/>
        <c:crossesAt val="1.0000000000000002E-2"/>
        <c:crossBetween val="midCat"/>
      </c:valAx>
      <c:valAx>
        <c:axId val="639617904"/>
        <c:scaling>
          <c:logBase val="10"/>
          <c:orientation val="minMax"/>
          <c:max val="30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 </a:t>
                </a:r>
              </a:p>
            </c:rich>
          </c:tx>
          <c:layout>
            <c:manualLayout>
              <c:xMode val="edge"/>
              <c:yMode val="edge"/>
              <c:x val="3.2896891196207971E-2"/>
              <c:y val="0.41525734928050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19472"/>
        <c:crossesAt val="0.1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47737302068011"/>
          <c:y val="6.0520884208687224E-2"/>
          <c:w val="0.22552115600934503"/>
          <c:h val="0.18995604369423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8588943057401"/>
          <c:y val="4.6305575439433706E-2"/>
          <c:w val="0.80678391806035354"/>
          <c:h val="0.78083925872902249"/>
        </c:manualLayout>
      </c:layout>
      <c:scatterChart>
        <c:scatterStyle val="lineMarker"/>
        <c:varyColors val="0"/>
        <c:ser>
          <c:idx val="0"/>
          <c:order val="0"/>
          <c:tx>
            <c:v>Drop Tower, Dished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Sheet7!$G$15:$G$25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Sheet7!$H$15:$H$25</c:f>
              <c:numCache>
                <c:formatCode>General</c:formatCode>
                <c:ptCount val="11"/>
                <c:pt idx="0">
                  <c:v>7.7399999999999997E-2</c:v>
                </c:pt>
                <c:pt idx="1">
                  <c:v>8.7900000000000006E-2</c:v>
                </c:pt>
                <c:pt idx="2">
                  <c:v>8.8789999999999994E-2</c:v>
                </c:pt>
                <c:pt idx="3">
                  <c:v>9.2999999999999999E-2</c:v>
                </c:pt>
                <c:pt idx="4">
                  <c:v>0.11799999999999999</c:v>
                </c:pt>
                <c:pt idx="5">
                  <c:v>0.123</c:v>
                </c:pt>
                <c:pt idx="6">
                  <c:v>0.11738571428571429</c:v>
                </c:pt>
                <c:pt idx="7">
                  <c:v>0.10484864864864867</c:v>
                </c:pt>
                <c:pt idx="8">
                  <c:v>9.3453333333333347E-2</c:v>
                </c:pt>
                <c:pt idx="9">
                  <c:v>8.6260869565217391E-2</c:v>
                </c:pt>
                <c:pt idx="10">
                  <c:v>4.7600000000000003E-2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4-494A-B103-F5507DF5490A}"/>
            </c:ext>
          </c:extLst>
        </c:ser>
        <c:ser>
          <c:idx val="8"/>
          <c:order val="1"/>
          <c:tx>
            <c:v>Drop Tower, Flat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'calculation sheet'!$B$47:$B$49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xVal>
          <c:yVal>
            <c:numRef>
              <c:f>'calculation sheet'!$C$47:$C$49</c:f>
              <c:numCache>
                <c:formatCode>0.000</c:formatCode>
                <c:ptCount val="3"/>
                <c:pt idx="0">
                  <c:v>0.1106</c:v>
                </c:pt>
                <c:pt idx="1">
                  <c:v>0.13500000000000001</c:v>
                </c:pt>
                <c:pt idx="2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4-494A-B103-F5507DF5490A}"/>
            </c:ext>
          </c:extLst>
        </c:ser>
        <c:ser>
          <c:idx val="3"/>
          <c:order val="2"/>
          <c:tx>
            <c:v>Theory, Flat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'calculation sheet'!$C$9:$C$27</c:f>
              <c:numCache>
                <c:formatCode>General</c:formatCode>
                <c:ptCount val="1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150</c:v>
                </c:pt>
                <c:pt idx="18">
                  <c:v>300</c:v>
                </c:pt>
              </c:numCache>
            </c:numRef>
          </c:xVal>
          <c:yVal>
            <c:numRef>
              <c:f>'calculation sheet'!$R$9:$R$27</c:f>
              <c:numCache>
                <c:formatCode>0.000</c:formatCode>
                <c:ptCount val="19"/>
                <c:pt idx="0">
                  <c:v>0.12055491706532943</c:v>
                </c:pt>
                <c:pt idx="1">
                  <c:v>0.11916008103627954</c:v>
                </c:pt>
                <c:pt idx="2">
                  <c:v>0.11903558502350924</c:v>
                </c:pt>
                <c:pt idx="3">
                  <c:v>0.12037682987847416</c:v>
                </c:pt>
                <c:pt idx="4">
                  <c:v>0.12244714898442279</c:v>
                </c:pt>
                <c:pt idx="5">
                  <c:v>0.13239958569945479</c:v>
                </c:pt>
                <c:pt idx="6">
                  <c:v>0.14453545860558648</c:v>
                </c:pt>
                <c:pt idx="7">
                  <c:v>0.15166520933779562</c:v>
                </c:pt>
                <c:pt idx="8">
                  <c:v>0.16022548704213049</c:v>
                </c:pt>
                <c:pt idx="9">
                  <c:v>0.17073922070417252</c:v>
                </c:pt>
                <c:pt idx="10">
                  <c:v>0.17623201707130692</c:v>
                </c:pt>
                <c:pt idx="11">
                  <c:v>0.17983296961925482</c:v>
                </c:pt>
                <c:pt idx="12">
                  <c:v>0.18450305356055025</c:v>
                </c:pt>
                <c:pt idx="13">
                  <c:v>0.18754090870399032</c:v>
                </c:pt>
                <c:pt idx="14">
                  <c:v>0.18974716380865475</c:v>
                </c:pt>
                <c:pt idx="15">
                  <c:v>0.19145643868669115</c:v>
                </c:pt>
                <c:pt idx="16">
                  <c:v>0.19283842612501903</c:v>
                </c:pt>
                <c:pt idx="17">
                  <c:v>0.19888278099247289</c:v>
                </c:pt>
                <c:pt idx="18">
                  <c:v>0.20337062157538166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4-494A-B103-F5507DF5490A}"/>
            </c:ext>
          </c:extLst>
        </c:ser>
        <c:ser>
          <c:idx val="6"/>
          <c:order val="3"/>
          <c:tx>
            <c:v>Numerical, Flat</c:v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SEFIT_YK_BA'!$U$5:$U$32</c:f>
              <c:numCache>
                <c:formatCode>0.000</c:formatCode>
                <c:ptCount val="28"/>
                <c:pt idx="0">
                  <c:v>0.21116474693697546</c:v>
                </c:pt>
                <c:pt idx="1">
                  <c:v>0.20697901378495775</c:v>
                </c:pt>
                <c:pt idx="2">
                  <c:v>0.20542989320923041</c:v>
                </c:pt>
                <c:pt idx="3">
                  <c:v>0.20299000216091775</c:v>
                </c:pt>
                <c:pt idx="4">
                  <c:v>0.20166887391531318</c:v>
                </c:pt>
                <c:pt idx="5">
                  <c:v>0.20002732184511618</c:v>
                </c:pt>
                <c:pt idx="6">
                  <c:v>0.1976507783550232</c:v>
                </c:pt>
                <c:pt idx="7">
                  <c:v>0.1966615436044736</c:v>
                </c:pt>
                <c:pt idx="8">
                  <c:v>0.19557919857665415</c:v>
                </c:pt>
                <c:pt idx="9">
                  <c:v>0.19432806070205391</c:v>
                </c:pt>
                <c:pt idx="10">
                  <c:v>0.19289094637645168</c:v>
                </c:pt>
                <c:pt idx="11">
                  <c:v>0.19111167723177067</c:v>
                </c:pt>
                <c:pt idx="12">
                  <c:v>0.18874686209002128</c:v>
                </c:pt>
                <c:pt idx="13">
                  <c:v>0.18542603883142933</c:v>
                </c:pt>
                <c:pt idx="14">
                  <c:v>0.18043253071568155</c:v>
                </c:pt>
                <c:pt idx="15">
                  <c:v>0.1702257775787509</c:v>
                </c:pt>
                <c:pt idx="16">
                  <c:v>0.15682784158962032</c:v>
                </c:pt>
                <c:pt idx="17">
                  <c:v>0.14695901209273071</c:v>
                </c:pt>
                <c:pt idx="18">
                  <c:v>0.1399162648546895</c:v>
                </c:pt>
                <c:pt idx="19">
                  <c:v>0.12459352947279621</c:v>
                </c:pt>
                <c:pt idx="20">
                  <c:v>0.10891956615105661</c:v>
                </c:pt>
                <c:pt idx="21">
                  <c:v>9.7242825567567512E-2</c:v>
                </c:pt>
                <c:pt idx="22">
                  <c:v>8.7903386735007291E-2</c:v>
                </c:pt>
                <c:pt idx="23">
                  <c:v>7.1820360163900324E-2</c:v>
                </c:pt>
                <c:pt idx="24">
                  <c:v>6.4991825169631659E-2</c:v>
                </c:pt>
                <c:pt idx="25">
                  <c:v>5.5316440378288048E-2</c:v>
                </c:pt>
                <c:pt idx="26" formatCode="0.0000">
                  <c:v>4.9784161119563339E-2</c:v>
                </c:pt>
                <c:pt idx="27">
                  <c:v>4.2152245810894037E-2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4-494A-B103-F5507DF5490A}"/>
            </c:ext>
          </c:extLst>
        </c:ser>
        <c:ser>
          <c:idx val="7"/>
          <c:order val="4"/>
          <c:tx>
            <c:v>Theory, Dished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'modified SEFIT_YK_BA'!$B$5:$B$27</c:f>
              <c:numCache>
                <c:formatCode>General</c:formatCode>
                <c:ptCount val="23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</c:numCache>
            </c:numRef>
          </c:xVal>
          <c:yVal>
            <c:numRef>
              <c:f>'modified SEFIT_YK_BA'!$W$5:$W$27</c:f>
              <c:numCache>
                <c:formatCode>0.000</c:formatCode>
                <c:ptCount val="23"/>
                <c:pt idx="0">
                  <c:v>9.1843708323699855E-2</c:v>
                </c:pt>
                <c:pt idx="1">
                  <c:v>0.11360090751032867</c:v>
                </c:pt>
                <c:pt idx="2">
                  <c:v>0.12040159763240868</c:v>
                </c:pt>
                <c:pt idx="3">
                  <c:v>0.12966052807214853</c:v>
                </c:pt>
                <c:pt idx="4">
                  <c:v>0.13370864456459478</c:v>
                </c:pt>
                <c:pt idx="5">
                  <c:v>0.13828968985267825</c:v>
                </c:pt>
                <c:pt idx="6">
                  <c:v>0.14372075846379057</c:v>
                </c:pt>
                <c:pt idx="7">
                  <c:v>0.14557315816551517</c:v>
                </c:pt>
                <c:pt idx="8">
                  <c:v>0.14753507947652719</c:v>
                </c:pt>
                <c:pt idx="9">
                  <c:v>0.14960999777902292</c:v>
                </c:pt>
                <c:pt idx="10">
                  <c:v>0.1517955901665235</c:v>
                </c:pt>
                <c:pt idx="11">
                  <c:v>0.15407243872393436</c:v>
                </c:pt>
                <c:pt idx="12">
                  <c:v>0.15638155245689792</c:v>
                </c:pt>
                <c:pt idx="13">
                  <c:v>0.15854533697562578</c:v>
                </c:pt>
                <c:pt idx="14">
                  <c:v>0.16001725575845055</c:v>
                </c:pt>
                <c:pt idx="15">
                  <c:v>0.15845902736130363</c:v>
                </c:pt>
                <c:pt idx="16">
                  <c:v>0.15252298153937013</c:v>
                </c:pt>
                <c:pt idx="17">
                  <c:v>0.14602517329307091</c:v>
                </c:pt>
                <c:pt idx="18">
                  <c:v>0.13999086102630992</c:v>
                </c:pt>
                <c:pt idx="19">
                  <c:v>0.1289865558362131</c:v>
                </c:pt>
                <c:pt idx="20">
                  <c:v>0.11958963119992627</c:v>
                </c:pt>
                <c:pt idx="21">
                  <c:v>0.11640277971064243</c:v>
                </c:pt>
                <c:pt idx="22">
                  <c:v>0.1180672918275178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4-494A-B103-F5507DF5490A}"/>
            </c:ext>
          </c:extLst>
        </c:ser>
        <c:ser>
          <c:idx val="5"/>
          <c:order val="5"/>
          <c:tx>
            <c:v>Numerical, Dished</c:v>
          </c:tx>
          <c:spPr>
            <a:ln w="19050">
              <a:noFill/>
            </a:ln>
          </c:spPr>
          <c:marker>
            <c:symbol val="circl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SEFIT_YK_BA'!$S$5:$S$32</c:f>
              <c:numCache>
                <c:formatCode>0.000</c:formatCode>
                <c:ptCount val="28"/>
                <c:pt idx="0">
                  <c:v>9.1900526828244164E-2</c:v>
                </c:pt>
                <c:pt idx="1">
                  <c:v>0.11386708291104554</c:v>
                </c:pt>
                <c:pt idx="2">
                  <c:v>0.1206750772146814</c:v>
                </c:pt>
                <c:pt idx="3">
                  <c:v>0.13004599931463318</c:v>
                </c:pt>
                <c:pt idx="4">
                  <c:v>0.13431230994046389</c:v>
                </c:pt>
                <c:pt idx="5">
                  <c:v>0.13896467306597962</c:v>
                </c:pt>
                <c:pt idx="6">
                  <c:v>0.14451075975005281</c:v>
                </c:pt>
                <c:pt idx="7">
                  <c:v>0.14639742193100302</c:v>
                </c:pt>
                <c:pt idx="8">
                  <c:v>0.14842117685811082</c:v>
                </c:pt>
                <c:pt idx="9">
                  <c:v>0.15057782301042702</c:v>
                </c:pt>
                <c:pt idx="10">
                  <c:v>0.15277355224109754</c:v>
                </c:pt>
                <c:pt idx="11">
                  <c:v>0.15502250525162878</c:v>
                </c:pt>
                <c:pt idx="12">
                  <c:v>0.15741954769431363</c:v>
                </c:pt>
                <c:pt idx="13">
                  <c:v>0.15955160611595384</c:v>
                </c:pt>
                <c:pt idx="14">
                  <c:v>0.16092465268230205</c:v>
                </c:pt>
                <c:pt idx="15">
                  <c:v>0.15777813610405061</c:v>
                </c:pt>
                <c:pt idx="16">
                  <c:v>0.15032835837205308</c:v>
                </c:pt>
                <c:pt idx="17">
                  <c:v>0.14384804288234357</c:v>
                </c:pt>
                <c:pt idx="18">
                  <c:v>0.13655388062271201</c:v>
                </c:pt>
                <c:pt idx="19">
                  <c:v>0.12266752063384122</c:v>
                </c:pt>
                <c:pt idx="20">
                  <c:v>0.10781726090825874</c:v>
                </c:pt>
                <c:pt idx="21">
                  <c:v>9.6306482098483845E-2</c:v>
                </c:pt>
                <c:pt idx="22">
                  <c:v>8.711377769406764E-2</c:v>
                </c:pt>
                <c:pt idx="23">
                  <c:v>7.1205737741544664E-2</c:v>
                </c:pt>
                <c:pt idx="24">
                  <c:v>6.4523112642600258E-2</c:v>
                </c:pt>
                <c:pt idx="25">
                  <c:v>5.4759077146592429E-2</c:v>
                </c:pt>
                <c:pt idx="26">
                  <c:v>4.9248932025711858E-2</c:v>
                </c:pt>
                <c:pt idx="27">
                  <c:v>4.1819841932237339E-2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4-494A-B103-F5507DF5490A}"/>
            </c:ext>
          </c:extLst>
        </c:ser>
        <c:ser>
          <c:idx val="4"/>
          <c:order val="6"/>
          <c:tx>
            <c:v>U_max</c:v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'calculation sheet'!$T$3:$T$5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300</c:v>
                </c:pt>
              </c:numCache>
            </c:numRef>
          </c:xVal>
          <c:yVal>
            <c:numRef>
              <c:f>'calculation sheet'!$V$3:$V$5</c:f>
              <c:numCache>
                <c:formatCode>General</c:formatCode>
                <c:ptCount val="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4-494A-B103-F5507DF5490A}"/>
            </c:ext>
          </c:extLst>
        </c:ser>
        <c:ser>
          <c:idx val="2"/>
          <c:order val="7"/>
          <c:spPr>
            <a:ln w="19050">
              <a:noFill/>
            </a:ln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'calculation sheet'!$B$44:$B$46</c:f>
              <c:numCache>
                <c:formatCode>General</c:formatCode>
                <c:ptCount val="3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</c:numCache>
            </c:numRef>
          </c:xVal>
          <c:yVal>
            <c:numRef>
              <c:f>'calculation sheet'!$C$44:$C$46</c:f>
              <c:numCache>
                <c:formatCode>0.000</c:formatCode>
                <c:ptCount val="3"/>
                <c:pt idx="0">
                  <c:v>1.9E-2</c:v>
                </c:pt>
                <c:pt idx="1">
                  <c:v>1.7600000000000001E-2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4-494A-B103-F5507DF5490A}"/>
            </c:ext>
          </c:extLst>
        </c:ser>
        <c:ser>
          <c:idx val="1"/>
          <c:order val="8"/>
          <c:tx>
            <c:v>Large puddle limit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'calculation sheet'!$Y$3:$Y$4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'calculation sheet'!$Z$3:$Z$4</c:f>
              <c:numCache>
                <c:formatCode>General</c:formatCode>
                <c:ptCount val="2"/>
                <c:pt idx="0">
                  <c:v>0.01</c:v>
                </c:pt>
                <c:pt idx="1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C4-494A-B103-F5507DF5490A}"/>
            </c:ext>
          </c:extLst>
        </c:ser>
        <c:ser>
          <c:idx val="9"/>
          <c:order val="9"/>
          <c:tx>
            <c:v>Phi &lt;&lt; 1 curved</c:v>
          </c:tx>
          <c:spPr>
            <a:ln w="19050">
              <a:noFill/>
            </a:ln>
          </c:spP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SEFIT_YK_BA'!$AG$5:$AG$33</c:f>
              <c:numCache>
                <c:formatCode>General</c:formatCode>
                <c:ptCount val="29"/>
                <c:pt idx="0">
                  <c:v>9.2878007673887306E-2</c:v>
                </c:pt>
                <c:pt idx="1">
                  <c:v>0.11449707988007064</c:v>
                </c:pt>
                <c:pt idx="2">
                  <c:v>0.12126961092079189</c:v>
                </c:pt>
                <c:pt idx="3">
                  <c:v>0.13049964896968036</c:v>
                </c:pt>
                <c:pt idx="4">
                  <c:v>0.1345383387522868</c:v>
                </c:pt>
                <c:pt idx="5">
                  <c:v>0.13911152182470596</c:v>
                </c:pt>
                <c:pt idx="6">
                  <c:v>0.14453710498873423</c:v>
                </c:pt>
                <c:pt idx="7">
                  <c:v>0.14638894271631389</c:v>
                </c:pt>
                <c:pt idx="8">
                  <c:v>0.1483504620817927</c:v>
                </c:pt>
                <c:pt idx="9">
                  <c:v>0.15042624519339773</c:v>
                </c:pt>
                <c:pt idx="10">
                  <c:v>0.15261421554924864</c:v>
                </c:pt>
                <c:pt idx="11">
                  <c:v>0.15489592420758302</c:v>
                </c:pt>
                <c:pt idx="12">
                  <c:v>0.15721181132089143</c:v>
                </c:pt>
                <c:pt idx="13">
                  <c:v>0.15938956929909173</c:v>
                </c:pt>
                <c:pt idx="14">
                  <c:v>0.16088708233220178</c:v>
                </c:pt>
                <c:pt idx="15">
                  <c:v>0.15939033934871477</c:v>
                </c:pt>
                <c:pt idx="16">
                  <c:v>0.15354250532100577</c:v>
                </c:pt>
                <c:pt idx="17">
                  <c:v>0.14713189831130119</c:v>
                </c:pt>
                <c:pt idx="18">
                  <c:v>0.14118371450567047</c:v>
                </c:pt>
                <c:pt idx="19">
                  <c:v>0.13036772240918054</c:v>
                </c:pt>
                <c:pt idx="20">
                  <c:v>0.12120573194754208</c:v>
                </c:pt>
                <c:pt idx="21">
                  <c:v>0.11819031444097394</c:v>
                </c:pt>
                <c:pt idx="22">
                  <c:v>0.11995467784543802</c:v>
                </c:pt>
                <c:pt idx="23">
                  <c:v>0.13529896865429114</c:v>
                </c:pt>
                <c:pt idx="24">
                  <c:v>0.14699847320016196</c:v>
                </c:pt>
                <c:pt idx="25">
                  <c:v>0.16903390046687589</c:v>
                </c:pt>
                <c:pt idx="26">
                  <c:v>0.18391043257835157</c:v>
                </c:pt>
                <c:pt idx="27">
                  <c:v>0.20593531090583264</c:v>
                </c:pt>
                <c:pt idx="28">
                  <c:v>0.3196298214198588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C4-494A-B103-F5507DF5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8296"/>
        <c:axId val="639618688"/>
      </c:scatterChart>
      <c:valAx>
        <c:axId val="639618296"/>
        <c:scaling>
          <c:logBase val="10"/>
          <c:orientation val="minMax"/>
          <c:max val="400"/>
          <c:min val="1.0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40927435068702767"/>
              <c:y val="0.873057186033563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18688"/>
        <c:crosses val="autoZero"/>
        <c:crossBetween val="midCat"/>
      </c:valAx>
      <c:valAx>
        <c:axId val="6396186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18296"/>
        <c:crossesAt val="1.0000000000000002E-2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2551939276609167"/>
          <c:y val="0.24439718176350869"/>
          <c:w val="0.25261780738946094"/>
          <c:h val="0.25956218407646098"/>
        </c:manualLayout>
      </c:layout>
      <c:overlay val="0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8588943057401"/>
          <c:y val="4.6305585094731129E-2"/>
          <c:w val="0.80678391806035354"/>
          <c:h val="0.78083933741969658"/>
        </c:manualLayout>
      </c:layout>
      <c:scatterChart>
        <c:scatterStyle val="lineMarker"/>
        <c:varyColors val="0"/>
        <c:ser>
          <c:idx val="0"/>
          <c:order val="0"/>
          <c:tx>
            <c:v>Drop Tower, Dished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Sheet7!$G$15:$G$25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Sheet7!$I$15:$I$25</c:f>
              <c:numCache>
                <c:formatCode>General</c:formatCode>
                <c:ptCount val="11"/>
                <c:pt idx="0">
                  <c:v>1.4010809249142926</c:v>
                </c:pt>
                <c:pt idx="1">
                  <c:v>1.6417718450894441</c:v>
                </c:pt>
                <c:pt idx="2">
                  <c:v>1.4634102045883917</c:v>
                </c:pt>
                <c:pt idx="3">
                  <c:v>1.2742672820589005</c:v>
                </c:pt>
                <c:pt idx="4">
                  <c:v>1.7302508316327343</c:v>
                </c:pt>
                <c:pt idx="5">
                  <c:v>1.6423215385754677</c:v>
                </c:pt>
                <c:pt idx="6">
                  <c:v>1.1872307258001786</c:v>
                </c:pt>
                <c:pt idx="7">
                  <c:v>0.75177343755149828</c:v>
                </c:pt>
                <c:pt idx="8">
                  <c:v>0.50373405443371977</c:v>
                </c:pt>
                <c:pt idx="9">
                  <c:v>0.37492318346646492</c:v>
                </c:pt>
                <c:pt idx="10">
                  <c:v>9.0611893507860322E-2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C-4D31-AF95-671260AE681E}"/>
            </c:ext>
          </c:extLst>
        </c:ser>
        <c:ser>
          <c:idx val="7"/>
          <c:order val="1"/>
          <c:tx>
            <c:v>Drop Tower, Flat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'calculation sheet'!$B$47:$B$49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xVal>
          <c:yVal>
            <c:numRef>
              <c:f>'calculation sheet'!$D$47:$D$49</c:f>
              <c:numCache>
                <c:formatCode>General</c:formatCode>
                <c:ptCount val="3"/>
                <c:pt idx="0">
                  <c:v>3.6296215056556207</c:v>
                </c:pt>
                <c:pt idx="1">
                  <c:v>6.8133696937760195</c:v>
                </c:pt>
                <c:pt idx="2">
                  <c:v>6.3920282711655485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C-4D31-AF95-671260AE681E}"/>
            </c:ext>
          </c:extLst>
        </c:ser>
        <c:ser>
          <c:idx val="3"/>
          <c:order val="2"/>
          <c:tx>
            <c:v>U_mmw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'calculation sheet'!$C$6:$C$27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150</c:v>
                </c:pt>
                <c:pt idx="21">
                  <c:v>300</c:v>
                </c:pt>
              </c:numCache>
            </c:numRef>
          </c:xVal>
          <c:yVal>
            <c:numRef>
              <c:f>'calculation sheet'!$Q$6:$Q$27</c:f>
              <c:numCache>
                <c:formatCode>0.000</c:formatCode>
                <c:ptCount val="22"/>
                <c:pt idx="0">
                  <c:v>1.2364547107626169</c:v>
                </c:pt>
                <c:pt idx="1">
                  <c:v>0.90800625451758832</c:v>
                </c:pt>
                <c:pt idx="2">
                  <c:v>0.73523063278669898</c:v>
                </c:pt>
                <c:pt idx="3">
                  <c:v>0.73229233709417174</c:v>
                </c:pt>
                <c:pt idx="4">
                  <c:v>0.77068969108472674</c:v>
                </c:pt>
                <c:pt idx="5">
                  <c:v>0.81726959130248245</c:v>
                </c:pt>
                <c:pt idx="6">
                  <c:v>0.91990667090033484</c:v>
                </c:pt>
                <c:pt idx="7">
                  <c:v>1.0253181781178025</c:v>
                </c:pt>
                <c:pt idx="8">
                  <c:v>1.510350995110779</c:v>
                </c:pt>
                <c:pt idx="9">
                  <c:v>2.2677583529320118</c:v>
                </c:pt>
                <c:pt idx="10">
                  <c:v>2.8583604219363732</c:v>
                </c:pt>
                <c:pt idx="11">
                  <c:v>3.7823162276993818</c:v>
                </c:pt>
                <c:pt idx="12">
                  <c:v>5.4113366969226364</c:v>
                </c:pt>
                <c:pt idx="13">
                  <c:v>6.599403419537941</c:v>
                </c:pt>
                <c:pt idx="14">
                  <c:v>7.5634498372933843</c:v>
                </c:pt>
                <c:pt idx="15">
                  <c:v>9.113506376851392</c:v>
                </c:pt>
                <c:pt idx="16">
                  <c:v>10.363743670028903</c:v>
                </c:pt>
                <c:pt idx="17">
                  <c:v>11.428219016112639</c:v>
                </c:pt>
                <c:pt idx="18">
                  <c:v>12.364076109887545</c:v>
                </c:pt>
                <c:pt idx="19">
                  <c:v>13.20457629867094</c:v>
                </c:pt>
                <c:pt idx="20">
                  <c:v>18.107677666352693</c:v>
                </c:pt>
                <c:pt idx="21">
                  <c:v>23.855479516861958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C-4D31-AF95-671260AE681E}"/>
            </c:ext>
          </c:extLst>
        </c:ser>
        <c:ser>
          <c:idx val="2"/>
          <c:order val="3"/>
          <c:tx>
            <c:v>large puddle limit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'calculation sheet'!$Y$3:$Y$4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'calculation sheet'!$AA$3:$AA$4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C-4D31-AF95-671260AE681E}"/>
            </c:ext>
          </c:extLst>
        </c:ser>
        <c:ser>
          <c:idx val="4"/>
          <c:order val="4"/>
          <c:tx>
            <c:v>We low Vd</c:v>
          </c:tx>
          <c:spPr>
            <a:ln w="19050">
              <a:noFill/>
            </a:ln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'calculation sheet'!$B$44:$B$46</c:f>
              <c:numCache>
                <c:formatCode>General</c:formatCode>
                <c:ptCount val="3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</c:numCache>
            </c:numRef>
          </c:xVal>
          <c:yVal>
            <c:numRef>
              <c:f>'calculation sheet'!$D$44:$D$46</c:f>
              <c:numCache>
                <c:formatCode>General</c:formatCode>
                <c:ptCount val="3"/>
                <c:pt idx="0">
                  <c:v>1.153882601776253E-2</c:v>
                </c:pt>
                <c:pt idx="1">
                  <c:v>9.1912889875043324E-3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C-4D31-AF95-671260AE681E}"/>
            </c:ext>
          </c:extLst>
        </c:ser>
        <c:ser>
          <c:idx val="5"/>
          <c:order val="5"/>
          <c:tx>
            <c:v>Numerical, Flat</c:v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SEFIT_YK_BA'!$V$5:$V$33</c:f>
              <c:numCache>
                <c:formatCode>0.000</c:formatCode>
                <c:ptCount val="29"/>
                <c:pt idx="0">
                  <c:v>38.687789927901825</c:v>
                </c:pt>
                <c:pt idx="1">
                  <c:v>27.38653232218363</c:v>
                </c:pt>
                <c:pt idx="2">
                  <c:v>24.511249694268542</c:v>
                </c:pt>
                <c:pt idx="3">
                  <c:v>20.906935691211682</c:v>
                </c:pt>
                <c:pt idx="4">
                  <c:v>19.392994055229117</c:v>
                </c:pt>
                <c:pt idx="5">
                  <c:v>17.719859575381392</c:v>
                </c:pt>
                <c:pt idx="6">
                  <c:v>15.732393953126179</c:v>
                </c:pt>
                <c:pt idx="7">
                  <c:v>15.037794495298895</c:v>
                </c:pt>
                <c:pt idx="8">
                  <c:v>14.300121973386579</c:v>
                </c:pt>
                <c:pt idx="9">
                  <c:v>13.503140973284129</c:v>
                </c:pt>
                <c:pt idx="10">
                  <c:v>12.637811101037263</c:v>
                </c:pt>
                <c:pt idx="11">
                  <c:v>11.674246822391554</c:v>
                </c:pt>
                <c:pt idx="12">
                  <c:v>10.570865961284747</c:v>
                </c:pt>
                <c:pt idx="13">
                  <c:v>9.2692859835403496</c:v>
                </c:pt>
                <c:pt idx="14">
                  <c:v>7.6672113451457085</c:v>
                </c:pt>
                <c:pt idx="15">
                  <c:v>5.4164541987226018</c:v>
                </c:pt>
                <c:pt idx="16">
                  <c:v>3.6489458669765638</c:v>
                </c:pt>
                <c:pt idx="17">
                  <c:v>2.7024891209224817</c:v>
                </c:pt>
                <c:pt idx="18">
                  <c:v>2.1399854773217015</c:v>
                </c:pt>
                <c:pt idx="19">
                  <c:v>1.346858792416554</c:v>
                </c:pt>
                <c:pt idx="20">
                  <c:v>0.81695768433388205</c:v>
                </c:pt>
                <c:pt idx="21">
                  <c:v>0.54922881283711644</c:v>
                </c:pt>
                <c:pt idx="22">
                  <c:v>0.39205978977545886</c:v>
                </c:pt>
                <c:pt idx="23">
                  <c:v>0.2077269825040832</c:v>
                </c:pt>
                <c:pt idx="24">
                  <c:v>0.15454998828473304</c:v>
                </c:pt>
                <c:pt idx="25">
                  <c:v>9.7805409114023023E-2</c:v>
                </c:pt>
                <c:pt idx="26">
                  <c:v>7.354166743784829E-2</c:v>
                </c:pt>
                <c:pt idx="27">
                  <c:v>4.7901187097493254E-2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C-4D31-AF95-671260AE681E}"/>
            </c:ext>
          </c:extLst>
        </c:ser>
        <c:ser>
          <c:idx val="6"/>
          <c:order val="6"/>
          <c:tx>
            <c:v>Numerical, Dished</c:v>
          </c:tx>
          <c:spPr>
            <a:ln w="19050">
              <a:noFill/>
            </a:ln>
          </c:spPr>
          <c:marker>
            <c:symbol val="circle"/>
            <c:size val="11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SEFIT_YK_BA'!$T$5:$T$33</c:f>
              <c:numCache>
                <c:formatCode>0.000</c:formatCode>
                <c:ptCount val="29"/>
                <c:pt idx="0">
                  <c:v>7.3276900402725085</c:v>
                </c:pt>
                <c:pt idx="1">
                  <c:v>8.2885928836170741</c:v>
                </c:pt>
                <c:pt idx="2">
                  <c:v>8.4581102946094813</c:v>
                </c:pt>
                <c:pt idx="3">
                  <c:v>8.5809442328642369</c:v>
                </c:pt>
                <c:pt idx="4">
                  <c:v>8.601986454695485</c:v>
                </c:pt>
                <c:pt idx="5">
                  <c:v>8.5524482592262974</c:v>
                </c:pt>
                <c:pt idx="6">
                  <c:v>8.4100412062378407</c:v>
                </c:pt>
                <c:pt idx="7">
                  <c:v>8.3332059621738193</c:v>
                </c:pt>
                <c:pt idx="8">
                  <c:v>8.2354277066347912</c:v>
                </c:pt>
                <c:pt idx="9">
                  <c:v>8.1074783281914868</c:v>
                </c:pt>
                <c:pt idx="10">
                  <c:v>7.9276510480808753</c:v>
                </c:pt>
                <c:pt idx="11">
                  <c:v>7.6814626874720728</c:v>
                </c:pt>
                <c:pt idx="12">
                  <c:v>7.3530650153125414</c:v>
                </c:pt>
                <c:pt idx="13">
                  <c:v>6.8628925715106579</c:v>
                </c:pt>
                <c:pt idx="14">
                  <c:v>6.0989196895365501</c:v>
                </c:pt>
                <c:pt idx="15">
                  <c:v>4.6532679818538032</c:v>
                </c:pt>
                <c:pt idx="16">
                  <c:v>3.3527634979203791</c:v>
                </c:pt>
                <c:pt idx="17">
                  <c:v>2.589282413876</c:v>
                </c:pt>
                <c:pt idx="18">
                  <c:v>2.038367627384305</c:v>
                </c:pt>
                <c:pt idx="19">
                  <c:v>1.3055402422907016</c:v>
                </c:pt>
                <c:pt idx="20">
                  <c:v>0.80050554644606531</c:v>
                </c:pt>
                <c:pt idx="21">
                  <c:v>0.53870277368233843</c:v>
                </c:pt>
                <c:pt idx="22">
                  <c:v>0.38504791998719218</c:v>
                </c:pt>
                <c:pt idx="23">
                  <c:v>0.20418683428689435</c:v>
                </c:pt>
                <c:pt idx="24">
                  <c:v>0.15232883806388295</c:v>
                </c:pt>
                <c:pt idx="25">
                  <c:v>9.5844382558110605E-2</c:v>
                </c:pt>
                <c:pt idx="26">
                  <c:v>7.1968875979131888E-2</c:v>
                </c:pt>
                <c:pt idx="27">
                  <c:v>4.7148688190219966E-2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FC-4D31-AF95-671260AE681E}"/>
            </c:ext>
          </c:extLst>
        </c:ser>
        <c:ser>
          <c:idx val="1"/>
          <c:order val="7"/>
          <c:tx>
            <c:v>Theory, Dished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'modified SEFIT_YK_BA'!$B$5:$B$31</c:f>
              <c:numCache>
                <c:formatCode>General</c:formatCode>
                <c:ptCount val="27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</c:numCache>
            </c:numRef>
          </c:xVal>
          <c:yVal>
            <c:numRef>
              <c:f>'modified SEFIT_YK_BA'!$X$5:$X$31</c:f>
              <c:numCache>
                <c:formatCode>General</c:formatCode>
                <c:ptCount val="27"/>
                <c:pt idx="0">
                  <c:v>7.3186319924408485</c:v>
                </c:pt>
                <c:pt idx="1">
                  <c:v>8.2498873885910911</c:v>
                </c:pt>
                <c:pt idx="2">
                  <c:v>8.4198173931775084</c:v>
                </c:pt>
                <c:pt idx="3">
                  <c:v>8.5301498210265656</c:v>
                </c:pt>
                <c:pt idx="4">
                  <c:v>8.5248371290572305</c:v>
                </c:pt>
                <c:pt idx="5">
                  <c:v>8.4695676382040688</c:v>
                </c:pt>
                <c:pt idx="6">
                  <c:v>8.3183416945878932</c:v>
                </c:pt>
                <c:pt idx="7">
                  <c:v>8.2396329608149141</c:v>
                </c:pt>
                <c:pt idx="8">
                  <c:v>8.1373876855968454</c:v>
                </c:pt>
                <c:pt idx="9">
                  <c:v>8.0035931051405953</c:v>
                </c:pt>
                <c:pt idx="10">
                  <c:v>7.826480038112674</c:v>
                </c:pt>
                <c:pt idx="11">
                  <c:v>7.5875984099201759</c:v>
                </c:pt>
                <c:pt idx="12">
                  <c:v>7.2564152267563049</c:v>
                </c:pt>
                <c:pt idx="13">
                  <c:v>6.7765989908858053</c:v>
                </c:pt>
                <c:pt idx="14">
                  <c:v>6.0303343193513692</c:v>
                </c:pt>
                <c:pt idx="15">
                  <c:v>4.6935169810023591</c:v>
                </c:pt>
                <c:pt idx="16">
                  <c:v>3.4513711342782267</c:v>
                </c:pt>
                <c:pt idx="17">
                  <c:v>2.6682527597143877</c:v>
                </c:pt>
                <c:pt idx="18">
                  <c:v>2.1422679464630598</c:v>
                </c:pt>
                <c:pt idx="19">
                  <c:v>1.443510613570969</c:v>
                </c:pt>
                <c:pt idx="20">
                  <c:v>0.9848607046287785</c:v>
                </c:pt>
                <c:pt idx="21">
                  <c:v>0.78698213953406626</c:v>
                </c:pt>
                <c:pt idx="22">
                  <c:v>0.70729451536044829</c:v>
                </c:pt>
                <c:pt idx="23">
                  <c:v>0.71636563286649624</c:v>
                </c:pt>
                <c:pt idx="24">
                  <c:v>0.77040442495660855</c:v>
                </c:pt>
                <c:pt idx="25">
                  <c:v>0.89368826779438437</c:v>
                </c:pt>
                <c:pt idx="26">
                  <c:v>0.98427202557674742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FC-4D31-AF95-671260AE681E}"/>
            </c:ext>
          </c:extLst>
        </c:ser>
        <c:ser>
          <c:idx val="8"/>
          <c:order val="8"/>
          <c:tx>
            <c:v>phi &lt;&lt; 1 dished</c:v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FF0000"/>
              </a:solidFill>
            </c:spPr>
          </c:marker>
          <c:xVal>
            <c:numRef>
              <c:f>'modified SEFIT_YK_BA'!$B$5:$B$33</c:f>
              <c:numCache>
                <c:formatCode>General</c:formatCode>
                <c:ptCount val="29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</c:numCache>
            </c:numRef>
          </c:xVal>
          <c:yVal>
            <c:numRef>
              <c:f>'modified SEFIT_YK_BA'!$AH$5:$AH$33</c:f>
              <c:numCache>
                <c:formatCode>General</c:formatCode>
                <c:ptCount val="29"/>
                <c:pt idx="0">
                  <c:v>7.4324229444966114</c:v>
                </c:pt>
                <c:pt idx="1">
                  <c:v>8.3223655067757498</c:v>
                </c:pt>
                <c:pt idx="2">
                  <c:v>8.4823402083576607</c:v>
                </c:pt>
                <c:pt idx="3">
                  <c:v>8.5809094537348471</c:v>
                </c:pt>
                <c:pt idx="4">
                  <c:v>8.5710254523316411</c:v>
                </c:pt>
                <c:pt idx="5">
                  <c:v>8.5110155519505479</c:v>
                </c:pt>
                <c:pt idx="6">
                  <c:v>8.3546835343122474</c:v>
                </c:pt>
                <c:pt idx="7">
                  <c:v>8.2743779031260001</c:v>
                </c:pt>
                <c:pt idx="8">
                  <c:v>8.1704461050325712</c:v>
                </c:pt>
                <c:pt idx="9">
                  <c:v>8.0349752645930739</c:v>
                </c:pt>
                <c:pt idx="10">
                  <c:v>7.8561848711545821</c:v>
                </c:pt>
                <c:pt idx="11">
                  <c:v>7.6156670551608903</c:v>
                </c:pt>
                <c:pt idx="12">
                  <c:v>7.2827428221536925</c:v>
                </c:pt>
                <c:pt idx="13">
                  <c:v>6.8013978461862452</c:v>
                </c:pt>
                <c:pt idx="14">
                  <c:v>6.053738412576064</c:v>
                </c:pt>
                <c:pt idx="15">
                  <c:v>4.7158714447019801</c:v>
                </c:pt>
                <c:pt idx="16">
                  <c:v>3.4733766508098496</c:v>
                </c:pt>
                <c:pt idx="17">
                  <c:v>2.6900399431254796</c:v>
                </c:pt>
                <c:pt idx="18">
                  <c:v>2.1638002839656094</c:v>
                </c:pt>
                <c:pt idx="19">
                  <c:v>1.4643496585949529</c:v>
                </c:pt>
                <c:pt idx="20">
                  <c:v>1.004633414893136</c:v>
                </c:pt>
                <c:pt idx="21">
                  <c:v>0.80570395382193361</c:v>
                </c:pt>
                <c:pt idx="22">
                  <c:v>0.72501836872492031</c:v>
                </c:pt>
                <c:pt idx="23">
                  <c:v>0.73208291679601512</c:v>
                </c:pt>
                <c:pt idx="24">
                  <c:v>0.78514650692308519</c:v>
                </c:pt>
                <c:pt idx="25">
                  <c:v>0.90693381422447761</c:v>
                </c:pt>
                <c:pt idx="26">
                  <c:v>0.99663781803006413</c:v>
                </c:pt>
                <c:pt idx="27">
                  <c:v>1.1353768239105619</c:v>
                </c:pt>
                <c:pt idx="28">
                  <c:v>1.8964113741560391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FC-4D31-AF95-671260AE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67952"/>
        <c:axId val="635770304"/>
      </c:scatterChart>
      <c:valAx>
        <c:axId val="635767952"/>
        <c:scaling>
          <c:logBase val="10"/>
          <c:orientation val="minMax"/>
          <c:max val="3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>
            <c:manualLayout>
              <c:xMode val="edge"/>
              <c:yMode val="edge"/>
              <c:x val="0.40927435068702767"/>
              <c:y val="0.873057186033563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770304"/>
        <c:crossesAt val="1.0000000000000002E-2"/>
        <c:crossBetween val="midCat"/>
      </c:valAx>
      <c:valAx>
        <c:axId val="635770304"/>
        <c:scaling>
          <c:logBase val="10"/>
          <c:orientation val="minMax"/>
          <c:max val="30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 </a:t>
                </a:r>
              </a:p>
            </c:rich>
          </c:tx>
          <c:layout>
            <c:manualLayout>
              <c:xMode val="edge"/>
              <c:yMode val="edge"/>
              <c:x val="3.2896891196207971E-2"/>
              <c:y val="0.41525734928050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767952"/>
        <c:crossesAt val="0.1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47737302068011"/>
          <c:y val="6.0520884208687224E-2"/>
          <c:w val="0.22552115600934503"/>
          <c:h val="0.2374450546177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25539376078977E-2"/>
          <c:y val="4.0244969378827641E-2"/>
          <c:w val="0.80678391806035354"/>
          <c:h val="0.78083925872902249"/>
        </c:manualLayout>
      </c:layout>
      <c:scatterChart>
        <c:scatterStyle val="lineMarker"/>
        <c:varyColors val="0"/>
        <c:ser>
          <c:idx val="1"/>
          <c:order val="1"/>
          <c:tx>
            <c:v>SEFIT-Old_Corrupt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Sheet7!$G$11:$G$25</c:f>
              <c:numCache>
                <c:formatCode>General</c:formatCode>
                <c:ptCount val="1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</c:numCache>
            </c:numRef>
          </c:xVal>
          <c:yVal>
            <c:numRef>
              <c:f>Sheet7!$J$11:$J$25</c:f>
              <c:numCache>
                <c:formatCode>General</c:formatCode>
                <c:ptCount val="15"/>
                <c:pt idx="0">
                  <c:v>0.12929146557141025</c:v>
                </c:pt>
                <c:pt idx="1">
                  <c:v>0.13953393399178785</c:v>
                </c:pt>
                <c:pt idx="2">
                  <c:v>0.14589433999243942</c:v>
                </c:pt>
                <c:pt idx="3">
                  <c:v>0.15383945263194257</c:v>
                </c:pt>
                <c:pt idx="4">
                  <c:v>0.1583618620567003</c:v>
                </c:pt>
                <c:pt idx="5">
                  <c:v>0.15878532098438583</c:v>
                </c:pt>
                <c:pt idx="6">
                  <c:v>0.15920877991207136</c:v>
                </c:pt>
                <c:pt idx="7">
                  <c:v>0.15296447867939489</c:v>
                </c:pt>
                <c:pt idx="8">
                  <c:v>0.14543598436175062</c:v>
                </c:pt>
                <c:pt idx="9">
                  <c:v>0.13906865775899196</c:v>
                </c:pt>
                <c:pt idx="10">
                  <c:v>0.12878488881265734</c:v>
                </c:pt>
                <c:pt idx="11">
                  <c:v>0.11340953703518232</c:v>
                </c:pt>
                <c:pt idx="12">
                  <c:v>0.1032428938201771</c:v>
                </c:pt>
                <c:pt idx="13">
                  <c:v>9.5512393957456018E-2</c:v>
                </c:pt>
                <c:pt idx="14">
                  <c:v>8.3288562324441331E-2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B-45BA-8228-74F54E92BC2D}"/>
            </c:ext>
          </c:extLst>
        </c:ser>
        <c:ser>
          <c:idx val="5"/>
          <c:order val="5"/>
          <c:tx>
            <c:v>SEFIT_Curved wall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SEFIT_YK_BA'!$S$5:$S$32</c:f>
              <c:numCache>
                <c:formatCode>0.000</c:formatCode>
                <c:ptCount val="28"/>
                <c:pt idx="0">
                  <c:v>9.1900526828244164E-2</c:v>
                </c:pt>
                <c:pt idx="1">
                  <c:v>0.11386708291104554</c:v>
                </c:pt>
                <c:pt idx="2">
                  <c:v>0.1206750772146814</c:v>
                </c:pt>
                <c:pt idx="3">
                  <c:v>0.13004599931463318</c:v>
                </c:pt>
                <c:pt idx="4">
                  <c:v>0.13431230994046389</c:v>
                </c:pt>
                <c:pt idx="5">
                  <c:v>0.13896467306597962</c:v>
                </c:pt>
                <c:pt idx="6">
                  <c:v>0.14451075975005281</c:v>
                </c:pt>
                <c:pt idx="7">
                  <c:v>0.14639742193100302</c:v>
                </c:pt>
                <c:pt idx="8">
                  <c:v>0.14842117685811082</c:v>
                </c:pt>
                <c:pt idx="9">
                  <c:v>0.15057782301042702</c:v>
                </c:pt>
                <c:pt idx="10">
                  <c:v>0.15277355224109754</c:v>
                </c:pt>
                <c:pt idx="11">
                  <c:v>0.15502250525162878</c:v>
                </c:pt>
                <c:pt idx="12">
                  <c:v>0.15741954769431363</c:v>
                </c:pt>
                <c:pt idx="13">
                  <c:v>0.15955160611595384</c:v>
                </c:pt>
                <c:pt idx="14">
                  <c:v>0.16092465268230205</c:v>
                </c:pt>
                <c:pt idx="15">
                  <c:v>0.15777813610405061</c:v>
                </c:pt>
                <c:pt idx="16">
                  <c:v>0.15032835837205308</c:v>
                </c:pt>
                <c:pt idx="17">
                  <c:v>0.14384804288234357</c:v>
                </c:pt>
                <c:pt idx="18">
                  <c:v>0.13655388062271201</c:v>
                </c:pt>
                <c:pt idx="19">
                  <c:v>0.12266752063384122</c:v>
                </c:pt>
                <c:pt idx="20">
                  <c:v>0.10781726090825874</c:v>
                </c:pt>
                <c:pt idx="21">
                  <c:v>9.6306482098483845E-2</c:v>
                </c:pt>
                <c:pt idx="22">
                  <c:v>8.711377769406764E-2</c:v>
                </c:pt>
                <c:pt idx="23">
                  <c:v>7.1205737741544664E-2</c:v>
                </c:pt>
                <c:pt idx="24">
                  <c:v>6.4523112642600258E-2</c:v>
                </c:pt>
                <c:pt idx="25">
                  <c:v>5.4759077146592429E-2</c:v>
                </c:pt>
                <c:pt idx="26">
                  <c:v>4.9248932025711858E-2</c:v>
                </c:pt>
                <c:pt idx="27">
                  <c:v>4.1819841932237339E-2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B-45BA-8228-74F54E92BC2D}"/>
            </c:ext>
          </c:extLst>
        </c:ser>
        <c:ser>
          <c:idx val="6"/>
          <c:order val="6"/>
          <c:tx>
            <c:v>SEFIT_Flat wall</c:v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'modified SEFIT_YK_BA'!$B$5:$B$32</c:f>
              <c:numCache>
                <c:formatCode>General</c:formatCode>
                <c:ptCount val="28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</c:numCache>
            </c:numRef>
          </c:xVal>
          <c:yVal>
            <c:numRef>
              <c:f>'modified SEFIT_YK_BA'!$U$5:$U$32</c:f>
              <c:numCache>
                <c:formatCode>0.000</c:formatCode>
                <c:ptCount val="28"/>
                <c:pt idx="0">
                  <c:v>0.21116474693697546</c:v>
                </c:pt>
                <c:pt idx="1">
                  <c:v>0.20697901378495775</c:v>
                </c:pt>
                <c:pt idx="2">
                  <c:v>0.20542989320923041</c:v>
                </c:pt>
                <c:pt idx="3">
                  <c:v>0.20299000216091775</c:v>
                </c:pt>
                <c:pt idx="4">
                  <c:v>0.20166887391531318</c:v>
                </c:pt>
                <c:pt idx="5">
                  <c:v>0.20002732184511618</c:v>
                </c:pt>
                <c:pt idx="6">
                  <c:v>0.1976507783550232</c:v>
                </c:pt>
                <c:pt idx="7">
                  <c:v>0.1966615436044736</c:v>
                </c:pt>
                <c:pt idx="8">
                  <c:v>0.19557919857665415</c:v>
                </c:pt>
                <c:pt idx="9">
                  <c:v>0.19432806070205391</c:v>
                </c:pt>
                <c:pt idx="10">
                  <c:v>0.19289094637645168</c:v>
                </c:pt>
                <c:pt idx="11">
                  <c:v>0.19111167723177067</c:v>
                </c:pt>
                <c:pt idx="12">
                  <c:v>0.18874686209002128</c:v>
                </c:pt>
                <c:pt idx="13">
                  <c:v>0.18542603883142933</c:v>
                </c:pt>
                <c:pt idx="14">
                  <c:v>0.18043253071568155</c:v>
                </c:pt>
                <c:pt idx="15">
                  <c:v>0.1702257775787509</c:v>
                </c:pt>
                <c:pt idx="16">
                  <c:v>0.15682784158962032</c:v>
                </c:pt>
                <c:pt idx="17">
                  <c:v>0.14695901209273071</c:v>
                </c:pt>
                <c:pt idx="18">
                  <c:v>0.1399162648546895</c:v>
                </c:pt>
                <c:pt idx="19">
                  <c:v>0.12459352947279621</c:v>
                </c:pt>
                <c:pt idx="20">
                  <c:v>0.10891956615105661</c:v>
                </c:pt>
                <c:pt idx="21">
                  <c:v>9.7242825567567512E-2</c:v>
                </c:pt>
                <c:pt idx="22">
                  <c:v>8.7903386735007291E-2</c:v>
                </c:pt>
                <c:pt idx="23">
                  <c:v>7.1820360163900324E-2</c:v>
                </c:pt>
                <c:pt idx="24">
                  <c:v>6.4991825169631659E-2</c:v>
                </c:pt>
                <c:pt idx="25">
                  <c:v>5.5316440378288048E-2</c:v>
                </c:pt>
                <c:pt idx="26" formatCode="0.0000">
                  <c:v>4.9784161119563339E-2</c:v>
                </c:pt>
                <c:pt idx="27">
                  <c:v>4.2152245810894037E-2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B-45BA-8228-74F54E92BC2D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square"/>
            <c:size val="6"/>
            <c:spPr>
              <a:noFill/>
              <a:ln w="15875"/>
            </c:spPr>
          </c:marker>
          <c:xVal>
            <c:numRef>
              <c:f>'modified SEFIT_YK_BA'!$B$5:$B$31</c:f>
              <c:numCache>
                <c:formatCode>General</c:formatCode>
                <c:ptCount val="27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166</c:v>
                </c:pt>
                <c:pt idx="5">
                  <c:v>133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7.4999999999999997E-2</c:v>
                </c:pt>
                <c:pt idx="25">
                  <c:v>0.05</c:v>
                </c:pt>
                <c:pt idx="26">
                  <c:v>0.04</c:v>
                </c:pt>
              </c:numCache>
            </c:numRef>
          </c:xVal>
          <c:yVal>
            <c:numRef>
              <c:f>'modified SEFIT_YK_BA'!$W$5:$W$31</c:f>
              <c:numCache>
                <c:formatCode>0.000</c:formatCode>
                <c:ptCount val="27"/>
                <c:pt idx="0">
                  <c:v>9.1843708323699855E-2</c:v>
                </c:pt>
                <c:pt idx="1">
                  <c:v>0.11360090751032867</c:v>
                </c:pt>
                <c:pt idx="2">
                  <c:v>0.12040159763240868</c:v>
                </c:pt>
                <c:pt idx="3">
                  <c:v>0.12966052807214853</c:v>
                </c:pt>
                <c:pt idx="4">
                  <c:v>0.13370864456459478</c:v>
                </c:pt>
                <c:pt idx="5">
                  <c:v>0.13828968985267825</c:v>
                </c:pt>
                <c:pt idx="6">
                  <c:v>0.14372075846379057</c:v>
                </c:pt>
                <c:pt idx="7">
                  <c:v>0.14557315816551517</c:v>
                </c:pt>
                <c:pt idx="8">
                  <c:v>0.14753507947652719</c:v>
                </c:pt>
                <c:pt idx="9">
                  <c:v>0.14960999777902292</c:v>
                </c:pt>
                <c:pt idx="10">
                  <c:v>0.1517955901665235</c:v>
                </c:pt>
                <c:pt idx="11">
                  <c:v>0.15407243872393436</c:v>
                </c:pt>
                <c:pt idx="12">
                  <c:v>0.15638155245689792</c:v>
                </c:pt>
                <c:pt idx="13">
                  <c:v>0.15854533697562578</c:v>
                </c:pt>
                <c:pt idx="14">
                  <c:v>0.16001725575845055</c:v>
                </c:pt>
                <c:pt idx="15">
                  <c:v>0.15845902736130363</c:v>
                </c:pt>
                <c:pt idx="16">
                  <c:v>0.15252298153937013</c:v>
                </c:pt>
                <c:pt idx="17">
                  <c:v>0.14602517329307091</c:v>
                </c:pt>
                <c:pt idx="18">
                  <c:v>0.13999086102630992</c:v>
                </c:pt>
                <c:pt idx="19">
                  <c:v>0.1289865558362131</c:v>
                </c:pt>
                <c:pt idx="20">
                  <c:v>0.11958963119992627</c:v>
                </c:pt>
                <c:pt idx="21">
                  <c:v>0.11640277971064243</c:v>
                </c:pt>
                <c:pt idx="22">
                  <c:v>0.1180672918275178</c:v>
                </c:pt>
                <c:pt idx="23">
                  <c:v>0.13337317621648048</c:v>
                </c:pt>
                <c:pt idx="24">
                  <c:v>0.14510541830603227</c:v>
                </c:pt>
                <c:pt idx="25">
                  <c:v>0.16721137444386075</c:v>
                </c:pt>
                <c:pt idx="26">
                  <c:v>0.18213022672883017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B-45BA-8228-74F54E92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696"/>
        <c:axId val="635769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Sheet7!$G$15:$G$25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0.5</c:v>
                      </c:pt>
                      <c:pt idx="8">
                        <c:v>0.3</c:v>
                      </c:pt>
                      <c:pt idx="9">
                        <c:v>0.2</c:v>
                      </c:pt>
                      <c:pt idx="10">
                        <c:v>0.1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Sheet7!$H$15:$H$25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7.7399999999999997E-2</c:v>
                      </c:pt>
                      <c:pt idx="1">
                        <c:v>8.7900000000000006E-2</c:v>
                      </c:pt>
                      <c:pt idx="2">
                        <c:v>8.8789999999999994E-2</c:v>
                      </c:pt>
                      <c:pt idx="3">
                        <c:v>9.2999999999999999E-2</c:v>
                      </c:pt>
                      <c:pt idx="4">
                        <c:v>0.11799999999999999</c:v>
                      </c:pt>
                      <c:pt idx="5">
                        <c:v>0.123</c:v>
                      </c:pt>
                      <c:pt idx="6">
                        <c:v>0.11738571428571429</c:v>
                      </c:pt>
                      <c:pt idx="7">
                        <c:v>0.10484864864864867</c:v>
                      </c:pt>
                      <c:pt idx="8">
                        <c:v>9.3453333333333347E-2</c:v>
                      </c:pt>
                      <c:pt idx="9">
                        <c:v>8.6260869565217391E-2</c:v>
                      </c:pt>
                      <c:pt idx="10">
                        <c:v>4.7600000000000003E-2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BB-45BA-8228-74F54E92BC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Eqn. (1)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Sheet7!$G$7:$G$25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150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50</c:v>
                      </c:pt>
                      <c:pt idx="6">
                        <c:v>40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0.5</c:v>
                      </c:pt>
                      <c:pt idx="16">
                        <c:v>0.3</c:v>
                      </c:pt>
                      <c:pt idx="17">
                        <c:v>0.2</c:v>
                      </c:pt>
                      <c:pt idx="18">
                        <c:v>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Sheet7!$P$7:$P$25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0.22695872652666912</c:v>
                      </c:pt>
                      <c:pt idx="1">
                        <c:v>0.22371868573402284</c:v>
                      </c:pt>
                      <c:pt idx="2">
                        <c:v>0.21632766292543454</c:v>
                      </c:pt>
                      <c:pt idx="3">
                        <c:v>0.21021898984496368</c:v>
                      </c:pt>
                      <c:pt idx="4">
                        <c:v>0.20882674405836163</c:v>
                      </c:pt>
                      <c:pt idx="5">
                        <c:v>0.20710708152583746</c:v>
                      </c:pt>
                      <c:pt idx="6">
                        <c:v>0.20489120802418737</c:v>
                      </c:pt>
                      <c:pt idx="7">
                        <c:v>0.20184719698739836</c:v>
                      </c:pt>
                      <c:pt idx="8">
                        <c:v>0.197184107628956</c:v>
                      </c:pt>
                      <c:pt idx="9">
                        <c:v>0.19360270987445141</c:v>
                      </c:pt>
                      <c:pt idx="10">
                        <c:v>0.18816492298816537</c:v>
                      </c:pt>
                      <c:pt idx="11">
                        <c:v>0.17785064338875126</c:v>
                      </c:pt>
                      <c:pt idx="12">
                        <c:v>0.16955990494620168</c:v>
                      </c:pt>
                      <c:pt idx="13">
                        <c:v>0.16274511768843583</c:v>
                      </c:pt>
                      <c:pt idx="14">
                        <c:v>0.15140457764539397</c:v>
                      </c:pt>
                      <c:pt idx="15">
                        <c:v>0.14255603385272891</c:v>
                      </c:pt>
                      <c:pt idx="16">
                        <c:v>0.13999604852012762</c:v>
                      </c:pt>
                      <c:pt idx="17">
                        <c:v>0.14204237384011126</c:v>
                      </c:pt>
                      <c:pt idx="18">
                        <c:v>0.15745079149502075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3BB-45BA-8228-74F54E92B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U_mmw</c:v>
                </c:tx>
                <c:spPr>
                  <a:ln w="1905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sheet'!$C$4:$C$30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5.0000000000000001E-3</c:v>
                      </c:pt>
                      <c:pt idx="1">
                        <c:v>0.01</c:v>
                      </c:pt>
                      <c:pt idx="2">
                        <c:v>2.5000000000000001E-2</c:v>
                      </c:pt>
                      <c:pt idx="3">
                        <c:v>0.05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0.4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15</c:v>
                      </c:pt>
                      <c:pt idx="16">
                        <c:v>20</c:v>
                      </c:pt>
                      <c:pt idx="17">
                        <c:v>30</c:v>
                      </c:pt>
                      <c:pt idx="18">
                        <c:v>40</c:v>
                      </c:pt>
                      <c:pt idx="19">
                        <c:v>50</c:v>
                      </c:pt>
                      <c:pt idx="20">
                        <c:v>60</c:v>
                      </c:pt>
                      <c:pt idx="21">
                        <c:v>70</c:v>
                      </c:pt>
                      <c:pt idx="22">
                        <c:v>150</c:v>
                      </c:pt>
                      <c:pt idx="23">
                        <c:v>300</c:v>
                      </c:pt>
                      <c:pt idx="24">
                        <c:v>500</c:v>
                      </c:pt>
                      <c:pt idx="25">
                        <c:v>700</c:v>
                      </c:pt>
                      <c:pt idx="26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sheet'!$R$4:$R$30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0.41681753493390827</c:v>
                      </c:pt>
                      <c:pt idx="1">
                        <c:v>0.31954804803799147</c:v>
                      </c:pt>
                      <c:pt idx="2">
                        <c:v>0.22153726429096018</c:v>
                      </c:pt>
                      <c:pt idx="3">
                        <c:v>0.16913381140000755</c:v>
                      </c:pt>
                      <c:pt idx="4">
                        <c:v>0.13558952721670456</c:v>
                      </c:pt>
                      <c:pt idx="5">
                        <c:v>0.12055491706532943</c:v>
                      </c:pt>
                      <c:pt idx="6">
                        <c:v>0.11916008103627954</c:v>
                      </c:pt>
                      <c:pt idx="7">
                        <c:v>0.11903558502350924</c:v>
                      </c:pt>
                      <c:pt idx="8">
                        <c:v>0.12037682987847416</c:v>
                      </c:pt>
                      <c:pt idx="9">
                        <c:v>0.12244714898442279</c:v>
                      </c:pt>
                      <c:pt idx="10">
                        <c:v>0.13239958569945479</c:v>
                      </c:pt>
                      <c:pt idx="11">
                        <c:v>0.14453545860558648</c:v>
                      </c:pt>
                      <c:pt idx="12">
                        <c:v>0.15166520933779562</c:v>
                      </c:pt>
                      <c:pt idx="13">
                        <c:v>0.16022548704213049</c:v>
                      </c:pt>
                      <c:pt idx="14">
                        <c:v>0.17073922070417252</c:v>
                      </c:pt>
                      <c:pt idx="15">
                        <c:v>0.17623201707130692</c:v>
                      </c:pt>
                      <c:pt idx="16">
                        <c:v>0.17983296961925482</c:v>
                      </c:pt>
                      <c:pt idx="17">
                        <c:v>0.18450305356055025</c:v>
                      </c:pt>
                      <c:pt idx="18">
                        <c:v>0.18754090870399032</c:v>
                      </c:pt>
                      <c:pt idx="19">
                        <c:v>0.18974716380865475</c:v>
                      </c:pt>
                      <c:pt idx="20">
                        <c:v>0.19145643868669115</c:v>
                      </c:pt>
                      <c:pt idx="21">
                        <c:v>0.19283842612501903</c:v>
                      </c:pt>
                      <c:pt idx="22">
                        <c:v>0.19888278099247289</c:v>
                      </c:pt>
                      <c:pt idx="23">
                        <c:v>0.20337062157538166</c:v>
                      </c:pt>
                      <c:pt idx="24">
                        <c:v>0.2061536330695542</c:v>
                      </c:pt>
                      <c:pt idx="25">
                        <c:v>0.20777389437681398</c:v>
                      </c:pt>
                      <c:pt idx="26">
                        <c:v>0.20932553960467101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3BB-45BA-8228-74F54E92BC2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U_max</c:v>
                </c:tx>
                <c:spPr>
                  <a:ln w="19050">
                    <a:solidFill>
                      <a:schemeClr val="tx1"/>
                    </a:solidFill>
                    <a:prstDash val="lg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sheet'!$T$4:$T$5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</c:v>
                      </c:pt>
                      <c:pt idx="1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sheet'!$V$4:$V$5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0.23</c:v>
                      </c:pt>
                      <c:pt idx="1">
                        <c:v>0.23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3BB-45BA-8228-74F54E92BC2D}"/>
                  </c:ext>
                </c:extLst>
              </c15:ser>
            </c15:filteredScatterSeries>
          </c:ext>
        </c:extLst>
      </c:scatterChart>
      <c:valAx>
        <c:axId val="635770696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769912"/>
        <c:crosses val="autoZero"/>
        <c:crossBetween val="midCat"/>
      </c:valAx>
      <c:valAx>
        <c:axId val="635769912"/>
        <c:scaling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770696"/>
        <c:crossesAt val="1.0000000000000002E-2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67125263188259"/>
          <c:y val="6.6113460477047026E-2"/>
          <c:w val="0.22231963312278272"/>
          <c:h val="0.18995604369423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Sheet3!$J$44:$J$48</c:f>
                <c:numCache>
                  <c:formatCode>General</c:formatCode>
                  <c:ptCount val="5"/>
                  <c:pt idx="0">
                    <c:v>1.4488888888888891E-3</c:v>
                  </c:pt>
                  <c:pt idx="1">
                    <c:v>2.3285714285714285E-3</c:v>
                  </c:pt>
                  <c:pt idx="2">
                    <c:v>3.5243243243243249E-3</c:v>
                  </c:pt>
                  <c:pt idx="3">
                    <c:v>4.3466666666666671E-3</c:v>
                  </c:pt>
                  <c:pt idx="4">
                    <c:v>5.5652173913043482E-3</c:v>
                  </c:pt>
                </c:numCache>
              </c:numRef>
            </c:plus>
            <c:minus>
              <c:numRef>
                <c:f>Sheet3!$J$44:$J$48</c:f>
                <c:numCache>
                  <c:formatCode>General</c:formatCode>
                  <c:ptCount val="5"/>
                  <c:pt idx="0">
                    <c:v>1.4488888888888891E-3</c:v>
                  </c:pt>
                  <c:pt idx="1">
                    <c:v>2.3285714285714285E-3</c:v>
                  </c:pt>
                  <c:pt idx="2">
                    <c:v>3.5243243243243249E-3</c:v>
                  </c:pt>
                  <c:pt idx="3">
                    <c:v>4.3466666666666671E-3</c:v>
                  </c:pt>
                  <c:pt idx="4">
                    <c:v>5.5652173913043482E-3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Sheet3!$A$10:$A$16</c:f>
              <c:numCache>
                <c:formatCode>General</c:formatCode>
                <c:ptCount val="7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xVal>
          <c:yVal>
            <c:numRef>
              <c:f>Sheet3!$D$10:$D$16</c:f>
              <c:numCache>
                <c:formatCode>General</c:formatCode>
                <c:ptCount val="7"/>
                <c:pt idx="0">
                  <c:v>0.11799999999999999</c:v>
                </c:pt>
                <c:pt idx="1">
                  <c:v>0.123</c:v>
                </c:pt>
                <c:pt idx="2" formatCode="0.000">
                  <c:v>0.11738571428571429</c:v>
                </c:pt>
                <c:pt idx="3" formatCode="0.000">
                  <c:v>0.10484864864864867</c:v>
                </c:pt>
                <c:pt idx="4" formatCode="0.000">
                  <c:v>9.3453333333333347E-2</c:v>
                </c:pt>
                <c:pt idx="5" formatCode="0.000">
                  <c:v>8.6260869565217391E-2</c:v>
                </c:pt>
                <c:pt idx="6" formatCode="0.000">
                  <c:v>4.7600000000000003E-2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6D8-B8A9-484B981D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4232"/>
        <c:axId val="643902664"/>
      </c:scatterChart>
      <c:scatterChart>
        <c:scatterStyle val="smoothMarker"/>
        <c:varyColors val="0"/>
        <c:ser>
          <c:idx val="3"/>
          <c:order val="0"/>
          <c:tx>
            <c:v>SEFIT fine mesh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Sheet3!$I$44:$I$48</c:f>
                <c:numCache>
                  <c:formatCode>General</c:formatCode>
                  <c:ptCount val="5"/>
                  <c:pt idx="0">
                    <c:v>5.3762221690679913E-3</c:v>
                  </c:pt>
                  <c:pt idx="1">
                    <c:v>5.1687021892106262E-3</c:v>
                  </c:pt>
                  <c:pt idx="2">
                    <c:v>5.8795246808573424E-3</c:v>
                  </c:pt>
                  <c:pt idx="3">
                    <c:v>6.4049097480281605E-3</c:v>
                  </c:pt>
                  <c:pt idx="4">
                    <c:v>7.0764241539328148E-3</c:v>
                  </c:pt>
                </c:numCache>
              </c:numRef>
            </c:plus>
            <c:minus>
              <c:numRef>
                <c:f>Sheet3!$I$44:$I$48</c:f>
                <c:numCache>
                  <c:formatCode>General</c:formatCode>
                  <c:ptCount val="5"/>
                  <c:pt idx="0">
                    <c:v>5.3762221690679913E-3</c:v>
                  </c:pt>
                  <c:pt idx="1">
                    <c:v>5.1687021892106262E-3</c:v>
                  </c:pt>
                  <c:pt idx="2">
                    <c:v>5.8795246808573424E-3</c:v>
                  </c:pt>
                  <c:pt idx="3">
                    <c:v>6.4049097480281605E-3</c:v>
                  </c:pt>
                  <c:pt idx="4">
                    <c:v>7.0764241539328148E-3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Sheet3!$A$20:$A$26</c:f>
              <c:numCache>
                <c:formatCode>General</c:formatCode>
                <c:ptCount val="7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xVal>
          <c:yVal>
            <c:numRef>
              <c:f>Sheet3!$P$20:$P$26</c:f>
              <c:numCache>
                <c:formatCode>0.000</c:formatCode>
                <c:ptCount val="7"/>
                <c:pt idx="0">
                  <c:v>0.1456204738464732</c:v>
                </c:pt>
                <c:pt idx="1">
                  <c:v>0.13853050229782479</c:v>
                </c:pt>
                <c:pt idx="2">
                  <c:v>0.12606806721167943</c:v>
                </c:pt>
                <c:pt idx="3">
                  <c:v>0.11150591999770419</c:v>
                </c:pt>
                <c:pt idx="4">
                  <c:v>0.10027889630607405</c:v>
                </c:pt>
                <c:pt idx="5">
                  <c:v>9.1685563746340432E-2</c:v>
                </c:pt>
                <c:pt idx="6">
                  <c:v>7.6296273919978286E-2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8-46D8-B8A9-484B981D949C}"/>
            </c:ext>
          </c:extLst>
        </c:ser>
        <c:ser>
          <c:idx val="2"/>
          <c:order val="2"/>
          <c:tx>
            <c:v>Eqn. 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Sheet3!$A$29:$A$35</c:f>
              <c:numCache>
                <c:formatCode>General</c:formatCode>
                <c:ptCount val="7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xVal>
          <c:yVal>
            <c:numRef>
              <c:f>Sheet3!$L$29:$L$35</c:f>
              <c:numCache>
                <c:formatCode>General</c:formatCode>
                <c:ptCount val="7"/>
                <c:pt idx="0">
                  <c:v>0.16</c:v>
                </c:pt>
                <c:pt idx="1">
                  <c:v>0.15609363759885722</c:v>
                </c:pt>
                <c:pt idx="2">
                  <c:v>0.14857242131415127</c:v>
                </c:pt>
                <c:pt idx="3">
                  <c:v>0.14001085961636278</c:v>
                </c:pt>
                <c:pt idx="4">
                  <c:v>0.13318192601851131</c:v>
                </c:pt>
                <c:pt idx="5">
                  <c:v>0.12762835515476095</c:v>
                </c:pt>
                <c:pt idx="6">
                  <c:v>0.11862421588098812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8-46D8-B8A9-484B981D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4232"/>
        <c:axId val="643902664"/>
      </c:scatterChart>
      <c:valAx>
        <c:axId val="64390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solidFill>
                      <a:schemeClr val="tx1"/>
                    </a:solidFill>
                  </a:rPr>
                  <a:t>V </a:t>
                </a:r>
                <a:r>
                  <a:rPr lang="en-US" sz="2000">
                    <a:solidFill>
                      <a:schemeClr val="tx1"/>
                    </a:solidFill>
                  </a:rPr>
                  <a:t>(mm</a:t>
                </a:r>
                <a:r>
                  <a:rPr lang="en-US" sz="2000" baseline="30000">
                    <a:solidFill>
                      <a:schemeClr val="tx1"/>
                    </a:solidFill>
                  </a:rPr>
                  <a:t>3</a:t>
                </a:r>
                <a:r>
                  <a:rPr lang="en-US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902664"/>
        <c:crosses val="autoZero"/>
        <c:crossBetween val="midCat"/>
        <c:minorUnit val="250"/>
      </c:valAx>
      <c:valAx>
        <c:axId val="6439026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solidFill>
                      <a:schemeClr val="tx1"/>
                    </a:solidFill>
                  </a:rPr>
                  <a:t>U </a:t>
                </a:r>
                <a:r>
                  <a:rPr lang="en-US" sz="2000">
                    <a:solidFill>
                      <a:schemeClr val="tx1"/>
                    </a:solidFill>
                  </a:rPr>
                  <a:t>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904232"/>
        <c:crosses val="autoZero"/>
        <c:crossBetween val="midCat"/>
        <c:minorUnit val="1.0000000000000002E-2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'calculation sheet'!$B$38:$B$45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  <c:pt idx="7">
                  <c:v>0.04</c:v>
                </c:pt>
              </c:numCache>
            </c:numRef>
          </c:xVal>
          <c:yVal>
            <c:numRef>
              <c:f>'calculation sheet'!$C$38:$C$45</c:f>
              <c:numCache>
                <c:formatCode>0.000</c:formatCode>
                <c:ptCount val="8"/>
                <c:pt idx="0" formatCode="General">
                  <c:v>0.123</c:v>
                </c:pt>
                <c:pt idx="1">
                  <c:v>0.11738571428571429</c:v>
                </c:pt>
                <c:pt idx="2">
                  <c:v>0.10484864864864867</c:v>
                </c:pt>
                <c:pt idx="3">
                  <c:v>9.3453333333333347E-2</c:v>
                </c:pt>
                <c:pt idx="4">
                  <c:v>8.6260869565217391E-2</c:v>
                </c:pt>
                <c:pt idx="5">
                  <c:v>4.7600000000000003E-2</c:v>
                </c:pt>
                <c:pt idx="6">
                  <c:v>1.9E-2</c:v>
                </c:pt>
                <c:pt idx="7">
                  <c:v>1.7600000000000001E-2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C-498B-B152-745588B7D26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43900704"/>
        <c:axId val="643903056"/>
      </c:scatterChart>
      <c:valAx>
        <c:axId val="6439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4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2400" b="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903056"/>
        <c:crosses val="autoZero"/>
        <c:crossBetween val="midCat"/>
      </c:valAx>
      <c:valAx>
        <c:axId val="64390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4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9007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163425" y="295275"/>
    <xdr:ext cx="8660230" cy="6291513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aper's%20_r3%20mm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omas/Paper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Sheet1"/>
      <sheetName val="Sheet4"/>
      <sheetName val="Sheet2"/>
      <sheetName val="Chart1"/>
      <sheetName val="Sheet3"/>
      <sheetName val="Sheet5"/>
      <sheetName val="Sheet6"/>
      <sheetName val="Experimental for fig.1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B12">
            <v>20</v>
          </cell>
          <cell r="C12">
            <v>7.7399999999999997E-2</v>
          </cell>
        </row>
        <row r="13">
          <cell r="B13">
            <v>15</v>
          </cell>
          <cell r="C13">
            <v>8.7900000000000006E-2</v>
          </cell>
        </row>
        <row r="14">
          <cell r="B14">
            <v>10</v>
          </cell>
          <cell r="C14">
            <v>8.8789999999999994E-2</v>
          </cell>
        </row>
        <row r="15">
          <cell r="B15">
            <v>5</v>
          </cell>
          <cell r="C15">
            <v>9.2999999999999999E-2</v>
          </cell>
        </row>
        <row r="16">
          <cell r="B16">
            <v>3</v>
          </cell>
          <cell r="C16">
            <v>0.11799999999999999</v>
          </cell>
        </row>
        <row r="17">
          <cell r="B17">
            <v>2</v>
          </cell>
          <cell r="C17">
            <v>0.123</v>
          </cell>
        </row>
        <row r="18">
          <cell r="B18">
            <v>1</v>
          </cell>
          <cell r="C18">
            <v>0.11738571428571429</v>
          </cell>
        </row>
        <row r="19">
          <cell r="B19">
            <v>0.5</v>
          </cell>
          <cell r="C19">
            <v>0.10484864864864867</v>
          </cell>
        </row>
        <row r="20">
          <cell r="B20">
            <v>0.3</v>
          </cell>
          <cell r="C20">
            <v>9.3453333333333347E-2</v>
          </cell>
        </row>
        <row r="21">
          <cell r="B21">
            <v>0.2</v>
          </cell>
          <cell r="C21">
            <v>8.6260869565217391E-2</v>
          </cell>
        </row>
        <row r="22">
          <cell r="B22">
            <v>0.1</v>
          </cell>
          <cell r="C22">
            <v>4.7600000000000003E-2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</sheetNames>
    <sheetDataSet>
      <sheetData sheetId="1">
        <row r="9">
          <cell r="B9">
            <v>0.1</v>
          </cell>
          <cell r="D9">
            <v>71.507999999999996</v>
          </cell>
        </row>
        <row r="10">
          <cell r="B10">
            <v>0.2</v>
          </cell>
          <cell r="D10">
            <v>86.783159999999995</v>
          </cell>
        </row>
        <row r="11">
          <cell r="B11">
            <v>0.4</v>
          </cell>
          <cell r="D11">
            <v>106.24971999999998</v>
          </cell>
        </row>
        <row r="12">
          <cell r="B12">
            <v>0.7</v>
          </cell>
          <cell r="D12">
            <v>113.31193333333333</v>
          </cell>
        </row>
        <row r="13">
          <cell r="B13">
            <v>1</v>
          </cell>
          <cell r="D13">
            <v>121.1472</v>
          </cell>
        </row>
        <row r="14">
          <cell r="B14">
            <v>2</v>
          </cell>
          <cell r="D14">
            <v>122.866</v>
          </cell>
        </row>
        <row r="15">
          <cell r="B15">
            <v>4</v>
          </cell>
          <cell r="D15">
            <v>127.85745</v>
          </cell>
        </row>
        <row r="16">
          <cell r="B16">
            <v>7</v>
          </cell>
          <cell r="D16">
            <v>124.66752500000001</v>
          </cell>
        </row>
        <row r="17">
          <cell r="B17">
            <v>10</v>
          </cell>
          <cell r="D17">
            <v>116.5955</v>
          </cell>
        </row>
        <row r="18">
          <cell r="B18">
            <v>20</v>
          </cell>
          <cell r="D18" t="str">
            <v xml:space="preserve"> </v>
          </cell>
        </row>
        <row r="19">
          <cell r="B19">
            <v>30</v>
          </cell>
        </row>
        <row r="20">
          <cell r="B20">
            <v>40</v>
          </cell>
          <cell r="D20">
            <v>95.576400000000007</v>
          </cell>
        </row>
        <row r="21">
          <cell r="B21">
            <v>70</v>
          </cell>
          <cell r="D21">
            <v>83.82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D1" zoomScaleNormal="100" workbookViewId="0">
      <selection activeCell="E3" sqref="E3:E16"/>
    </sheetView>
  </sheetViews>
  <sheetFormatPr defaultRowHeight="15" x14ac:dyDescent="0.25"/>
  <cols>
    <col min="1" max="1" width="7.85546875" style="1" customWidth="1"/>
    <col min="2" max="2" width="12.7109375" style="120" customWidth="1"/>
    <col min="3" max="3" width="17.5703125" style="119" customWidth="1"/>
    <col min="4" max="4" width="16.42578125" bestFit="1" customWidth="1"/>
    <col min="5" max="5" width="20.5703125" bestFit="1" customWidth="1"/>
    <col min="6" max="6" width="18.5703125" bestFit="1" customWidth="1"/>
    <col min="7" max="7" width="15.28515625" bestFit="1" customWidth="1"/>
    <col min="8" max="8" width="11" style="1" customWidth="1"/>
    <col min="9" max="9" width="10.7109375" style="1" customWidth="1"/>
    <col min="10" max="10" width="14.85546875" style="1" bestFit="1" customWidth="1"/>
    <col min="11" max="11" width="16.85546875" customWidth="1"/>
    <col min="12" max="12" width="9" bestFit="1" customWidth="1"/>
    <col min="13" max="13" width="16.140625" customWidth="1"/>
    <col min="14" max="14" width="13.42578125" bestFit="1" customWidth="1"/>
    <col min="15" max="15" width="13" customWidth="1"/>
  </cols>
  <sheetData>
    <row r="1" spans="1:16" x14ac:dyDescent="0.25">
      <c r="E1" s="164" t="s">
        <v>24</v>
      </c>
      <c r="F1" s="165"/>
      <c r="G1" s="165"/>
      <c r="H1" s="166"/>
      <c r="I1" s="16"/>
      <c r="J1" s="11"/>
    </row>
    <row r="2" spans="1:16" x14ac:dyDescent="0.25">
      <c r="A2" s="4" t="s">
        <v>29</v>
      </c>
      <c r="B2" s="122" t="s">
        <v>14</v>
      </c>
      <c r="C2" s="4"/>
      <c r="D2" s="8" t="s">
        <v>3</v>
      </c>
      <c r="E2" s="20" t="s">
        <v>19</v>
      </c>
      <c r="F2" s="21" t="s">
        <v>20</v>
      </c>
      <c r="G2" s="8" t="s">
        <v>6</v>
      </c>
      <c r="H2" s="10" t="s">
        <v>4</v>
      </c>
      <c r="I2" s="9" t="s">
        <v>11</v>
      </c>
      <c r="J2" s="86" t="s">
        <v>7</v>
      </c>
      <c r="K2" s="87" t="s">
        <v>5</v>
      </c>
      <c r="L2" s="13" t="s">
        <v>8</v>
      </c>
      <c r="M2" s="15" t="s">
        <v>9</v>
      </c>
      <c r="N2" s="17" t="s">
        <v>10</v>
      </c>
      <c r="O2" t="s">
        <v>12</v>
      </c>
      <c r="P2" s="29" t="s">
        <v>13</v>
      </c>
    </row>
    <row r="3" spans="1:16" x14ac:dyDescent="0.25">
      <c r="A3" s="85">
        <v>60000</v>
      </c>
      <c r="B3" s="90">
        <v>60</v>
      </c>
      <c r="C3" s="85"/>
      <c r="D3" s="103"/>
      <c r="E3" s="107">
        <v>13672.138120000003</v>
      </c>
      <c r="F3" s="108">
        <v>15081.513442999996</v>
      </c>
      <c r="G3" s="96">
        <f>AVERAGE(E3:F3)</f>
        <v>14376.8257815</v>
      </c>
      <c r="H3" s="104"/>
      <c r="I3" s="22">
        <f>G3*L3</f>
        <v>1.0351314562680001</v>
      </c>
      <c r="J3" s="12">
        <f t="shared" ref="J3:J26" si="0">((3*A3)/(4*PI()))^(1/3)</f>
        <v>24.285900630052815</v>
      </c>
      <c r="K3" s="7">
        <f t="shared" ref="K3:K16" si="1">4*PI()*J3^2</f>
        <v>7411.7078358320159</v>
      </c>
      <c r="L3" s="6">
        <v>7.2000000000000002E-5</v>
      </c>
      <c r="M3" s="46">
        <f t="shared" ref="M3:M16" si="2">K3*L3</f>
        <v>0.5336429641799052</v>
      </c>
      <c r="N3" s="17"/>
      <c r="O3" s="19">
        <f t="shared" ref="O3:O16" si="3">I3-M3</f>
        <v>0.50148849208809487</v>
      </c>
      <c r="P3" s="45">
        <f t="shared" ref="P3:P16" si="4">((2*O3)/B3)^0.5</f>
        <v>0.12929146557141025</v>
      </c>
    </row>
    <row r="4" spans="1:16" x14ac:dyDescent="0.25">
      <c r="A4" s="85">
        <v>50000</v>
      </c>
      <c r="B4" s="90">
        <v>50</v>
      </c>
      <c r="C4" s="85"/>
      <c r="D4" s="103"/>
      <c r="E4" s="107">
        <f>48489.195269-35749.4925831048</f>
        <v>12739.702685895201</v>
      </c>
      <c r="F4" s="108">
        <f>49800.949293-35893.1558949479</f>
        <v>13907.793398052097</v>
      </c>
      <c r="G4" s="96">
        <f>AVERAGE(E4:F4)</f>
        <v>13323.748041973649</v>
      </c>
      <c r="H4" s="104"/>
      <c r="I4" s="22">
        <f>G4*L4</f>
        <v>0.95930985902210275</v>
      </c>
      <c r="J4" s="12">
        <f>((3*A4)/(4*PI()))^(1/3)</f>
        <v>22.853907486704159</v>
      </c>
      <c r="K4" s="7">
        <f t="shared" si="1"/>
        <v>6563.4290366873265</v>
      </c>
      <c r="L4" s="6">
        <v>7.2000000000000002E-5</v>
      </c>
      <c r="M4" s="46">
        <f t="shared" si="2"/>
        <v>0.47256689064148755</v>
      </c>
      <c r="N4" s="17"/>
      <c r="O4" s="19">
        <f t="shared" si="3"/>
        <v>0.4867429683806152</v>
      </c>
      <c r="P4" s="45">
        <f t="shared" si="4"/>
        <v>0.13953393399178785</v>
      </c>
    </row>
    <row r="5" spans="1:16" x14ac:dyDescent="0.25">
      <c r="A5" s="85">
        <v>40000</v>
      </c>
      <c r="B5" s="90">
        <v>40</v>
      </c>
      <c r="C5" s="85"/>
      <c r="D5" s="103"/>
      <c r="E5" s="107">
        <v>11122.299132999997</v>
      </c>
      <c r="F5" s="108">
        <v>12015.172252</v>
      </c>
      <c r="G5" s="96">
        <f>AVERAGE(E5:F5)</f>
        <v>11568.735692499999</v>
      </c>
      <c r="H5" s="104"/>
      <c r="I5" s="22">
        <f>G5*L5</f>
        <v>0.83294896985999989</v>
      </c>
      <c r="J5" s="12">
        <f t="shared" si="0"/>
        <v>21.215688358941101</v>
      </c>
      <c r="K5" s="7">
        <f t="shared" si="1"/>
        <v>5656.1916808806891</v>
      </c>
      <c r="L5" s="6">
        <v>7.2000000000000002E-5</v>
      </c>
      <c r="M5" s="46">
        <f t="shared" si="2"/>
        <v>0.40724580102340963</v>
      </c>
      <c r="N5" s="17"/>
      <c r="O5" s="19">
        <f t="shared" si="3"/>
        <v>0.42570316883659026</v>
      </c>
      <c r="P5" s="45">
        <f t="shared" si="4"/>
        <v>0.14589433999243942</v>
      </c>
    </row>
    <row r="6" spans="1:16" x14ac:dyDescent="0.25">
      <c r="A6" s="85">
        <v>30000</v>
      </c>
      <c r="B6" s="90">
        <v>30</v>
      </c>
      <c r="C6" s="85"/>
      <c r="D6" s="103"/>
      <c r="E6" s="107">
        <f>26684.338469-17400.6914484897</f>
        <v>9283.6470205102996</v>
      </c>
      <c r="F6" s="108">
        <f>27540.561643-17624.9681179349</f>
        <v>9915.5935250651019</v>
      </c>
      <c r="G6" s="96">
        <f t="shared" ref="G6:G11" si="5">AVERAGE(E6:F6)</f>
        <v>9599.6202727877007</v>
      </c>
      <c r="H6" s="104"/>
      <c r="I6" s="22">
        <f>G6*L6</f>
        <v>0.6911726596407145</v>
      </c>
      <c r="J6" s="12">
        <f t="shared" si="0"/>
        <v>19.275732104070492</v>
      </c>
      <c r="K6" s="7">
        <f t="shared" si="1"/>
        <v>4669.0833590177635</v>
      </c>
      <c r="L6" s="6">
        <v>7.2000000000000002E-5</v>
      </c>
      <c r="M6" s="46">
        <f t="shared" si="2"/>
        <v>0.33617400184927898</v>
      </c>
      <c r="N6" s="17"/>
      <c r="O6" s="19">
        <f t="shared" si="3"/>
        <v>0.35499865779143552</v>
      </c>
      <c r="P6" s="45">
        <f t="shared" si="4"/>
        <v>0.15383945263194257</v>
      </c>
    </row>
    <row r="7" spans="1:16" x14ac:dyDescent="0.25">
      <c r="A7" s="85">
        <v>20000</v>
      </c>
      <c r="B7" s="90">
        <v>20</v>
      </c>
      <c r="C7" s="85"/>
      <c r="D7" s="103"/>
      <c r="E7" s="105">
        <v>6840.1416580000005</v>
      </c>
      <c r="F7" s="106">
        <v>7252.4575680000016</v>
      </c>
      <c r="G7" s="96">
        <f t="shared" si="5"/>
        <v>7046.299613000001</v>
      </c>
      <c r="H7" s="104"/>
      <c r="I7" s="22">
        <f t="shared" ref="I7:I12" si="6">G7*L7</f>
        <v>0.50733357213600005</v>
      </c>
      <c r="J7" s="12">
        <f t="shared" si="0"/>
        <v>16.838903009606291</v>
      </c>
      <c r="K7" s="7">
        <f t="shared" si="1"/>
        <v>3563.177480490921</v>
      </c>
      <c r="L7" s="6">
        <v>7.2000000000000002E-5</v>
      </c>
      <c r="M7" s="46">
        <f t="shared" si="2"/>
        <v>0.25654877859534631</v>
      </c>
      <c r="N7" s="17"/>
      <c r="O7" s="19">
        <f t="shared" si="3"/>
        <v>0.25078479354065375</v>
      </c>
      <c r="P7" s="45">
        <f t="shared" si="4"/>
        <v>0.1583618620567003</v>
      </c>
    </row>
    <row r="8" spans="1:16" x14ac:dyDescent="0.25">
      <c r="A8" s="85">
        <v>10000</v>
      </c>
      <c r="B8" s="90">
        <v>10</v>
      </c>
      <c r="C8" s="85"/>
      <c r="D8" s="103"/>
      <c r="E8" s="105">
        <v>3911.3703500000001</v>
      </c>
      <c r="F8" s="106">
        <v>4098.429129000001</v>
      </c>
      <c r="G8" s="96">
        <f t="shared" si="5"/>
        <v>4004.8997395000006</v>
      </c>
      <c r="H8" s="104"/>
      <c r="I8" s="22">
        <f t="shared" si="6"/>
        <v>0.28835278124400004</v>
      </c>
      <c r="J8" s="12">
        <f t="shared" si="0"/>
        <v>13.365046175719757</v>
      </c>
      <c r="K8" s="7">
        <f t="shared" si="1"/>
        <v>2244.6611560909464</v>
      </c>
      <c r="L8" s="6">
        <v>7.2000000000000002E-5</v>
      </c>
      <c r="M8" s="46">
        <f t="shared" si="2"/>
        <v>0.16161560323854815</v>
      </c>
      <c r="N8" s="17"/>
      <c r="O8" s="19">
        <f t="shared" si="3"/>
        <v>0.12673717800545189</v>
      </c>
      <c r="P8" s="45">
        <f t="shared" si="4"/>
        <v>0.15920877991207136</v>
      </c>
    </row>
    <row r="9" spans="1:16" x14ac:dyDescent="0.25">
      <c r="A9" s="85">
        <v>5000</v>
      </c>
      <c r="B9" s="90">
        <v>5</v>
      </c>
      <c r="C9" s="85"/>
      <c r="D9" s="103"/>
      <c r="E9" s="105">
        <v>2182.3158720000001</v>
      </c>
      <c r="F9" s="106">
        <v>2270.6502280000004</v>
      </c>
      <c r="G9" s="96">
        <f t="shared" si="5"/>
        <v>2226.4830500000003</v>
      </c>
      <c r="H9" s="104"/>
      <c r="I9" s="22">
        <f t="shared" si="6"/>
        <v>0.16030677960000003</v>
      </c>
      <c r="J9" s="12">
        <f t="shared" si="0"/>
        <v>10.60784417947055</v>
      </c>
      <c r="K9" s="7">
        <f t="shared" si="1"/>
        <v>1414.0479202201723</v>
      </c>
      <c r="L9" s="6">
        <v>7.2000000000000002E-5</v>
      </c>
      <c r="M9" s="46">
        <f t="shared" si="2"/>
        <v>0.10181145025585241</v>
      </c>
      <c r="N9" s="3"/>
      <c r="O9" s="19">
        <f t="shared" si="3"/>
        <v>5.8495329344147626E-2</v>
      </c>
      <c r="P9" s="45">
        <f t="shared" si="4"/>
        <v>0.15296447867939489</v>
      </c>
    </row>
    <row r="10" spans="1:16" x14ac:dyDescent="0.25">
      <c r="A10" s="90">
        <v>3000</v>
      </c>
      <c r="B10" s="90">
        <v>3</v>
      </c>
      <c r="C10" s="85"/>
      <c r="D10" s="89">
        <v>0.11799999999999999</v>
      </c>
      <c r="E10" s="94">
        <v>1421.1971229999999</v>
      </c>
      <c r="F10" s="95">
        <v>1471.9676400000001</v>
      </c>
      <c r="G10" s="96">
        <f t="shared" si="5"/>
        <v>1446.5823814999999</v>
      </c>
      <c r="H10" s="97"/>
      <c r="I10" s="22">
        <f t="shared" si="6"/>
        <v>0.10415393146799999</v>
      </c>
      <c r="J10" s="12">
        <f t="shared" si="0"/>
        <v>8.9470022893964956</v>
      </c>
      <c r="K10" s="7">
        <f t="shared" si="1"/>
        <v>1005.9235159318463</v>
      </c>
      <c r="L10" s="6">
        <v>7.2000000000000002E-5</v>
      </c>
      <c r="M10" s="46">
        <f t="shared" si="2"/>
        <v>7.242649314709293E-2</v>
      </c>
      <c r="N10" s="3">
        <f>0.5*2*D10^2</f>
        <v>1.3923999999999999E-2</v>
      </c>
      <c r="O10" s="19">
        <f t="shared" si="3"/>
        <v>3.1727438320907062E-2</v>
      </c>
      <c r="P10" s="45">
        <f t="shared" si="4"/>
        <v>0.14543598436175062</v>
      </c>
    </row>
    <row r="11" spans="1:16" x14ac:dyDescent="0.25">
      <c r="A11" s="5">
        <v>2000</v>
      </c>
      <c r="B11" s="5">
        <v>2</v>
      </c>
      <c r="C11" s="5"/>
      <c r="D11" s="5">
        <v>0.123</v>
      </c>
      <c r="E11" s="91">
        <f>1692.414-671.7166</f>
        <v>1020.6974</v>
      </c>
      <c r="F11" s="92">
        <f>1761.046-709.192</f>
        <v>1051.854</v>
      </c>
      <c r="G11" s="92">
        <f t="shared" si="5"/>
        <v>1036.2757000000001</v>
      </c>
      <c r="H11" s="40">
        <v>1.4800000000000001E-2</v>
      </c>
      <c r="I11" s="22">
        <f t="shared" si="6"/>
        <v>7.4611850400000013E-2</v>
      </c>
      <c r="J11" s="12">
        <f t="shared" si="0"/>
        <v>7.815926417967721</v>
      </c>
      <c r="K11" s="7">
        <f t="shared" si="1"/>
        <v>767.66331707100528</v>
      </c>
      <c r="L11" s="6">
        <v>7.2000000000000002E-5</v>
      </c>
      <c r="M11" s="46">
        <f t="shared" si="2"/>
        <v>5.527175882911238E-2</v>
      </c>
      <c r="N11" s="3">
        <f>0.5*2*D11^2</f>
        <v>1.5129E-2</v>
      </c>
      <c r="O11" s="19">
        <f t="shared" si="3"/>
        <v>1.9340091570887633E-2</v>
      </c>
      <c r="P11" s="45">
        <f t="shared" si="4"/>
        <v>0.13906865775899196</v>
      </c>
    </row>
    <row r="12" spans="1:16" x14ac:dyDescent="0.25">
      <c r="A12" s="5">
        <v>1000</v>
      </c>
      <c r="B12" s="5">
        <v>1</v>
      </c>
      <c r="C12" s="5"/>
      <c r="D12" s="7">
        <v>0.11738571428571429</v>
      </c>
      <c r="E12" s="91">
        <f>896.89-307.86</f>
        <v>589.03</v>
      </c>
      <c r="F12" s="92">
        <f>932.42-323.9</f>
        <v>608.52</v>
      </c>
      <c r="G12" s="92">
        <f>AVERAGE(E12:F12)</f>
        <v>598.77499999999998</v>
      </c>
      <c r="H12" s="41">
        <f>100*(F12-G12)/F12</f>
        <v>1.6014264116216401</v>
      </c>
      <c r="I12" s="22">
        <f t="shared" si="6"/>
        <v>4.3111799999999999E-2</v>
      </c>
      <c r="J12" s="12">
        <f t="shared" si="0"/>
        <v>6.2035049089939998</v>
      </c>
      <c r="K12" s="7">
        <f t="shared" si="1"/>
        <v>483.59758620494085</v>
      </c>
      <c r="L12" s="6">
        <v>7.2000000000000002E-5</v>
      </c>
      <c r="M12" s="46">
        <f t="shared" si="2"/>
        <v>3.481902620675574E-2</v>
      </c>
      <c r="N12" s="3">
        <f>0.5*1*D12^2</f>
        <v>6.8897029591836736E-3</v>
      </c>
      <c r="O12" s="3">
        <f t="shared" si="3"/>
        <v>8.2927737932442583E-3</v>
      </c>
      <c r="P12" s="45">
        <f t="shared" si="4"/>
        <v>0.12878488881265734</v>
      </c>
    </row>
    <row r="13" spans="1:16" x14ac:dyDescent="0.25">
      <c r="A13" s="5">
        <v>500</v>
      </c>
      <c r="B13" s="5">
        <v>0.5</v>
      </c>
      <c r="C13" s="5"/>
      <c r="D13" s="7">
        <v>0.10484864864864867</v>
      </c>
      <c r="E13" s="91">
        <f>486.97-141.8177</f>
        <v>345.15230000000003</v>
      </c>
      <c r="F13" s="92">
        <f>504.8-151.34</f>
        <v>353.46000000000004</v>
      </c>
      <c r="G13" s="92">
        <f>AVERAGE(E13:F13)</f>
        <v>349.30615</v>
      </c>
      <c r="H13" s="41">
        <f>100*(F13-G13)/F13</f>
        <v>1.1751966276240688</v>
      </c>
      <c r="I13" s="22">
        <f>G13*L13</f>
        <v>2.5150042800000001E-2</v>
      </c>
      <c r="J13" s="12">
        <f t="shared" si="0"/>
        <v>4.9237251092134828</v>
      </c>
      <c r="K13" s="7">
        <f t="shared" si="1"/>
        <v>304.6473892689778</v>
      </c>
      <c r="L13" s="6">
        <v>7.2000000000000002E-5</v>
      </c>
      <c r="M13" s="46">
        <f t="shared" si="2"/>
        <v>2.1934612027366403E-2</v>
      </c>
      <c r="N13" s="3">
        <f>0.5*0.5*D13^2</f>
        <v>2.7483097808619437E-3</v>
      </c>
      <c r="O13" s="3">
        <f t="shared" si="3"/>
        <v>3.2154307726335978E-3</v>
      </c>
      <c r="P13" s="45">
        <f t="shared" si="4"/>
        <v>0.11340953703518232</v>
      </c>
    </row>
    <row r="14" spans="1:16" x14ac:dyDescent="0.25">
      <c r="A14" s="5">
        <v>300</v>
      </c>
      <c r="B14" s="5">
        <v>0.3</v>
      </c>
      <c r="C14" s="5"/>
      <c r="D14" s="7">
        <v>9.3453333333333347E-2</v>
      </c>
      <c r="E14" s="91">
        <f>315.56-79.5156</f>
        <v>236.0444</v>
      </c>
      <c r="F14" s="92">
        <f>326.3068-84.499</f>
        <v>241.80780000000001</v>
      </c>
      <c r="G14" s="92">
        <f>AVERAGE(E14:F14)</f>
        <v>238.92610000000002</v>
      </c>
      <c r="H14" s="41">
        <f>100*(F14-G14)/F14</f>
        <v>1.1917316149437673</v>
      </c>
      <c r="I14" s="22">
        <f>G14*L14</f>
        <v>1.7202679200000001E-2</v>
      </c>
      <c r="J14" s="12">
        <f t="shared" si="0"/>
        <v>4.1528305920770734</v>
      </c>
      <c r="K14" s="7">
        <f t="shared" si="1"/>
        <v>216.71965182424091</v>
      </c>
      <c r="L14" s="6">
        <v>7.2000000000000002E-5</v>
      </c>
      <c r="M14" s="46">
        <f t="shared" si="2"/>
        <v>1.5603814931345347E-2</v>
      </c>
      <c r="N14" s="3">
        <f>0.5*0.3*D14^2</f>
        <v>1.3100288266666672E-3</v>
      </c>
      <c r="O14" s="3">
        <f t="shared" si="3"/>
        <v>1.5988642686546543E-3</v>
      </c>
      <c r="P14" s="45">
        <f t="shared" si="4"/>
        <v>0.1032428938201771</v>
      </c>
    </row>
    <row r="15" spans="1:16" x14ac:dyDescent="0.25">
      <c r="A15" s="5">
        <v>200</v>
      </c>
      <c r="B15" s="5">
        <v>0.2</v>
      </c>
      <c r="C15" s="5"/>
      <c r="D15" s="7">
        <v>8.6260869565217391E-2</v>
      </c>
      <c r="E15" s="91">
        <f>225.985-49.9313</f>
        <v>176.05370000000002</v>
      </c>
      <c r="F15" s="92">
        <f>233.293-53.23</f>
        <v>180.06300000000002</v>
      </c>
      <c r="G15" s="92">
        <f>AVERAGE(E15:F15)</f>
        <v>178.05835000000002</v>
      </c>
      <c r="H15" s="41">
        <f>100*(F15-G15)/F15</f>
        <v>1.1133047877687241</v>
      </c>
      <c r="I15" s="50">
        <f>G15*L15</f>
        <v>1.2820201200000002E-2</v>
      </c>
      <c r="J15" s="12">
        <f t="shared" si="0"/>
        <v>3.6278316785978095</v>
      </c>
      <c r="K15" s="7">
        <f t="shared" si="1"/>
        <v>165.38804805627186</v>
      </c>
      <c r="L15" s="6">
        <v>7.2000000000000002E-5</v>
      </c>
      <c r="M15" s="46">
        <f t="shared" si="2"/>
        <v>1.1907939460051574E-2</v>
      </c>
      <c r="N15" s="84">
        <f>0.5*0.2*D15^2</f>
        <v>7.4409376181474489E-4</v>
      </c>
      <c r="O15" s="84">
        <f t="shared" si="3"/>
        <v>9.122617399484282E-4</v>
      </c>
      <c r="P15" s="45">
        <f t="shared" si="4"/>
        <v>9.5512393957456018E-2</v>
      </c>
    </row>
    <row r="16" spans="1:16" s="83" customFormat="1" x14ac:dyDescent="0.25">
      <c r="A16" s="81">
        <v>100</v>
      </c>
      <c r="B16" s="81">
        <v>0.1</v>
      </c>
      <c r="C16" s="81"/>
      <c r="D16" s="44">
        <v>4.7600000000000003E-2</v>
      </c>
      <c r="E16" s="98">
        <v>107.993799</v>
      </c>
      <c r="F16" s="93">
        <v>110.016785</v>
      </c>
      <c r="G16" s="92">
        <f>AVERAGE(E16:F16)</f>
        <v>109.005292</v>
      </c>
      <c r="H16" s="99"/>
      <c r="I16" s="50">
        <f>G16*L16</f>
        <v>7.8483810239999997E-3</v>
      </c>
      <c r="J16" s="82">
        <f t="shared" si="0"/>
        <v>2.8794119114848606</v>
      </c>
      <c r="K16" s="44">
        <f t="shared" si="1"/>
        <v>104.18794157356086</v>
      </c>
      <c r="L16" s="6">
        <v>7.2000000000000002E-5</v>
      </c>
      <c r="M16" s="46">
        <f t="shared" si="2"/>
        <v>7.5015317932963822E-3</v>
      </c>
      <c r="N16" s="84">
        <f>0.5*0.1*D16^2</f>
        <v>1.1328800000000002E-4</v>
      </c>
      <c r="O16" s="84">
        <f t="shared" si="3"/>
        <v>3.4684923070361744E-4</v>
      </c>
      <c r="P16" s="45">
        <f t="shared" si="4"/>
        <v>8.3288562324441331E-2</v>
      </c>
    </row>
    <row r="17" spans="1:16" s="83" customFormat="1" x14ac:dyDescent="0.25">
      <c r="A17" s="81"/>
      <c r="B17" s="81">
        <v>0.05</v>
      </c>
      <c r="C17" s="81"/>
      <c r="D17" s="44">
        <v>1.9E-2</v>
      </c>
      <c r="E17" s="98"/>
      <c r="F17" s="93"/>
      <c r="G17" s="92"/>
      <c r="H17" s="99"/>
      <c r="I17" s="50"/>
      <c r="J17" s="82"/>
      <c r="K17" s="44"/>
      <c r="L17" s="6"/>
      <c r="M17" s="46"/>
      <c r="N17" s="84"/>
      <c r="O17" s="84"/>
      <c r="P17" s="45"/>
    </row>
    <row r="18" spans="1:16" x14ac:dyDescent="0.25">
      <c r="A18" s="5"/>
      <c r="B18" s="5">
        <v>0.04</v>
      </c>
      <c r="C18" s="5"/>
      <c r="D18" s="7">
        <v>1.7600000000000001E-2</v>
      </c>
      <c r="E18" s="167" t="s">
        <v>25</v>
      </c>
      <c r="F18" s="168"/>
      <c r="G18" s="168"/>
      <c r="H18" s="169"/>
      <c r="I18" s="22"/>
      <c r="J18" s="12"/>
      <c r="K18" s="7"/>
      <c r="L18" s="6"/>
      <c r="M18" s="14"/>
      <c r="N18" s="18"/>
      <c r="O18" s="3"/>
    </row>
    <row r="19" spans="1:16" x14ac:dyDescent="0.25">
      <c r="A19" s="5"/>
      <c r="B19" s="5"/>
      <c r="C19" s="5"/>
      <c r="D19" s="6"/>
      <c r="E19" s="20" t="s">
        <v>21</v>
      </c>
      <c r="F19" s="21" t="s">
        <v>22</v>
      </c>
      <c r="G19" s="21" t="s">
        <v>23</v>
      </c>
      <c r="H19" s="10" t="s">
        <v>4</v>
      </c>
      <c r="I19" s="9" t="s">
        <v>11</v>
      </c>
      <c r="J19" s="5" t="s">
        <v>7</v>
      </c>
      <c r="K19" s="6" t="s">
        <v>5</v>
      </c>
      <c r="L19" s="6" t="s">
        <v>8</v>
      </c>
      <c r="M19" t="s">
        <v>9</v>
      </c>
      <c r="N19" t="s">
        <v>10</v>
      </c>
      <c r="O19" t="s">
        <v>12</v>
      </c>
      <c r="P19" s="29" t="s">
        <v>13</v>
      </c>
    </row>
    <row r="20" spans="1:16" x14ac:dyDescent="0.25">
      <c r="A20" s="5">
        <v>3000</v>
      </c>
      <c r="B20" s="5">
        <v>3</v>
      </c>
      <c r="C20" s="5"/>
      <c r="D20" s="89">
        <v>0.1124</v>
      </c>
      <c r="E20" s="101">
        <v>1417.3136060000002</v>
      </c>
      <c r="F20" s="101">
        <v>1478.088526</v>
      </c>
      <c r="G20" s="101">
        <f t="shared" ref="G20:G26" si="7">AVERAGE(E20:F20)</f>
        <v>1447.7010660000001</v>
      </c>
      <c r="H20" s="100"/>
      <c r="I20" s="22">
        <f>0.000072*G20</f>
        <v>0.10423447675200001</v>
      </c>
      <c r="J20" s="12">
        <f t="shared" si="0"/>
        <v>8.9470022893964956</v>
      </c>
      <c r="K20" s="7">
        <f t="shared" ref="K20:K26" si="8">4*PI()*J20^2</f>
        <v>1005.9235159318463</v>
      </c>
      <c r="L20" s="6">
        <v>7.2000000000000002E-5</v>
      </c>
      <c r="M20" s="46">
        <f t="shared" ref="M20:M26" si="9">K20*L20</f>
        <v>7.242649314709293E-2</v>
      </c>
      <c r="N20" s="3">
        <f>0.5*2*D20^2</f>
        <v>1.2633760000000001E-2</v>
      </c>
      <c r="O20" s="3">
        <f t="shared" ref="O20:O26" si="10">I20-M20</f>
        <v>3.1807983604907081E-2</v>
      </c>
      <c r="P20" s="45">
        <f t="shared" ref="P20:P26" si="11">((2*O20)/B20)^0.5</f>
        <v>0.1456204738464732</v>
      </c>
    </row>
    <row r="21" spans="1:16" x14ac:dyDescent="0.25">
      <c r="A21" s="5">
        <v>2000</v>
      </c>
      <c r="B21" s="5">
        <v>2</v>
      </c>
      <c r="C21" s="5"/>
      <c r="D21" s="5">
        <v>0.123</v>
      </c>
      <c r="E21" s="42">
        <f>1686.303523-672.79098</f>
        <v>1013.5125430000001</v>
      </c>
      <c r="F21" s="42">
        <f>1753.330793-698.4417</f>
        <v>1054.8890930000002</v>
      </c>
      <c r="G21" s="42">
        <f t="shared" si="7"/>
        <v>1034.2008180000003</v>
      </c>
      <c r="H21" s="43">
        <f>100*(F21-E21)/G21</f>
        <v>4.0008235615222816</v>
      </c>
      <c r="I21" s="44">
        <f t="shared" ref="I21:I26" si="12">G21*L11</f>
        <v>7.4462458896000019E-2</v>
      </c>
      <c r="J21" s="12">
        <f t="shared" si="0"/>
        <v>7.815926417967721</v>
      </c>
      <c r="K21" s="7">
        <f t="shared" si="8"/>
        <v>767.66331707100528</v>
      </c>
      <c r="L21" s="6">
        <v>7.2000000000000002E-5</v>
      </c>
      <c r="M21" s="46">
        <f t="shared" si="9"/>
        <v>5.527175882911238E-2</v>
      </c>
      <c r="N21" s="3">
        <f>0.5*2*D21^2</f>
        <v>1.5129E-2</v>
      </c>
      <c r="O21" s="3">
        <f t="shared" si="10"/>
        <v>1.9190700066887639E-2</v>
      </c>
      <c r="P21" s="45">
        <f t="shared" si="11"/>
        <v>0.13853050229782479</v>
      </c>
    </row>
    <row r="22" spans="1:16" x14ac:dyDescent="0.25">
      <c r="A22" s="1">
        <v>1000</v>
      </c>
      <c r="B22" s="120">
        <v>1</v>
      </c>
      <c r="D22" s="7">
        <v>0.11738571428571429</v>
      </c>
      <c r="E22" s="42">
        <f>893.217094-308.30056</f>
        <v>584.91653399999996</v>
      </c>
      <c r="F22" s="42">
        <f>927.490838-324.4739</f>
        <v>603.01693799999998</v>
      </c>
      <c r="G22" s="42">
        <f t="shared" si="7"/>
        <v>593.96673599999997</v>
      </c>
      <c r="H22" s="43">
        <f>100*(F22-E22)/G22</f>
        <v>3.0473767137020324</v>
      </c>
      <c r="I22" s="44">
        <f t="shared" si="12"/>
        <v>4.2765604992000002E-2</v>
      </c>
      <c r="J22" s="12">
        <f t="shared" si="0"/>
        <v>6.2035049089939998</v>
      </c>
      <c r="K22" s="7">
        <f t="shared" si="8"/>
        <v>483.59758620494085</v>
      </c>
      <c r="L22">
        <v>7.2000000000000002E-5</v>
      </c>
      <c r="M22" s="46">
        <f t="shared" si="9"/>
        <v>3.481902620675574E-2</v>
      </c>
      <c r="N22" s="3">
        <f>0.5*1*D22^2</f>
        <v>6.8897029591836736E-3</v>
      </c>
      <c r="O22" s="3">
        <f t="shared" si="10"/>
        <v>7.9465787852442613E-3</v>
      </c>
      <c r="P22" s="45">
        <f t="shared" si="11"/>
        <v>0.12606806721167943</v>
      </c>
    </row>
    <row r="23" spans="1:16" x14ac:dyDescent="0.25">
      <c r="A23" s="1">
        <v>500</v>
      </c>
      <c r="B23" s="120">
        <v>0.5</v>
      </c>
      <c r="D23" s="7">
        <v>0.10484864864864867</v>
      </c>
      <c r="E23" s="42">
        <f>485.148725-141.882051</f>
        <v>343.26667400000002</v>
      </c>
      <c r="F23" s="42">
        <f>502.410363-150.038021</f>
        <v>352.372342</v>
      </c>
      <c r="G23" s="42">
        <f t="shared" si="7"/>
        <v>347.81950800000004</v>
      </c>
      <c r="H23" s="43">
        <f>100*(F23-E23)/G23</f>
        <v>2.6179290668193285</v>
      </c>
      <c r="I23" s="44">
        <f t="shared" si="12"/>
        <v>2.5043004576000005E-2</v>
      </c>
      <c r="J23" s="12">
        <f t="shared" si="0"/>
        <v>4.9237251092134828</v>
      </c>
      <c r="K23" s="7">
        <f t="shared" si="8"/>
        <v>304.6473892689778</v>
      </c>
      <c r="L23">
        <v>7.2000000000000002E-5</v>
      </c>
      <c r="M23" s="46">
        <f t="shared" si="9"/>
        <v>2.1934612027366403E-2</v>
      </c>
      <c r="N23" s="3">
        <f>0.5*0.5*D23^2</f>
        <v>2.7483097808619437E-3</v>
      </c>
      <c r="O23" s="3">
        <f t="shared" si="10"/>
        <v>3.1083925486336018E-3</v>
      </c>
      <c r="P23" s="45">
        <f t="shared" si="11"/>
        <v>0.11150591999770419</v>
      </c>
    </row>
    <row r="24" spans="1:16" x14ac:dyDescent="0.25">
      <c r="A24" s="1">
        <v>300</v>
      </c>
      <c r="B24" s="120">
        <v>0.3</v>
      </c>
      <c r="D24" s="7">
        <v>9.3453333333333347E-2</v>
      </c>
      <c r="E24" s="42">
        <f>314.452163-79.45899</f>
        <v>234.99317299999998</v>
      </c>
      <c r="F24" s="42">
        <f>324.818235-84.4727</f>
        <v>240.34553500000001</v>
      </c>
      <c r="G24" s="42">
        <f t="shared" si="7"/>
        <v>237.669354</v>
      </c>
      <c r="H24" s="43">
        <f>100*(F24-E24)/G24</f>
        <v>2.2520202583628128</v>
      </c>
      <c r="I24" s="44">
        <f t="shared" si="12"/>
        <v>1.7112193487999999E-2</v>
      </c>
      <c r="J24" s="12">
        <f t="shared" si="0"/>
        <v>4.1528305920770734</v>
      </c>
      <c r="K24" s="7">
        <f t="shared" si="8"/>
        <v>216.71965182424091</v>
      </c>
      <c r="L24">
        <v>7.2000000000000002E-5</v>
      </c>
      <c r="M24" s="46">
        <f t="shared" si="9"/>
        <v>1.5603814931345347E-2</v>
      </c>
      <c r="N24" s="3">
        <f>0.5*0.3*D24^2</f>
        <v>1.3100288266666672E-3</v>
      </c>
      <c r="O24" s="3">
        <f t="shared" si="10"/>
        <v>1.5083785566546524E-3</v>
      </c>
      <c r="P24" s="45">
        <f t="shared" si="11"/>
        <v>0.10027889630607405</v>
      </c>
    </row>
    <row r="25" spans="1:16" x14ac:dyDescent="0.25">
      <c r="A25" s="1">
        <v>200</v>
      </c>
      <c r="B25" s="120">
        <v>0.2</v>
      </c>
      <c r="D25" s="7">
        <v>8.6260869565217391E-2</v>
      </c>
      <c r="E25" s="42">
        <f>225.061129-49.8</f>
        <v>175.26112899999998</v>
      </c>
      <c r="F25" s="42">
        <f>231.928081-53.06244</f>
        <v>178.86564099999998</v>
      </c>
      <c r="G25" s="42">
        <f t="shared" si="7"/>
        <v>177.06338499999998</v>
      </c>
      <c r="H25" s="43">
        <f>100*(F25-E25)/G25</f>
        <v>2.0357184518978895</v>
      </c>
      <c r="I25" s="44">
        <f t="shared" si="12"/>
        <v>1.274856372E-2</v>
      </c>
      <c r="J25" s="12">
        <f t="shared" si="0"/>
        <v>3.6278316785978095</v>
      </c>
      <c r="K25" s="7">
        <f t="shared" si="8"/>
        <v>165.38804805627186</v>
      </c>
      <c r="L25">
        <v>7.2000000000000002E-5</v>
      </c>
      <c r="M25" s="46">
        <f t="shared" si="9"/>
        <v>1.1907939460051574E-2</v>
      </c>
      <c r="N25" s="84">
        <f>0.5*0.2*D25^2</f>
        <v>7.4409376181474489E-4</v>
      </c>
      <c r="O25" s="3">
        <f t="shared" si="10"/>
        <v>8.4062425994842552E-4</v>
      </c>
      <c r="P25" s="45">
        <f t="shared" si="11"/>
        <v>9.1685563746340432E-2</v>
      </c>
    </row>
    <row r="26" spans="1:16" x14ac:dyDescent="0.25">
      <c r="A26" s="1">
        <v>100</v>
      </c>
      <c r="B26" s="120">
        <v>0.1</v>
      </c>
      <c r="D26" s="44">
        <v>4.7600000000000003E-2</v>
      </c>
      <c r="E26" s="19">
        <v>107.338055</v>
      </c>
      <c r="F26" s="19">
        <v>109.12271899999999</v>
      </c>
      <c r="G26" s="42">
        <f t="shared" si="7"/>
        <v>108.23038699999999</v>
      </c>
      <c r="I26" s="44">
        <f t="shared" si="12"/>
        <v>7.7925878640000001E-3</v>
      </c>
      <c r="J26" s="82">
        <f t="shared" si="0"/>
        <v>2.8794119114848606</v>
      </c>
      <c r="K26" s="44">
        <f t="shared" si="8"/>
        <v>104.18794157356086</v>
      </c>
      <c r="L26">
        <v>7.2000000000000002E-5</v>
      </c>
      <c r="M26" s="46">
        <f t="shared" si="9"/>
        <v>7.5015317932963822E-3</v>
      </c>
      <c r="N26" s="84">
        <f>0.5*0.1*D26^2</f>
        <v>1.1328800000000002E-4</v>
      </c>
      <c r="O26" s="3">
        <f t="shared" si="10"/>
        <v>2.9105607070361791E-4</v>
      </c>
      <c r="P26" s="45">
        <f t="shared" si="11"/>
        <v>7.6296273919978286E-2</v>
      </c>
    </row>
    <row r="27" spans="1:16" x14ac:dyDescent="0.25">
      <c r="A27" s="30"/>
      <c r="B27" s="30"/>
      <c r="C27" s="30"/>
      <c r="D27" s="44"/>
      <c r="E27" s="170" t="s">
        <v>26</v>
      </c>
      <c r="F27" s="170"/>
      <c r="G27" s="170"/>
      <c r="H27" s="170"/>
      <c r="I27" s="30"/>
      <c r="J27" s="12"/>
    </row>
    <row r="28" spans="1:16" x14ac:dyDescent="0.25">
      <c r="A28" s="30" t="s">
        <v>2</v>
      </c>
      <c r="B28" s="30" t="s">
        <v>46</v>
      </c>
      <c r="C28" s="30" t="s">
        <v>46</v>
      </c>
      <c r="D28" s="102" t="s">
        <v>44</v>
      </c>
      <c r="E28" s="30" t="s">
        <v>15</v>
      </c>
      <c r="F28" s="30" t="s">
        <v>16</v>
      </c>
      <c r="G28" s="121" t="s">
        <v>8</v>
      </c>
      <c r="H28" s="30" t="s">
        <v>17</v>
      </c>
      <c r="I28" s="30" t="s">
        <v>18</v>
      </c>
      <c r="J28" s="30" t="s">
        <v>1</v>
      </c>
      <c r="K28" s="24" t="s">
        <v>50</v>
      </c>
      <c r="L28" s="30" t="s">
        <v>51</v>
      </c>
      <c r="M28" s="30" t="s">
        <v>1</v>
      </c>
    </row>
    <row r="29" spans="1:16" x14ac:dyDescent="0.25">
      <c r="A29" s="30">
        <v>3000</v>
      </c>
      <c r="B29" s="30">
        <v>2.7</v>
      </c>
      <c r="C29" s="30">
        <v>5.4</v>
      </c>
      <c r="D29" s="31">
        <f t="shared" ref="D29:D35" si="13">((3*A29)/(4*PI()))^(1/3)</f>
        <v>8.9470022893964956</v>
      </c>
      <c r="E29" s="19">
        <f>(4*D29^3/(3*B29))^0.5</f>
        <v>18.806319451591875</v>
      </c>
      <c r="F29" s="31">
        <f>2*PI()*E29^2+E29*2*B29*PI()</f>
        <v>2541.2639153852147</v>
      </c>
      <c r="G29" s="30">
        <v>7.2000000000000002E-5</v>
      </c>
      <c r="H29" s="32">
        <f t="shared" ref="H29:H35" si="14">F29*G29</f>
        <v>0.18297100190773546</v>
      </c>
      <c r="I29" s="32">
        <f t="shared" ref="I29:I35" si="15">H29-M10</f>
        <v>0.11054450876064253</v>
      </c>
      <c r="J29" s="88">
        <f t="shared" ref="J29:J35" si="16">((2*I29)/B10)^0.5</f>
        <v>0.27147069671285273</v>
      </c>
      <c r="K29" s="3">
        <f t="shared" ref="K29:K35" si="17">J29/1.86</f>
        <v>0.14595198748002836</v>
      </c>
      <c r="L29">
        <v>0.16</v>
      </c>
    </row>
    <row r="30" spans="1:16" x14ac:dyDescent="0.25">
      <c r="A30" s="30">
        <v>2000</v>
      </c>
      <c r="B30" s="30">
        <v>2.7</v>
      </c>
      <c r="C30" s="30">
        <v>5.4</v>
      </c>
      <c r="D30" s="31">
        <f t="shared" si="13"/>
        <v>7.815926417967721</v>
      </c>
      <c r="E30" s="19">
        <f t="shared" ref="E30:E35" si="18">(4*D30^3/(3*B30))^0.5</f>
        <v>15.355295532059355</v>
      </c>
      <c r="F30" s="31">
        <f t="shared" ref="F30:F35" si="19">2*PI()*E30^2+E30*2*B30*PI()</f>
        <v>1741.9779331224579</v>
      </c>
      <c r="G30" s="30">
        <v>7.2000000000000002E-5</v>
      </c>
      <c r="H30" s="32">
        <f t="shared" si="14"/>
        <v>0.12542241118481698</v>
      </c>
      <c r="I30" s="32">
        <f t="shared" si="15"/>
        <v>7.0150652355704599E-2</v>
      </c>
      <c r="J30" s="88">
        <f t="shared" si="16"/>
        <v>0.26485968427774093</v>
      </c>
      <c r="K30" s="3">
        <f t="shared" si="17"/>
        <v>0.14239767971921555</v>
      </c>
      <c r="L30">
        <f t="shared" ref="L30:L35" si="20">J30/1.6968</f>
        <v>0.15609363759885722</v>
      </c>
    </row>
    <row r="31" spans="1:16" x14ac:dyDescent="0.25">
      <c r="A31" s="30">
        <v>1000</v>
      </c>
      <c r="B31" s="30">
        <v>2.7</v>
      </c>
      <c r="C31" s="30">
        <v>5.4</v>
      </c>
      <c r="D31" s="31">
        <f t="shared" si="13"/>
        <v>6.2035049089939998</v>
      </c>
      <c r="E31" s="19">
        <f t="shared" si="18"/>
        <v>10.857833597842664</v>
      </c>
      <c r="F31" s="31">
        <f t="shared" si="19"/>
        <v>924.93954817110841</v>
      </c>
      <c r="G31" s="30">
        <v>7.2000000000000002E-5</v>
      </c>
      <c r="H31" s="32">
        <f t="shared" si="14"/>
        <v>6.6595647468319807E-2</v>
      </c>
      <c r="I31" s="32">
        <f t="shared" si="15"/>
        <v>3.1776621261564067E-2</v>
      </c>
      <c r="J31" s="47">
        <f t="shared" si="16"/>
        <v>0.2520976844858519</v>
      </c>
      <c r="K31" s="3">
        <f t="shared" si="17"/>
        <v>0.13553638950852251</v>
      </c>
      <c r="L31">
        <f t="shared" si="20"/>
        <v>0.14857242131415127</v>
      </c>
    </row>
    <row r="32" spans="1:16" x14ac:dyDescent="0.25">
      <c r="A32" s="30">
        <v>500</v>
      </c>
      <c r="B32" s="30">
        <v>2.7</v>
      </c>
      <c r="C32" s="30">
        <v>5.4</v>
      </c>
      <c r="D32" s="31">
        <f t="shared" si="13"/>
        <v>4.9237251092134828</v>
      </c>
      <c r="E32" s="19">
        <f t="shared" si="18"/>
        <v>7.6776477660296774</v>
      </c>
      <c r="F32" s="31">
        <f t="shared" si="19"/>
        <v>500.61859619085857</v>
      </c>
      <c r="G32" s="30">
        <v>7.2000000000000002E-5</v>
      </c>
      <c r="H32" s="32">
        <f t="shared" si="14"/>
        <v>3.6044538925741818E-2</v>
      </c>
      <c r="I32" s="32">
        <f t="shared" si="15"/>
        <v>1.4109926898375414E-2</v>
      </c>
      <c r="J32" s="47">
        <f t="shared" si="16"/>
        <v>0.23757042659704439</v>
      </c>
      <c r="K32" s="3">
        <f t="shared" si="17"/>
        <v>0.12772603580486258</v>
      </c>
      <c r="L32">
        <f t="shared" si="20"/>
        <v>0.14001085961636278</v>
      </c>
    </row>
    <row r="33" spans="1:12" x14ac:dyDescent="0.25">
      <c r="A33" s="30">
        <v>300</v>
      </c>
      <c r="B33" s="30">
        <v>2.7</v>
      </c>
      <c r="C33" s="30">
        <v>5.4</v>
      </c>
      <c r="D33" s="31">
        <f t="shared" si="13"/>
        <v>4.1528305920770734</v>
      </c>
      <c r="E33" s="19">
        <f t="shared" si="18"/>
        <v>5.9470803871759026</v>
      </c>
      <c r="F33" s="31">
        <f t="shared" si="19"/>
        <v>323.11206411738482</v>
      </c>
      <c r="G33" s="30">
        <v>7.2000000000000002E-5</v>
      </c>
      <c r="H33" s="32">
        <f t="shared" si="14"/>
        <v>2.3264068616451708E-2</v>
      </c>
      <c r="I33" s="32">
        <f t="shared" si="15"/>
        <v>7.6602536851063611E-3</v>
      </c>
      <c r="J33" s="47">
        <f t="shared" si="16"/>
        <v>0.22598309206820999</v>
      </c>
      <c r="K33" s="3">
        <f t="shared" si="17"/>
        <v>0.1214962860581774</v>
      </c>
      <c r="L33">
        <f t="shared" si="20"/>
        <v>0.13318192601851131</v>
      </c>
    </row>
    <row r="34" spans="1:12" x14ac:dyDescent="0.25">
      <c r="A34" s="30">
        <v>200</v>
      </c>
      <c r="B34" s="30">
        <v>2.7</v>
      </c>
      <c r="C34" s="30">
        <v>5.4</v>
      </c>
      <c r="D34" s="31">
        <f t="shared" si="13"/>
        <v>3.6278316785978095</v>
      </c>
      <c r="E34" s="19">
        <f t="shared" si="18"/>
        <v>4.8557708026314623</v>
      </c>
      <c r="F34" s="31">
        <f t="shared" si="19"/>
        <v>230.52435910588733</v>
      </c>
      <c r="G34" s="30">
        <v>7.2000000000000002E-5</v>
      </c>
      <c r="H34" s="32">
        <f t="shared" si="14"/>
        <v>1.6597753855623888E-2</v>
      </c>
      <c r="I34" s="32">
        <f t="shared" si="15"/>
        <v>4.6898143955723132E-3</v>
      </c>
      <c r="J34" s="47">
        <f t="shared" si="16"/>
        <v>0.21655979302659839</v>
      </c>
      <c r="K34" s="3">
        <f t="shared" si="17"/>
        <v>0.11642999625085934</v>
      </c>
      <c r="L34">
        <f t="shared" si="20"/>
        <v>0.12762835515476095</v>
      </c>
    </row>
    <row r="35" spans="1:12" x14ac:dyDescent="0.25">
      <c r="A35" s="1">
        <v>100</v>
      </c>
      <c r="B35" s="30">
        <v>2.7</v>
      </c>
      <c r="C35" s="30">
        <v>5.4</v>
      </c>
      <c r="D35" s="31">
        <f t="shared" si="13"/>
        <v>2.8794119114848606</v>
      </c>
      <c r="E35" s="19">
        <f t="shared" si="18"/>
        <v>3.4335484624283512</v>
      </c>
      <c r="F35" s="31">
        <f t="shared" si="19"/>
        <v>132.32285145074502</v>
      </c>
      <c r="G35" s="30">
        <v>7.2000000000000002E-5</v>
      </c>
      <c r="H35" s="32">
        <f t="shared" si="14"/>
        <v>9.5272453044536413E-3</v>
      </c>
      <c r="I35" s="32">
        <f t="shared" si="15"/>
        <v>2.025713511157259E-3</v>
      </c>
      <c r="J35" s="47">
        <f t="shared" si="16"/>
        <v>0.20128156950686066</v>
      </c>
      <c r="K35" s="3">
        <f t="shared" si="17"/>
        <v>0.10821589758433368</v>
      </c>
      <c r="L35">
        <f t="shared" si="20"/>
        <v>0.11862421588098812</v>
      </c>
    </row>
    <row r="43" spans="1:12" x14ac:dyDescent="0.25">
      <c r="A43" s="23" t="s">
        <v>2</v>
      </c>
      <c r="B43" s="23" t="s">
        <v>27</v>
      </c>
      <c r="C43" s="23"/>
      <c r="D43" s="24" t="s">
        <v>28</v>
      </c>
      <c r="E43" s="23" t="s">
        <v>31</v>
      </c>
      <c r="F43" s="23" t="s">
        <v>32</v>
      </c>
      <c r="G43" s="24" t="s">
        <v>33</v>
      </c>
      <c r="H43" s="25" t="s">
        <v>34</v>
      </c>
      <c r="I43" s="25" t="s">
        <v>35</v>
      </c>
      <c r="J43" s="25" t="s">
        <v>30</v>
      </c>
    </row>
    <row r="44" spans="1:12" x14ac:dyDescent="0.25">
      <c r="A44" s="23">
        <v>2</v>
      </c>
      <c r="B44" s="27">
        <f>((F11-G11)*L11)</f>
        <v>1.1216375999999928E-3</v>
      </c>
      <c r="C44" s="27"/>
      <c r="D44" s="28">
        <f>(F21-G21)*L11</f>
        <v>1.4895557999999984E-3</v>
      </c>
      <c r="E44" s="48">
        <v>2.0616480000000001E-3</v>
      </c>
      <c r="F44" s="28">
        <f>(B44^2)^0.5</f>
        <v>1.1216375999999928E-3</v>
      </c>
      <c r="G44" s="26">
        <f>(D44^2)^0.5</f>
        <v>1.4895557999999984E-3</v>
      </c>
      <c r="H44" s="51">
        <v>4.0326370496349606E-3</v>
      </c>
      <c r="I44" s="49">
        <v>5.3762221690679913E-3</v>
      </c>
      <c r="J44" s="80">
        <v>1.4488888888888891E-3</v>
      </c>
    </row>
    <row r="45" spans="1:12" x14ac:dyDescent="0.25">
      <c r="A45" s="23">
        <v>1</v>
      </c>
      <c r="B45" s="27">
        <f>((F12-G12)*L12)</f>
        <v>7.0164000000000034E-4</v>
      </c>
      <c r="C45" s="27"/>
      <c r="D45" s="28">
        <f>(F22-G22)*L12</f>
        <v>6.5161454400000098E-4</v>
      </c>
      <c r="E45" s="48">
        <v>1.5468630480000001E-3</v>
      </c>
      <c r="F45" s="28">
        <f>(B45^2)^0.5</f>
        <v>7.0164000000000034E-4</v>
      </c>
      <c r="G45" s="26">
        <f>(D45^2)^0.5</f>
        <v>6.5161454400000098E-4</v>
      </c>
      <c r="H45" s="51">
        <v>5.4481024731154425E-3</v>
      </c>
      <c r="I45" s="49">
        <v>5.1687021892106262E-3</v>
      </c>
      <c r="J45" s="80">
        <v>2.3285714285714285E-3</v>
      </c>
    </row>
    <row r="46" spans="1:12" x14ac:dyDescent="0.25">
      <c r="A46" s="23">
        <v>0.5</v>
      </c>
      <c r="B46" s="27">
        <f>((F13-G13)*L13)</f>
        <v>2.9907720000000248E-4</v>
      </c>
      <c r="C46" s="27"/>
      <c r="D46" s="28">
        <f>(F23-G23)*L13</f>
        <v>3.2780404799999727E-4</v>
      </c>
      <c r="E46" s="48">
        <v>1.0070483040000001E-3</v>
      </c>
      <c r="F46" s="28">
        <f>(B46^2)^0.5</f>
        <v>2.9907720000000248E-4</v>
      </c>
      <c r="G46" s="26">
        <f>(D46^2)^0.5</f>
        <v>3.2780404799999727E-4</v>
      </c>
      <c r="H46" s="51">
        <v>5.2742360061503752E-3</v>
      </c>
      <c r="I46" s="49">
        <v>5.8795246808573424E-3</v>
      </c>
      <c r="J46" s="80">
        <v>3.5243243243243249E-3</v>
      </c>
    </row>
    <row r="47" spans="1:12" x14ac:dyDescent="0.25">
      <c r="A47" s="23">
        <v>0.3</v>
      </c>
      <c r="B47" s="27">
        <f>((F14-G14)*L14)</f>
        <v>2.0748239999999964E-4</v>
      </c>
      <c r="C47" s="27"/>
      <c r="D47" s="28">
        <f>(F24-G24)*L14</f>
        <v>1.9268503200000101E-4</v>
      </c>
      <c r="E47" s="48">
        <v>8.2449410399999996E-4</v>
      </c>
      <c r="F47" s="28">
        <f>(B47^2)^0.5</f>
        <v>2.0748239999999964E-4</v>
      </c>
      <c r="G47" s="26">
        <f>(D47^2)^0.5</f>
        <v>1.9268503200000101E-4</v>
      </c>
      <c r="H47" s="51">
        <v>6.6987793721868111E-3</v>
      </c>
      <c r="I47" s="49">
        <v>6.4049097480281605E-3</v>
      </c>
      <c r="J47" s="80">
        <v>4.3466666666666671E-3</v>
      </c>
    </row>
    <row r="48" spans="1:12" x14ac:dyDescent="0.25">
      <c r="A48" s="23">
        <v>0.2</v>
      </c>
      <c r="B48" s="27">
        <f>((F15-G15)*L15)</f>
        <v>1.4433479999999987E-4</v>
      </c>
      <c r="C48" s="27"/>
      <c r="D48" s="28">
        <f>(F25-G25)*L15</f>
        <v>1.2976243199999999E-4</v>
      </c>
      <c r="E48" s="48">
        <v>7.0114492799999999E-4</v>
      </c>
      <c r="F48" s="28">
        <f>(B48^2)^0.5</f>
        <v>1.4433479999999987E-4</v>
      </c>
      <c r="G48" s="26">
        <f>(D48^2)^0.5</f>
        <v>1.2976243199999999E-4</v>
      </c>
      <c r="H48" s="51">
        <v>7.555742759778431E-3</v>
      </c>
      <c r="I48" s="49">
        <v>7.0764241539328148E-3</v>
      </c>
      <c r="J48" s="80">
        <v>5.5652173913043482E-3</v>
      </c>
    </row>
    <row r="49" spans="2:10" x14ac:dyDescent="0.25">
      <c r="B49" s="3"/>
      <c r="C49" s="3"/>
      <c r="D49" s="3"/>
      <c r="E49" s="3"/>
      <c r="F49" s="3"/>
      <c r="G49" s="3"/>
      <c r="H49" s="3"/>
      <c r="I49" s="3"/>
      <c r="J49" s="3"/>
    </row>
    <row r="56" spans="2:10" x14ac:dyDescent="0.25">
      <c r="D56" s="1"/>
      <c r="F56" s="1"/>
      <c r="I56"/>
    </row>
    <row r="57" spans="2:10" x14ac:dyDescent="0.25">
      <c r="B57" s="3"/>
      <c r="C57" s="3"/>
      <c r="D57" s="3"/>
      <c r="E57" s="3"/>
      <c r="F57" s="3"/>
      <c r="G57" s="3"/>
      <c r="H57" s="3"/>
      <c r="I57" s="3"/>
    </row>
    <row r="58" spans="2:10" x14ac:dyDescent="0.25">
      <c r="B58" s="3"/>
      <c r="C58" s="3"/>
      <c r="D58" s="3"/>
      <c r="E58" s="3"/>
      <c r="F58" s="3"/>
      <c r="G58" s="3"/>
      <c r="H58" s="3"/>
      <c r="I58" s="3"/>
    </row>
    <row r="59" spans="2:10" x14ac:dyDescent="0.25">
      <c r="B59" s="3"/>
      <c r="C59" s="3"/>
      <c r="D59" s="3"/>
      <c r="E59" s="3"/>
      <c r="F59" s="3"/>
      <c r="G59" s="3"/>
      <c r="H59" s="3"/>
      <c r="I59" s="3"/>
    </row>
    <row r="60" spans="2:10" x14ac:dyDescent="0.25">
      <c r="B60" s="3"/>
      <c r="C60" s="3"/>
      <c r="D60" s="3"/>
      <c r="E60" s="3"/>
      <c r="F60" s="3"/>
      <c r="G60" s="3"/>
      <c r="H60" s="3"/>
      <c r="I60" s="3"/>
    </row>
    <row r="61" spans="2:10" x14ac:dyDescent="0.25">
      <c r="B61" s="3"/>
      <c r="C61" s="3"/>
      <c r="D61" s="3"/>
      <c r="E61" s="3"/>
      <c r="F61" s="3"/>
      <c r="G61" s="3"/>
      <c r="H61" s="3"/>
      <c r="I61" s="3"/>
    </row>
  </sheetData>
  <mergeCells count="3">
    <mergeCell ref="E1:H1"/>
    <mergeCell ref="E18:H18"/>
    <mergeCell ref="E27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5" sqref="F5"/>
    </sheetView>
  </sheetViews>
  <sheetFormatPr defaultRowHeight="15" x14ac:dyDescent="0.25"/>
  <cols>
    <col min="2" max="2" width="17.7109375" bestFit="1" customWidth="1"/>
    <col min="3" max="3" width="13.42578125" bestFit="1" customWidth="1"/>
    <col min="4" max="4" width="14.42578125" bestFit="1" customWidth="1"/>
    <col min="5" max="5" width="13.85546875" customWidth="1"/>
    <col min="6" max="6" width="18.5703125" bestFit="1" customWidth="1"/>
    <col min="7" max="7" width="12" bestFit="1" customWidth="1"/>
    <col min="8" max="8" width="12" customWidth="1"/>
    <col min="9" max="9" width="18.5703125" bestFit="1" customWidth="1"/>
  </cols>
  <sheetData>
    <row r="1" spans="1:10" s="37" customFormat="1" ht="22.5" customHeight="1" x14ac:dyDescent="0.25">
      <c r="A1" s="37" t="s">
        <v>37</v>
      </c>
      <c r="B1" s="38" t="s">
        <v>3</v>
      </c>
      <c r="C1" s="39" t="s">
        <v>10</v>
      </c>
      <c r="D1" s="39" t="s">
        <v>9</v>
      </c>
      <c r="E1" s="57" t="s">
        <v>11</v>
      </c>
      <c r="F1" s="58" t="s">
        <v>39</v>
      </c>
      <c r="G1" s="59" t="s">
        <v>40</v>
      </c>
      <c r="H1" s="69" t="s">
        <v>43</v>
      </c>
      <c r="I1" s="70" t="s">
        <v>41</v>
      </c>
      <c r="J1" s="71" t="s">
        <v>42</v>
      </c>
    </row>
    <row r="2" spans="1:10" x14ac:dyDescent="0.25">
      <c r="A2" s="1">
        <v>2</v>
      </c>
      <c r="B2" s="33">
        <v>0.123</v>
      </c>
      <c r="C2" s="34">
        <v>1.5129E-2</v>
      </c>
      <c r="D2" s="34">
        <v>5.527175882911238E-2</v>
      </c>
      <c r="E2" s="60">
        <v>7.4611850400000013E-2</v>
      </c>
      <c r="F2" s="34">
        <v>1.9340091570887633E-2</v>
      </c>
      <c r="G2" s="61">
        <v>0.13906865775899196</v>
      </c>
      <c r="H2" s="72">
        <v>7.4462458896000019E-2</v>
      </c>
      <c r="I2" s="2">
        <v>1.9190700066887639E-2</v>
      </c>
      <c r="J2" s="73">
        <v>0.13853050229782479</v>
      </c>
    </row>
    <row r="3" spans="1:10" x14ac:dyDescent="0.25">
      <c r="A3" s="1">
        <v>1</v>
      </c>
      <c r="B3" s="33">
        <v>0.11738571428571429</v>
      </c>
      <c r="C3" s="34">
        <v>6.8897029591836736E-3</v>
      </c>
      <c r="D3" s="34">
        <v>3.481902620675574E-2</v>
      </c>
      <c r="E3" s="60">
        <v>4.3111799999999999E-2</v>
      </c>
      <c r="F3" s="34">
        <v>8.2927737932442583E-3</v>
      </c>
      <c r="G3" s="61">
        <v>0.12878488881265734</v>
      </c>
      <c r="H3" s="72">
        <v>4.2765604992000002E-2</v>
      </c>
      <c r="I3" s="2">
        <v>7.9465787852442613E-3</v>
      </c>
      <c r="J3" s="73">
        <v>0.12606806721167943</v>
      </c>
    </row>
    <row r="4" spans="1:10" x14ac:dyDescent="0.25">
      <c r="A4" s="1">
        <v>0.5</v>
      </c>
      <c r="B4" s="33">
        <v>0.10484864864864867</v>
      </c>
      <c r="C4" s="34">
        <v>2.7483097808619437E-3</v>
      </c>
      <c r="D4" s="34">
        <v>2.1934612027366403E-2</v>
      </c>
      <c r="E4" s="60">
        <v>2.5150042800000001E-2</v>
      </c>
      <c r="F4" s="34">
        <v>3.2154307726335978E-3</v>
      </c>
      <c r="G4" s="61">
        <v>0.11340953703518232</v>
      </c>
      <c r="H4" s="72">
        <v>2.5043004576000005E-2</v>
      </c>
      <c r="I4" s="2">
        <v>3.1083925486336018E-3</v>
      </c>
      <c r="J4" s="73">
        <v>0.11150591999770419</v>
      </c>
    </row>
    <row r="5" spans="1:10" x14ac:dyDescent="0.25">
      <c r="A5" s="1">
        <v>0.3</v>
      </c>
      <c r="B5" s="33">
        <v>9.3453333333333347E-2</v>
      </c>
      <c r="C5" s="34">
        <v>1.3100288266666672E-3</v>
      </c>
      <c r="D5" s="34">
        <v>1.5603814931345347E-2</v>
      </c>
      <c r="E5" s="60">
        <v>1.7202679200000001E-2</v>
      </c>
      <c r="F5" s="34">
        <v>1.5988642686546543E-3</v>
      </c>
      <c r="G5" s="61">
        <v>0.1032428938201771</v>
      </c>
      <c r="H5" s="72">
        <v>1.7112193487999999E-2</v>
      </c>
      <c r="I5" s="2">
        <v>1.5083785566546524E-3</v>
      </c>
      <c r="J5" s="73">
        <v>0.10027889630607405</v>
      </c>
    </row>
    <row r="6" spans="1:10" x14ac:dyDescent="0.25">
      <c r="A6" s="1">
        <v>0.2</v>
      </c>
      <c r="B6" s="35">
        <v>8.6260869565217391E-2</v>
      </c>
      <c r="C6" s="36">
        <v>7.4409376181474489E-4</v>
      </c>
      <c r="D6" s="36">
        <v>1.1907939460051574E-2</v>
      </c>
      <c r="E6" s="60">
        <v>1.2820201200000002E-2</v>
      </c>
      <c r="F6" s="56">
        <v>9.122617399484282E-4</v>
      </c>
      <c r="G6" s="61">
        <v>9.5512393957456018E-2</v>
      </c>
      <c r="H6" s="72">
        <v>1.274856372E-2</v>
      </c>
      <c r="I6" s="2">
        <v>8.4062425994842552E-4</v>
      </c>
      <c r="J6" s="73">
        <v>9.1685563746340432E-2</v>
      </c>
    </row>
    <row r="7" spans="1:10" x14ac:dyDescent="0.25">
      <c r="D7" s="52" t="s">
        <v>36</v>
      </c>
      <c r="E7" s="62" t="s">
        <v>36</v>
      </c>
      <c r="F7" s="11" t="s">
        <v>38</v>
      </c>
      <c r="G7" s="63" t="s">
        <v>4</v>
      </c>
      <c r="H7" s="74" t="s">
        <v>4</v>
      </c>
      <c r="I7" s="53" t="s">
        <v>4</v>
      </c>
      <c r="J7" s="75" t="s">
        <v>4</v>
      </c>
    </row>
    <row r="8" spans="1:10" x14ac:dyDescent="0.25">
      <c r="D8" s="54">
        <v>0</v>
      </c>
      <c r="E8" s="64">
        <v>1.1216375999999928E-3</v>
      </c>
      <c r="F8" s="56">
        <v>1.1216375999999928E-3</v>
      </c>
      <c r="G8" s="65">
        <f>(0.7071*F8)/(A2*(F2/A2)^0.5)</f>
        <v>4.0326370496349606E-3</v>
      </c>
      <c r="H8" s="78">
        <v>1.4895557999999984E-3</v>
      </c>
      <c r="I8" s="76">
        <v>1.4895557999999984E-3</v>
      </c>
      <c r="J8" s="65">
        <f>(0.7071*I8)/(A2*(I2/A2)^0.5)</f>
        <v>5.3762221690679913E-3</v>
      </c>
    </row>
    <row r="9" spans="1:10" x14ac:dyDescent="0.25">
      <c r="D9" s="54">
        <v>0</v>
      </c>
      <c r="E9" s="64">
        <v>7.0164000000000034E-4</v>
      </c>
      <c r="F9" s="56">
        <v>7.0164000000000034E-4</v>
      </c>
      <c r="G9" s="65">
        <f>(0.7071*F9)/(A3*(F3/A3)^0.5)</f>
        <v>5.4481024731154425E-3</v>
      </c>
      <c r="H9" s="78">
        <v>6.5161454400000098E-4</v>
      </c>
      <c r="I9" s="76">
        <v>6.5161454400000098E-4</v>
      </c>
      <c r="J9" s="65">
        <f>(0.7071*I9)/(A3*(I3/A3)^0.5)</f>
        <v>5.1687021892106262E-3</v>
      </c>
    </row>
    <row r="10" spans="1:10" x14ac:dyDescent="0.25">
      <c r="D10" s="54">
        <v>0</v>
      </c>
      <c r="E10" s="64">
        <v>2.9907720000000248E-4</v>
      </c>
      <c r="F10" s="56">
        <v>2.9907720000000248E-4</v>
      </c>
      <c r="G10" s="65">
        <f>(0.7071*F10)/(A4*(F4/A4)^0.5)</f>
        <v>5.2742360061503752E-3</v>
      </c>
      <c r="H10" s="78">
        <v>3.2780404799999727E-4</v>
      </c>
      <c r="I10" s="76">
        <v>3.2780404799999727E-4</v>
      </c>
      <c r="J10" s="65">
        <f>(0.7071*I10)/(A4*(I4/A4)^0.5)</f>
        <v>5.8795246808573424E-3</v>
      </c>
    </row>
    <row r="11" spans="1:10" x14ac:dyDescent="0.25">
      <c r="D11" s="54">
        <v>0</v>
      </c>
      <c r="E11" s="64">
        <v>2.0748239999999964E-4</v>
      </c>
      <c r="F11" s="56">
        <v>2.0748239999999964E-4</v>
      </c>
      <c r="G11" s="65">
        <f>(0.7071*F11)/(A5*(F5/A5)^0.5)</f>
        <v>6.6987793721868111E-3</v>
      </c>
      <c r="H11" s="78">
        <v>1.9268503200000101E-4</v>
      </c>
      <c r="I11" s="76">
        <v>1.9268503200000101E-4</v>
      </c>
      <c r="J11" s="65">
        <f>(0.7071*I11)/(A5*(I5/A5)^0.5)</f>
        <v>6.4049097480281605E-3</v>
      </c>
    </row>
    <row r="12" spans="1:10" ht="15.75" thickBot="1" x14ac:dyDescent="0.3">
      <c r="D12" s="55">
        <v>0</v>
      </c>
      <c r="E12" s="66">
        <v>1.4433479999999987E-4</v>
      </c>
      <c r="F12" s="67">
        <v>1.4433479999999987E-4</v>
      </c>
      <c r="G12" s="68">
        <f>(0.7071*F12)/(A6*(F6/A6)^0.5)</f>
        <v>7.555742759778431E-3</v>
      </c>
      <c r="H12" s="79">
        <v>1.2976243199999999E-4</v>
      </c>
      <c r="I12" s="77">
        <v>1.2976243199999999E-4</v>
      </c>
      <c r="J12" s="65">
        <f>(0.7071*I12)/(A6*(I6/A6)^0.5)</f>
        <v>7.0764241539328148E-3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R4" sqref="R4:R30"/>
    </sheetView>
  </sheetViews>
  <sheetFormatPr defaultRowHeight="15" x14ac:dyDescent="0.25"/>
  <cols>
    <col min="4" max="4" width="10.5703125" bestFit="1" customWidth="1"/>
    <col min="5" max="5" width="12.7109375" customWidth="1"/>
    <col min="6" max="8" width="9.140625" style="110"/>
    <col min="14" max="14" width="11.5703125" customWidth="1"/>
    <col min="15" max="15" width="12.85546875" bestFit="1" customWidth="1"/>
    <col min="16" max="17" width="12.85546875" customWidth="1"/>
    <col min="18" max="18" width="13.85546875" bestFit="1" customWidth="1"/>
    <col min="19" max="19" width="22.28515625" customWidth="1"/>
    <col min="20" max="21" width="16.28515625" customWidth="1"/>
    <col min="22" max="22" width="17" bestFit="1" customWidth="1"/>
  </cols>
  <sheetData>
    <row r="1" spans="1:28" x14ac:dyDescent="0.25">
      <c r="Y1" t="s">
        <v>103</v>
      </c>
      <c r="AB1" t="s">
        <v>104</v>
      </c>
    </row>
    <row r="2" spans="1:28" x14ac:dyDescent="0.25">
      <c r="P2" t="s">
        <v>71</v>
      </c>
      <c r="S2" t="s">
        <v>73</v>
      </c>
      <c r="T2" t="s">
        <v>75</v>
      </c>
      <c r="U2" t="s">
        <v>77</v>
      </c>
      <c r="V2" t="s">
        <v>74</v>
      </c>
      <c r="W2" t="s">
        <v>76</v>
      </c>
      <c r="Y2" t="s">
        <v>105</v>
      </c>
      <c r="Z2" t="s">
        <v>106</v>
      </c>
      <c r="AA2" t="s">
        <v>76</v>
      </c>
    </row>
    <row r="3" spans="1:28" x14ac:dyDescent="0.25">
      <c r="A3" t="s">
        <v>68</v>
      </c>
      <c r="B3" t="s">
        <v>48</v>
      </c>
      <c r="C3" t="s">
        <v>49</v>
      </c>
      <c r="D3" t="s">
        <v>55</v>
      </c>
      <c r="E3" t="s">
        <v>56</v>
      </c>
      <c r="F3" s="110" t="s">
        <v>45</v>
      </c>
      <c r="G3" s="110" t="s">
        <v>46</v>
      </c>
      <c r="H3" s="110" t="s">
        <v>47</v>
      </c>
      <c r="I3" t="s">
        <v>58</v>
      </c>
      <c r="J3" s="110" t="s">
        <v>60</v>
      </c>
      <c r="K3" s="110" t="s">
        <v>57</v>
      </c>
      <c r="L3" s="110" t="s">
        <v>59</v>
      </c>
      <c r="M3" s="110" t="s">
        <v>18</v>
      </c>
      <c r="N3" s="116" t="s">
        <v>61</v>
      </c>
      <c r="O3" s="128" t="s">
        <v>67</v>
      </c>
      <c r="P3" s="128" t="s">
        <v>72</v>
      </c>
      <c r="Q3" s="128" t="s">
        <v>70</v>
      </c>
      <c r="R3" s="128" t="s">
        <v>69</v>
      </c>
      <c r="S3" s="118" t="s">
        <v>63</v>
      </c>
      <c r="T3">
        <v>0.01</v>
      </c>
      <c r="V3">
        <v>0.23</v>
      </c>
      <c r="Y3">
        <v>0.5</v>
      </c>
      <c r="Z3">
        <v>0.01</v>
      </c>
      <c r="AA3">
        <v>7.0000000000000007E-2</v>
      </c>
    </row>
    <row r="4" spans="1:28" x14ac:dyDescent="0.25">
      <c r="A4">
        <f>150*PI()/180</f>
        <v>2.6179938779914944</v>
      </c>
      <c r="B4">
        <v>5</v>
      </c>
      <c r="C4">
        <f>B4/1000</f>
        <v>5.0000000000000001E-3</v>
      </c>
      <c r="D4" s="19">
        <f>((3*B4)/(4*PI()))^(1/3)</f>
        <v>1.0607844179470554</v>
      </c>
      <c r="E4" s="19">
        <f>((4*D4^3)/(3*G4))^0.5</f>
        <v>0.54289167989213327</v>
      </c>
      <c r="F4" s="110">
        <v>7.2000000000000002E-5</v>
      </c>
      <c r="G4" s="110">
        <v>5.4</v>
      </c>
      <c r="H4" s="110">
        <v>1000</v>
      </c>
      <c r="I4" s="83">
        <f t="shared" ref="I4:I15" si="0">2*PI()*E4^2+E4*2*PI()*G4</f>
        <v>20.271732594888647</v>
      </c>
      <c r="J4" s="83">
        <f>(4)*PI()*D4^2</f>
        <v>14.140479202201732</v>
      </c>
      <c r="K4" s="84">
        <f>F4*I4</f>
        <v>1.4595647468319825E-3</v>
      </c>
      <c r="L4" s="84">
        <f>F4*J4</f>
        <v>1.0181145025585246E-3</v>
      </c>
      <c r="M4" s="84">
        <f>K4-L4</f>
        <v>4.4145024427345793E-4</v>
      </c>
      <c r="N4" s="115">
        <v>0</v>
      </c>
      <c r="O4" s="130">
        <f>1000*9.81*(D4/1000)^2/0.072</f>
        <v>0.15331716296020095</v>
      </c>
      <c r="P4" s="130">
        <f>6^(1/3)*O4^(-1/2)</f>
        <v>4.640752026355659</v>
      </c>
      <c r="Q4" s="130">
        <f>O4^(1/2)*(1-COS($A$4) + 2*6^(1/2)*O4^(-3/4) - 6*O4^(-1/2))</f>
        <v>2.5596854330988128</v>
      </c>
      <c r="R4" s="130">
        <f>(0.072*9.81/1000)^(1/4)*(1 - COS($A$4) + 2*6^(1/2)*O4^(-3/4) - 6*O4^(-1/2))^(1/2)</f>
        <v>0.41681753493390827</v>
      </c>
      <c r="S4" s="3">
        <f>(((F4*9.81/1000)^(1/4))*(2+2*(PI()*G4^3/B4)^0.5-6^(2/3)*(PI()*G4^3/B4)^(1/3)))^(1/2)</f>
        <v>0.43813878365324593</v>
      </c>
      <c r="T4">
        <v>0.1</v>
      </c>
      <c r="U4" s="129">
        <f>$D$8</f>
        <v>2.8794119114848606</v>
      </c>
      <c r="V4">
        <v>0.23</v>
      </c>
      <c r="W4">
        <f>1000*V4^2*(U4/1000)/0.072</f>
        <v>2.1155679182992939</v>
      </c>
      <c r="Y4">
        <v>0.5</v>
      </c>
      <c r="Z4">
        <v>9.5000000000000001E-2</v>
      </c>
      <c r="AA4">
        <v>0.2</v>
      </c>
    </row>
    <row r="5" spans="1:28" x14ac:dyDescent="0.25">
      <c r="B5">
        <v>10</v>
      </c>
      <c r="C5">
        <f>B5/1000</f>
        <v>0.01</v>
      </c>
      <c r="D5" s="19">
        <f>((3*B5)/(4*PI()))^(1/3)</f>
        <v>1.3365046175719759</v>
      </c>
      <c r="E5" s="19">
        <f t="shared" ref="E5:E24" si="1">((4*D5^3)/(3*G5))^0.5</f>
        <v>0.76776477660296782</v>
      </c>
      <c r="F5" s="110">
        <v>7.2000000000000002E-5</v>
      </c>
      <c r="G5" s="110">
        <v>5.4</v>
      </c>
      <c r="H5" s="110">
        <v>1000</v>
      </c>
      <c r="I5" s="83">
        <f t="shared" si="0"/>
        <v>29.753348867801346</v>
      </c>
      <c r="J5" s="83">
        <f t="shared" ref="J5:J24" si="2">(4)*PI()*D5^2</f>
        <v>22.446611560909474</v>
      </c>
      <c r="K5" s="84">
        <f t="shared" ref="K5:K24" si="3">F5*I5</f>
        <v>2.1422411184816971E-3</v>
      </c>
      <c r="L5" s="84">
        <f t="shared" ref="L5:L24" si="4">F5*J5</f>
        <v>1.6161560323854822E-3</v>
      </c>
      <c r="M5" s="84">
        <f t="shared" ref="M5:M24" si="5">K5-L5</f>
        <v>5.2608508609621493E-4</v>
      </c>
      <c r="N5" s="115">
        <f t="shared" ref="N5:N26" si="6">((2*M5)/C5)^0.5</f>
        <v>0.32437172691102872</v>
      </c>
      <c r="O5" s="130">
        <f t="shared" ref="O5:O30" si="7">1000*9.81*(D5/1000)^2/0.072</f>
        <v>0.24337582576780284</v>
      </c>
      <c r="P5" s="130">
        <f t="shared" ref="P5:P30" si="8">6^(1/3)*O5^(-1/2)</f>
        <v>3.6833673242802636</v>
      </c>
      <c r="Q5" s="130">
        <f t="shared" ref="Q5:Q30" si="9">O5^(1/2)*(1-COS($A$4) + 2*6^(1/2)*O5^(-3/4) - 6*O5^(-1/2))</f>
        <v>1.8954411509544506</v>
      </c>
      <c r="R5" s="130">
        <f t="shared" ref="R5:R30" si="10">(0.072*9.81/1000)^(1/4)*(1 - COS($A$4) + 2*6^(1/2)*O5^(-3/4) - 6*O5^(-1/2))^(1/2)</f>
        <v>0.31954804803799147</v>
      </c>
      <c r="S5" s="3">
        <f t="shared" ref="S5:S30" si="11">(((F5*9.81/1000)^(1/4))*(2+2*(PI()*G5^3/B5)^0.5-6^(2/3)*(PI()*G5^3/B5)^(1/3)))^(1/2)</f>
        <v>0.33820795215664612</v>
      </c>
      <c r="T5">
        <v>300</v>
      </c>
      <c r="U5" s="129">
        <f>$D$27</f>
        <v>41.528305920770727</v>
      </c>
      <c r="V5">
        <v>0.23</v>
      </c>
      <c r="W5">
        <f>1000*V5^2*(U5/1000)/0.072</f>
        <v>30.511769211232938</v>
      </c>
    </row>
    <row r="6" spans="1:28" x14ac:dyDescent="0.25">
      <c r="B6">
        <v>25</v>
      </c>
      <c r="C6">
        <f>B6/1000</f>
        <v>2.5000000000000001E-2</v>
      </c>
      <c r="D6" s="19">
        <f>((3*B6)/(4*PI()))^(1/3)</f>
        <v>1.8139158392989045</v>
      </c>
      <c r="E6" s="19">
        <f t="shared" si="1"/>
        <v>1.2139427006578654</v>
      </c>
      <c r="F6" s="110">
        <v>7.2000000000000002E-5</v>
      </c>
      <c r="G6" s="110">
        <v>5.4</v>
      </c>
      <c r="H6" s="110">
        <v>1000</v>
      </c>
      <c r="I6" s="83">
        <f t="shared" si="0"/>
        <v>50.447364738128847</v>
      </c>
      <c r="J6" s="83">
        <f t="shared" si="2"/>
        <v>41.347012014067957</v>
      </c>
      <c r="K6" s="84">
        <f t="shared" si="3"/>
        <v>3.6322102611452771E-3</v>
      </c>
      <c r="L6" s="84">
        <f t="shared" si="4"/>
        <v>2.9769848650128931E-3</v>
      </c>
      <c r="M6" s="84">
        <f t="shared" si="5"/>
        <v>6.55225396132384E-4</v>
      </c>
      <c r="N6" s="115">
        <f t="shared" si="6"/>
        <v>0.2289498453604866</v>
      </c>
      <c r="O6" s="130">
        <f t="shared" si="7"/>
        <v>0.4483021040681</v>
      </c>
      <c r="P6" s="130">
        <f t="shared" si="8"/>
        <v>2.7139282487422505</v>
      </c>
      <c r="Q6" s="130">
        <f t="shared" si="9"/>
        <v>1.2364547107626169</v>
      </c>
      <c r="R6" s="130">
        <f t="shared" si="10"/>
        <v>0.22153726429096018</v>
      </c>
      <c r="S6" s="3">
        <f t="shared" si="11"/>
        <v>0.23871580634766573</v>
      </c>
    </row>
    <row r="7" spans="1:28" x14ac:dyDescent="0.25">
      <c r="B7">
        <v>50</v>
      </c>
      <c r="C7">
        <f>B7/1000</f>
        <v>0.05</v>
      </c>
      <c r="D7" s="19">
        <f>((3*B7)/(4*PI()))^(1/3)</f>
        <v>2.2853907486704159</v>
      </c>
      <c r="E7" s="19">
        <f t="shared" si="1"/>
        <v>1.7167742312141756</v>
      </c>
      <c r="F7" s="110">
        <v>7.2000000000000002E-5</v>
      </c>
      <c r="G7" s="110">
        <v>5.4</v>
      </c>
      <c r="H7" s="110">
        <v>1000</v>
      </c>
      <c r="I7" s="83">
        <f t="shared" si="0"/>
        <v>76.767295895189477</v>
      </c>
      <c r="J7" s="83">
        <f t="shared" si="2"/>
        <v>65.634290366873259</v>
      </c>
      <c r="K7" s="84">
        <f t="shared" si="3"/>
        <v>5.5272453044536421E-3</v>
      </c>
      <c r="L7" s="84">
        <f t="shared" si="4"/>
        <v>4.7256689064148752E-3</v>
      </c>
      <c r="M7" s="84">
        <f t="shared" si="5"/>
        <v>8.015763980387669E-4</v>
      </c>
      <c r="N7" s="115">
        <f t="shared" si="6"/>
        <v>0.17906159812073238</v>
      </c>
      <c r="O7" s="130">
        <f t="shared" si="7"/>
        <v>0.71163523159725928</v>
      </c>
      <c r="P7" s="130">
        <f t="shared" si="8"/>
        <v>2.1540462785098304</v>
      </c>
      <c r="Q7" s="130">
        <f t="shared" si="9"/>
        <v>0.90800625451758832</v>
      </c>
      <c r="R7" s="130">
        <f t="shared" si="10"/>
        <v>0.16913381140000755</v>
      </c>
      <c r="S7" s="3">
        <f t="shared" si="11"/>
        <v>0.18669955296973278</v>
      </c>
    </row>
    <row r="8" spans="1:28" x14ac:dyDescent="0.25">
      <c r="B8">
        <f>C8*1000</f>
        <v>100</v>
      </c>
      <c r="C8">
        <v>0.1</v>
      </c>
      <c r="D8" s="19">
        <f>((3*B8)/(4*PI()))^(1/3)</f>
        <v>2.8794119114848606</v>
      </c>
      <c r="E8" s="19">
        <f t="shared" si="1"/>
        <v>2.4278854013157307</v>
      </c>
      <c r="F8" s="110">
        <v>7.2000000000000002E-5</v>
      </c>
      <c r="G8" s="110">
        <v>5.4</v>
      </c>
      <c r="H8" s="110">
        <v>1000</v>
      </c>
      <c r="I8" s="83">
        <f t="shared" si="0"/>
        <v>119.41324799477621</v>
      </c>
      <c r="J8" s="83">
        <f t="shared" si="2"/>
        <v>104.18794157356086</v>
      </c>
      <c r="K8" s="84">
        <f t="shared" si="3"/>
        <v>8.5977538556238874E-3</v>
      </c>
      <c r="L8" s="84">
        <f t="shared" si="4"/>
        <v>7.5015317932963822E-3</v>
      </c>
      <c r="M8" s="84">
        <f t="shared" si="5"/>
        <v>1.0962220623275051E-3</v>
      </c>
      <c r="N8" s="115">
        <f t="shared" si="6"/>
        <v>0.14806904216125025</v>
      </c>
      <c r="O8" s="130">
        <f t="shared" si="7"/>
        <v>1.1296505152551228</v>
      </c>
      <c r="P8" s="130">
        <f t="shared" si="8"/>
        <v>1.7096676642473452</v>
      </c>
      <c r="Q8" s="130">
        <f t="shared" si="9"/>
        <v>0.73523063278669898</v>
      </c>
      <c r="R8" s="130">
        <f t="shared" si="10"/>
        <v>0.13558952721670456</v>
      </c>
      <c r="S8" s="3">
        <f t="shared" si="11"/>
        <v>0.15438499527700331</v>
      </c>
    </row>
    <row r="9" spans="1:28" x14ac:dyDescent="0.25">
      <c r="B9">
        <f t="shared" ref="B9:B24" si="12">C9*1000</f>
        <v>200</v>
      </c>
      <c r="C9">
        <v>0.2</v>
      </c>
      <c r="D9" s="19">
        <f t="shared" ref="D9:D26" si="13">((3*B9)/(4*PI()))^(1/3)</f>
        <v>3.6278316785978095</v>
      </c>
      <c r="E9" s="19">
        <f t="shared" si="1"/>
        <v>3.4335484624283517</v>
      </c>
      <c r="F9" s="110">
        <v>7.2000000000000002E-5</v>
      </c>
      <c r="G9" s="110">
        <v>5.4</v>
      </c>
      <c r="H9" s="110">
        <v>1000</v>
      </c>
      <c r="I9" s="83">
        <f t="shared" si="0"/>
        <v>190.57162882741602</v>
      </c>
      <c r="J9" s="83">
        <f t="shared" si="2"/>
        <v>165.38804805627186</v>
      </c>
      <c r="K9" s="84">
        <f t="shared" si="3"/>
        <v>1.3721157275573954E-2</v>
      </c>
      <c r="L9" s="84">
        <f t="shared" si="4"/>
        <v>1.1907939460051574E-2</v>
      </c>
      <c r="M9" s="84">
        <f t="shared" si="5"/>
        <v>1.8132178155223794E-3</v>
      </c>
      <c r="N9" s="115">
        <f t="shared" si="6"/>
        <v>0.13465577653863867</v>
      </c>
      <c r="O9" s="130">
        <f t="shared" si="7"/>
        <v>1.7932084162724007</v>
      </c>
      <c r="P9" s="130">
        <f t="shared" si="8"/>
        <v>1.356964124371125</v>
      </c>
      <c r="Q9" s="130">
        <f t="shared" si="9"/>
        <v>0.73229233709417174</v>
      </c>
      <c r="R9" s="130">
        <f t="shared" si="10"/>
        <v>0.12055491706532943</v>
      </c>
      <c r="S9" s="3">
        <f t="shared" si="11"/>
        <v>0.14039958063819627</v>
      </c>
    </row>
    <row r="10" spans="1:28" x14ac:dyDescent="0.25">
      <c r="B10">
        <v>250</v>
      </c>
      <c r="C10">
        <v>0.25</v>
      </c>
      <c r="D10" s="19">
        <f>((3*B10)/(4*PI()))^(1/3)</f>
        <v>3.9079632089838601</v>
      </c>
      <c r="E10" s="19">
        <f>((4*D10^3)/(3*G10))^0.5</f>
        <v>3.8388238830148378</v>
      </c>
      <c r="F10" s="128">
        <v>7.2000000000000002E-5</v>
      </c>
      <c r="G10" s="128">
        <v>5.4</v>
      </c>
      <c r="H10" s="128">
        <v>1000</v>
      </c>
      <c r="I10" s="83">
        <f>2*PI()*E10^2+E10*2*PI()*G10</f>
        <v>222.84081841308071</v>
      </c>
      <c r="J10" s="83">
        <f>(4)*PI()*D10^2</f>
        <v>191.91582926775126</v>
      </c>
      <c r="K10" s="84">
        <f>F10*I10</f>
        <v>1.604453892574181E-2</v>
      </c>
      <c r="L10" s="84">
        <f>F10*J10</f>
        <v>1.3817939707278092E-2</v>
      </c>
      <c r="M10" s="84">
        <f>K10-L10</f>
        <v>2.2265992184637186E-3</v>
      </c>
      <c r="N10" s="115">
        <f>((2*M10)/C10)^0.5</f>
        <v>0.13346457862560293</v>
      </c>
      <c r="O10" s="130">
        <f>1000*9.81*(D10/1000)^2/0.072</f>
        <v>2.0808340403276078</v>
      </c>
      <c r="P10" s="130">
        <f t="shared" si="8"/>
        <v>1.259693905458831</v>
      </c>
      <c r="Q10" s="130">
        <f t="shared" si="9"/>
        <v>0.77068969108472674</v>
      </c>
      <c r="R10" s="130">
        <f>(0.072*9.81/1000)^(1/4)*(1 - COS($A$4) + 2*6^(1/2)*O10^(-3/4) - 6*O10^(-1/2))^(1/2)</f>
        <v>0.11916008103627954</v>
      </c>
      <c r="S10" s="3">
        <f>(((F10*9.81/1000)^(1/4))*(2+2*(PI()*G10^3/B10)^0.5-6^(2/3)*(PI()*G10^3/B10)^(1/3)))^(1/2)</f>
        <v>0.13915757163014375</v>
      </c>
    </row>
    <row r="11" spans="1:28" x14ac:dyDescent="0.25">
      <c r="B11">
        <v>300</v>
      </c>
      <c r="C11">
        <v>0.3</v>
      </c>
      <c r="D11" s="19">
        <f t="shared" si="13"/>
        <v>4.1528305920770734</v>
      </c>
      <c r="E11" s="19">
        <f t="shared" si="1"/>
        <v>4.2052208700335987</v>
      </c>
      <c r="F11" s="110">
        <v>7.2000000000000002E-5</v>
      </c>
      <c r="G11" s="110">
        <v>5.4</v>
      </c>
      <c r="H11" s="110">
        <v>1000</v>
      </c>
      <c r="I11" s="83">
        <f t="shared" si="0"/>
        <v>253.79089382492737</v>
      </c>
      <c r="J11" s="83">
        <f t="shared" si="2"/>
        <v>216.71965182424091</v>
      </c>
      <c r="K11" s="84">
        <f t="shared" si="3"/>
        <v>1.8272944355394772E-2</v>
      </c>
      <c r="L11" s="84">
        <f t="shared" si="4"/>
        <v>1.5603814931345347E-2</v>
      </c>
      <c r="M11" s="84">
        <f t="shared" si="5"/>
        <v>2.669129424049425E-3</v>
      </c>
      <c r="N11" s="115">
        <f t="shared" si="6"/>
        <v>0.13339488805921126</v>
      </c>
      <c r="O11" s="130">
        <f t="shared" si="7"/>
        <v>2.3497677624844289</v>
      </c>
      <c r="P11" s="130">
        <f t="shared" si="8"/>
        <v>1.1854173503986123</v>
      </c>
      <c r="Q11" s="130">
        <f t="shared" si="9"/>
        <v>0.81726959130248245</v>
      </c>
      <c r="R11" s="130">
        <f t="shared" si="10"/>
        <v>0.11903558502350924</v>
      </c>
      <c r="S11" s="3">
        <f t="shared" si="11"/>
        <v>0.13908490838057996</v>
      </c>
    </row>
    <row r="12" spans="1:28" x14ac:dyDescent="0.25">
      <c r="B12">
        <v>400</v>
      </c>
      <c r="C12">
        <v>0.4</v>
      </c>
      <c r="D12" s="19">
        <f t="shared" si="13"/>
        <v>4.5707814973408318</v>
      </c>
      <c r="E12" s="19">
        <f>((4*D12^3)/(3*G12))^0.5</f>
        <v>4.8557708026314614</v>
      </c>
      <c r="F12" s="128">
        <v>7.2000000000000002E-5</v>
      </c>
      <c r="G12" s="128">
        <v>5.4</v>
      </c>
      <c r="H12" s="128">
        <v>1000</v>
      </c>
      <c r="I12" s="83">
        <f>2*PI()*E12^2+E12*2*PI()*G12</f>
        <v>312.90057006362645</v>
      </c>
      <c r="J12" s="83">
        <f>(4)*PI()*D12^2</f>
        <v>262.53716146749304</v>
      </c>
      <c r="K12" s="84">
        <f>F12*I12</f>
        <v>2.2528841044581104E-2</v>
      </c>
      <c r="L12" s="84">
        <f>F12*J12</f>
        <v>1.8902675625659501E-2</v>
      </c>
      <c r="M12" s="84">
        <f>K12-L12</f>
        <v>3.6261654189216029E-3</v>
      </c>
      <c r="N12" s="115">
        <f>((2*M12)/C12)^0.5</f>
        <v>0.134650759725328</v>
      </c>
      <c r="O12" s="130">
        <f>1000*9.81*(D12/1000)^2/0.072</f>
        <v>2.8465409263890371</v>
      </c>
      <c r="P12" s="130">
        <f t="shared" si="8"/>
        <v>1.0770231392549152</v>
      </c>
      <c r="Q12" s="130">
        <f t="shared" si="9"/>
        <v>0.91990667090033484</v>
      </c>
      <c r="R12" s="130">
        <f>(0.072*9.81/1000)^(1/4)*(1 - COS($A$4) + 2*6^(1/2)*O12^(-3/4) - 6*O12^(-1/2))^(1/2)</f>
        <v>0.12037682987847416</v>
      </c>
      <c r="S12" s="3">
        <f>(((F12*9.81/1000)^(1/4))*(2+2*(PI()*G12^3/B12)^0.5-6^(2/3)*(PI()*G12^3/B12)^(1/3)))^(1/2)</f>
        <v>0.14039434983040588</v>
      </c>
    </row>
    <row r="13" spans="1:28" x14ac:dyDescent="0.25">
      <c r="B13">
        <f t="shared" si="12"/>
        <v>500</v>
      </c>
      <c r="C13">
        <v>0.5</v>
      </c>
      <c r="D13" s="19">
        <f t="shared" si="13"/>
        <v>4.9237251092134828</v>
      </c>
      <c r="E13" s="19">
        <f t="shared" si="1"/>
        <v>5.4289167989213318</v>
      </c>
      <c r="F13" s="110">
        <v>7.2000000000000002E-5</v>
      </c>
      <c r="G13" s="110">
        <v>5.4</v>
      </c>
      <c r="H13" s="110">
        <v>1000</v>
      </c>
      <c r="I13" s="83">
        <f t="shared" si="0"/>
        <v>369.3839926155531</v>
      </c>
      <c r="J13" s="83">
        <f t="shared" si="2"/>
        <v>304.6473892689778</v>
      </c>
      <c r="K13" s="84">
        <f t="shared" si="3"/>
        <v>2.6595647468319824E-2</v>
      </c>
      <c r="L13" s="84">
        <f t="shared" si="4"/>
        <v>2.1934612027366403E-2</v>
      </c>
      <c r="M13" s="84">
        <f t="shared" si="5"/>
        <v>4.6610354409534205E-3</v>
      </c>
      <c r="N13" s="115">
        <f t="shared" si="6"/>
        <v>0.13654355262630924</v>
      </c>
      <c r="O13" s="130">
        <f t="shared" si="7"/>
        <v>3.3031181445872839</v>
      </c>
      <c r="P13" s="130">
        <f t="shared" si="8"/>
        <v>0.99981971534163894</v>
      </c>
      <c r="Q13" s="130">
        <f t="shared" si="9"/>
        <v>1.0253181781178025</v>
      </c>
      <c r="R13" s="130">
        <f t="shared" si="10"/>
        <v>0.12244714898442279</v>
      </c>
      <c r="S13" s="3">
        <f t="shared" si="11"/>
        <v>0.14236788068339867</v>
      </c>
    </row>
    <row r="14" spans="1:28" x14ac:dyDescent="0.25">
      <c r="B14">
        <f t="shared" si="12"/>
        <v>1000</v>
      </c>
      <c r="C14">
        <v>1</v>
      </c>
      <c r="D14" s="19">
        <f t="shared" si="13"/>
        <v>6.2035049089939998</v>
      </c>
      <c r="E14" s="19">
        <f t="shared" si="1"/>
        <v>7.6776477660296756</v>
      </c>
      <c r="F14" s="110">
        <v>7.2000000000000002E-5</v>
      </c>
      <c r="G14" s="110">
        <v>5.4</v>
      </c>
      <c r="H14" s="110">
        <v>1000</v>
      </c>
      <c r="I14" s="83">
        <f t="shared" si="0"/>
        <v>630.86682201134658</v>
      </c>
      <c r="J14" s="83">
        <f t="shared" si="2"/>
        <v>483.59758620494085</v>
      </c>
      <c r="K14" s="84">
        <f t="shared" si="3"/>
        <v>4.5422411184816956E-2</v>
      </c>
      <c r="L14" s="84">
        <f t="shared" si="4"/>
        <v>3.481902620675574E-2</v>
      </c>
      <c r="M14" s="84">
        <f t="shared" si="5"/>
        <v>1.0603384978061216E-2</v>
      </c>
      <c r="N14" s="115">
        <f t="shared" si="6"/>
        <v>0.14562544405467895</v>
      </c>
      <c r="O14" s="130">
        <f t="shared" si="7"/>
        <v>5.2433732174931009</v>
      </c>
      <c r="P14" s="130">
        <f t="shared" si="8"/>
        <v>0.79355743395593181</v>
      </c>
      <c r="Q14" s="130">
        <f t="shared" si="9"/>
        <v>1.510350995110779</v>
      </c>
      <c r="R14" s="130">
        <f t="shared" si="10"/>
        <v>0.13239958569945479</v>
      </c>
      <c r="S14" s="3">
        <f t="shared" si="11"/>
        <v>0.15183716436896602</v>
      </c>
    </row>
    <row r="15" spans="1:28" x14ac:dyDescent="0.25">
      <c r="B15">
        <f t="shared" si="12"/>
        <v>2000</v>
      </c>
      <c r="C15">
        <v>2</v>
      </c>
      <c r="D15" s="19">
        <f t="shared" si="13"/>
        <v>7.815926417967721</v>
      </c>
      <c r="E15" s="19">
        <f t="shared" si="1"/>
        <v>10.857833597842665</v>
      </c>
      <c r="F15" s="110">
        <v>7.2000000000000002E-5</v>
      </c>
      <c r="G15" s="110">
        <v>5.4</v>
      </c>
      <c r="H15" s="110">
        <v>1000</v>
      </c>
      <c r="I15" s="83">
        <f t="shared" si="0"/>
        <v>1109.1383556014766</v>
      </c>
      <c r="J15" s="83">
        <f t="shared" si="2"/>
        <v>767.66331707100528</v>
      </c>
      <c r="K15" s="84">
        <f t="shared" si="3"/>
        <v>7.9857961603306313E-2</v>
      </c>
      <c r="L15" s="84">
        <f t="shared" si="4"/>
        <v>5.527175882911238E-2</v>
      </c>
      <c r="M15" s="84">
        <f t="shared" si="5"/>
        <v>2.4586202774193933E-2</v>
      </c>
      <c r="N15" s="115">
        <f t="shared" si="6"/>
        <v>0.15679988129521633</v>
      </c>
      <c r="O15" s="130">
        <f t="shared" si="7"/>
        <v>8.3233361613104311</v>
      </c>
      <c r="P15" s="130">
        <f t="shared" si="8"/>
        <v>0.62984695272941549</v>
      </c>
      <c r="Q15" s="130">
        <f t="shared" si="9"/>
        <v>2.2677583529320118</v>
      </c>
      <c r="R15" s="130">
        <f t="shared" si="10"/>
        <v>0.14453545860558648</v>
      </c>
      <c r="S15" s="3">
        <f t="shared" si="11"/>
        <v>0.16348825237103998</v>
      </c>
    </row>
    <row r="16" spans="1:28" s="83" customFormat="1" x14ac:dyDescent="0.25">
      <c r="B16" s="83">
        <f t="shared" si="12"/>
        <v>3000</v>
      </c>
      <c r="C16" s="83">
        <v>3</v>
      </c>
      <c r="D16" s="112">
        <f t="shared" si="13"/>
        <v>8.9470022893964956</v>
      </c>
      <c r="E16" s="112">
        <f t="shared" si="1"/>
        <v>13.298076013381088</v>
      </c>
      <c r="F16" s="113">
        <v>7.2000000000000002E-5</v>
      </c>
      <c r="G16" s="113">
        <v>5.4</v>
      </c>
      <c r="H16" s="113">
        <v>1000</v>
      </c>
      <c r="I16" s="83">
        <f>2*PI()*E16^2+E16*2*PI()*G16</f>
        <v>1562.304200544691</v>
      </c>
      <c r="J16" s="83">
        <f t="shared" si="2"/>
        <v>1005.9235159318463</v>
      </c>
      <c r="K16" s="114">
        <f t="shared" si="3"/>
        <v>0.11248590243921776</v>
      </c>
      <c r="L16" s="114">
        <f t="shared" si="4"/>
        <v>7.242649314709293E-2</v>
      </c>
      <c r="M16" s="114">
        <f t="shared" si="5"/>
        <v>4.0059409292124828E-2</v>
      </c>
      <c r="N16" s="115">
        <f t="shared" si="6"/>
        <v>0.16342053990063965</v>
      </c>
      <c r="O16" s="130">
        <f t="shared" si="7"/>
        <v>10.90665580793101</v>
      </c>
      <c r="P16" s="130">
        <f t="shared" si="8"/>
        <v>0.55022199367810454</v>
      </c>
      <c r="Q16" s="130">
        <f t="shared" si="9"/>
        <v>2.8583604219363732</v>
      </c>
      <c r="R16" s="130">
        <f t="shared" si="10"/>
        <v>0.15166520933779562</v>
      </c>
      <c r="S16" s="3">
        <f t="shared" si="11"/>
        <v>0.17039131821525474</v>
      </c>
      <c r="T16"/>
      <c r="U16"/>
      <c r="V16"/>
      <c r="W16"/>
    </row>
    <row r="17" spans="2:23" x14ac:dyDescent="0.25">
      <c r="B17">
        <f t="shared" si="12"/>
        <v>5000</v>
      </c>
      <c r="C17">
        <v>5</v>
      </c>
      <c r="D17" s="19">
        <f t="shared" si="13"/>
        <v>10.60784417947055</v>
      </c>
      <c r="E17" s="19">
        <f t="shared" si="1"/>
        <v>17.167742312141755</v>
      </c>
      <c r="F17" s="110">
        <v>7.2000000000000002E-5</v>
      </c>
      <c r="G17" s="110">
        <v>5.4</v>
      </c>
      <c r="H17" s="110">
        <v>1000</v>
      </c>
      <c r="I17" s="83">
        <f t="shared" ref="I17:I24" si="14">2*PI()*E17^2+E17*2*PI()*G17</f>
        <v>2434.3396256185606</v>
      </c>
      <c r="J17" s="83">
        <f t="shared" si="2"/>
        <v>1414.0479202201723</v>
      </c>
      <c r="K17" s="84">
        <f t="shared" si="3"/>
        <v>0.17527245304453637</v>
      </c>
      <c r="L17" s="84">
        <f t="shared" si="4"/>
        <v>0.10181145025585241</v>
      </c>
      <c r="M17" s="84">
        <f t="shared" si="5"/>
        <v>7.3461002788683963E-2</v>
      </c>
      <c r="N17" s="115">
        <f t="shared" si="6"/>
        <v>0.17141878868861951</v>
      </c>
      <c r="O17" s="130">
        <f t="shared" si="7"/>
        <v>15.33171629602009</v>
      </c>
      <c r="P17" s="130">
        <f t="shared" si="8"/>
        <v>0.46407520263556601</v>
      </c>
      <c r="Q17" s="130">
        <f t="shared" si="9"/>
        <v>3.7823162276993818</v>
      </c>
      <c r="R17" s="130">
        <f t="shared" si="10"/>
        <v>0.16022548704213049</v>
      </c>
      <c r="S17" s="3">
        <f t="shared" si="11"/>
        <v>0.17873073598505324</v>
      </c>
      <c r="T17" s="83"/>
      <c r="U17" s="83"/>
      <c r="V17" s="83"/>
      <c r="W17" s="83"/>
    </row>
    <row r="18" spans="2:23" x14ac:dyDescent="0.25">
      <c r="B18">
        <f t="shared" si="12"/>
        <v>10000</v>
      </c>
      <c r="C18">
        <v>10</v>
      </c>
      <c r="D18" s="19">
        <f t="shared" si="13"/>
        <v>13.365046175719757</v>
      </c>
      <c r="E18" s="19">
        <f t="shared" si="1"/>
        <v>24.278854013157307</v>
      </c>
      <c r="F18" s="110">
        <v>7.2000000000000002E-5</v>
      </c>
      <c r="G18" s="110">
        <v>5.4</v>
      </c>
      <c r="H18" s="110">
        <v>1000</v>
      </c>
      <c r="I18" s="83">
        <f t="shared" si="14"/>
        <v>4527.4658132810937</v>
      </c>
      <c r="J18" s="83">
        <f t="shared" si="2"/>
        <v>2244.6611560909464</v>
      </c>
      <c r="K18" s="84">
        <f t="shared" si="3"/>
        <v>0.32597753855623873</v>
      </c>
      <c r="L18" s="84">
        <f t="shared" si="4"/>
        <v>0.16161560323854815</v>
      </c>
      <c r="M18" s="84">
        <f t="shared" si="5"/>
        <v>0.16436193531769058</v>
      </c>
      <c r="N18" s="115">
        <f t="shared" si="6"/>
        <v>0.18130743797080723</v>
      </c>
      <c r="O18" s="130">
        <f t="shared" si="7"/>
        <v>24.337582576780278</v>
      </c>
      <c r="P18" s="130">
        <f t="shared" si="8"/>
        <v>0.36833673242802634</v>
      </c>
      <c r="Q18" s="130">
        <f t="shared" si="9"/>
        <v>5.4113366969226364</v>
      </c>
      <c r="R18" s="130">
        <f t="shared" si="10"/>
        <v>0.17073922070417252</v>
      </c>
      <c r="S18" s="3">
        <f t="shared" si="11"/>
        <v>0.18904119015185966</v>
      </c>
    </row>
    <row r="19" spans="2:23" x14ac:dyDescent="0.25">
      <c r="B19">
        <f t="shared" si="12"/>
        <v>15000</v>
      </c>
      <c r="C19">
        <v>15</v>
      </c>
      <c r="D19" s="19">
        <f t="shared" si="13"/>
        <v>15.299158709729346</v>
      </c>
      <c r="E19" s="19">
        <f t="shared" si="1"/>
        <v>29.735401935879512</v>
      </c>
      <c r="F19" s="110">
        <v>7.2000000000000002E-5</v>
      </c>
      <c r="G19" s="110">
        <v>5.4</v>
      </c>
      <c r="H19" s="110">
        <v>1000</v>
      </c>
      <c r="I19" s="83">
        <f t="shared" si="14"/>
        <v>6564.4539745071797</v>
      </c>
      <c r="J19" s="83">
        <f t="shared" si="2"/>
        <v>2941.3382038701702</v>
      </c>
      <c r="K19" s="84">
        <f t="shared" si="3"/>
        <v>0.47264068616451693</v>
      </c>
      <c r="L19" s="84">
        <f t="shared" si="4"/>
        <v>0.21177635067865225</v>
      </c>
      <c r="M19" s="84">
        <f t="shared" si="5"/>
        <v>0.26086433548586468</v>
      </c>
      <c r="N19" s="115">
        <f t="shared" si="6"/>
        <v>0.18649909221793892</v>
      </c>
      <c r="O19" s="130">
        <f t="shared" si="7"/>
        <v>31.891255046972645</v>
      </c>
      <c r="P19" s="130">
        <f t="shared" si="8"/>
        <v>0.32177177389392503</v>
      </c>
      <c r="Q19" s="130">
        <f t="shared" si="9"/>
        <v>6.599403419537941</v>
      </c>
      <c r="R19" s="130">
        <f t="shared" si="10"/>
        <v>0.17623201707130692</v>
      </c>
      <c r="S19" s="3">
        <f t="shared" si="11"/>
        <v>0.19445429679943554</v>
      </c>
    </row>
    <row r="20" spans="2:23" x14ac:dyDescent="0.25">
      <c r="B20">
        <f t="shared" si="12"/>
        <v>20000</v>
      </c>
      <c r="C20">
        <v>20</v>
      </c>
      <c r="D20" s="19">
        <f t="shared" si="13"/>
        <v>16.838903009606291</v>
      </c>
      <c r="E20" s="19">
        <f t="shared" si="1"/>
        <v>34.335484624283495</v>
      </c>
      <c r="F20" s="110">
        <v>7.2000000000000002E-5</v>
      </c>
      <c r="G20" s="110">
        <v>5.4</v>
      </c>
      <c r="H20" s="110">
        <v>1000</v>
      </c>
      <c r="I20" s="83">
        <f t="shared" si="14"/>
        <v>8572.3829549408165</v>
      </c>
      <c r="J20" s="83">
        <f t="shared" si="2"/>
        <v>3563.177480490921</v>
      </c>
      <c r="K20" s="84">
        <f t="shared" si="3"/>
        <v>0.61721157275573879</v>
      </c>
      <c r="L20" s="84">
        <f t="shared" si="4"/>
        <v>0.25654877859534631</v>
      </c>
      <c r="M20" s="84">
        <f t="shared" si="5"/>
        <v>0.36066279416039249</v>
      </c>
      <c r="N20" s="115">
        <f t="shared" si="6"/>
        <v>0.18991124088910391</v>
      </c>
      <c r="O20" s="130">
        <f t="shared" si="7"/>
        <v>38.633504184743913</v>
      </c>
      <c r="P20" s="130">
        <f t="shared" si="8"/>
        <v>0.29234905826738922</v>
      </c>
      <c r="Q20" s="130">
        <f t="shared" si="9"/>
        <v>7.5634498372933843</v>
      </c>
      <c r="R20" s="130">
        <f t="shared" si="10"/>
        <v>0.17983296961925482</v>
      </c>
      <c r="S20" s="3">
        <f t="shared" si="11"/>
        <v>0.19801199224200192</v>
      </c>
    </row>
    <row r="21" spans="2:23" x14ac:dyDescent="0.25">
      <c r="B21">
        <f t="shared" si="12"/>
        <v>30000</v>
      </c>
      <c r="C21">
        <v>30</v>
      </c>
      <c r="D21" s="19">
        <f t="shared" si="13"/>
        <v>19.275732104070492</v>
      </c>
      <c r="E21" s="19">
        <f t="shared" si="1"/>
        <v>42.052208700335996</v>
      </c>
      <c r="F21" s="110">
        <v>7.2000000000000002E-5</v>
      </c>
      <c r="G21" s="110">
        <v>5.4</v>
      </c>
      <c r="H21" s="110">
        <v>1000</v>
      </c>
      <c r="I21" s="83">
        <f t="shared" si="14"/>
        <v>12537.908938249271</v>
      </c>
      <c r="J21" s="83">
        <f t="shared" si="2"/>
        <v>4669.0833590177635</v>
      </c>
      <c r="K21" s="84">
        <f t="shared" si="3"/>
        <v>0.90272944355394757</v>
      </c>
      <c r="L21" s="84">
        <f t="shared" si="4"/>
        <v>0.33617400184927898</v>
      </c>
      <c r="M21" s="84">
        <f t="shared" si="5"/>
        <v>0.56655544170466854</v>
      </c>
      <c r="N21" s="115">
        <f t="shared" si="6"/>
        <v>0.19434598730179956</v>
      </c>
      <c r="O21" s="130">
        <f t="shared" si="7"/>
        <v>50.624211810150534</v>
      </c>
      <c r="P21" s="130">
        <f t="shared" si="8"/>
        <v>0.25539042618644509</v>
      </c>
      <c r="Q21" s="130">
        <f t="shared" si="9"/>
        <v>9.113506376851392</v>
      </c>
      <c r="R21" s="130">
        <f t="shared" si="10"/>
        <v>0.18450305356055025</v>
      </c>
      <c r="S21" s="3">
        <f t="shared" si="11"/>
        <v>0.20263590480323201</v>
      </c>
    </row>
    <row r="22" spans="2:23" x14ac:dyDescent="0.25">
      <c r="B22">
        <f t="shared" si="12"/>
        <v>40000</v>
      </c>
      <c r="C22">
        <v>40</v>
      </c>
      <c r="D22" s="19">
        <f t="shared" si="13"/>
        <v>21.215688358941101</v>
      </c>
      <c r="E22" s="19">
        <f t="shared" si="1"/>
        <v>48.557708026314607</v>
      </c>
      <c r="F22" s="110">
        <v>7.2000000000000002E-5</v>
      </c>
      <c r="G22" s="110">
        <v>5.4</v>
      </c>
      <c r="H22" s="110">
        <v>1000</v>
      </c>
      <c r="I22" s="83">
        <f t="shared" si="14"/>
        <v>16462.339033969587</v>
      </c>
      <c r="J22" s="83">
        <f t="shared" si="2"/>
        <v>5656.1916808806891</v>
      </c>
      <c r="K22" s="84">
        <f t="shared" si="3"/>
        <v>1.1852884104458103</v>
      </c>
      <c r="L22" s="84">
        <f t="shared" si="4"/>
        <v>0.40724580102340963</v>
      </c>
      <c r="M22" s="84">
        <f t="shared" si="5"/>
        <v>0.77804260942240067</v>
      </c>
      <c r="N22" s="115">
        <f t="shared" si="6"/>
        <v>0.19723623011789704</v>
      </c>
      <c r="O22" s="130">
        <f t="shared" si="7"/>
        <v>61.326865184080361</v>
      </c>
      <c r="P22" s="130">
        <f t="shared" si="8"/>
        <v>0.232037601317783</v>
      </c>
      <c r="Q22" s="130">
        <f t="shared" si="9"/>
        <v>10.363743670028903</v>
      </c>
      <c r="R22" s="130">
        <f t="shared" si="10"/>
        <v>0.18754090870399032</v>
      </c>
      <c r="S22" s="3">
        <f t="shared" si="11"/>
        <v>0.20564943225636886</v>
      </c>
    </row>
    <row r="23" spans="2:23" x14ac:dyDescent="0.25">
      <c r="B23">
        <f t="shared" si="12"/>
        <v>50000</v>
      </c>
      <c r="C23">
        <v>50</v>
      </c>
      <c r="D23" s="19">
        <f t="shared" si="13"/>
        <v>22.853907486704159</v>
      </c>
      <c r="E23" s="19">
        <f t="shared" si="1"/>
        <v>54.289167989213311</v>
      </c>
      <c r="F23" s="110">
        <v>7.2000000000000002E-5</v>
      </c>
      <c r="G23" s="110">
        <v>5.4</v>
      </c>
      <c r="H23" s="110">
        <v>1000</v>
      </c>
      <c r="I23" s="83">
        <f t="shared" si="14"/>
        <v>20360.506592822188</v>
      </c>
      <c r="J23" s="83">
        <f t="shared" si="2"/>
        <v>6563.4290366873265</v>
      </c>
      <c r="K23" s="84">
        <f t="shared" si="3"/>
        <v>1.4659564746831977</v>
      </c>
      <c r="L23" s="84">
        <f t="shared" si="4"/>
        <v>0.47256689064148755</v>
      </c>
      <c r="M23" s="84">
        <f t="shared" si="5"/>
        <v>0.99338958404171018</v>
      </c>
      <c r="N23" s="115">
        <f t="shared" si="6"/>
        <v>0.19933786233846396</v>
      </c>
      <c r="O23" s="130">
        <f t="shared" si="7"/>
        <v>71.163523159725926</v>
      </c>
      <c r="P23" s="130">
        <f t="shared" si="8"/>
        <v>0.21540462785098308</v>
      </c>
      <c r="Q23" s="130">
        <f t="shared" si="9"/>
        <v>11.428219016112639</v>
      </c>
      <c r="R23" s="130">
        <f t="shared" si="10"/>
        <v>0.18974716380865475</v>
      </c>
      <c r="S23" s="3">
        <f t="shared" si="11"/>
        <v>0.20784071056620537</v>
      </c>
    </row>
    <row r="24" spans="2:23" x14ac:dyDescent="0.25">
      <c r="B24">
        <f t="shared" si="12"/>
        <v>60000</v>
      </c>
      <c r="C24">
        <v>60</v>
      </c>
      <c r="D24" s="19">
        <f t="shared" si="13"/>
        <v>24.285900630052815</v>
      </c>
      <c r="E24" s="19">
        <f t="shared" si="1"/>
        <v>59.47080387175906</v>
      </c>
      <c r="F24" s="110">
        <v>7.2000000000000002E-5</v>
      </c>
      <c r="G24" s="110">
        <v>5.4</v>
      </c>
      <c r="H24" s="110">
        <v>1000</v>
      </c>
      <c r="I24" s="83">
        <f t="shared" si="14"/>
        <v>24240.019060125491</v>
      </c>
      <c r="J24" s="83">
        <f t="shared" si="2"/>
        <v>7411.7078358320159</v>
      </c>
      <c r="K24" s="84">
        <f t="shared" si="3"/>
        <v>1.7452813723290355</v>
      </c>
      <c r="L24" s="84">
        <f t="shared" si="4"/>
        <v>0.5336429641799052</v>
      </c>
      <c r="M24" s="84">
        <f t="shared" si="5"/>
        <v>1.2116384081491303</v>
      </c>
      <c r="N24" s="115">
        <f t="shared" si="6"/>
        <v>0.20096752707416277</v>
      </c>
      <c r="O24" s="130">
        <f t="shared" si="7"/>
        <v>80.360927082493959</v>
      </c>
      <c r="P24" s="130">
        <f t="shared" si="8"/>
        <v>0.20270351559548483</v>
      </c>
      <c r="Q24" s="130">
        <f t="shared" si="9"/>
        <v>12.364076109887545</v>
      </c>
      <c r="R24" s="130">
        <f t="shared" si="10"/>
        <v>0.19145643868669115</v>
      </c>
      <c r="S24" s="3">
        <f t="shared" si="11"/>
        <v>0.20953988940096779</v>
      </c>
    </row>
    <row r="25" spans="2:23" x14ac:dyDescent="0.25">
      <c r="B25">
        <v>70000</v>
      </c>
      <c r="C25">
        <v>70</v>
      </c>
      <c r="D25" s="19">
        <f t="shared" si="13"/>
        <v>25.56641358872719</v>
      </c>
      <c r="E25" s="19">
        <f t="shared" ref="E25:E30" si="15">((4*D25^3)/(3*G25))^0.5</f>
        <v>64.235809836456752</v>
      </c>
      <c r="F25" s="110">
        <v>7.2000000000000002E-5</v>
      </c>
      <c r="G25" s="110">
        <v>5.4</v>
      </c>
      <c r="H25" s="110">
        <v>1000</v>
      </c>
      <c r="I25" s="83">
        <f t="shared" ref="I25:I30" si="16">2*PI()*E25^2+E25*2*PI()*G25</f>
        <v>28105.395607345643</v>
      </c>
      <c r="J25" s="83">
        <f t="shared" ref="J25:J30" si="17">(4)*PI()*D25^2</f>
        <v>8213.9013855503654</v>
      </c>
      <c r="K25" s="84">
        <f t="shared" ref="K25:K30" si="18">F25*I25</f>
        <v>2.0235884837288864</v>
      </c>
      <c r="L25" s="84">
        <f t="shared" ref="L25:L30" si="19">F25*J25</f>
        <v>0.59140089975962629</v>
      </c>
      <c r="M25" s="84">
        <f t="shared" ref="M25:M30" si="20">K25-L25</f>
        <v>1.4321875839692602</v>
      </c>
      <c r="N25" s="115">
        <f t="shared" si="6"/>
        <v>0.20228604810086279</v>
      </c>
      <c r="O25" s="130">
        <f t="shared" si="7"/>
        <v>89.058654891367667</v>
      </c>
      <c r="P25" s="130">
        <f t="shared" si="8"/>
        <v>0.19255095831215432</v>
      </c>
      <c r="Q25" s="130">
        <f t="shared" si="9"/>
        <v>13.20457629867094</v>
      </c>
      <c r="R25" s="130">
        <f t="shared" si="10"/>
        <v>0.19283842612501903</v>
      </c>
      <c r="S25" s="3">
        <f t="shared" si="11"/>
        <v>0.21091465254867592</v>
      </c>
    </row>
    <row r="26" spans="2:23" x14ac:dyDescent="0.25">
      <c r="B26">
        <v>150000</v>
      </c>
      <c r="C26">
        <v>150</v>
      </c>
      <c r="D26" s="19">
        <f t="shared" si="13"/>
        <v>32.961038252544341</v>
      </c>
      <c r="E26" s="19">
        <f t="shared" si="15"/>
        <v>94.031597257959376</v>
      </c>
      <c r="F26" s="110">
        <v>7.2000000000000002E-5</v>
      </c>
      <c r="G26" s="110">
        <v>5.4</v>
      </c>
      <c r="H26" s="110">
        <v>1000</v>
      </c>
      <c r="I26" s="83">
        <f t="shared" si="16"/>
        <v>58745.972487185478</v>
      </c>
      <c r="J26" s="83">
        <f t="shared" si="17"/>
        <v>13652.482562962454</v>
      </c>
      <c r="K26" s="84">
        <f t="shared" si="18"/>
        <v>4.2297100190773547</v>
      </c>
      <c r="L26" s="84">
        <f t="shared" si="19"/>
        <v>0.9829787445332967</v>
      </c>
      <c r="M26" s="84">
        <f t="shared" si="20"/>
        <v>3.2467312745440582</v>
      </c>
      <c r="N26" s="115">
        <f t="shared" si="6"/>
        <v>0.20806189061732114</v>
      </c>
      <c r="O26" s="130">
        <f t="shared" si="7"/>
        <v>148.02609331592549</v>
      </c>
      <c r="P26" s="130">
        <f t="shared" si="8"/>
        <v>0.1493532272677818</v>
      </c>
      <c r="Q26" s="130">
        <f t="shared" si="9"/>
        <v>18.107677666352693</v>
      </c>
      <c r="R26" s="130">
        <f t="shared" si="10"/>
        <v>0.19888278099247289</v>
      </c>
      <c r="S26" s="3">
        <f t="shared" si="11"/>
        <v>0.21693686628497505</v>
      </c>
    </row>
    <row r="27" spans="2:23" x14ac:dyDescent="0.25">
      <c r="B27">
        <v>300000</v>
      </c>
      <c r="C27">
        <v>300</v>
      </c>
      <c r="D27" s="19">
        <f>((3*B27)/(4*PI()))^(1/3)</f>
        <v>41.528305920770727</v>
      </c>
      <c r="E27" s="19">
        <f t="shared" si="15"/>
        <v>132.9807601338108</v>
      </c>
      <c r="F27" s="110">
        <v>7.2000000000000002E-5</v>
      </c>
      <c r="G27" s="110">
        <v>5.4</v>
      </c>
      <c r="H27" s="110">
        <v>1000</v>
      </c>
      <c r="I27" s="83">
        <f t="shared" si="16"/>
        <v>115623.04200544677</v>
      </c>
      <c r="J27" s="83">
        <f t="shared" si="17"/>
        <v>21671.965182424083</v>
      </c>
      <c r="K27" s="84">
        <f t="shared" si="18"/>
        <v>8.3248590243921683</v>
      </c>
      <c r="L27" s="84">
        <f t="shared" si="19"/>
        <v>1.5603814931345339</v>
      </c>
      <c r="M27" s="84">
        <f t="shared" si="20"/>
        <v>6.7644775312576346</v>
      </c>
      <c r="N27" s="115">
        <f>((2*M27)/C27)^0.5</f>
        <v>0.21235940496020159</v>
      </c>
      <c r="O27" s="130">
        <f t="shared" si="7"/>
        <v>234.97677624844269</v>
      </c>
      <c r="P27" s="130">
        <f t="shared" si="8"/>
        <v>0.11854173503986128</v>
      </c>
      <c r="Q27" s="130">
        <f t="shared" si="9"/>
        <v>23.855479516861958</v>
      </c>
      <c r="R27" s="130">
        <f t="shared" si="10"/>
        <v>0.20337062157538166</v>
      </c>
      <c r="S27" s="3">
        <f t="shared" si="11"/>
        <v>0.22141769307931561</v>
      </c>
    </row>
    <row r="28" spans="2:23" x14ac:dyDescent="0.25">
      <c r="B28">
        <v>500000</v>
      </c>
      <c r="C28">
        <v>500</v>
      </c>
      <c r="D28" s="19">
        <f>((3*B28)/(4*PI()))^(1/3)</f>
        <v>49.237251092134827</v>
      </c>
      <c r="E28" s="19">
        <f t="shared" si="15"/>
        <v>171.67742312141758</v>
      </c>
      <c r="F28" s="110">
        <v>7.2000000000000002E-5</v>
      </c>
      <c r="G28" s="110">
        <v>5.4</v>
      </c>
      <c r="H28" s="110">
        <v>1000</v>
      </c>
      <c r="I28" s="83">
        <f t="shared" si="16"/>
        <v>191010.06292285223</v>
      </c>
      <c r="J28" s="83">
        <f t="shared" si="17"/>
        <v>30464.738926897775</v>
      </c>
      <c r="K28" s="84">
        <f t="shared" si="18"/>
        <v>13.752724530445361</v>
      </c>
      <c r="L28" s="84">
        <f t="shared" si="19"/>
        <v>2.19346120273664</v>
      </c>
      <c r="M28" s="84">
        <f t="shared" si="20"/>
        <v>11.55926332770872</v>
      </c>
      <c r="N28" s="115">
        <f>((2*M28)/C28)^0.5</f>
        <v>0.21502802912837871</v>
      </c>
      <c r="O28" s="130">
        <f t="shared" si="7"/>
        <v>330.31181445872824</v>
      </c>
      <c r="P28" s="130">
        <f t="shared" si="8"/>
        <v>9.998197153416391E-2</v>
      </c>
      <c r="Q28" s="130">
        <f t="shared" si="9"/>
        <v>29.063190432604468</v>
      </c>
      <c r="R28" s="130">
        <f t="shared" si="10"/>
        <v>0.2061536330695542</v>
      </c>
      <c r="S28" s="3">
        <f t="shared" si="11"/>
        <v>0.22420014863914448</v>
      </c>
    </row>
    <row r="29" spans="2:23" x14ac:dyDescent="0.25">
      <c r="B29">
        <v>700000</v>
      </c>
      <c r="C29">
        <v>700</v>
      </c>
      <c r="D29" s="19">
        <f>((3*B29)/(4*PI()))^(1/3)</f>
        <v>55.081168335256407</v>
      </c>
      <c r="E29" s="19">
        <f t="shared" si="15"/>
        <v>203.13146642865141</v>
      </c>
      <c r="F29" s="110">
        <v>7.2000000000000002E-5</v>
      </c>
      <c r="G29" s="110">
        <v>5.4</v>
      </c>
      <c r="H29" s="110">
        <v>1000</v>
      </c>
      <c r="I29" s="83">
        <f t="shared" si="16"/>
        <v>266151.34754382703</v>
      </c>
      <c r="J29" s="83">
        <f t="shared" si="17"/>
        <v>38125.552951567115</v>
      </c>
      <c r="K29" s="84">
        <f t="shared" si="18"/>
        <v>19.162897023155548</v>
      </c>
      <c r="L29" s="84">
        <f t="shared" si="19"/>
        <v>2.7450398125128324</v>
      </c>
      <c r="M29" s="84">
        <f t="shared" si="20"/>
        <v>16.417857210642715</v>
      </c>
      <c r="N29" s="115">
        <f>((2*M29)/C29)^0.5</f>
        <v>0.21658292513256713</v>
      </c>
      <c r="O29" s="130">
        <f t="shared" si="7"/>
        <v>413.37365808034627</v>
      </c>
      <c r="P29" s="130">
        <f t="shared" si="8"/>
        <v>8.9374237800313519E-2</v>
      </c>
      <c r="Q29" s="130">
        <f t="shared" si="9"/>
        <v>33.025743770352655</v>
      </c>
      <c r="R29" s="130">
        <f t="shared" si="10"/>
        <v>0.20777389437681398</v>
      </c>
      <c r="S29" s="3">
        <f t="shared" si="11"/>
        <v>0.2258213694477551</v>
      </c>
    </row>
    <row r="30" spans="2:23" x14ac:dyDescent="0.25">
      <c r="B30">
        <v>1000000</v>
      </c>
      <c r="C30">
        <v>1000</v>
      </c>
      <c r="D30" s="19">
        <f>((3*B30)/(4*PI()))^(1/3)</f>
        <v>62.035049089939982</v>
      </c>
      <c r="E30" s="19">
        <f t="shared" si="15"/>
        <v>242.788540131573</v>
      </c>
      <c r="F30" s="110">
        <v>7.2000000000000002E-5</v>
      </c>
      <c r="G30" s="110">
        <v>5.4</v>
      </c>
      <c r="H30" s="110">
        <v>1000</v>
      </c>
      <c r="I30" s="83">
        <f t="shared" si="16"/>
        <v>378607.99146614393</v>
      </c>
      <c r="J30" s="83">
        <f t="shared" si="17"/>
        <v>48359.75862049406</v>
      </c>
      <c r="K30" s="84">
        <f t="shared" si="18"/>
        <v>27.259775385562364</v>
      </c>
      <c r="L30" s="84">
        <f t="shared" si="19"/>
        <v>3.4819026206755725</v>
      </c>
      <c r="M30" s="84">
        <f t="shared" si="20"/>
        <v>23.777872764886791</v>
      </c>
      <c r="N30" s="117">
        <f>((2*M30)/C30)^0.5</f>
        <v>0.21807279869294469</v>
      </c>
      <c r="O30" s="130">
        <f t="shared" si="7"/>
        <v>524.33732174930969</v>
      </c>
      <c r="P30" s="130">
        <f t="shared" si="8"/>
        <v>7.9355743395593203E-2</v>
      </c>
      <c r="Q30" s="130">
        <f t="shared" si="9"/>
        <v>37.752791767293957</v>
      </c>
      <c r="R30" s="130">
        <f t="shared" si="10"/>
        <v>0.20932553960467101</v>
      </c>
      <c r="S30" s="3">
        <f t="shared" si="11"/>
        <v>0.22737479425029916</v>
      </c>
    </row>
    <row r="33" spans="2:21" x14ac:dyDescent="0.25">
      <c r="T33" s="110"/>
      <c r="U33" s="128"/>
    </row>
    <row r="37" spans="2:21" x14ac:dyDescent="0.25">
      <c r="B37" s="127" t="s">
        <v>66</v>
      </c>
      <c r="C37" s="127" t="s">
        <v>65</v>
      </c>
      <c r="D37" t="s">
        <v>76</v>
      </c>
    </row>
    <row r="38" spans="2:21" x14ac:dyDescent="0.25">
      <c r="B38" s="123">
        <v>2</v>
      </c>
      <c r="C38" s="123">
        <v>0.123</v>
      </c>
      <c r="D38">
        <f>1000*C38^2*(3*B38/(4*PI()*1000000))^(1/3)/0.0715</f>
        <v>1.653806304579492</v>
      </c>
      <c r="F38"/>
      <c r="G38"/>
      <c r="H38"/>
    </row>
    <row r="39" spans="2:21" x14ac:dyDescent="0.25">
      <c r="B39" s="123">
        <v>1</v>
      </c>
      <c r="C39" s="124">
        <v>0.11738571428571429</v>
      </c>
      <c r="D39">
        <f t="shared" ref="D39:D49" si="21">1000*C39^2*(3*B39/(4*PI()*1000000))^(1/3)/0.0715</f>
        <v>1.1955330385680121</v>
      </c>
      <c r="F39"/>
      <c r="G39"/>
      <c r="H39"/>
    </row>
    <row r="40" spans="2:21" x14ac:dyDescent="0.25">
      <c r="B40" s="123">
        <v>0.5</v>
      </c>
      <c r="C40" s="124">
        <v>0.10484864864864867</v>
      </c>
      <c r="D40">
        <f t="shared" si="21"/>
        <v>0.75703059445745291</v>
      </c>
      <c r="F40"/>
      <c r="G40"/>
      <c r="H40"/>
    </row>
    <row r="41" spans="2:21" x14ac:dyDescent="0.25">
      <c r="B41" s="123">
        <v>0.3</v>
      </c>
      <c r="C41" s="124">
        <v>9.3453333333333347E-2</v>
      </c>
      <c r="D41">
        <f t="shared" si="21"/>
        <v>0.50725667019899057</v>
      </c>
      <c r="F41"/>
      <c r="G41"/>
      <c r="H41"/>
    </row>
    <row r="42" spans="2:21" x14ac:dyDescent="0.25">
      <c r="B42" s="123">
        <v>0.2</v>
      </c>
      <c r="C42" s="124">
        <v>8.6260869565217391E-2</v>
      </c>
      <c r="D42">
        <f t="shared" si="21"/>
        <v>0.37754502391028633</v>
      </c>
      <c r="F42"/>
      <c r="G42"/>
      <c r="H42"/>
    </row>
    <row r="43" spans="2:21" x14ac:dyDescent="0.25">
      <c r="B43" s="125">
        <v>0.1</v>
      </c>
      <c r="C43" s="126">
        <v>4.7600000000000003E-2</v>
      </c>
      <c r="D43">
        <f t="shared" si="21"/>
        <v>9.1245543112810398E-2</v>
      </c>
      <c r="F43"/>
      <c r="G43"/>
      <c r="H43"/>
    </row>
    <row r="44" spans="2:21" x14ac:dyDescent="0.25">
      <c r="B44" s="125">
        <v>0.05</v>
      </c>
      <c r="C44" s="126">
        <v>1.9E-2</v>
      </c>
      <c r="D44">
        <f t="shared" si="21"/>
        <v>1.153882601776253E-2</v>
      </c>
      <c r="F44"/>
      <c r="G44"/>
      <c r="H44"/>
    </row>
    <row r="45" spans="2:21" x14ac:dyDescent="0.25">
      <c r="B45" s="123">
        <v>0.04</v>
      </c>
      <c r="C45" s="124">
        <v>1.7600000000000001E-2</v>
      </c>
      <c r="D45">
        <f t="shared" si="21"/>
        <v>9.1912889875043324E-3</v>
      </c>
    </row>
    <row r="46" spans="2:21" x14ac:dyDescent="0.25">
      <c r="B46" s="123">
        <v>0.03</v>
      </c>
      <c r="C46" s="124">
        <v>0</v>
      </c>
      <c r="D46">
        <f t="shared" si="21"/>
        <v>0</v>
      </c>
    </row>
    <row r="47" spans="2:21" x14ac:dyDescent="0.25">
      <c r="B47" s="123">
        <v>40</v>
      </c>
      <c r="C47" s="124">
        <v>0.1106</v>
      </c>
      <c r="D47">
        <f t="shared" si="21"/>
        <v>3.6296215056556207</v>
      </c>
    </row>
    <row r="48" spans="2:21" x14ac:dyDescent="0.25">
      <c r="B48" s="123">
        <v>80</v>
      </c>
      <c r="C48" s="124">
        <v>0.13500000000000001</v>
      </c>
      <c r="D48">
        <f t="shared" si="21"/>
        <v>6.8133696937760195</v>
      </c>
    </row>
    <row r="49" spans="2:4" x14ac:dyDescent="0.25">
      <c r="B49" s="123">
        <v>110</v>
      </c>
      <c r="C49" s="124">
        <v>0.124</v>
      </c>
      <c r="D49">
        <f t="shared" si="21"/>
        <v>6.3920282711655485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6"/>
  <sheetViews>
    <sheetView tabSelected="1" topLeftCell="K1" workbookViewId="0">
      <selection activeCell="R7" sqref="R7:U7"/>
    </sheetView>
  </sheetViews>
  <sheetFormatPr defaultRowHeight="15" x14ac:dyDescent="0.25"/>
  <cols>
    <col min="3" max="3" width="9.140625" customWidth="1"/>
    <col min="8" max="8" width="12" bestFit="1" customWidth="1"/>
    <col min="10" max="10" width="13.42578125" bestFit="1" customWidth="1"/>
    <col min="15" max="15" width="12" bestFit="1" customWidth="1"/>
  </cols>
  <sheetData>
    <row r="4" spans="1:23" x14ac:dyDescent="0.25">
      <c r="C4" s="171" t="s">
        <v>53</v>
      </c>
      <c r="D4" s="171"/>
      <c r="E4" s="171"/>
      <c r="G4" t="s">
        <v>52</v>
      </c>
      <c r="H4" t="s">
        <v>0</v>
      </c>
    </row>
    <row r="5" spans="1:23" x14ac:dyDescent="0.25">
      <c r="C5" s="109"/>
      <c r="D5" s="109"/>
      <c r="E5" s="109"/>
    </row>
    <row r="6" spans="1:23" x14ac:dyDescent="0.25">
      <c r="C6" s="109"/>
      <c r="D6" s="109"/>
      <c r="E6" s="109"/>
      <c r="H6" t="s">
        <v>80</v>
      </c>
      <c r="I6" t="s">
        <v>79</v>
      </c>
      <c r="J6" t="s">
        <v>81</v>
      </c>
      <c r="K6" t="s">
        <v>78</v>
      </c>
      <c r="L6" t="s">
        <v>54</v>
      </c>
      <c r="O6" t="s">
        <v>62</v>
      </c>
      <c r="P6" t="s">
        <v>64</v>
      </c>
      <c r="R6">
        <v>0.04</v>
      </c>
      <c r="T6">
        <v>54.68</v>
      </c>
      <c r="U6">
        <f>T6/1000</f>
        <v>5.4679999999999999E-2</v>
      </c>
    </row>
    <row r="7" spans="1:23" x14ac:dyDescent="0.25">
      <c r="C7" s="111"/>
      <c r="D7" s="111"/>
      <c r="E7" s="111"/>
      <c r="G7">
        <v>1000</v>
      </c>
      <c r="O7">
        <v>0.21807279869294469</v>
      </c>
      <c r="P7">
        <v>0.22695872652666912</v>
      </c>
      <c r="R7">
        <v>0.1</v>
      </c>
      <c r="T7">
        <v>71.507999999999996</v>
      </c>
      <c r="U7">
        <f t="shared" ref="U7:U18" si="0">T7/1000</f>
        <v>7.1508000000000002E-2</v>
      </c>
    </row>
    <row r="8" spans="1:23" x14ac:dyDescent="0.25">
      <c r="C8" s="111"/>
      <c r="D8" s="111"/>
      <c r="E8" s="111"/>
      <c r="G8">
        <v>500</v>
      </c>
      <c r="O8">
        <v>0.21235940496020159</v>
      </c>
      <c r="P8">
        <v>0.22371868573402284</v>
      </c>
      <c r="R8">
        <v>0.2</v>
      </c>
      <c r="T8">
        <v>86.783159999999995</v>
      </c>
      <c r="U8">
        <f t="shared" si="0"/>
        <v>8.6783159999999998E-2</v>
      </c>
    </row>
    <row r="9" spans="1:23" x14ac:dyDescent="0.25">
      <c r="C9" s="111"/>
      <c r="D9" s="111"/>
      <c r="E9" s="111"/>
      <c r="G9">
        <v>150</v>
      </c>
      <c r="O9">
        <v>0.20806189061732114</v>
      </c>
      <c r="P9">
        <v>0.21632766292543454</v>
      </c>
      <c r="R9">
        <v>0.4</v>
      </c>
      <c r="T9">
        <v>106.24971999999998</v>
      </c>
      <c r="U9">
        <f t="shared" si="0"/>
        <v>0.10624971999999998</v>
      </c>
    </row>
    <row r="10" spans="1:23" x14ac:dyDescent="0.25">
      <c r="C10" s="111"/>
      <c r="D10" s="111"/>
      <c r="E10" s="111"/>
      <c r="G10">
        <v>70</v>
      </c>
      <c r="O10">
        <v>0.20228604810086279</v>
      </c>
      <c r="P10">
        <v>0.21021898984496368</v>
      </c>
      <c r="R10">
        <v>0.7</v>
      </c>
      <c r="T10">
        <v>113.31193333333333</v>
      </c>
      <c r="U10">
        <f t="shared" si="0"/>
        <v>0.11331193333333332</v>
      </c>
    </row>
    <row r="11" spans="1:23" x14ac:dyDescent="0.25">
      <c r="C11" s="109"/>
      <c r="D11" s="109"/>
      <c r="E11" s="109"/>
      <c r="G11">
        <v>60</v>
      </c>
      <c r="J11">
        <v>0.12929146557141025</v>
      </c>
      <c r="K11">
        <f>1000*J11^2*((3*G11/(4*PI()*1000000))^(1/3))/0.072</f>
        <v>5.6384720768363401</v>
      </c>
      <c r="L11">
        <v>0.16</v>
      </c>
      <c r="O11">
        <v>0.20096752707416277</v>
      </c>
      <c r="P11">
        <v>0.20882674405836163</v>
      </c>
      <c r="R11">
        <v>1</v>
      </c>
      <c r="T11">
        <v>121.1472</v>
      </c>
      <c r="U11">
        <f t="shared" si="0"/>
        <v>0.1211472</v>
      </c>
      <c r="V11">
        <v>70</v>
      </c>
      <c r="W11">
        <v>0.20228604810086279</v>
      </c>
    </row>
    <row r="12" spans="1:23" x14ac:dyDescent="0.25">
      <c r="C12" s="109"/>
      <c r="D12" s="109"/>
      <c r="E12" s="109"/>
      <c r="G12">
        <v>50</v>
      </c>
      <c r="J12">
        <v>0.13953393399178785</v>
      </c>
      <c r="K12">
        <f t="shared" ref="K12:K25" si="1">1000*J12^2*((3*G12/(4*PI()*1000000))^(1/3))/0.072</f>
        <v>6.1799882050968611</v>
      </c>
      <c r="L12">
        <v>0.16</v>
      </c>
      <c r="O12">
        <v>0.19933786233846396</v>
      </c>
      <c r="P12">
        <v>0.20710708152583746</v>
      </c>
      <c r="R12">
        <v>2</v>
      </c>
      <c r="T12">
        <v>122.866</v>
      </c>
      <c r="U12">
        <f t="shared" si="0"/>
        <v>0.122866</v>
      </c>
      <c r="V12">
        <v>150</v>
      </c>
      <c r="W12">
        <v>0.20806189061732114</v>
      </c>
    </row>
    <row r="13" spans="1:23" x14ac:dyDescent="0.25">
      <c r="C13" s="109"/>
      <c r="D13" s="109"/>
      <c r="E13" s="109"/>
      <c r="G13">
        <v>40</v>
      </c>
      <c r="J13">
        <v>0.14589433999243942</v>
      </c>
      <c r="K13">
        <f t="shared" si="1"/>
        <v>6.2719345579519361</v>
      </c>
      <c r="L13">
        <v>0.16</v>
      </c>
      <c r="O13">
        <v>0.19723623011789704</v>
      </c>
      <c r="P13">
        <v>0.20489120802418737</v>
      </c>
      <c r="R13">
        <v>4</v>
      </c>
      <c r="T13">
        <v>127.85745</v>
      </c>
      <c r="U13">
        <f t="shared" si="0"/>
        <v>0.12785745000000001</v>
      </c>
      <c r="V13">
        <v>300</v>
      </c>
      <c r="W13">
        <v>0.21235940496020159</v>
      </c>
    </row>
    <row r="14" spans="1:23" x14ac:dyDescent="0.25">
      <c r="C14" s="109"/>
      <c r="D14" s="109"/>
      <c r="E14" s="109"/>
      <c r="G14">
        <v>30</v>
      </c>
      <c r="J14">
        <v>0.15383945263194257</v>
      </c>
      <c r="K14">
        <f t="shared" si="1"/>
        <v>6.335980578603988</v>
      </c>
      <c r="L14">
        <v>0.16</v>
      </c>
      <c r="O14">
        <v>0.19434598730179956</v>
      </c>
      <c r="P14">
        <v>0.20184719698739836</v>
      </c>
      <c r="R14">
        <v>7</v>
      </c>
      <c r="T14">
        <v>124.66752500000001</v>
      </c>
      <c r="U14">
        <f t="shared" si="0"/>
        <v>0.12466752500000002</v>
      </c>
      <c r="V14">
        <v>500</v>
      </c>
      <c r="W14">
        <v>0.21502802912837871</v>
      </c>
    </row>
    <row r="15" spans="1:23" x14ac:dyDescent="0.25">
      <c r="G15">
        <v>20</v>
      </c>
      <c r="H15">
        <v>7.7399999999999997E-2</v>
      </c>
      <c r="I15">
        <f>1000*H15^2*((3*G15/(4*PI()*1000000))^(1/3))/0.072</f>
        <v>1.4010809249142926</v>
      </c>
      <c r="J15">
        <v>0.1583618620567003</v>
      </c>
      <c r="K15">
        <f t="shared" si="1"/>
        <v>5.8651955759933481</v>
      </c>
      <c r="L15">
        <v>0.16</v>
      </c>
      <c r="O15">
        <v>0.18991124088910391</v>
      </c>
      <c r="P15">
        <v>0.197184107628956</v>
      </c>
      <c r="R15">
        <v>10</v>
      </c>
      <c r="T15">
        <v>116.5955</v>
      </c>
      <c r="U15">
        <f t="shared" si="0"/>
        <v>0.1165955</v>
      </c>
      <c r="V15">
        <v>700</v>
      </c>
      <c r="W15">
        <v>0.21658292513256713</v>
      </c>
    </row>
    <row r="16" spans="1:23" x14ac:dyDescent="0.25">
      <c r="A16" t="s">
        <v>82</v>
      </c>
      <c r="B16">
        <v>7.1499999999999994E-2</v>
      </c>
      <c r="G16">
        <v>15</v>
      </c>
      <c r="H16">
        <v>8.7900000000000006E-2</v>
      </c>
      <c r="I16">
        <f t="shared" ref="I16:I26" si="2">1000*H16^2*((3*G16/(4*PI()*1000000))^(1/3))/0.072</f>
        <v>1.6417718450894441</v>
      </c>
      <c r="J16">
        <f>0.5*(J17+J15)</f>
        <v>0.15878532098438583</v>
      </c>
      <c r="K16">
        <f t="shared" si="1"/>
        <v>5.3574207581220668</v>
      </c>
      <c r="L16">
        <v>0.16</v>
      </c>
      <c r="O16">
        <v>0.18649909221793892</v>
      </c>
      <c r="P16">
        <v>0.19360270987445141</v>
      </c>
      <c r="R16">
        <v>20</v>
      </c>
      <c r="T16">
        <v>99.7791</v>
      </c>
      <c r="U16">
        <f t="shared" si="0"/>
        <v>9.9779099999999996E-2</v>
      </c>
      <c r="V16">
        <v>1000</v>
      </c>
      <c r="W16">
        <v>0.21807279869294469</v>
      </c>
    </row>
    <row r="17" spans="1:21" x14ac:dyDescent="0.25">
      <c r="A17" t="s">
        <v>83</v>
      </c>
      <c r="B17">
        <v>1000</v>
      </c>
      <c r="G17">
        <v>10</v>
      </c>
      <c r="H17">
        <v>8.8789999999999994E-2</v>
      </c>
      <c r="I17">
        <f t="shared" si="2"/>
        <v>1.4634102045883917</v>
      </c>
      <c r="J17">
        <v>0.15920877991207136</v>
      </c>
      <c r="K17">
        <f t="shared" si="1"/>
        <v>4.705133989509112</v>
      </c>
      <c r="L17">
        <v>0.16</v>
      </c>
      <c r="O17">
        <v>0.18130743797080723</v>
      </c>
      <c r="P17">
        <v>0.18816492298816537</v>
      </c>
      <c r="R17">
        <v>40</v>
      </c>
      <c r="T17">
        <v>95.576400000000007</v>
      </c>
      <c r="U17">
        <f t="shared" si="0"/>
        <v>9.5576400000000006E-2</v>
      </c>
    </row>
    <row r="18" spans="1:21" x14ac:dyDescent="0.25">
      <c r="G18">
        <v>5</v>
      </c>
      <c r="H18">
        <v>9.2999999999999999E-2</v>
      </c>
      <c r="I18">
        <f t="shared" si="2"/>
        <v>1.2742672820589005</v>
      </c>
      <c r="J18">
        <v>0.15296447867939489</v>
      </c>
      <c r="K18">
        <f t="shared" si="1"/>
        <v>3.4472741050529421</v>
      </c>
      <c r="L18">
        <v>0.16</v>
      </c>
      <c r="O18">
        <v>0.17141878868861951</v>
      </c>
      <c r="P18">
        <v>0.17785064338875126</v>
      </c>
      <c r="R18">
        <v>70</v>
      </c>
      <c r="T18">
        <v>83.82</v>
      </c>
      <c r="U18">
        <f t="shared" si="0"/>
        <v>8.3819999999999992E-2</v>
      </c>
    </row>
    <row r="19" spans="1:21" x14ac:dyDescent="0.25">
      <c r="G19">
        <v>3</v>
      </c>
      <c r="H19">
        <v>0.11799999999999999</v>
      </c>
      <c r="I19">
        <f t="shared" si="2"/>
        <v>1.7302508316327343</v>
      </c>
      <c r="J19">
        <v>0.14543598436175062</v>
      </c>
      <c r="K19">
        <f t="shared" si="1"/>
        <v>2.6283839193874234</v>
      </c>
      <c r="L19">
        <v>0.16</v>
      </c>
      <c r="O19">
        <v>0.16342053990063965</v>
      </c>
      <c r="P19">
        <v>0.16955990494620168</v>
      </c>
    </row>
    <row r="20" spans="1:21" x14ac:dyDescent="0.25">
      <c r="B20" t="s">
        <v>87</v>
      </c>
      <c r="G20">
        <v>2</v>
      </c>
      <c r="H20">
        <v>0.123</v>
      </c>
      <c r="I20">
        <f t="shared" si="2"/>
        <v>1.6423215385754677</v>
      </c>
      <c r="J20">
        <v>0.13906865775899196</v>
      </c>
      <c r="K20">
        <f t="shared" si="1"/>
        <v>2.099454619927994</v>
      </c>
      <c r="L20">
        <v>0.15609363759885722</v>
      </c>
      <c r="O20">
        <v>0.15679988129521633</v>
      </c>
      <c r="P20">
        <v>0.16274511768843583</v>
      </c>
    </row>
    <row r="21" spans="1:21" x14ac:dyDescent="0.25">
      <c r="B21" t="s">
        <v>84</v>
      </c>
      <c r="C21" t="s">
        <v>85</v>
      </c>
      <c r="D21" t="s">
        <v>86</v>
      </c>
      <c r="E21" t="s">
        <v>76</v>
      </c>
      <c r="G21">
        <v>1</v>
      </c>
      <c r="H21">
        <v>0.11738571428571429</v>
      </c>
      <c r="I21">
        <f t="shared" si="2"/>
        <v>1.1872307258001786</v>
      </c>
      <c r="J21">
        <v>0.12878488881265734</v>
      </c>
      <c r="K21">
        <f t="shared" si="1"/>
        <v>1.429007303765766</v>
      </c>
      <c r="L21">
        <v>0.14857242131415127</v>
      </c>
      <c r="O21">
        <v>0.14562544405467895</v>
      </c>
      <c r="P21">
        <v>0.15140457764539397</v>
      </c>
    </row>
    <row r="22" spans="1:21" x14ac:dyDescent="0.25">
      <c r="B22">
        <v>60</v>
      </c>
      <c r="C22" s="18">
        <v>0.12929146557141025</v>
      </c>
      <c r="D22">
        <f>(3*B22*0.000001/(4*PI()))^(1/3)</f>
        <v>2.4285900630052808E-2</v>
      </c>
      <c r="E22">
        <f>$B$17*C22^2*D22/$B$16</f>
        <v>5.6779019514995319</v>
      </c>
      <c r="G22">
        <v>0.5</v>
      </c>
      <c r="H22">
        <v>0.10484864864864867</v>
      </c>
      <c r="I22">
        <f t="shared" si="2"/>
        <v>0.75177343755149828</v>
      </c>
      <c r="J22">
        <v>0.11340953703518232</v>
      </c>
      <c r="K22">
        <f t="shared" si="1"/>
        <v>0.87954984623076482</v>
      </c>
      <c r="L22">
        <v>0.14001085961636278</v>
      </c>
      <c r="O22">
        <v>0.13654355262630924</v>
      </c>
      <c r="P22">
        <v>0.14255603385272891</v>
      </c>
    </row>
    <row r="23" spans="1:21" x14ac:dyDescent="0.25">
      <c r="B23">
        <v>50</v>
      </c>
      <c r="C23" s="18">
        <v>0.13953393399178785</v>
      </c>
      <c r="D23">
        <f t="shared" ref="D23:D36" si="3">(3*B23*0.000001/(4*PI()))^(1/3)</f>
        <v>2.2853907486704163E-2</v>
      </c>
      <c r="E23">
        <f t="shared" ref="E23:E36" si="4">$B$17*C23^2*D23/$B$16</f>
        <v>6.2232049058318042</v>
      </c>
      <c r="G23">
        <v>0.3</v>
      </c>
      <c r="H23">
        <v>9.3453333333333347E-2</v>
      </c>
      <c r="I23">
        <f t="shared" si="2"/>
        <v>0.50373405443371977</v>
      </c>
      <c r="J23">
        <v>0.1032428938201771</v>
      </c>
      <c r="K23">
        <f t="shared" si="1"/>
        <v>0.61479744883777687</v>
      </c>
      <c r="L23">
        <v>0.13318192601851131</v>
      </c>
      <c r="O23">
        <v>0.13300000000000001</v>
      </c>
      <c r="P23">
        <v>0.13999604852012762</v>
      </c>
    </row>
    <row r="24" spans="1:21" x14ac:dyDescent="0.25">
      <c r="B24">
        <v>40</v>
      </c>
      <c r="C24" s="18">
        <v>0.14589433999243942</v>
      </c>
      <c r="D24">
        <f t="shared" si="3"/>
        <v>2.1215688358941106E-2</v>
      </c>
      <c r="E24">
        <f t="shared" si="4"/>
        <v>6.3157942401753759</v>
      </c>
      <c r="G24">
        <v>0.2</v>
      </c>
      <c r="H24">
        <v>8.6260869565217391E-2</v>
      </c>
      <c r="I24">
        <f t="shared" si="2"/>
        <v>0.37492318346646492</v>
      </c>
      <c r="J24">
        <v>9.5512393957456018E-2</v>
      </c>
      <c r="K24">
        <f t="shared" si="1"/>
        <v>0.45965722768856498</v>
      </c>
      <c r="L24">
        <v>0.12762835515476095</v>
      </c>
      <c r="O24">
        <v>0.13465577653863867</v>
      </c>
      <c r="P24">
        <v>0.14204237384011126</v>
      </c>
    </row>
    <row r="25" spans="1:21" x14ac:dyDescent="0.25">
      <c r="B25">
        <v>30</v>
      </c>
      <c r="C25" s="18">
        <v>0.15383945263194257</v>
      </c>
      <c r="D25">
        <f t="shared" si="3"/>
        <v>1.9275732104070489E-2</v>
      </c>
      <c r="E25">
        <f t="shared" si="4"/>
        <v>6.3802881350977225</v>
      </c>
      <c r="G25">
        <v>0.1</v>
      </c>
      <c r="H25">
        <v>4.7600000000000003E-2</v>
      </c>
      <c r="I25">
        <f t="shared" si="2"/>
        <v>9.0611893507860322E-2</v>
      </c>
      <c r="J25">
        <v>8.3288562324441331E-2</v>
      </c>
      <c r="K25">
        <f t="shared" si="1"/>
        <v>0.27742272399371026</v>
      </c>
      <c r="L25">
        <v>0.11862421588098812</v>
      </c>
      <c r="O25">
        <v>0.12</v>
      </c>
      <c r="P25">
        <v>0.15745079149502075</v>
      </c>
    </row>
    <row r="26" spans="1:21" x14ac:dyDescent="0.25">
      <c r="B26">
        <v>20</v>
      </c>
      <c r="C26" s="18">
        <v>0.1583618620567003</v>
      </c>
      <c r="D26">
        <f t="shared" si="3"/>
        <v>1.6838903009606304E-2</v>
      </c>
      <c r="E26">
        <f t="shared" si="4"/>
        <v>5.906210929671623</v>
      </c>
      <c r="G26">
        <v>0.03</v>
      </c>
      <c r="H26">
        <v>0</v>
      </c>
      <c r="I26">
        <f t="shared" si="2"/>
        <v>0</v>
      </c>
    </row>
    <row r="27" spans="1:21" x14ac:dyDescent="0.25">
      <c r="B27">
        <v>15</v>
      </c>
      <c r="C27" s="18">
        <v>0.15878532098438583</v>
      </c>
      <c r="D27">
        <f t="shared" si="3"/>
        <v>1.529915870972935E-2</v>
      </c>
      <c r="E27">
        <f t="shared" si="4"/>
        <v>5.3948852389480946</v>
      </c>
    </row>
    <row r="28" spans="1:21" x14ac:dyDescent="0.25">
      <c r="B28">
        <v>10</v>
      </c>
      <c r="C28" s="18">
        <v>0.15920877991207136</v>
      </c>
      <c r="D28">
        <f t="shared" si="3"/>
        <v>1.3365046175719767E-2</v>
      </c>
      <c r="E28">
        <f t="shared" si="4"/>
        <v>4.7380370244007839</v>
      </c>
    </row>
    <row r="29" spans="1:21" x14ac:dyDescent="0.25">
      <c r="B29">
        <v>5</v>
      </c>
      <c r="C29" s="18">
        <v>0.15296447867939489</v>
      </c>
      <c r="D29">
        <f t="shared" si="3"/>
        <v>1.0607844179470553E-2</v>
      </c>
      <c r="E29">
        <f t="shared" si="4"/>
        <v>3.4713809169763894</v>
      </c>
    </row>
    <row r="30" spans="1:21" x14ac:dyDescent="0.25">
      <c r="B30">
        <v>3</v>
      </c>
      <c r="C30" s="18">
        <v>0.14543598436175062</v>
      </c>
      <c r="D30">
        <f t="shared" si="3"/>
        <v>8.9470022893965006E-3</v>
      </c>
      <c r="E30">
        <f t="shared" si="4"/>
        <v>2.646764226516007</v>
      </c>
    </row>
    <row r="31" spans="1:21" x14ac:dyDescent="0.25">
      <c r="B31">
        <v>2</v>
      </c>
      <c r="C31" s="18">
        <v>0.13906865775899196</v>
      </c>
      <c r="D31">
        <f t="shared" si="3"/>
        <v>7.815926417967722E-3</v>
      </c>
      <c r="E31">
        <f t="shared" si="4"/>
        <v>2.1141361207666511</v>
      </c>
    </row>
    <row r="32" spans="1:21" x14ac:dyDescent="0.25">
      <c r="B32">
        <v>1</v>
      </c>
      <c r="C32" s="18">
        <v>0.12878488881265734</v>
      </c>
      <c r="D32">
        <f t="shared" si="3"/>
        <v>6.2035049089940036E-3</v>
      </c>
      <c r="E32">
        <f t="shared" si="4"/>
        <v>1.4390003618340581</v>
      </c>
    </row>
    <row r="33" spans="2:5" x14ac:dyDescent="0.25">
      <c r="B33">
        <v>0.5</v>
      </c>
      <c r="C33">
        <v>0.11340953703518232</v>
      </c>
      <c r="D33">
        <f t="shared" si="3"/>
        <v>4.9237251092134867E-3</v>
      </c>
      <c r="E33">
        <f t="shared" si="4"/>
        <v>0.88570054445615476</v>
      </c>
    </row>
    <row r="34" spans="2:5" x14ac:dyDescent="0.25">
      <c r="B34">
        <v>0.3</v>
      </c>
      <c r="C34">
        <v>0.1032428938201771</v>
      </c>
      <c r="D34">
        <f t="shared" si="3"/>
        <v>4.1528305920770763E-3</v>
      </c>
      <c r="E34">
        <f t="shared" si="4"/>
        <v>0.61909673169678225</v>
      </c>
    </row>
    <row r="35" spans="2:5" x14ac:dyDescent="0.25">
      <c r="B35">
        <v>0.2</v>
      </c>
      <c r="C35">
        <v>9.5512393957456018E-2</v>
      </c>
      <c r="D35">
        <f t="shared" si="3"/>
        <v>3.6278316785978136E-3</v>
      </c>
      <c r="E35">
        <f t="shared" si="4"/>
        <v>0.46287161389617731</v>
      </c>
    </row>
    <row r="36" spans="2:5" x14ac:dyDescent="0.25">
      <c r="B36">
        <v>0.1</v>
      </c>
      <c r="C36">
        <v>8.3288562324441331E-2</v>
      </c>
      <c r="D36">
        <f t="shared" si="3"/>
        <v>2.8794119114848625E-3</v>
      </c>
      <c r="E36">
        <f t="shared" si="4"/>
        <v>0.27936274304261732</v>
      </c>
    </row>
  </sheetData>
  <autoFilter ref="B22:C36"/>
  <mergeCells count="1">
    <mergeCell ref="C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K30" sqref="K30"/>
    </sheetView>
  </sheetViews>
  <sheetFormatPr defaultRowHeight="15" x14ac:dyDescent="0.25"/>
  <cols>
    <col min="1" max="1" width="12.5703125" bestFit="1" customWidth="1"/>
    <col min="2" max="2" width="6.85546875" bestFit="1" customWidth="1"/>
    <col min="3" max="3" width="12.28515625" bestFit="1" customWidth="1"/>
    <col min="4" max="4" width="6.5703125" bestFit="1" customWidth="1"/>
    <col min="5" max="5" width="11.7109375" bestFit="1" customWidth="1"/>
    <col min="6" max="6" width="6" bestFit="1" customWidth="1"/>
    <col min="7" max="7" width="17.7109375" bestFit="1" customWidth="1"/>
    <col min="8" max="8" width="12" bestFit="1" customWidth="1"/>
    <col min="9" max="9" width="15.7109375" bestFit="1" customWidth="1"/>
    <col min="10" max="10" width="12" bestFit="1" customWidth="1"/>
    <col min="11" max="11" width="17.7109375" bestFit="1" customWidth="1"/>
    <col min="12" max="12" width="12" bestFit="1" customWidth="1"/>
  </cols>
  <sheetData>
    <row r="1" spans="1:14" x14ac:dyDescent="0.25">
      <c r="A1" t="s">
        <v>125</v>
      </c>
      <c r="B1" t="s">
        <v>128</v>
      </c>
      <c r="C1" t="s">
        <v>126</v>
      </c>
      <c r="D1" t="s">
        <v>127</v>
      </c>
      <c r="E1" t="s">
        <v>129</v>
      </c>
      <c r="F1" t="s">
        <v>130</v>
      </c>
      <c r="G1" s="127" t="s">
        <v>131</v>
      </c>
      <c r="H1" s="127" t="s">
        <v>132</v>
      </c>
      <c r="I1" s="127" t="s">
        <v>137</v>
      </c>
      <c r="J1" s="127" t="s">
        <v>138</v>
      </c>
      <c r="K1" s="127" t="s">
        <v>133</v>
      </c>
      <c r="L1" s="127" t="s">
        <v>134</v>
      </c>
      <c r="M1" s="127" t="s">
        <v>135</v>
      </c>
      <c r="N1" s="127" t="s">
        <v>136</v>
      </c>
    </row>
    <row r="2" spans="1:14" ht="15.75" x14ac:dyDescent="0.25">
      <c r="A2" s="129">
        <v>0.03</v>
      </c>
      <c r="B2" s="18">
        <v>0</v>
      </c>
      <c r="C2" s="129">
        <v>0.1</v>
      </c>
      <c r="D2" s="130">
        <v>7.1508000000000002E-2</v>
      </c>
      <c r="E2">
        <v>0.01</v>
      </c>
      <c r="F2">
        <v>0.23</v>
      </c>
      <c r="G2">
        <f>F2/1000</f>
        <v>2.3000000000000001E-4</v>
      </c>
      <c r="H2" s="123">
        <v>0.41681753493390827</v>
      </c>
      <c r="I2" s="145">
        <v>0.01</v>
      </c>
      <c r="J2">
        <v>0.3196298214198588</v>
      </c>
      <c r="K2" s="145">
        <v>0.03</v>
      </c>
      <c r="L2">
        <v>4.2152245810894037E-2</v>
      </c>
      <c r="M2">
        <v>0.03</v>
      </c>
      <c r="N2">
        <v>4.1819841932237339E-2</v>
      </c>
    </row>
    <row r="3" spans="1:14" ht="15.75" x14ac:dyDescent="0.25">
      <c r="A3" s="129">
        <v>0.1</v>
      </c>
      <c r="B3" s="18">
        <v>4.7600000000000003E-2</v>
      </c>
      <c r="C3" s="129">
        <v>0.2</v>
      </c>
      <c r="D3" s="130">
        <v>8.6783159999999998E-2</v>
      </c>
      <c r="E3">
        <v>0.1</v>
      </c>
      <c r="F3">
        <v>0.23</v>
      </c>
      <c r="G3">
        <f>F3/1000</f>
        <v>2.3000000000000001E-4</v>
      </c>
      <c r="H3" s="124">
        <v>0.31954804803799147</v>
      </c>
      <c r="I3">
        <v>0.03</v>
      </c>
      <c r="J3">
        <v>0.20593531090583264</v>
      </c>
      <c r="K3" s="145">
        <v>0.04</v>
      </c>
      <c r="L3">
        <v>4.9784161119563339E-2</v>
      </c>
      <c r="M3">
        <v>0.04</v>
      </c>
      <c r="N3">
        <v>4.9248932025711858E-2</v>
      </c>
    </row>
    <row r="4" spans="1:14" ht="15.75" x14ac:dyDescent="0.25">
      <c r="A4" s="129">
        <v>0.2</v>
      </c>
      <c r="B4" s="18">
        <v>8.6260869565217391E-2</v>
      </c>
      <c r="C4" s="129">
        <v>0.4</v>
      </c>
      <c r="D4" s="130">
        <v>0.10624971999999998</v>
      </c>
      <c r="E4">
        <v>1</v>
      </c>
      <c r="F4">
        <v>0.23</v>
      </c>
      <c r="G4">
        <f>F4/1000</f>
        <v>2.3000000000000001E-4</v>
      </c>
      <c r="H4" s="124">
        <v>0.22153726429096018</v>
      </c>
      <c r="I4">
        <v>0.04</v>
      </c>
      <c r="J4">
        <v>0.18391043257835157</v>
      </c>
      <c r="K4" s="145">
        <v>0.05</v>
      </c>
      <c r="L4">
        <v>5.5316440378288048E-2</v>
      </c>
      <c r="M4">
        <v>0.05</v>
      </c>
      <c r="N4">
        <v>5.4759077146592429E-2</v>
      </c>
    </row>
    <row r="5" spans="1:14" ht="15.75" x14ac:dyDescent="0.25">
      <c r="A5" s="129">
        <v>0.3</v>
      </c>
      <c r="B5" s="18">
        <v>9.3453333333333347E-2</v>
      </c>
      <c r="C5" s="129">
        <v>0.7</v>
      </c>
      <c r="D5" s="130">
        <v>0.11331193333333332</v>
      </c>
      <c r="E5">
        <v>10</v>
      </c>
      <c r="F5">
        <v>0.23</v>
      </c>
      <c r="G5">
        <f>F5/1000</f>
        <v>2.3000000000000001E-4</v>
      </c>
      <c r="H5" s="124">
        <v>0.16913381140000755</v>
      </c>
      <c r="I5">
        <v>0.05</v>
      </c>
      <c r="J5">
        <v>0.16903390046687589</v>
      </c>
      <c r="K5" s="145">
        <v>7.4999999999999997E-2</v>
      </c>
      <c r="L5">
        <v>6.4991825169631659E-2</v>
      </c>
      <c r="M5">
        <v>7.4999999999999997E-2</v>
      </c>
      <c r="N5">
        <v>6.4523112642600258E-2</v>
      </c>
    </row>
    <row r="6" spans="1:14" ht="15.75" x14ac:dyDescent="0.25">
      <c r="A6" s="129">
        <v>0.5</v>
      </c>
      <c r="B6" s="18">
        <v>0.10484864864864867</v>
      </c>
      <c r="C6" s="129">
        <v>1</v>
      </c>
      <c r="D6" s="130">
        <v>0.1211472</v>
      </c>
      <c r="E6">
        <v>100</v>
      </c>
      <c r="F6">
        <v>0.23</v>
      </c>
      <c r="G6">
        <v>0.1</v>
      </c>
      <c r="H6" s="124">
        <v>0.13558952721670456</v>
      </c>
      <c r="I6">
        <v>7.4999999999999997E-2</v>
      </c>
      <c r="J6">
        <v>0.14699847320016196</v>
      </c>
      <c r="K6" s="145">
        <v>0.1</v>
      </c>
      <c r="L6">
        <v>7.1820360163900324E-2</v>
      </c>
      <c r="M6">
        <v>0.1</v>
      </c>
      <c r="N6">
        <v>7.1205737741544664E-2</v>
      </c>
    </row>
    <row r="7" spans="1:14" ht="15.75" x14ac:dyDescent="0.25">
      <c r="A7" s="129">
        <v>1</v>
      </c>
      <c r="B7" s="18">
        <v>0.11738571428571429</v>
      </c>
      <c r="C7" s="129">
        <v>2</v>
      </c>
      <c r="D7" s="130">
        <v>0.122866</v>
      </c>
      <c r="G7">
        <v>0.2</v>
      </c>
      <c r="H7" s="126">
        <v>0.12055491706532943</v>
      </c>
      <c r="I7">
        <v>0.1</v>
      </c>
      <c r="J7">
        <v>0.13529896865429114</v>
      </c>
      <c r="K7" s="145">
        <v>0.2</v>
      </c>
      <c r="L7">
        <v>8.7903386735007291E-2</v>
      </c>
      <c r="M7">
        <v>0.2</v>
      </c>
      <c r="N7">
        <v>8.711377769406764E-2</v>
      </c>
    </row>
    <row r="8" spans="1:14" ht="15.75" x14ac:dyDescent="0.25">
      <c r="A8" s="129">
        <v>2</v>
      </c>
      <c r="B8" s="18">
        <v>0.123</v>
      </c>
      <c r="C8" s="129">
        <v>4</v>
      </c>
      <c r="D8" s="130">
        <v>0.12785745000000001</v>
      </c>
      <c r="G8">
        <v>0.25</v>
      </c>
      <c r="H8" s="126">
        <v>0.11916008103627954</v>
      </c>
      <c r="I8">
        <v>0.2</v>
      </c>
      <c r="J8">
        <v>0.11995467784543802</v>
      </c>
      <c r="K8" s="145">
        <v>0.3</v>
      </c>
      <c r="L8">
        <v>9.7242825567567512E-2</v>
      </c>
      <c r="M8">
        <v>0.3</v>
      </c>
      <c r="N8">
        <v>9.6306482098483845E-2</v>
      </c>
    </row>
    <row r="9" spans="1:14" ht="15.75" x14ac:dyDescent="0.25">
      <c r="A9" s="129">
        <v>3</v>
      </c>
      <c r="B9" s="18">
        <v>0.11799999999999999</v>
      </c>
      <c r="C9" s="129">
        <v>7</v>
      </c>
      <c r="D9" s="130">
        <v>0.12466752500000002</v>
      </c>
      <c r="G9">
        <v>0.3</v>
      </c>
      <c r="H9" s="124">
        <v>0.11903558502350924</v>
      </c>
      <c r="I9">
        <v>0.3</v>
      </c>
      <c r="J9">
        <v>0.11819031444097394</v>
      </c>
      <c r="K9" s="145">
        <v>0.5</v>
      </c>
      <c r="L9">
        <v>0.10891956615105661</v>
      </c>
      <c r="M9">
        <v>0.5</v>
      </c>
      <c r="N9">
        <v>0.10781726090825874</v>
      </c>
    </row>
    <row r="10" spans="1:14" ht="15.75" x14ac:dyDescent="0.25">
      <c r="A10" s="129">
        <v>5</v>
      </c>
      <c r="B10" s="18">
        <v>9.2999999999999999E-2</v>
      </c>
      <c r="C10" s="129">
        <v>10</v>
      </c>
      <c r="D10" s="130">
        <v>0.1165955</v>
      </c>
      <c r="G10">
        <v>0.4</v>
      </c>
      <c r="H10" s="124">
        <v>0.12037682987847416</v>
      </c>
      <c r="I10">
        <v>0.5</v>
      </c>
      <c r="J10">
        <v>0.12120573194754208</v>
      </c>
      <c r="K10" s="145">
        <v>1</v>
      </c>
      <c r="L10">
        <v>0.12459352947279621</v>
      </c>
      <c r="M10">
        <v>1</v>
      </c>
      <c r="N10">
        <v>0.12266752063384122</v>
      </c>
    </row>
    <row r="11" spans="1:14" ht="15.75" x14ac:dyDescent="0.25">
      <c r="A11" s="129">
        <v>10</v>
      </c>
      <c r="B11" s="18">
        <v>8.8789999999999994E-2</v>
      </c>
      <c r="C11" s="129">
        <v>20</v>
      </c>
      <c r="D11" s="130">
        <v>0.1149191</v>
      </c>
      <c r="G11">
        <v>0.5</v>
      </c>
      <c r="H11">
        <v>0.12244714898442279</v>
      </c>
      <c r="I11">
        <v>1</v>
      </c>
      <c r="J11">
        <v>0.13036772240918054</v>
      </c>
      <c r="K11" s="145">
        <v>2</v>
      </c>
      <c r="L11">
        <v>0.1399162648546895</v>
      </c>
      <c r="M11">
        <v>2</v>
      </c>
      <c r="N11">
        <v>0.13655388062271201</v>
      </c>
    </row>
    <row r="12" spans="1:14" ht="15.75" x14ac:dyDescent="0.25">
      <c r="A12" s="129">
        <v>15</v>
      </c>
      <c r="B12" s="18">
        <v>8.7900000000000006E-2</v>
      </c>
      <c r="C12" s="129">
        <v>40</v>
      </c>
      <c r="D12" s="130">
        <v>9.5576400000000006E-2</v>
      </c>
      <c r="G12">
        <v>1</v>
      </c>
      <c r="H12">
        <v>0.13239958569945479</v>
      </c>
      <c r="I12">
        <v>2</v>
      </c>
      <c r="J12">
        <v>0.14118371450567047</v>
      </c>
      <c r="K12" s="145">
        <v>3</v>
      </c>
      <c r="L12">
        <v>0.14695901209273071</v>
      </c>
      <c r="M12">
        <v>3</v>
      </c>
      <c r="N12">
        <v>0.14384804288234357</v>
      </c>
    </row>
    <row r="13" spans="1:14" ht="15.75" x14ac:dyDescent="0.25">
      <c r="A13" s="160">
        <v>20</v>
      </c>
      <c r="B13" s="162">
        <v>7.7399999999999997E-2</v>
      </c>
      <c r="C13" s="129">
        <v>70</v>
      </c>
      <c r="D13" s="130">
        <v>8.3819999999999992E-2</v>
      </c>
      <c r="G13">
        <v>2</v>
      </c>
      <c r="H13">
        <v>0.14453545860558648</v>
      </c>
      <c r="I13">
        <v>3</v>
      </c>
      <c r="J13">
        <v>0.14713189831130119</v>
      </c>
      <c r="K13" s="145">
        <v>5</v>
      </c>
      <c r="L13">
        <v>0.15682784158962032</v>
      </c>
      <c r="M13">
        <v>5</v>
      </c>
      <c r="N13">
        <v>0.15032835837205308</v>
      </c>
    </row>
    <row r="14" spans="1:14" ht="15.75" x14ac:dyDescent="0.25">
      <c r="A14" s="161">
        <v>40</v>
      </c>
      <c r="B14" s="163">
        <v>0.1106</v>
      </c>
      <c r="G14" s="83">
        <v>3</v>
      </c>
      <c r="H14" s="124">
        <v>0.15166520933779562</v>
      </c>
      <c r="I14">
        <v>5</v>
      </c>
      <c r="J14">
        <v>0.15354250532100577</v>
      </c>
      <c r="K14" s="145">
        <v>10</v>
      </c>
      <c r="L14">
        <v>0.1702257775787509</v>
      </c>
      <c r="M14">
        <v>10</v>
      </c>
      <c r="N14">
        <v>0.15777813610405061</v>
      </c>
    </row>
    <row r="15" spans="1:14" ht="15.75" x14ac:dyDescent="0.25">
      <c r="A15" s="161">
        <v>80</v>
      </c>
      <c r="B15" s="163">
        <v>0.13500000000000001</v>
      </c>
      <c r="G15">
        <v>5</v>
      </c>
      <c r="H15">
        <v>0.16022548704213049</v>
      </c>
      <c r="I15">
        <v>10</v>
      </c>
      <c r="J15">
        <v>0.15939033934871477</v>
      </c>
      <c r="K15" s="145">
        <v>20</v>
      </c>
      <c r="L15">
        <v>0.18043253071568155</v>
      </c>
      <c r="M15">
        <v>20</v>
      </c>
      <c r="N15">
        <v>0.16092465268230205</v>
      </c>
    </row>
    <row r="16" spans="1:14" ht="15.75" x14ac:dyDescent="0.25">
      <c r="A16" s="161">
        <v>110</v>
      </c>
      <c r="B16" s="163">
        <v>0.124</v>
      </c>
      <c r="G16">
        <v>10</v>
      </c>
      <c r="H16">
        <v>0.17073922070417252</v>
      </c>
      <c r="I16">
        <v>20</v>
      </c>
      <c r="J16">
        <v>0.16088708233220178</v>
      </c>
      <c r="K16" s="145">
        <v>30</v>
      </c>
      <c r="L16">
        <v>0.18542603883142933</v>
      </c>
      <c r="M16">
        <v>30</v>
      </c>
      <c r="N16">
        <v>0.15955160611595384</v>
      </c>
    </row>
    <row r="17" spans="7:14" ht="15.75" x14ac:dyDescent="0.25">
      <c r="G17">
        <v>15</v>
      </c>
      <c r="H17">
        <v>0.17623201707130692</v>
      </c>
      <c r="I17">
        <v>30</v>
      </c>
      <c r="J17">
        <v>0.15938956929909173</v>
      </c>
      <c r="K17" s="145">
        <v>40</v>
      </c>
      <c r="L17">
        <v>0.18874686209002128</v>
      </c>
      <c r="M17">
        <v>40</v>
      </c>
      <c r="N17">
        <v>0.15741954769431363</v>
      </c>
    </row>
    <row r="18" spans="7:14" ht="15.75" x14ac:dyDescent="0.25">
      <c r="G18">
        <v>20</v>
      </c>
      <c r="H18">
        <v>0.17983296961925482</v>
      </c>
      <c r="I18">
        <v>40</v>
      </c>
      <c r="J18">
        <v>0.15721181132089143</v>
      </c>
      <c r="K18" s="145">
        <v>50</v>
      </c>
      <c r="L18">
        <v>0.19111167723177067</v>
      </c>
      <c r="M18">
        <v>50</v>
      </c>
      <c r="N18">
        <v>0.15502250525162878</v>
      </c>
    </row>
    <row r="19" spans="7:14" ht="15.75" x14ac:dyDescent="0.25">
      <c r="G19">
        <v>30</v>
      </c>
      <c r="H19">
        <v>0.18450305356055025</v>
      </c>
      <c r="I19">
        <v>50</v>
      </c>
      <c r="J19">
        <v>0.15489592420758302</v>
      </c>
      <c r="K19" s="145">
        <v>60</v>
      </c>
      <c r="L19">
        <v>0.19289094637645168</v>
      </c>
      <c r="M19">
        <v>60</v>
      </c>
      <c r="N19">
        <v>0.15277355224109754</v>
      </c>
    </row>
    <row r="20" spans="7:14" ht="15.75" x14ac:dyDescent="0.25">
      <c r="G20">
        <v>40</v>
      </c>
      <c r="H20">
        <v>0.18754090870399032</v>
      </c>
      <c r="I20">
        <v>60</v>
      </c>
      <c r="J20">
        <v>0.15261421554924864</v>
      </c>
      <c r="K20" s="145">
        <v>70</v>
      </c>
      <c r="L20">
        <v>0.19432806070205391</v>
      </c>
      <c r="M20">
        <v>70</v>
      </c>
      <c r="N20">
        <v>0.15057782301042702</v>
      </c>
    </row>
    <row r="21" spans="7:14" ht="15.75" x14ac:dyDescent="0.25">
      <c r="G21">
        <v>50</v>
      </c>
      <c r="H21">
        <v>0.18974716380865475</v>
      </c>
      <c r="I21">
        <v>70</v>
      </c>
      <c r="J21">
        <v>0.15042624519339773</v>
      </c>
      <c r="K21" s="145">
        <v>80</v>
      </c>
      <c r="L21">
        <v>0.19557919857665415</v>
      </c>
      <c r="M21">
        <v>80</v>
      </c>
      <c r="N21">
        <v>0.14842117685811082</v>
      </c>
    </row>
    <row r="22" spans="7:14" ht="15.75" x14ac:dyDescent="0.25">
      <c r="G22">
        <v>60</v>
      </c>
      <c r="H22">
        <v>0.19145643868669115</v>
      </c>
      <c r="I22">
        <v>80</v>
      </c>
      <c r="J22">
        <v>0.1483504620817927</v>
      </c>
      <c r="K22" s="145">
        <v>90</v>
      </c>
      <c r="L22">
        <v>0.1966615436044736</v>
      </c>
      <c r="M22">
        <v>90</v>
      </c>
      <c r="N22">
        <v>0.14639742193100302</v>
      </c>
    </row>
    <row r="23" spans="7:14" ht="15.75" x14ac:dyDescent="0.25">
      <c r="G23">
        <v>70</v>
      </c>
      <c r="H23">
        <v>0.19283842612501903</v>
      </c>
      <c r="I23">
        <v>90</v>
      </c>
      <c r="J23">
        <v>0.14638894271631389</v>
      </c>
      <c r="K23" s="145">
        <v>100</v>
      </c>
      <c r="L23">
        <v>0.1976507783550232</v>
      </c>
      <c r="M23">
        <v>100</v>
      </c>
      <c r="N23">
        <v>0.14451075975005281</v>
      </c>
    </row>
    <row r="24" spans="7:14" ht="15.75" x14ac:dyDescent="0.25">
      <c r="G24">
        <v>150</v>
      </c>
      <c r="H24">
        <v>0.19888278099247289</v>
      </c>
      <c r="I24">
        <v>100</v>
      </c>
      <c r="J24">
        <v>0.14453710498873423</v>
      </c>
      <c r="K24" s="145">
        <v>133</v>
      </c>
      <c r="L24">
        <v>0.20002732184511618</v>
      </c>
      <c r="M24">
        <v>133</v>
      </c>
      <c r="N24">
        <v>0.13896467306597962</v>
      </c>
    </row>
    <row r="25" spans="7:14" ht="15.75" x14ac:dyDescent="0.25">
      <c r="G25">
        <v>300</v>
      </c>
      <c r="H25">
        <v>0.20337062157538166</v>
      </c>
      <c r="I25">
        <v>133</v>
      </c>
      <c r="J25">
        <v>0.13911152182470596</v>
      </c>
      <c r="K25" s="145">
        <v>166</v>
      </c>
      <c r="L25">
        <v>0.20166887391531318</v>
      </c>
      <c r="M25">
        <v>166</v>
      </c>
      <c r="N25">
        <v>0.13431230994046389</v>
      </c>
    </row>
    <row r="26" spans="7:14" ht="15.75" x14ac:dyDescent="0.25">
      <c r="G26">
        <v>500</v>
      </c>
      <c r="H26">
        <v>0.2061536330695542</v>
      </c>
      <c r="I26">
        <v>166</v>
      </c>
      <c r="J26">
        <v>0.1345383387522868</v>
      </c>
      <c r="K26" s="145">
        <v>200</v>
      </c>
      <c r="L26">
        <v>0.20299000216091775</v>
      </c>
      <c r="M26">
        <v>200</v>
      </c>
      <c r="N26">
        <v>0.13004599931463318</v>
      </c>
    </row>
    <row r="27" spans="7:14" ht="15.75" x14ac:dyDescent="0.25">
      <c r="G27">
        <v>700</v>
      </c>
      <c r="H27">
        <v>0.20777389437681398</v>
      </c>
      <c r="I27">
        <v>200</v>
      </c>
      <c r="J27">
        <v>0.13049964896968036</v>
      </c>
      <c r="K27" s="145">
        <v>300</v>
      </c>
      <c r="L27">
        <v>0.20542989320923041</v>
      </c>
      <c r="M27">
        <v>300</v>
      </c>
      <c r="N27">
        <v>0.1206750772146814</v>
      </c>
    </row>
    <row r="28" spans="7:14" ht="15.75" x14ac:dyDescent="0.25">
      <c r="G28">
        <v>1000</v>
      </c>
      <c r="H28">
        <v>0.20932553960467101</v>
      </c>
      <c r="I28">
        <v>300</v>
      </c>
      <c r="J28">
        <v>0.12126961092079189</v>
      </c>
      <c r="K28" s="145">
        <v>400</v>
      </c>
      <c r="L28">
        <v>0.20697901378495775</v>
      </c>
      <c r="M28">
        <v>400</v>
      </c>
      <c r="N28">
        <v>0.11386708291104554</v>
      </c>
    </row>
    <row r="29" spans="7:14" ht="15.75" x14ac:dyDescent="0.25">
      <c r="I29">
        <v>400</v>
      </c>
      <c r="J29">
        <v>0.11449707988007064</v>
      </c>
      <c r="K29" s="145">
        <v>1000</v>
      </c>
      <c r="L29">
        <v>0.21116474693697546</v>
      </c>
      <c r="M29">
        <v>1000</v>
      </c>
      <c r="N29">
        <v>9.1900526828244164E-2</v>
      </c>
    </row>
    <row r="30" spans="7:14" x14ac:dyDescent="0.25">
      <c r="I30">
        <v>1000</v>
      </c>
      <c r="J30">
        <v>9.2878007673887306E-2</v>
      </c>
    </row>
  </sheetData>
  <sortState ref="I2:J30">
    <sortCondition ref="I2:I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"/>
  <sheetViews>
    <sheetView zoomScale="85" zoomScaleNormal="85" workbookViewId="0">
      <selection activeCell="B5" sqref="B5:B33"/>
    </sheetView>
  </sheetViews>
  <sheetFormatPr defaultRowHeight="15.75" x14ac:dyDescent="0.25"/>
  <cols>
    <col min="1" max="1" width="13.28515625" style="132" bestFit="1" customWidth="1"/>
    <col min="2" max="2" width="9.28515625" style="132" bestFit="1" customWidth="1"/>
    <col min="3" max="3" width="18.85546875" style="132" customWidth="1"/>
    <col min="4" max="4" width="19.140625" style="132" customWidth="1"/>
    <col min="5" max="5" width="14.7109375" style="132" customWidth="1"/>
    <col min="6" max="8" width="20.28515625" style="132" customWidth="1"/>
    <col min="9" max="9" width="14.5703125" style="132" customWidth="1"/>
    <col min="10" max="10" width="10" style="132" customWidth="1"/>
    <col min="11" max="11" width="20.5703125" style="132" customWidth="1"/>
    <col min="12" max="12" width="17.42578125" style="132" customWidth="1"/>
    <col min="13" max="13" width="12" style="132" customWidth="1"/>
    <col min="14" max="14" width="22.28515625" style="132" bestFit="1" customWidth="1"/>
    <col min="15" max="15" width="19" style="132" customWidth="1"/>
    <col min="16" max="16" width="20.28515625" style="132" bestFit="1" customWidth="1"/>
    <col min="17" max="18" width="20.28515625" style="132" customWidth="1"/>
    <col min="19" max="19" width="17.42578125" style="132" bestFit="1" customWidth="1"/>
    <col min="20" max="20" width="17.42578125" style="132" customWidth="1"/>
    <col min="21" max="21" width="14.7109375" style="132" bestFit="1" customWidth="1"/>
    <col min="22" max="22" width="14.7109375" style="132" customWidth="1"/>
    <col min="23" max="23" width="12.140625" style="132" customWidth="1"/>
    <col min="24" max="27" width="9.140625" style="132"/>
    <col min="28" max="28" width="8.42578125" style="132" bestFit="1" customWidth="1"/>
    <col min="29" max="29" width="14.28515625" style="132" bestFit="1" customWidth="1"/>
    <col min="30" max="32" width="14.28515625" style="132" customWidth="1"/>
    <col min="33" max="33" width="26.5703125" style="132" bestFit="1" customWidth="1"/>
    <col min="34" max="34" width="20.7109375" style="132" bestFit="1" customWidth="1"/>
    <col min="35" max="55" width="9.140625" style="132"/>
    <col min="56" max="56" width="11.42578125" style="132" customWidth="1"/>
    <col min="57" max="57" width="13.5703125" style="132" customWidth="1"/>
    <col min="58" max="16384" width="9.140625" style="132"/>
  </cols>
  <sheetData>
    <row r="1" spans="1:35" ht="24.75" customHeight="1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AG1" s="132" t="s">
        <v>124</v>
      </c>
      <c r="AH1" s="132">
        <v>0.35199999999999998</v>
      </c>
    </row>
    <row r="2" spans="1:35" ht="47.25" x14ac:dyDescent="0.25">
      <c r="A2" s="131" t="s">
        <v>88</v>
      </c>
      <c r="B2" s="134" t="s">
        <v>14</v>
      </c>
      <c r="C2" s="134" t="s">
        <v>90</v>
      </c>
      <c r="D2" s="138" t="s">
        <v>89</v>
      </c>
      <c r="E2" s="134" t="s">
        <v>97</v>
      </c>
      <c r="F2" s="134" t="s">
        <v>98</v>
      </c>
      <c r="G2" s="158" t="s">
        <v>99</v>
      </c>
      <c r="H2" s="158" t="s">
        <v>100</v>
      </c>
      <c r="I2" s="158"/>
      <c r="J2" s="158"/>
      <c r="K2" s="134" t="s">
        <v>122</v>
      </c>
      <c r="L2" s="139" t="s">
        <v>123</v>
      </c>
      <c r="M2" s="134" t="s">
        <v>8</v>
      </c>
      <c r="N2" s="139" t="s">
        <v>93</v>
      </c>
      <c r="O2" s="134" t="s">
        <v>91</v>
      </c>
      <c r="P2" s="134" t="s">
        <v>92</v>
      </c>
      <c r="Q2" s="158" t="s">
        <v>101</v>
      </c>
      <c r="R2" s="158"/>
      <c r="S2" s="140" t="s">
        <v>94</v>
      </c>
      <c r="T2" s="140" t="s">
        <v>107</v>
      </c>
      <c r="U2" s="140" t="s">
        <v>95</v>
      </c>
      <c r="V2" s="140" t="s">
        <v>108</v>
      </c>
      <c r="W2" s="134" t="s">
        <v>102</v>
      </c>
      <c r="X2" s="132" t="s">
        <v>109</v>
      </c>
      <c r="Z2" s="132" t="s">
        <v>114</v>
      </c>
      <c r="AA2" s="132" t="s">
        <v>113</v>
      </c>
      <c r="AB2" s="132" t="s">
        <v>112</v>
      </c>
      <c r="AC2" s="132" t="s">
        <v>115</v>
      </c>
      <c r="AD2" s="132" t="s">
        <v>116</v>
      </c>
      <c r="AE2" s="132" t="s">
        <v>117</v>
      </c>
      <c r="AF2" s="132" t="s">
        <v>120</v>
      </c>
      <c r="AG2" s="132" t="s">
        <v>118</v>
      </c>
      <c r="AH2" s="132" t="s">
        <v>110</v>
      </c>
      <c r="AI2" s="132" t="s">
        <v>119</v>
      </c>
    </row>
    <row r="3" spans="1:35" x14ac:dyDescent="0.25">
      <c r="A3" s="133"/>
      <c r="B3" s="134"/>
      <c r="C3" s="134"/>
      <c r="D3" s="135"/>
      <c r="E3" s="133"/>
      <c r="F3" s="133"/>
      <c r="G3" s="133"/>
      <c r="H3" s="133"/>
      <c r="I3" s="133"/>
      <c r="J3" s="133"/>
      <c r="K3" s="133" t="s">
        <v>121</v>
      </c>
      <c r="L3" s="136"/>
      <c r="M3" s="133"/>
      <c r="N3" s="136"/>
      <c r="O3" s="133"/>
      <c r="P3" s="133"/>
      <c r="Q3" s="133"/>
      <c r="R3" s="133"/>
      <c r="S3" s="159"/>
      <c r="T3" s="159"/>
      <c r="U3" s="159"/>
      <c r="V3" s="159"/>
      <c r="W3" s="133"/>
      <c r="AG3" s="132" t="s">
        <v>111</v>
      </c>
    </row>
    <row r="4" spans="1:35" x14ac:dyDescent="0.25">
      <c r="A4" s="133"/>
      <c r="B4" s="134"/>
      <c r="C4" s="134"/>
      <c r="D4" s="135"/>
      <c r="E4" s="133"/>
      <c r="F4" s="133"/>
      <c r="G4" s="133"/>
      <c r="H4" s="133"/>
      <c r="I4" s="133"/>
      <c r="J4" s="133"/>
      <c r="K4" s="133"/>
      <c r="L4" s="136"/>
      <c r="M4" s="133"/>
      <c r="N4" s="136"/>
      <c r="O4" s="133"/>
      <c r="P4" s="133"/>
      <c r="Q4" s="133"/>
      <c r="R4" s="133"/>
      <c r="S4" s="159"/>
      <c r="T4" s="159"/>
      <c r="U4" s="159"/>
      <c r="V4" s="159"/>
      <c r="W4" s="133"/>
    </row>
    <row r="5" spans="1:35" x14ac:dyDescent="0.25">
      <c r="A5" s="141">
        <v>1000000</v>
      </c>
      <c r="B5" s="145">
        <f t="shared" ref="B5" si="0">A5/1000</f>
        <v>1000</v>
      </c>
      <c r="C5" s="142">
        <v>107010.50050458312</v>
      </c>
      <c r="D5" s="146">
        <f t="shared" ref="D5" si="1">C5*M5</f>
        <v>7.704756036329985</v>
      </c>
      <c r="E5" s="156">
        <v>358016.35826602799</v>
      </c>
      <c r="F5" s="150">
        <f t="shared" ref="F5" si="2">E5*M5</f>
        <v>25.777177795154017</v>
      </c>
      <c r="G5" s="145">
        <v>106938</v>
      </c>
      <c r="H5" s="145">
        <f>G5*M5</f>
        <v>7.6995360000000002</v>
      </c>
      <c r="I5" s="149">
        <v>48093.282822717803</v>
      </c>
      <c r="J5" s="150">
        <f>I5*M5</f>
        <v>3.4627163632356819</v>
      </c>
      <c r="K5" s="148">
        <f t="shared" ref="K5" si="3">((3*A5)/(4*PI()))^(1/3)</f>
        <v>62.035049089939982</v>
      </c>
      <c r="L5" s="149">
        <f t="shared" ref="L5" si="4">4*PI()*K5^2</f>
        <v>48359.75862049406</v>
      </c>
      <c r="M5" s="150">
        <v>7.2000000000000002E-5</v>
      </c>
      <c r="N5" s="147">
        <f t="shared" ref="N5" si="5">L5*M5</f>
        <v>3.4819026206755725</v>
      </c>
      <c r="O5" s="151">
        <f t="shared" ref="O5" si="6">D5-N5</f>
        <v>4.2228534156544129</v>
      </c>
      <c r="P5" s="151">
        <f t="shared" ref="P5" si="7">F5-N5</f>
        <v>22.295275174478444</v>
      </c>
      <c r="Q5" s="151">
        <f>H5-N5</f>
        <v>4.2176333793244272</v>
      </c>
      <c r="R5" s="150">
        <f>J5-N5</f>
        <v>-1.9186257439890664E-2</v>
      </c>
      <c r="S5" s="147">
        <f t="shared" ref="S5" si="8">(2*O5/B5)^0.5</f>
        <v>9.1900526828244164E-2</v>
      </c>
      <c r="T5" s="147">
        <f>1000*S5^2*(K5/1000)/0.0715</f>
        <v>7.3276900402725085</v>
      </c>
      <c r="U5" s="147">
        <f xml:space="preserve"> (2*P5/B5)^0.5</f>
        <v>0.21116474693697546</v>
      </c>
      <c r="V5" s="147">
        <f>1000*U5^2*(K5/1000)/0.0715</f>
        <v>38.687789927901825</v>
      </c>
      <c r="W5" s="147">
        <f xml:space="preserve"> (2*Q5/B5)^0.5</f>
        <v>9.1843708323699855E-2</v>
      </c>
      <c r="X5" s="132">
        <f>1000*W5^2*(K5/1000)/0.0715</f>
        <v>7.3186319924408485</v>
      </c>
      <c r="Z5" s="132">
        <f>2*(0.072/(1000*9.8))^(1/2)</f>
        <v>5.4210474174315069E-3</v>
      </c>
      <c r="AA5" s="132">
        <f>A5*(1/1000000000)/(PI()*$AH$1*Z5^2)</f>
        <v>30.770960430487989</v>
      </c>
      <c r="AB5" s="132">
        <f>(1+AA5)^(1/2) - 1</f>
        <v>4.6365734653677659</v>
      </c>
      <c r="AC5" s="132">
        <f>4*PI()*0.072*AB5*Z5*$AH$1/(1000*A5*(1/1000000000))</f>
        <v>8.0050744511550101E-3</v>
      </c>
      <c r="AD5" s="132">
        <f>Z5/(AB5*$AH$1)</f>
        <v>3.3215699061955569E-3</v>
      </c>
      <c r="AE5" s="132">
        <f>A5*(1/1000000000)/(PI()*Z5^3)</f>
        <v>1998.023119425817</v>
      </c>
      <c r="AF5" s="132">
        <f>Z5*AB5</f>
        <v>2.513508461016338E-2</v>
      </c>
      <c r="AG5" s="132">
        <f>(AC5*(1 - COS(150*PI()/180) + 2^(1/2)*AD5^(1/2) - (9/2)^(1/3)*AD5*AE5^(2/3)))^(1/2)</f>
        <v>9.2878007673887306E-2</v>
      </c>
      <c r="AH5" s="132">
        <f>1000*AG5^2*AI5/0.072</f>
        <v>7.4324229444966114</v>
      </c>
      <c r="AI5" s="132">
        <f>(3*A5*(1/1000000000)/(4*PI()))^(1/3)</f>
        <v>6.2035049089940023E-2</v>
      </c>
    </row>
    <row r="6" spans="1:35" x14ac:dyDescent="0.25">
      <c r="A6" s="141">
        <v>400000</v>
      </c>
      <c r="B6" s="145">
        <f t="shared" ref="B6:B33" si="9">A6/1000</f>
        <v>400</v>
      </c>
      <c r="C6" s="143">
        <v>62269.584398612962</v>
      </c>
      <c r="D6" s="146">
        <f t="shared" ref="D6:D14" si="10">C6*M6</f>
        <v>4.4834100767001335</v>
      </c>
      <c r="E6" s="157">
        <v>145254.58322284301</v>
      </c>
      <c r="F6" s="150">
        <f t="shared" ref="F6:F13" si="11">E6*M6</f>
        <v>10.458329992044696</v>
      </c>
      <c r="G6" s="145">
        <v>62101.4</v>
      </c>
      <c r="H6" s="145">
        <f t="shared" ref="H6:H33" si="12">G6*M6</f>
        <v>4.4713007999999999</v>
      </c>
      <c r="I6" s="149">
        <v>26109.050826773309</v>
      </c>
      <c r="J6" s="150">
        <f t="shared" ref="J6:J33" si="13">I6*M6</f>
        <v>1.8798516595276784</v>
      </c>
      <c r="K6" s="148">
        <f t="shared" ref="K6:K14" si="14">((3*A6)/(4*PI()))^(1/3)</f>
        <v>45.707814973408318</v>
      </c>
      <c r="L6" s="149">
        <f t="shared" ref="L6:L14" si="15">4*PI()*K6^2</f>
        <v>26253.716146749306</v>
      </c>
      <c r="M6" s="150">
        <v>7.2000000000000002E-5</v>
      </c>
      <c r="N6" s="147">
        <f t="shared" ref="N6:N14" si="16">L6*M6</f>
        <v>1.8902675625659502</v>
      </c>
      <c r="O6" s="151">
        <f t="shared" ref="O6:O14" si="17">D6-N6</f>
        <v>2.5931425141341835</v>
      </c>
      <c r="P6" s="151">
        <f t="shared" ref="P6:P14" si="18">F6-N6</f>
        <v>8.5680624294787453</v>
      </c>
      <c r="Q6" s="151">
        <f t="shared" ref="Q6:Q33" si="19">H6-N6</f>
        <v>2.5810332374340499</v>
      </c>
      <c r="R6" s="150">
        <f t="shared" ref="R6:R33" si="20">J6-N6</f>
        <v>-1.0415903038271779E-2</v>
      </c>
      <c r="S6" s="147">
        <f t="shared" ref="S6:S14" si="21">(2*O6/B6)^0.5</f>
        <v>0.11386708291104554</v>
      </c>
      <c r="T6" s="147">
        <f t="shared" ref="T6:T33" si="22">1000*S6^2*(K6/1000)/0.0715</f>
        <v>8.2885928836170741</v>
      </c>
      <c r="U6" s="147">
        <f t="shared" ref="U6:U14" si="23" xml:space="preserve"> (2*P6/B6)^0.5</f>
        <v>0.20697901378495775</v>
      </c>
      <c r="V6" s="147">
        <f t="shared" ref="V6:V33" si="24">1000*U6^2*(K6/1000)/0.0715</f>
        <v>27.38653232218363</v>
      </c>
      <c r="W6" s="147">
        <f t="shared" ref="W6:W33" si="25" xml:space="preserve"> (2*Q6/B6)^0.5</f>
        <v>0.11360090751032867</v>
      </c>
      <c r="X6" s="132">
        <f t="shared" ref="X6:X33" si="26">1000*W6^2*(K6/1000)/0.0715</f>
        <v>8.2498873885910911</v>
      </c>
      <c r="Z6" s="132">
        <f t="shared" ref="Z6:Z33" si="27">2*(0.072/(1000*9.8))^(1/2)</f>
        <v>5.4210474174315069E-3</v>
      </c>
      <c r="AA6" s="132">
        <f t="shared" ref="AA6:AA33" si="28">A6*(1/1000000000)/(PI()*$AH$1*Z6^2)</f>
        <v>12.308384172195195</v>
      </c>
      <c r="AB6" s="132">
        <f t="shared" ref="AB6:AB33" si="29">(1+AA6)^(1/2) - 1</f>
        <v>2.6480658124813479</v>
      </c>
      <c r="AC6" s="132">
        <f t="shared" ref="AC6:AC33" si="30">4*PI()*0.072*AB6*Z6*$AH$1/(1000*A6*(1/1000000000))</f>
        <v>1.142975741612135E-2</v>
      </c>
      <c r="AD6" s="132">
        <f t="shared" ref="AD6:AD33" si="31">Z6/(AB6*$AH$1)</f>
        <v>5.815830867133668E-3</v>
      </c>
      <c r="AE6" s="132">
        <f t="shared" ref="AE6:AE33" si="32">A6*(1/1000000000)/(PI()*Z6^3)</f>
        <v>799.20924777032678</v>
      </c>
      <c r="AF6" s="132">
        <f t="shared" ref="AF6:AF33" si="33">Z6*AB6</f>
        <v>1.4355290333940675E-2</v>
      </c>
      <c r="AG6" s="132">
        <f t="shared" ref="AG6:AG33" si="34">(AC6*(1 - COS(150*PI()/180) + 2^(1/2)*AD6^(1/2) - (9/2)^(1/3)*AD6*AE6^(2/3)))^(1/2)</f>
        <v>0.11449707988007064</v>
      </c>
      <c r="AH6" s="132">
        <f t="shared" ref="AH6:AH33" si="35">1000*AG6^2*AI6/0.072</f>
        <v>8.3223655067757498</v>
      </c>
      <c r="AI6" s="132">
        <f t="shared" ref="AI6:AI33" si="36">(3*A6*(1/1000000000)/(4*PI()))^(1/3)</f>
        <v>4.5707814973408332E-2</v>
      </c>
    </row>
    <row r="7" spans="1:35" x14ac:dyDescent="0.25">
      <c r="A7" s="141">
        <v>300000</v>
      </c>
      <c r="B7" s="145">
        <f t="shared" si="9"/>
        <v>300</v>
      </c>
      <c r="C7" s="143">
        <v>52010.453225693491</v>
      </c>
      <c r="D7" s="146">
        <f t="shared" si="10"/>
        <v>3.7447526322499316</v>
      </c>
      <c r="E7" s="157">
        <v>109591.633982332</v>
      </c>
      <c r="F7" s="150">
        <f t="shared" si="11"/>
        <v>7.8905976467279046</v>
      </c>
      <c r="G7" s="145">
        <v>51873.1</v>
      </c>
      <c r="H7" s="145">
        <f t="shared" si="12"/>
        <v>3.7348631999999999</v>
      </c>
      <c r="I7" s="149">
        <v>21552.54659192438</v>
      </c>
      <c r="J7" s="150">
        <f t="shared" si="13"/>
        <v>1.5517833546185553</v>
      </c>
      <c r="K7" s="148">
        <f t="shared" si="14"/>
        <v>41.528305920770727</v>
      </c>
      <c r="L7" s="149">
        <f t="shared" si="15"/>
        <v>21671.965182424083</v>
      </c>
      <c r="M7" s="150">
        <v>7.2000000000000002E-5</v>
      </c>
      <c r="N7" s="147">
        <f t="shared" si="16"/>
        <v>1.5603814931345339</v>
      </c>
      <c r="O7" s="151">
        <f t="shared" si="17"/>
        <v>2.1843711391153979</v>
      </c>
      <c r="P7" s="151">
        <f t="shared" si="18"/>
        <v>6.330216153593371</v>
      </c>
      <c r="Q7" s="151">
        <f t="shared" si="19"/>
        <v>2.1744817068654658</v>
      </c>
      <c r="R7" s="150">
        <f t="shared" si="20"/>
        <v>-8.5981385159785706E-3</v>
      </c>
      <c r="S7" s="147">
        <f t="shared" si="21"/>
        <v>0.1206750772146814</v>
      </c>
      <c r="T7" s="147">
        <f t="shared" si="22"/>
        <v>8.4581102946094813</v>
      </c>
      <c r="U7" s="147">
        <f t="shared" si="23"/>
        <v>0.20542989320923041</v>
      </c>
      <c r="V7" s="147">
        <f t="shared" si="24"/>
        <v>24.511249694268542</v>
      </c>
      <c r="W7" s="147">
        <f t="shared" si="25"/>
        <v>0.12040159763240868</v>
      </c>
      <c r="X7" s="132">
        <f t="shared" si="26"/>
        <v>8.4198173931775084</v>
      </c>
      <c r="Z7" s="132">
        <f t="shared" si="27"/>
        <v>5.4210474174315069E-3</v>
      </c>
      <c r="AA7" s="132">
        <f t="shared" si="28"/>
        <v>9.2312881291463977</v>
      </c>
      <c r="AB7" s="132">
        <f t="shared" si="29"/>
        <v>2.1986384805329906</v>
      </c>
      <c r="AC7" s="132">
        <f t="shared" si="30"/>
        <v>1.2653212449023414E-2</v>
      </c>
      <c r="AD7" s="132">
        <f t="shared" si="31"/>
        <v>7.0046544835770377E-3</v>
      </c>
      <c r="AE7" s="132">
        <f t="shared" si="32"/>
        <v>599.40693582774509</v>
      </c>
      <c r="AF7" s="132">
        <f t="shared" si="33"/>
        <v>1.1918923456758901E-2</v>
      </c>
      <c r="AG7" s="132">
        <f t="shared" si="34"/>
        <v>0.12126961092079189</v>
      </c>
      <c r="AH7" s="132">
        <f t="shared" si="35"/>
        <v>8.4823402083576607</v>
      </c>
      <c r="AI7" s="132">
        <f t="shared" si="36"/>
        <v>4.152830592077076E-2</v>
      </c>
    </row>
    <row r="8" spans="1:35" x14ac:dyDescent="0.25">
      <c r="A8" s="141">
        <v>200000</v>
      </c>
      <c r="B8" s="145">
        <f t="shared" si="9"/>
        <v>200</v>
      </c>
      <c r="C8" s="143">
        <v>40027.640830268268</v>
      </c>
      <c r="D8" s="146">
        <f t="shared" si="10"/>
        <v>2.8819901397793153</v>
      </c>
      <c r="E8" s="157">
        <v>73767.889496306903</v>
      </c>
      <c r="F8" s="150">
        <f t="shared" si="11"/>
        <v>5.3112880437340975</v>
      </c>
      <c r="G8" s="145">
        <v>39888.6</v>
      </c>
      <c r="H8" s="145">
        <f t="shared" si="12"/>
        <v>2.8719792000000002</v>
      </c>
      <c r="I8" s="149">
        <v>16447.671364713413</v>
      </c>
      <c r="J8" s="150">
        <f t="shared" si="13"/>
        <v>1.1842323382593658</v>
      </c>
      <c r="K8" s="148">
        <f t="shared" si="14"/>
        <v>36.278316785978106</v>
      </c>
      <c r="L8" s="149">
        <f t="shared" si="15"/>
        <v>16538.804805627195</v>
      </c>
      <c r="M8" s="150">
        <v>7.2000000000000002E-5</v>
      </c>
      <c r="N8" s="147">
        <f t="shared" si="16"/>
        <v>1.190793946005158</v>
      </c>
      <c r="O8" s="151">
        <f t="shared" si="17"/>
        <v>1.6911961937741573</v>
      </c>
      <c r="P8" s="151">
        <f t="shared" si="18"/>
        <v>4.1204940977289395</v>
      </c>
      <c r="Q8" s="151">
        <f t="shared" si="19"/>
        <v>1.6811852539948422</v>
      </c>
      <c r="R8" s="150">
        <f t="shared" si="20"/>
        <v>-6.5616077457921751E-3</v>
      </c>
      <c r="S8" s="147">
        <f t="shared" si="21"/>
        <v>0.13004599931463318</v>
      </c>
      <c r="T8" s="147">
        <f t="shared" si="22"/>
        <v>8.5809442328642369</v>
      </c>
      <c r="U8" s="147">
        <f t="shared" si="23"/>
        <v>0.20299000216091775</v>
      </c>
      <c r="V8" s="147">
        <f t="shared" si="24"/>
        <v>20.906935691211682</v>
      </c>
      <c r="W8" s="147">
        <f t="shared" si="25"/>
        <v>0.12966052807214853</v>
      </c>
      <c r="X8" s="132">
        <f t="shared" si="26"/>
        <v>8.5301498210265656</v>
      </c>
      <c r="Z8" s="132">
        <f t="shared" si="27"/>
        <v>5.4210474174315069E-3</v>
      </c>
      <c r="AA8" s="132">
        <f t="shared" si="28"/>
        <v>6.1541920860975976</v>
      </c>
      <c r="AB8" s="132">
        <f t="shared" si="29"/>
        <v>1.6747321522159182</v>
      </c>
      <c r="AC8" s="132">
        <f t="shared" si="30"/>
        <v>1.4457180139998194E-2</v>
      </c>
      <c r="AD8" s="132">
        <f t="shared" si="31"/>
        <v>9.1959199983430266E-3</v>
      </c>
      <c r="AE8" s="132">
        <f t="shared" si="32"/>
        <v>399.60462388516339</v>
      </c>
      <c r="AF8" s="132">
        <f t="shared" si="33"/>
        <v>9.0788024086596135E-3</v>
      </c>
      <c r="AG8" s="132">
        <f t="shared" si="34"/>
        <v>0.13049964896968036</v>
      </c>
      <c r="AH8" s="132">
        <f t="shared" si="35"/>
        <v>8.5809094537348471</v>
      </c>
      <c r="AI8" s="132">
        <f t="shared" si="36"/>
        <v>3.6278316785978093E-2</v>
      </c>
    </row>
    <row r="9" spans="1:35" x14ac:dyDescent="0.25">
      <c r="A9" s="141">
        <v>166000</v>
      </c>
      <c r="B9" s="145">
        <f t="shared" si="9"/>
        <v>166</v>
      </c>
      <c r="C9" s="142">
        <v>35402.713646251301</v>
      </c>
      <c r="D9" s="146">
        <f t="shared" si="10"/>
        <v>2.5489953825300939</v>
      </c>
      <c r="E9" s="156">
        <v>61490.695072534101</v>
      </c>
      <c r="F9" s="150">
        <f t="shared" si="11"/>
        <v>4.4273300452224555</v>
      </c>
      <c r="G9" s="145">
        <v>35216.199999999997</v>
      </c>
      <c r="H9" s="145">
        <f t="shared" si="12"/>
        <v>2.5355664</v>
      </c>
      <c r="I9" s="149">
        <v>14526.349250443771</v>
      </c>
      <c r="J9" s="150">
        <f t="shared" si="13"/>
        <v>1.0458971460319515</v>
      </c>
      <c r="K9" s="148">
        <f t="shared" si="14"/>
        <v>34.093623398066065</v>
      </c>
      <c r="L9" s="149">
        <f t="shared" si="15"/>
        <v>14606.837008361188</v>
      </c>
      <c r="M9" s="150">
        <v>7.2000000000000002E-5</v>
      </c>
      <c r="N9" s="147">
        <f t="shared" si="16"/>
        <v>1.0516922646020055</v>
      </c>
      <c r="O9" s="151">
        <f t="shared" si="17"/>
        <v>1.4973031179280885</v>
      </c>
      <c r="P9" s="151">
        <f t="shared" si="18"/>
        <v>3.3756377806204503</v>
      </c>
      <c r="Q9" s="151">
        <f t="shared" si="19"/>
        <v>1.4838741353979945</v>
      </c>
      <c r="R9" s="150">
        <f t="shared" si="20"/>
        <v>-5.795118570053992E-3</v>
      </c>
      <c r="S9" s="147">
        <f t="shared" si="21"/>
        <v>0.13431230994046389</v>
      </c>
      <c r="T9" s="147">
        <f t="shared" si="22"/>
        <v>8.601986454695485</v>
      </c>
      <c r="U9" s="147">
        <f t="shared" si="23"/>
        <v>0.20166887391531318</v>
      </c>
      <c r="V9" s="147">
        <f t="shared" si="24"/>
        <v>19.392994055229117</v>
      </c>
      <c r="W9" s="147">
        <f t="shared" si="25"/>
        <v>0.13370864456459478</v>
      </c>
      <c r="X9" s="132">
        <f t="shared" si="26"/>
        <v>8.5248371290572305</v>
      </c>
      <c r="Z9" s="132">
        <f t="shared" si="27"/>
        <v>5.4210474174315069E-3</v>
      </c>
      <c r="AA9" s="132">
        <f t="shared" si="28"/>
        <v>5.1079794314610067</v>
      </c>
      <c r="AB9" s="132">
        <f t="shared" si="29"/>
        <v>1.471432667798378</v>
      </c>
      <c r="AC9" s="132">
        <f t="shared" si="30"/>
        <v>1.5303844197710475E-2</v>
      </c>
      <c r="AD9" s="132">
        <f t="shared" si="31"/>
        <v>1.0466467971975656E-2</v>
      </c>
      <c r="AE9" s="132">
        <f t="shared" si="32"/>
        <v>331.67183782468567</v>
      </c>
      <c r="AF9" s="132">
        <f t="shared" si="33"/>
        <v>7.97670626369275E-3</v>
      </c>
      <c r="AG9" s="132">
        <f t="shared" si="34"/>
        <v>0.1345383387522868</v>
      </c>
      <c r="AH9" s="132">
        <f t="shared" si="35"/>
        <v>8.5710254523316411</v>
      </c>
      <c r="AI9" s="132">
        <f t="shared" si="36"/>
        <v>3.4093623398066056E-2</v>
      </c>
    </row>
    <row r="10" spans="1:35" x14ac:dyDescent="0.25">
      <c r="A10" s="141">
        <v>133000</v>
      </c>
      <c r="B10" s="145">
        <f t="shared" si="9"/>
        <v>133</v>
      </c>
      <c r="C10" s="142">
        <v>30436.44646822472</v>
      </c>
      <c r="D10" s="146">
        <f t="shared" si="10"/>
        <v>2.1914241457121797</v>
      </c>
      <c r="E10" s="156">
        <v>49554.964756543799</v>
      </c>
      <c r="F10" s="150">
        <f t="shared" si="11"/>
        <v>3.5679574624711536</v>
      </c>
      <c r="G10" s="145">
        <v>30263.599999999999</v>
      </c>
      <c r="H10" s="145">
        <f t="shared" si="12"/>
        <v>2.1789792000000001</v>
      </c>
      <c r="I10" s="149">
        <v>12530.993848295035</v>
      </c>
      <c r="J10" s="150">
        <f t="shared" si="13"/>
        <v>0.90223155707724256</v>
      </c>
      <c r="K10" s="148">
        <f t="shared" si="14"/>
        <v>31.665596774742404</v>
      </c>
      <c r="L10" s="149">
        <f t="shared" si="15"/>
        <v>12600.425718749009</v>
      </c>
      <c r="M10" s="150">
        <v>7.2000000000000002E-5</v>
      </c>
      <c r="N10" s="147">
        <f t="shared" si="16"/>
        <v>0.90723065174992867</v>
      </c>
      <c r="O10" s="151">
        <f t="shared" si="17"/>
        <v>1.284193493962251</v>
      </c>
      <c r="P10" s="151">
        <f t="shared" si="18"/>
        <v>2.6607268107212247</v>
      </c>
      <c r="Q10" s="151">
        <f t="shared" si="19"/>
        <v>1.2717485482500714</v>
      </c>
      <c r="R10" s="150">
        <f t="shared" si="20"/>
        <v>-4.9990946726861107E-3</v>
      </c>
      <c r="S10" s="147">
        <f t="shared" si="21"/>
        <v>0.13896467306597962</v>
      </c>
      <c r="T10" s="147">
        <f t="shared" si="22"/>
        <v>8.5524482592262974</v>
      </c>
      <c r="U10" s="147">
        <f t="shared" si="23"/>
        <v>0.20002732184511618</v>
      </c>
      <c r="V10" s="147">
        <f t="shared" si="24"/>
        <v>17.719859575381392</v>
      </c>
      <c r="W10" s="147">
        <f t="shared" si="25"/>
        <v>0.13828968985267825</v>
      </c>
      <c r="X10" s="132">
        <f t="shared" si="26"/>
        <v>8.4695676382040688</v>
      </c>
      <c r="Z10" s="132">
        <f t="shared" si="27"/>
        <v>5.4210474174315069E-3</v>
      </c>
      <c r="AA10" s="132">
        <f t="shared" si="28"/>
        <v>4.0925377372549026</v>
      </c>
      <c r="AB10" s="132">
        <f t="shared" si="29"/>
        <v>1.2566651805828224</v>
      </c>
      <c r="AC10" s="132">
        <f t="shared" si="30"/>
        <v>1.6313087697065978E-2</v>
      </c>
      <c r="AD10" s="132">
        <f t="shared" si="31"/>
        <v>1.2255215731598296E-2</v>
      </c>
      <c r="AE10" s="132">
        <f t="shared" si="32"/>
        <v>265.73707488363368</v>
      </c>
      <c r="AF10" s="132">
        <f t="shared" si="33"/>
        <v>6.8124415317746077E-3</v>
      </c>
      <c r="AG10" s="132">
        <f t="shared" si="34"/>
        <v>0.13911152182470596</v>
      </c>
      <c r="AH10" s="132">
        <f t="shared" si="35"/>
        <v>8.5110155519505479</v>
      </c>
      <c r="AI10" s="132">
        <f t="shared" si="36"/>
        <v>3.1665596774742427E-2</v>
      </c>
    </row>
    <row r="11" spans="1:35" x14ac:dyDescent="0.25">
      <c r="A11" s="141">
        <v>100000</v>
      </c>
      <c r="B11" s="145">
        <f t="shared" si="9"/>
        <v>100</v>
      </c>
      <c r="C11" s="143">
        <v>24921.127270923782</v>
      </c>
      <c r="D11" s="146">
        <f t="shared" si="10"/>
        <v>1.7943211635065124</v>
      </c>
      <c r="E11" s="157">
        <v>37547.842896485607</v>
      </c>
      <c r="F11" s="150">
        <f t="shared" si="11"/>
        <v>2.7034446885469636</v>
      </c>
      <c r="G11" s="145">
        <v>24763</v>
      </c>
      <c r="H11" s="145">
        <f t="shared" si="12"/>
        <v>1.7829360000000001</v>
      </c>
      <c r="I11" s="149">
        <v>10361.383687077787</v>
      </c>
      <c r="J11" s="150">
        <f t="shared" si="13"/>
        <v>0.74601962546960066</v>
      </c>
      <c r="K11" s="148">
        <f t="shared" si="14"/>
        <v>28.794119114848609</v>
      </c>
      <c r="L11" s="149">
        <f t="shared" si="15"/>
        <v>10418.794157356089</v>
      </c>
      <c r="M11" s="150">
        <v>7.2000000000000002E-5</v>
      </c>
      <c r="N11" s="147">
        <f t="shared" si="16"/>
        <v>0.75015317932963843</v>
      </c>
      <c r="O11" s="151">
        <f t="shared" si="17"/>
        <v>1.0441679841768741</v>
      </c>
      <c r="P11" s="151">
        <f t="shared" si="18"/>
        <v>1.9532915092173253</v>
      </c>
      <c r="Q11" s="151">
        <f t="shared" si="19"/>
        <v>1.0327828206703615</v>
      </c>
      <c r="R11" s="150">
        <f t="shared" si="20"/>
        <v>-4.1335538600377753E-3</v>
      </c>
      <c r="S11" s="147">
        <f t="shared" si="21"/>
        <v>0.14451075975005281</v>
      </c>
      <c r="T11" s="147">
        <f t="shared" si="22"/>
        <v>8.4100412062378407</v>
      </c>
      <c r="U11" s="147">
        <f t="shared" si="23"/>
        <v>0.1976507783550232</v>
      </c>
      <c r="V11" s="147">
        <f t="shared" si="24"/>
        <v>15.732393953126179</v>
      </c>
      <c r="W11" s="147">
        <f t="shared" si="25"/>
        <v>0.14372075846379057</v>
      </c>
      <c r="X11" s="132">
        <f t="shared" si="26"/>
        <v>8.3183416945878932</v>
      </c>
      <c r="Z11" s="132">
        <f t="shared" si="27"/>
        <v>5.4210474174315069E-3</v>
      </c>
      <c r="AA11" s="132">
        <f t="shared" si="28"/>
        <v>3.0770960430487988</v>
      </c>
      <c r="AB11" s="132">
        <f t="shared" si="29"/>
        <v>1.0191820232581308</v>
      </c>
      <c r="AC11" s="132">
        <f t="shared" si="30"/>
        <v>1.7596244373997004E-2</v>
      </c>
      <c r="AD11" s="132">
        <f t="shared" si="31"/>
        <v>1.5110846285531318E-2</v>
      </c>
      <c r="AE11" s="132">
        <f t="shared" si="32"/>
        <v>199.8023119425817</v>
      </c>
      <c r="AF11" s="132">
        <f t="shared" si="33"/>
        <v>5.5250340750761075E-3</v>
      </c>
      <c r="AG11" s="132">
        <f t="shared" si="34"/>
        <v>0.14453710498873423</v>
      </c>
      <c r="AH11" s="132">
        <f t="shared" si="35"/>
        <v>8.3546835343122474</v>
      </c>
      <c r="AI11" s="132">
        <f t="shared" si="36"/>
        <v>2.8794119114848603E-2</v>
      </c>
    </row>
    <row r="12" spans="1:35" x14ac:dyDescent="0.25">
      <c r="A12" s="141">
        <v>90000</v>
      </c>
      <c r="B12" s="145">
        <f t="shared" si="9"/>
        <v>90</v>
      </c>
      <c r="C12" s="143">
        <v>23107.212981101271</v>
      </c>
      <c r="D12" s="146">
        <f t="shared" si="10"/>
        <v>1.6637193346392916</v>
      </c>
      <c r="E12" s="157">
        <v>33884.436471632609</v>
      </c>
      <c r="F12" s="150">
        <f t="shared" si="11"/>
        <v>2.4396794259575478</v>
      </c>
      <c r="G12" s="145">
        <v>22956.799999999999</v>
      </c>
      <c r="H12" s="145">
        <f t="shared" si="12"/>
        <v>1.6528896</v>
      </c>
      <c r="I12" s="149">
        <v>9658.5684597444397</v>
      </c>
      <c r="J12" s="150">
        <f t="shared" si="13"/>
        <v>0.69541692910159969</v>
      </c>
      <c r="K12" s="148">
        <f t="shared" si="14"/>
        <v>27.800416344456377</v>
      </c>
      <c r="L12" s="149">
        <f t="shared" si="15"/>
        <v>9712.08476357369</v>
      </c>
      <c r="M12" s="150">
        <v>7.2000000000000002E-5</v>
      </c>
      <c r="N12" s="147">
        <f t="shared" si="16"/>
        <v>0.69927010297730574</v>
      </c>
      <c r="O12" s="151">
        <f t="shared" si="17"/>
        <v>0.96444923166198582</v>
      </c>
      <c r="P12" s="151">
        <f t="shared" si="18"/>
        <v>1.7404093229802422</v>
      </c>
      <c r="Q12" s="151">
        <f t="shared" si="19"/>
        <v>0.95361949702269422</v>
      </c>
      <c r="R12" s="150">
        <f t="shared" si="20"/>
        <v>-3.8531738757060507E-3</v>
      </c>
      <c r="S12" s="147">
        <f t="shared" si="21"/>
        <v>0.14639742193100302</v>
      </c>
      <c r="T12" s="147">
        <f t="shared" si="22"/>
        <v>8.3332059621738193</v>
      </c>
      <c r="U12" s="147">
        <f t="shared" si="23"/>
        <v>0.1966615436044736</v>
      </c>
      <c r="V12" s="147">
        <f t="shared" si="24"/>
        <v>15.037794495298895</v>
      </c>
      <c r="W12" s="147">
        <f t="shared" si="25"/>
        <v>0.14557315816551517</v>
      </c>
      <c r="X12" s="132">
        <f t="shared" si="26"/>
        <v>8.2396329608149141</v>
      </c>
      <c r="Z12" s="132">
        <f t="shared" si="27"/>
        <v>5.4210474174315069E-3</v>
      </c>
      <c r="AA12" s="132">
        <f t="shared" si="28"/>
        <v>2.7693864387439189</v>
      </c>
      <c r="AB12" s="132">
        <f t="shared" si="29"/>
        <v>0.94149077740377618</v>
      </c>
      <c r="AC12" s="132">
        <f t="shared" si="30"/>
        <v>1.8060999918456038E-2</v>
      </c>
      <c r="AD12" s="132">
        <f t="shared" si="31"/>
        <v>1.6357784122855549E-2</v>
      </c>
      <c r="AE12" s="132">
        <f t="shared" si="32"/>
        <v>179.82208074832354</v>
      </c>
      <c r="AF12" s="132">
        <f t="shared" si="33"/>
        <v>5.1038661473803227E-3</v>
      </c>
      <c r="AG12" s="132">
        <f t="shared" si="34"/>
        <v>0.14638894271631389</v>
      </c>
      <c r="AH12" s="132">
        <f t="shared" si="35"/>
        <v>8.2743779031260001</v>
      </c>
      <c r="AI12" s="132">
        <f t="shared" si="36"/>
        <v>2.7800416344456395E-2</v>
      </c>
    </row>
    <row r="13" spans="1:35" x14ac:dyDescent="0.25">
      <c r="A13" s="141">
        <v>80000</v>
      </c>
      <c r="B13" s="145">
        <f t="shared" si="9"/>
        <v>80</v>
      </c>
      <c r="C13" s="143">
        <v>21216.892257667452</v>
      </c>
      <c r="D13" s="146">
        <f t="shared" si="10"/>
        <v>1.5276162425520565</v>
      </c>
      <c r="E13" s="157">
        <v>30229.324022078399</v>
      </c>
      <c r="F13" s="150">
        <f t="shared" si="11"/>
        <v>2.176511329589645</v>
      </c>
      <c r="G13" s="145">
        <v>21071.200000000001</v>
      </c>
      <c r="H13" s="145">
        <f t="shared" si="12"/>
        <v>1.5171264</v>
      </c>
      <c r="I13" s="149">
        <v>8929.1697808683311</v>
      </c>
      <c r="J13" s="150">
        <f t="shared" si="13"/>
        <v>0.64290022422251991</v>
      </c>
      <c r="K13" s="148">
        <f t="shared" si="14"/>
        <v>26.730092351439506</v>
      </c>
      <c r="L13" s="149">
        <f t="shared" si="15"/>
        <v>8978.6446243637802</v>
      </c>
      <c r="M13" s="150">
        <v>7.2000000000000002E-5</v>
      </c>
      <c r="N13" s="147">
        <f t="shared" si="16"/>
        <v>0.64646241295419216</v>
      </c>
      <c r="O13" s="151">
        <f t="shared" si="17"/>
        <v>0.88115382959786437</v>
      </c>
      <c r="P13" s="151">
        <f t="shared" si="18"/>
        <v>1.5300489166354527</v>
      </c>
      <c r="Q13" s="151">
        <f t="shared" si="19"/>
        <v>0.87066398704580783</v>
      </c>
      <c r="R13" s="150">
        <f t="shared" si="20"/>
        <v>-3.5621887316722445E-3</v>
      </c>
      <c r="S13" s="147">
        <f t="shared" si="21"/>
        <v>0.14842117685811082</v>
      </c>
      <c r="T13" s="147">
        <f t="shared" si="22"/>
        <v>8.2354277066347912</v>
      </c>
      <c r="U13" s="147">
        <f t="shared" si="23"/>
        <v>0.19557919857665415</v>
      </c>
      <c r="V13" s="147">
        <f t="shared" si="24"/>
        <v>14.300121973386579</v>
      </c>
      <c r="W13" s="147">
        <f t="shared" si="25"/>
        <v>0.14753507947652719</v>
      </c>
      <c r="X13" s="132">
        <f t="shared" si="26"/>
        <v>8.1373876855968454</v>
      </c>
      <c r="Z13" s="132">
        <f t="shared" si="27"/>
        <v>5.4210474174315069E-3</v>
      </c>
      <c r="AA13" s="132">
        <f t="shared" si="28"/>
        <v>2.4616768344390394</v>
      </c>
      <c r="AB13" s="132">
        <f t="shared" si="29"/>
        <v>0.86055820506616754</v>
      </c>
      <c r="AC13" s="132">
        <f t="shared" si="30"/>
        <v>1.8571992206535059E-2</v>
      </c>
      <c r="AD13" s="132">
        <f t="shared" si="31"/>
        <v>1.7896178085067785E-2</v>
      </c>
      <c r="AE13" s="132">
        <f t="shared" si="32"/>
        <v>159.84184955406536</v>
      </c>
      <c r="AF13" s="132">
        <f t="shared" si="33"/>
        <v>4.6651268351234404E-3</v>
      </c>
      <c r="AG13" s="132">
        <f t="shared" si="34"/>
        <v>0.1483504620817927</v>
      </c>
      <c r="AH13" s="132">
        <f t="shared" si="35"/>
        <v>8.1704461050325712</v>
      </c>
      <c r="AI13" s="132">
        <f t="shared" si="36"/>
        <v>2.6730092351439524E-2</v>
      </c>
    </row>
    <row r="14" spans="1:35" x14ac:dyDescent="0.25">
      <c r="A14" s="141">
        <v>70000</v>
      </c>
      <c r="B14" s="145">
        <f>A14/1000</f>
        <v>70</v>
      </c>
      <c r="C14" s="143">
        <v>19235.829543739004</v>
      </c>
      <c r="D14" s="146">
        <f t="shared" si="10"/>
        <v>1.3849797271492084</v>
      </c>
      <c r="E14" s="157">
        <v>26571.107373991199</v>
      </c>
      <c r="F14" s="150">
        <f>E14*M14</f>
        <v>1.9131197309273664</v>
      </c>
      <c r="G14" s="145">
        <v>19094.599999999999</v>
      </c>
      <c r="H14" s="145">
        <f t="shared" si="12"/>
        <v>1.3748111999999999</v>
      </c>
      <c r="I14" s="149">
        <v>8168.6404912240105</v>
      </c>
      <c r="J14" s="150">
        <f t="shared" si="13"/>
        <v>0.58814211536812877</v>
      </c>
      <c r="K14" s="148">
        <f t="shared" si="14"/>
        <v>25.56641358872719</v>
      </c>
      <c r="L14" s="149">
        <f t="shared" si="15"/>
        <v>8213.9013855503654</v>
      </c>
      <c r="M14" s="150">
        <v>7.2000000000000002E-5</v>
      </c>
      <c r="N14" s="147">
        <f t="shared" si="16"/>
        <v>0.59140089975962629</v>
      </c>
      <c r="O14" s="151">
        <f t="shared" si="17"/>
        <v>0.79357882738958208</v>
      </c>
      <c r="P14" s="151">
        <f t="shared" si="18"/>
        <v>1.3217188311677401</v>
      </c>
      <c r="Q14" s="151">
        <f t="shared" si="19"/>
        <v>0.78341030024037361</v>
      </c>
      <c r="R14" s="150">
        <f t="shared" si="20"/>
        <v>-3.2587843914975156E-3</v>
      </c>
      <c r="S14" s="147">
        <f t="shared" si="21"/>
        <v>0.15057782301042702</v>
      </c>
      <c r="T14" s="147">
        <f t="shared" si="22"/>
        <v>8.1074783281914868</v>
      </c>
      <c r="U14" s="147">
        <f t="shared" si="23"/>
        <v>0.19432806070205391</v>
      </c>
      <c r="V14" s="147">
        <f t="shared" si="24"/>
        <v>13.503140973284129</v>
      </c>
      <c r="W14" s="147">
        <f t="shared" si="25"/>
        <v>0.14960999777902292</v>
      </c>
      <c r="X14" s="132">
        <f t="shared" si="26"/>
        <v>8.0035931051405953</v>
      </c>
      <c r="Z14" s="132">
        <f t="shared" si="27"/>
        <v>5.4210474174315069E-3</v>
      </c>
      <c r="AA14" s="132">
        <f t="shared" si="28"/>
        <v>2.1539672301341595</v>
      </c>
      <c r="AB14" s="132">
        <f t="shared" si="29"/>
        <v>0.77594122372733931</v>
      </c>
      <c r="AC14" s="132">
        <f t="shared" si="30"/>
        <v>1.9138108630230494E-2</v>
      </c>
      <c r="AD14" s="132">
        <f t="shared" si="31"/>
        <v>1.9847769933463575E-2</v>
      </c>
      <c r="AE14" s="132">
        <f t="shared" si="32"/>
        <v>139.86161835980721</v>
      </c>
      <c r="AF14" s="132">
        <f t="shared" si="33"/>
        <v>4.2064141669657358E-3</v>
      </c>
      <c r="AG14" s="132">
        <f t="shared" si="34"/>
        <v>0.15042624519339773</v>
      </c>
      <c r="AH14" s="132">
        <f t="shared" si="35"/>
        <v>8.0349752645930739</v>
      </c>
      <c r="AI14" s="132">
        <f t="shared" si="36"/>
        <v>2.5566413588727195E-2</v>
      </c>
    </row>
    <row r="15" spans="1:35" x14ac:dyDescent="0.25">
      <c r="A15" s="145">
        <v>60000</v>
      </c>
      <c r="B15" s="145">
        <f t="shared" si="9"/>
        <v>60</v>
      </c>
      <c r="C15" s="152">
        <v>17136.607112650083</v>
      </c>
      <c r="D15" s="146">
        <f>C15*M15</f>
        <v>1.2338357121108059</v>
      </c>
      <c r="E15" s="146">
        <v>22914.59</v>
      </c>
      <c r="F15" s="150">
        <f>E15*M15</f>
        <v>1.64985048</v>
      </c>
      <c r="G15" s="145">
        <v>17012.5</v>
      </c>
      <c r="H15" s="145">
        <f t="shared" si="12"/>
        <v>1.2249000000000001</v>
      </c>
      <c r="I15" s="149">
        <v>7370.8672523639052</v>
      </c>
      <c r="J15" s="150">
        <f t="shared" si="13"/>
        <v>0.53070244217020124</v>
      </c>
      <c r="K15" s="148">
        <f>((3*A15)/(4*PI()))^(1/3)</f>
        <v>24.285900630052815</v>
      </c>
      <c r="L15" s="149">
        <f t="shared" ref="L15:L33" si="37">4*PI()*K15^2</f>
        <v>7411.7078358320159</v>
      </c>
      <c r="M15" s="150">
        <v>7.2000000000000002E-5</v>
      </c>
      <c r="N15" s="147">
        <f>L15*M15</f>
        <v>0.5336429641799052</v>
      </c>
      <c r="O15" s="151">
        <f>D15-N15</f>
        <v>0.70019274793090069</v>
      </c>
      <c r="P15" s="151">
        <f>F15-N15</f>
        <v>1.1162075158200948</v>
      </c>
      <c r="Q15" s="151">
        <f t="shared" si="19"/>
        <v>0.6912570358200949</v>
      </c>
      <c r="R15" s="150">
        <f t="shared" si="20"/>
        <v>-2.9405220097039608E-3</v>
      </c>
      <c r="S15" s="147">
        <f>(2*O15/B15)^0.5</f>
        <v>0.15277355224109754</v>
      </c>
      <c r="T15" s="147">
        <f t="shared" si="22"/>
        <v>7.9276510480808753</v>
      </c>
      <c r="U15" s="147">
        <f xml:space="preserve"> (2*P15/B15)^0.5</f>
        <v>0.19289094637645168</v>
      </c>
      <c r="V15" s="147">
        <f t="shared" si="24"/>
        <v>12.637811101037263</v>
      </c>
      <c r="W15" s="147">
        <f t="shared" si="25"/>
        <v>0.1517955901665235</v>
      </c>
      <c r="X15" s="132">
        <f t="shared" si="26"/>
        <v>7.826480038112674</v>
      </c>
      <c r="Z15" s="132">
        <f t="shared" si="27"/>
        <v>5.4210474174315069E-3</v>
      </c>
      <c r="AA15" s="132">
        <f t="shared" si="28"/>
        <v>1.8462576258292793</v>
      </c>
      <c r="AB15" s="132">
        <f t="shared" si="29"/>
        <v>0.687085541941866</v>
      </c>
      <c r="AC15" s="132">
        <f t="shared" si="30"/>
        <v>1.9770961460510942E-2</v>
      </c>
      <c r="AD15" s="132">
        <f t="shared" si="31"/>
        <v>2.2414534945538796E-2</v>
      </c>
      <c r="AE15" s="132">
        <f t="shared" si="32"/>
        <v>119.88138716554901</v>
      </c>
      <c r="AF15" s="132">
        <f t="shared" si="33"/>
        <v>3.7247233026984801E-3</v>
      </c>
      <c r="AG15" s="132">
        <f t="shared" si="34"/>
        <v>0.15261421554924864</v>
      </c>
      <c r="AH15" s="132">
        <f t="shared" si="35"/>
        <v>7.8561848711545821</v>
      </c>
      <c r="AI15" s="132">
        <f t="shared" si="36"/>
        <v>2.4285900630052808E-2</v>
      </c>
    </row>
    <row r="16" spans="1:35" x14ac:dyDescent="0.25">
      <c r="A16" s="145">
        <v>50000</v>
      </c>
      <c r="B16" s="145">
        <f t="shared" si="9"/>
        <v>50</v>
      </c>
      <c r="C16" s="152">
        <v>14907.865541719017</v>
      </c>
      <c r="D16" s="146">
        <f>C16*M16</f>
        <v>1.0733663190037692</v>
      </c>
      <c r="E16" s="146">
        <f>36709.81-17464.55</f>
        <v>19245.259999999998</v>
      </c>
      <c r="F16" s="150">
        <f>E16*M16</f>
        <v>1.3856587199999999</v>
      </c>
      <c r="G16" s="145">
        <v>14805.9</v>
      </c>
      <c r="H16" s="145">
        <f t="shared" si="12"/>
        <v>1.0660248000000001</v>
      </c>
      <c r="I16" s="149">
        <v>6527.2627066933273</v>
      </c>
      <c r="J16" s="150">
        <f t="shared" si="13"/>
        <v>0.4699629148819196</v>
      </c>
      <c r="K16" s="148">
        <f t="shared" ref="K16:K33" si="38">((3*A16)/(4*PI()))^(1/3)</f>
        <v>22.853907486704159</v>
      </c>
      <c r="L16" s="149">
        <f t="shared" si="37"/>
        <v>6563.4290366873265</v>
      </c>
      <c r="M16" s="150">
        <v>7.2000000000000002E-5</v>
      </c>
      <c r="N16" s="147">
        <f t="shared" ref="N16:N33" si="39">L16*M16</f>
        <v>0.47256689064148755</v>
      </c>
      <c r="O16" s="151">
        <f t="shared" ref="O16:O27" si="40">D16-N16</f>
        <v>0.60079942836228173</v>
      </c>
      <c r="P16" s="151">
        <f t="shared" ref="P16:P33" si="41">F16-N16</f>
        <v>0.91309182935851241</v>
      </c>
      <c r="Q16" s="151">
        <f t="shared" si="19"/>
        <v>0.59345790935851261</v>
      </c>
      <c r="R16" s="150">
        <f t="shared" si="20"/>
        <v>-2.6039757595679447E-3</v>
      </c>
      <c r="S16" s="147">
        <f t="shared" ref="S16:S27" si="42">(2*O16/B16)^0.5</f>
        <v>0.15502250525162878</v>
      </c>
      <c r="T16" s="147">
        <f t="shared" si="22"/>
        <v>7.6814626874720728</v>
      </c>
      <c r="U16" s="147">
        <f t="shared" ref="U16:U33" si="43" xml:space="preserve"> (2*P16/B16)^0.5</f>
        <v>0.19111167723177067</v>
      </c>
      <c r="V16" s="147">
        <f t="shared" si="24"/>
        <v>11.674246822391554</v>
      </c>
      <c r="W16" s="147">
        <f t="shared" si="25"/>
        <v>0.15407243872393436</v>
      </c>
      <c r="X16" s="132">
        <f t="shared" si="26"/>
        <v>7.5875984099201759</v>
      </c>
      <c r="Z16" s="132">
        <f t="shared" si="27"/>
        <v>5.4210474174315069E-3</v>
      </c>
      <c r="AA16" s="132">
        <f t="shared" si="28"/>
        <v>1.5385480215243994</v>
      </c>
      <c r="AB16" s="132">
        <f t="shared" si="29"/>
        <v>0.59328215377076243</v>
      </c>
      <c r="AC16" s="132">
        <f t="shared" si="30"/>
        <v>2.0486110473393927E-2</v>
      </c>
      <c r="AD16" s="132">
        <f t="shared" si="31"/>
        <v>2.5958479945076988E-2</v>
      </c>
      <c r="AE16" s="132">
        <f t="shared" si="32"/>
        <v>99.901155971290848</v>
      </c>
      <c r="AF16" s="132">
        <f t="shared" si="33"/>
        <v>3.2162106875071937E-3</v>
      </c>
      <c r="AG16" s="132">
        <f t="shared" si="34"/>
        <v>0.15489592420758302</v>
      </c>
      <c r="AH16" s="132">
        <f t="shared" si="35"/>
        <v>7.6156670551608903</v>
      </c>
      <c r="AI16" s="132">
        <f t="shared" si="36"/>
        <v>2.2853907486704163E-2</v>
      </c>
    </row>
    <row r="17" spans="1:35" x14ac:dyDescent="0.25">
      <c r="A17" s="145">
        <v>40000</v>
      </c>
      <c r="B17" s="145">
        <f t="shared" si="9"/>
        <v>40</v>
      </c>
      <c r="C17" s="152">
        <v>12539.778902070211</v>
      </c>
      <c r="D17" s="146">
        <f>C17*M17</f>
        <v>0.90286408094905524</v>
      </c>
      <c r="E17" s="146">
        <f>29476.6-13924.47</f>
        <v>15552.13</v>
      </c>
      <c r="F17" s="150">
        <f t="shared" ref="F17:F33" si="44">E17*M17</f>
        <v>1.11975336</v>
      </c>
      <c r="G17" s="145">
        <v>12449.3</v>
      </c>
      <c r="H17" s="145">
        <f t="shared" si="12"/>
        <v>0.89634959999999997</v>
      </c>
      <c r="I17" s="149">
        <v>5625.0244825005993</v>
      </c>
      <c r="J17" s="150">
        <f t="shared" si="13"/>
        <v>0.40500176274004318</v>
      </c>
      <c r="K17" s="148">
        <f t="shared" si="38"/>
        <v>21.215688358941101</v>
      </c>
      <c r="L17" s="149">
        <f t="shared" si="37"/>
        <v>5656.1916808806891</v>
      </c>
      <c r="M17" s="150">
        <v>7.2000000000000002E-5</v>
      </c>
      <c r="N17" s="147">
        <f t="shared" si="39"/>
        <v>0.40724580102340963</v>
      </c>
      <c r="O17" s="151">
        <f t="shared" si="40"/>
        <v>0.49561827992564561</v>
      </c>
      <c r="P17" s="151">
        <f t="shared" si="41"/>
        <v>0.71250755897659035</v>
      </c>
      <c r="Q17" s="151">
        <f t="shared" si="19"/>
        <v>0.48910379897659034</v>
      </c>
      <c r="R17" s="150">
        <f t="shared" si="20"/>
        <v>-2.2440382833664452E-3</v>
      </c>
      <c r="S17" s="147">
        <f t="shared" si="42"/>
        <v>0.15741954769431363</v>
      </c>
      <c r="T17" s="147">
        <f t="shared" si="22"/>
        <v>7.3530650153125414</v>
      </c>
      <c r="U17" s="147">
        <f t="shared" si="43"/>
        <v>0.18874686209002128</v>
      </c>
      <c r="V17" s="147">
        <f t="shared" si="24"/>
        <v>10.570865961284747</v>
      </c>
      <c r="W17" s="147">
        <f t="shared" si="25"/>
        <v>0.15638155245689792</v>
      </c>
      <c r="X17" s="132">
        <f t="shared" si="26"/>
        <v>7.2564152267563049</v>
      </c>
      <c r="Z17" s="132">
        <f t="shared" si="27"/>
        <v>5.4210474174315069E-3</v>
      </c>
      <c r="AA17" s="132">
        <f t="shared" si="28"/>
        <v>1.2308384172195197</v>
      </c>
      <c r="AB17" s="132">
        <f t="shared" si="29"/>
        <v>0.49359914877436895</v>
      </c>
      <c r="AC17" s="132">
        <f t="shared" si="30"/>
        <v>2.1305054068911165E-2</v>
      </c>
      <c r="AD17" s="132">
        <f t="shared" si="31"/>
        <v>3.1200829516564447E-2</v>
      </c>
      <c r="AE17" s="132">
        <f t="shared" si="32"/>
        <v>79.920924777032681</v>
      </c>
      <c r="AF17" s="132">
        <f t="shared" si="33"/>
        <v>2.6758243907096827E-3</v>
      </c>
      <c r="AG17" s="132">
        <f t="shared" si="34"/>
        <v>0.15721181132089143</v>
      </c>
      <c r="AH17" s="132">
        <f t="shared" si="35"/>
        <v>7.2827428221536925</v>
      </c>
      <c r="AI17" s="132">
        <f t="shared" si="36"/>
        <v>2.1215688358941106E-2</v>
      </c>
    </row>
    <row r="18" spans="1:35" x14ac:dyDescent="0.25">
      <c r="A18" s="145">
        <v>30000</v>
      </c>
      <c r="B18" s="145">
        <f t="shared" si="9"/>
        <v>30</v>
      </c>
      <c r="C18" s="152">
        <v>9972.5656536386959</v>
      </c>
      <c r="D18" s="146">
        <f t="shared" ref="D18:D28" si="45">C18*M18</f>
        <v>0.71802472706198617</v>
      </c>
      <c r="E18" s="146">
        <f>22237.93-10405.76</f>
        <v>11832.17</v>
      </c>
      <c r="F18" s="150">
        <f t="shared" si="44"/>
        <v>0.85191623999999999</v>
      </c>
      <c r="G18" s="145">
        <v>9905.8799999999992</v>
      </c>
      <c r="H18" s="145">
        <f t="shared" si="12"/>
        <v>0.71322335999999997</v>
      </c>
      <c r="I18" s="149">
        <v>4643.3554036170381</v>
      </c>
      <c r="J18" s="150">
        <f t="shared" si="13"/>
        <v>0.33432158906042675</v>
      </c>
      <c r="K18" s="148">
        <f t="shared" si="38"/>
        <v>19.275732104070492</v>
      </c>
      <c r="L18" s="149">
        <f t="shared" si="37"/>
        <v>4669.0833590177635</v>
      </c>
      <c r="M18" s="150">
        <v>7.2000000000000002E-5</v>
      </c>
      <c r="N18" s="147">
        <f t="shared" si="39"/>
        <v>0.33617400184927898</v>
      </c>
      <c r="O18" s="151">
        <f t="shared" si="40"/>
        <v>0.38185072521270719</v>
      </c>
      <c r="P18" s="151">
        <f t="shared" si="41"/>
        <v>0.51574223815072107</v>
      </c>
      <c r="Q18" s="151">
        <f t="shared" si="19"/>
        <v>0.37704935815072099</v>
      </c>
      <c r="R18" s="150">
        <f t="shared" si="20"/>
        <v>-1.8524127888522313E-3</v>
      </c>
      <c r="S18" s="147">
        <f t="shared" si="42"/>
        <v>0.15955160611595384</v>
      </c>
      <c r="T18" s="147">
        <f t="shared" si="22"/>
        <v>6.8628925715106579</v>
      </c>
      <c r="U18" s="147">
        <f t="shared" si="43"/>
        <v>0.18542603883142933</v>
      </c>
      <c r="V18" s="147">
        <f t="shared" si="24"/>
        <v>9.2692859835403496</v>
      </c>
      <c r="W18" s="147">
        <f t="shared" si="25"/>
        <v>0.15854533697562578</v>
      </c>
      <c r="X18" s="132">
        <f t="shared" si="26"/>
        <v>6.7765989908858053</v>
      </c>
      <c r="Z18" s="132">
        <f t="shared" si="27"/>
        <v>5.4210474174315069E-3</v>
      </c>
      <c r="AA18" s="132">
        <f t="shared" si="28"/>
        <v>0.92312881291463966</v>
      </c>
      <c r="AB18" s="132">
        <f t="shared" si="29"/>
        <v>0.38676919958392486</v>
      </c>
      <c r="AC18" s="132">
        <f t="shared" si="30"/>
        <v>2.2258651862982832E-2</v>
      </c>
      <c r="AD18" s="132">
        <f t="shared" si="31"/>
        <v>3.9818845210523611E-2</v>
      </c>
      <c r="AE18" s="132">
        <f t="shared" si="32"/>
        <v>59.940693582774507</v>
      </c>
      <c r="AF18" s="132">
        <f t="shared" si="33"/>
        <v>2.0966941705464867E-3</v>
      </c>
      <c r="AG18" s="132">
        <f t="shared" si="34"/>
        <v>0.15938956929909173</v>
      </c>
      <c r="AH18" s="132">
        <f t="shared" si="35"/>
        <v>6.8013978461862452</v>
      </c>
      <c r="AI18" s="132">
        <f t="shared" si="36"/>
        <v>1.9275732104070489E-2</v>
      </c>
    </row>
    <row r="19" spans="1:35" x14ac:dyDescent="0.25">
      <c r="A19" s="145">
        <v>20000</v>
      </c>
      <c r="B19" s="145">
        <f t="shared" si="9"/>
        <v>20</v>
      </c>
      <c r="C19" s="152">
        <v>7159.9474583964129</v>
      </c>
      <c r="D19" s="146">
        <f t="shared" si="45"/>
        <v>0.51551621700454175</v>
      </c>
      <c r="E19" s="146">
        <f>14976.64-6891.81</f>
        <v>8084.829999999999</v>
      </c>
      <c r="F19" s="150">
        <f t="shared" si="44"/>
        <v>0.58210775999999997</v>
      </c>
      <c r="G19" s="145">
        <v>7119.5</v>
      </c>
      <c r="H19" s="145">
        <f t="shared" si="12"/>
        <v>0.51260400000000006</v>
      </c>
      <c r="I19" s="149">
        <v>3543.5433758382633</v>
      </c>
      <c r="J19" s="150">
        <f t="shared" si="13"/>
        <v>0.25513512306035496</v>
      </c>
      <c r="K19" s="148">
        <f t="shared" si="38"/>
        <v>16.838903009606291</v>
      </c>
      <c r="L19" s="149">
        <f t="shared" si="37"/>
        <v>3563.177480490921</v>
      </c>
      <c r="M19" s="150">
        <v>7.2000000000000002E-5</v>
      </c>
      <c r="N19" s="147">
        <f t="shared" si="39"/>
        <v>0.25654877859534631</v>
      </c>
      <c r="O19" s="151">
        <f t="shared" si="40"/>
        <v>0.25896743840919545</v>
      </c>
      <c r="P19" s="151">
        <f t="shared" si="41"/>
        <v>0.32555898140465367</v>
      </c>
      <c r="Q19" s="151">
        <f t="shared" si="19"/>
        <v>0.25605522140465375</v>
      </c>
      <c r="R19" s="150">
        <f t="shared" si="20"/>
        <v>-1.4136555349913427E-3</v>
      </c>
      <c r="S19" s="147">
        <f t="shared" si="42"/>
        <v>0.16092465268230205</v>
      </c>
      <c r="T19" s="147">
        <f t="shared" si="22"/>
        <v>6.0989196895365501</v>
      </c>
      <c r="U19" s="147">
        <f t="shared" si="43"/>
        <v>0.18043253071568155</v>
      </c>
      <c r="V19" s="147">
        <f t="shared" si="24"/>
        <v>7.6672113451457085</v>
      </c>
      <c r="W19" s="147">
        <f t="shared" si="25"/>
        <v>0.16001725575845055</v>
      </c>
      <c r="X19" s="132">
        <f t="shared" si="26"/>
        <v>6.0303343193513692</v>
      </c>
      <c r="Z19" s="132">
        <f t="shared" si="27"/>
        <v>5.4210474174315069E-3</v>
      </c>
      <c r="AA19" s="132">
        <f t="shared" si="28"/>
        <v>0.61541920860975985</v>
      </c>
      <c r="AB19" s="132">
        <f t="shared" si="29"/>
        <v>0.27099142743362359</v>
      </c>
      <c r="AC19" s="132">
        <f t="shared" si="30"/>
        <v>2.3393423704318048E-2</v>
      </c>
      <c r="AD19" s="132">
        <f t="shared" si="31"/>
        <v>5.6830959695958104E-2</v>
      </c>
      <c r="AE19" s="132">
        <f t="shared" si="32"/>
        <v>39.960462388516341</v>
      </c>
      <c r="AF19" s="132">
        <f t="shared" si="33"/>
        <v>1.4690573778351227E-3</v>
      </c>
      <c r="AG19" s="132">
        <f t="shared" si="34"/>
        <v>0.16088708233220178</v>
      </c>
      <c r="AH19" s="132">
        <f t="shared" si="35"/>
        <v>6.053738412576064</v>
      </c>
      <c r="AI19" s="132">
        <f t="shared" si="36"/>
        <v>1.6838903009606304E-2</v>
      </c>
    </row>
    <row r="20" spans="1:35" x14ac:dyDescent="0.25">
      <c r="A20" s="145">
        <v>10000</v>
      </c>
      <c r="B20" s="145">
        <f t="shared" si="9"/>
        <v>10</v>
      </c>
      <c r="C20" s="152">
        <v>3973.4070055679131</v>
      </c>
      <c r="D20" s="146">
        <f t="shared" si="45"/>
        <v>0.28608530440088975</v>
      </c>
      <c r="E20" s="146">
        <f>7654.53-3397.59</f>
        <v>4256.9399999999996</v>
      </c>
      <c r="F20" s="150">
        <f t="shared" si="44"/>
        <v>0.30649968</v>
      </c>
      <c r="G20" s="145">
        <v>3988.36</v>
      </c>
      <c r="H20" s="145">
        <f t="shared" si="12"/>
        <v>0.28716192000000001</v>
      </c>
      <c r="I20" s="149">
        <v>2232.2924452170828</v>
      </c>
      <c r="J20" s="150">
        <f t="shared" si="13"/>
        <v>0.16072505605562998</v>
      </c>
      <c r="K20" s="148">
        <f t="shared" si="38"/>
        <v>13.365046175719757</v>
      </c>
      <c r="L20" s="149">
        <f t="shared" si="37"/>
        <v>2244.6611560909464</v>
      </c>
      <c r="M20" s="150">
        <v>7.2000000000000002E-5</v>
      </c>
      <c r="N20" s="147">
        <f t="shared" si="39"/>
        <v>0.16161560323854815</v>
      </c>
      <c r="O20" s="151">
        <f t="shared" si="40"/>
        <v>0.1244697011623416</v>
      </c>
      <c r="P20" s="151">
        <f t="shared" si="41"/>
        <v>0.14488407676145185</v>
      </c>
      <c r="Q20" s="151">
        <f t="shared" si="19"/>
        <v>0.12554631676145186</v>
      </c>
      <c r="R20" s="150">
        <f t="shared" si="20"/>
        <v>-8.9054718291817214E-4</v>
      </c>
      <c r="S20" s="147">
        <f t="shared" si="42"/>
        <v>0.15777813610405061</v>
      </c>
      <c r="T20" s="147">
        <f t="shared" si="22"/>
        <v>4.6532679818538032</v>
      </c>
      <c r="U20" s="147">
        <f t="shared" si="43"/>
        <v>0.1702257775787509</v>
      </c>
      <c r="V20" s="147">
        <f t="shared" si="24"/>
        <v>5.4164541987226018</v>
      </c>
      <c r="W20" s="147">
        <f t="shared" si="25"/>
        <v>0.15845902736130363</v>
      </c>
      <c r="X20" s="132">
        <f t="shared" si="26"/>
        <v>4.6935169810023591</v>
      </c>
      <c r="Z20" s="132">
        <f t="shared" si="27"/>
        <v>5.4210474174315069E-3</v>
      </c>
      <c r="AA20" s="132">
        <f t="shared" si="28"/>
        <v>0.30770960430487992</v>
      </c>
      <c r="AB20" s="132">
        <f t="shared" si="29"/>
        <v>0.14355131249318243</v>
      </c>
      <c r="AC20" s="132">
        <f t="shared" si="30"/>
        <v>2.4784228108370884E-2</v>
      </c>
      <c r="AD20" s="132">
        <f t="shared" si="31"/>
        <v>0.10728360906600441</v>
      </c>
      <c r="AE20" s="132">
        <f t="shared" si="32"/>
        <v>19.98023119425817</v>
      </c>
      <c r="AF20" s="132">
        <f t="shared" si="33"/>
        <v>7.7819847186006981E-4</v>
      </c>
      <c r="AG20" s="132">
        <f t="shared" si="34"/>
        <v>0.15939033934871477</v>
      </c>
      <c r="AH20" s="132">
        <f t="shared" si="35"/>
        <v>4.7158714447019801</v>
      </c>
      <c r="AI20" s="132">
        <f t="shared" si="36"/>
        <v>1.3365046175719767E-2</v>
      </c>
    </row>
    <row r="21" spans="1:35" x14ac:dyDescent="0.25">
      <c r="A21" s="145">
        <v>5000</v>
      </c>
      <c r="B21" s="145">
        <f t="shared" si="9"/>
        <v>5</v>
      </c>
      <c r="C21" s="152">
        <v>2198.7220636519924</v>
      </c>
      <c r="D21" s="146">
        <f t="shared" si="45"/>
        <v>0.15830798858294345</v>
      </c>
      <c r="E21" s="146">
        <f>3948.03-1679.99</f>
        <v>2268.04</v>
      </c>
      <c r="F21" s="150">
        <f t="shared" si="44"/>
        <v>0.16329888000000001</v>
      </c>
      <c r="G21" s="145">
        <v>2221.8000000000002</v>
      </c>
      <c r="H21" s="145">
        <f t="shared" si="12"/>
        <v>0.15996960000000002</v>
      </c>
      <c r="I21" s="149">
        <v>1406.256120625151</v>
      </c>
      <c r="J21" s="150">
        <f t="shared" si="13"/>
        <v>0.10125044068501088</v>
      </c>
      <c r="K21" s="148">
        <f t="shared" si="38"/>
        <v>10.60784417947055</v>
      </c>
      <c r="L21" s="149">
        <f t="shared" si="37"/>
        <v>1414.0479202201723</v>
      </c>
      <c r="M21" s="150">
        <v>7.2000000000000002E-5</v>
      </c>
      <c r="N21" s="147">
        <f t="shared" si="39"/>
        <v>0.10181145025585241</v>
      </c>
      <c r="O21" s="151">
        <f t="shared" si="40"/>
        <v>5.6496538327091048E-2</v>
      </c>
      <c r="P21" s="151">
        <f t="shared" si="41"/>
        <v>6.1487429744147601E-2</v>
      </c>
      <c r="Q21" s="151">
        <f t="shared" si="19"/>
        <v>5.8158149744147611E-2</v>
      </c>
      <c r="R21" s="150">
        <f t="shared" si="20"/>
        <v>-5.6100957084152803E-4</v>
      </c>
      <c r="S21" s="147">
        <f t="shared" si="42"/>
        <v>0.15032835837205308</v>
      </c>
      <c r="T21" s="147">
        <f t="shared" si="22"/>
        <v>3.3527634979203791</v>
      </c>
      <c r="U21" s="147">
        <f t="shared" si="43"/>
        <v>0.15682784158962032</v>
      </c>
      <c r="V21" s="147">
        <f t="shared" si="24"/>
        <v>3.6489458669765638</v>
      </c>
      <c r="W21" s="147">
        <f t="shared" si="25"/>
        <v>0.15252298153937013</v>
      </c>
      <c r="X21" s="132">
        <f t="shared" si="26"/>
        <v>3.4513711342782267</v>
      </c>
      <c r="Z21" s="132">
        <f t="shared" si="27"/>
        <v>5.4210474174315069E-3</v>
      </c>
      <c r="AA21" s="132">
        <f t="shared" si="28"/>
        <v>0.15385480215243996</v>
      </c>
      <c r="AB21" s="132">
        <f t="shared" si="29"/>
        <v>7.417633661910461E-2</v>
      </c>
      <c r="AC21" s="132">
        <f t="shared" si="30"/>
        <v>2.5613186185232586E-2</v>
      </c>
      <c r="AD21" s="132">
        <f t="shared" si="31"/>
        <v>0.20762285645775427</v>
      </c>
      <c r="AE21" s="132">
        <f t="shared" si="32"/>
        <v>9.9901155971290851</v>
      </c>
      <c r="AF21" s="132">
        <f t="shared" si="33"/>
        <v>4.0211343806352719E-4</v>
      </c>
      <c r="AG21" s="132">
        <f t="shared" si="34"/>
        <v>0.15354250532100577</v>
      </c>
      <c r="AH21" s="132">
        <f t="shared" si="35"/>
        <v>3.4733766508098496</v>
      </c>
      <c r="AI21" s="132">
        <f t="shared" si="36"/>
        <v>1.0607844179470553E-2</v>
      </c>
    </row>
    <row r="22" spans="1:35" x14ac:dyDescent="0.25">
      <c r="A22" s="145">
        <v>3000</v>
      </c>
      <c r="B22" s="145">
        <f t="shared" si="9"/>
        <v>3</v>
      </c>
      <c r="C22" s="152">
        <v>1437.0122542876911</v>
      </c>
      <c r="D22" s="146">
        <f t="shared" si="45"/>
        <v>0.10346488230871376</v>
      </c>
      <c r="E22" s="146">
        <f>2441.47-985.61</f>
        <v>1455.8599999999997</v>
      </c>
      <c r="F22" s="150">
        <f t="shared" si="44"/>
        <v>0.10482191999999999</v>
      </c>
      <c r="G22" s="145">
        <v>1450.16</v>
      </c>
      <c r="H22" s="145">
        <f t="shared" si="12"/>
        <v>0.10441152000000001</v>
      </c>
      <c r="I22" s="149">
        <v>1000.3805959699533</v>
      </c>
      <c r="J22" s="150">
        <f t="shared" si="13"/>
        <v>7.2027402909836641E-2</v>
      </c>
      <c r="K22" s="148">
        <f t="shared" si="38"/>
        <v>8.9470022893964956</v>
      </c>
      <c r="L22" s="149">
        <f t="shared" si="37"/>
        <v>1005.9235159318463</v>
      </c>
      <c r="M22" s="150">
        <v>7.2000000000000002E-5</v>
      </c>
      <c r="N22" s="147">
        <f t="shared" si="39"/>
        <v>7.242649314709293E-2</v>
      </c>
      <c r="O22" s="151">
        <f t="shared" si="40"/>
        <v>3.1038389161620827E-2</v>
      </c>
      <c r="P22" s="151">
        <f t="shared" si="41"/>
        <v>3.2395426852907055E-2</v>
      </c>
      <c r="Q22" s="151">
        <f t="shared" si="19"/>
        <v>3.1985026852907078E-2</v>
      </c>
      <c r="R22" s="150">
        <f t="shared" si="20"/>
        <v>-3.9909023725628878E-4</v>
      </c>
      <c r="S22" s="147">
        <f t="shared" si="42"/>
        <v>0.14384804288234357</v>
      </c>
      <c r="T22" s="147">
        <f t="shared" si="22"/>
        <v>2.589282413876</v>
      </c>
      <c r="U22" s="147">
        <f t="shared" si="43"/>
        <v>0.14695901209273071</v>
      </c>
      <c r="V22" s="147">
        <f t="shared" si="24"/>
        <v>2.7024891209224817</v>
      </c>
      <c r="W22" s="147">
        <f t="shared" si="25"/>
        <v>0.14602517329307091</v>
      </c>
      <c r="X22" s="132">
        <f t="shared" si="26"/>
        <v>2.6682527597143877</v>
      </c>
      <c r="Z22" s="132">
        <f t="shared" si="27"/>
        <v>5.4210474174315069E-3</v>
      </c>
      <c r="AA22" s="132">
        <f t="shared" si="28"/>
        <v>9.2312881291463963E-2</v>
      </c>
      <c r="AB22" s="132">
        <f t="shared" si="29"/>
        <v>4.5137733167960992E-2</v>
      </c>
      <c r="AC22" s="132">
        <f t="shared" si="30"/>
        <v>2.5976863968244879E-2</v>
      </c>
      <c r="AD22" s="132">
        <f t="shared" si="31"/>
        <v>0.34119353830027782</v>
      </c>
      <c r="AE22" s="132">
        <f t="shared" si="32"/>
        <v>5.9940693582774509</v>
      </c>
      <c r="AF22" s="132">
        <f t="shared" si="33"/>
        <v>2.446937918188874E-4</v>
      </c>
      <c r="AG22" s="132">
        <f t="shared" si="34"/>
        <v>0.14713189831130119</v>
      </c>
      <c r="AH22" s="132">
        <f t="shared" si="35"/>
        <v>2.6900399431254796</v>
      </c>
      <c r="AI22" s="132">
        <f t="shared" si="36"/>
        <v>8.9470022893965006E-3</v>
      </c>
    </row>
    <row r="23" spans="1:35" x14ac:dyDescent="0.25">
      <c r="A23" s="144">
        <v>2000</v>
      </c>
      <c r="B23" s="145">
        <f t="shared" si="9"/>
        <v>2</v>
      </c>
      <c r="C23" s="152">
        <v>1026.6489047532536</v>
      </c>
      <c r="D23" s="146">
        <f t="shared" si="45"/>
        <v>7.3918721142234259E-2</v>
      </c>
      <c r="E23" s="146">
        <f>1676.42-636.86</f>
        <v>1039.56</v>
      </c>
      <c r="F23" s="150">
        <f t="shared" si="44"/>
        <v>7.4848319999999996E-2</v>
      </c>
      <c r="G23" s="145">
        <v>1039.8499999999999</v>
      </c>
      <c r="H23" s="145">
        <f t="shared" si="12"/>
        <v>7.4869199999999997E-2</v>
      </c>
      <c r="I23" s="149">
        <v>763.43327745386409</v>
      </c>
      <c r="J23" s="150">
        <f t="shared" si="13"/>
        <v>5.4967195976678214E-2</v>
      </c>
      <c r="K23" s="148">
        <f t="shared" si="38"/>
        <v>7.815926417967721</v>
      </c>
      <c r="L23" s="149">
        <f t="shared" si="37"/>
        <v>767.66331707100528</v>
      </c>
      <c r="M23" s="150">
        <v>7.2000000000000002E-5</v>
      </c>
      <c r="N23" s="147">
        <f t="shared" si="39"/>
        <v>5.527175882911238E-2</v>
      </c>
      <c r="O23" s="151">
        <f t="shared" si="40"/>
        <v>1.8646962313121879E-2</v>
      </c>
      <c r="P23" s="151">
        <f t="shared" si="41"/>
        <v>1.9576561170887616E-2</v>
      </c>
      <c r="Q23" s="151">
        <f t="shared" si="19"/>
        <v>1.9597441170887617E-2</v>
      </c>
      <c r="R23" s="150">
        <f t="shared" si="20"/>
        <v>-3.045628524341662E-4</v>
      </c>
      <c r="S23" s="147">
        <f t="shared" si="42"/>
        <v>0.13655388062271201</v>
      </c>
      <c r="T23" s="147">
        <f t="shared" si="22"/>
        <v>2.038367627384305</v>
      </c>
      <c r="U23" s="147">
        <f t="shared" si="43"/>
        <v>0.1399162648546895</v>
      </c>
      <c r="V23" s="147">
        <f t="shared" si="24"/>
        <v>2.1399854773217015</v>
      </c>
      <c r="W23" s="147">
        <f t="shared" si="25"/>
        <v>0.13999086102630992</v>
      </c>
      <c r="X23" s="132">
        <f t="shared" si="26"/>
        <v>2.1422679464630598</v>
      </c>
      <c r="Z23" s="132">
        <f t="shared" si="27"/>
        <v>5.4210474174315069E-3</v>
      </c>
      <c r="AA23" s="132">
        <f t="shared" si="28"/>
        <v>6.1541920860975985E-2</v>
      </c>
      <c r="AB23" s="132">
        <f t="shared" si="29"/>
        <v>3.0311564945757485E-2</v>
      </c>
      <c r="AC23" s="132">
        <f t="shared" si="30"/>
        <v>2.6166557689015584E-2</v>
      </c>
      <c r="AD23" s="132">
        <f t="shared" si="31"/>
        <v>0.50808009807444643</v>
      </c>
      <c r="AE23" s="132">
        <f t="shared" si="32"/>
        <v>3.9960462388516347</v>
      </c>
      <c r="AF23" s="132">
        <f t="shared" si="33"/>
        <v>1.6432043086750601E-4</v>
      </c>
      <c r="AG23" s="132">
        <f t="shared" si="34"/>
        <v>0.14118371450567047</v>
      </c>
      <c r="AH23" s="132">
        <f t="shared" si="35"/>
        <v>2.1638002839656094</v>
      </c>
      <c r="AI23" s="132">
        <f t="shared" si="36"/>
        <v>7.815926417967722E-3</v>
      </c>
    </row>
    <row r="24" spans="1:35" x14ac:dyDescent="0.25">
      <c r="A24" s="144">
        <v>1000</v>
      </c>
      <c r="B24" s="145">
        <f t="shared" si="9"/>
        <v>1</v>
      </c>
      <c r="C24" s="152">
        <v>588.09286827753704</v>
      </c>
      <c r="D24" s="146">
        <f t="shared" si="45"/>
        <v>4.2342686515982671E-2</v>
      </c>
      <c r="E24" s="146">
        <f>894.23-302.83</f>
        <v>591.40000000000009</v>
      </c>
      <c r="F24" s="150">
        <f t="shared" si="44"/>
        <v>4.2580800000000009E-2</v>
      </c>
      <c r="G24" s="145">
        <v>599.13599999999997</v>
      </c>
      <c r="H24" s="145">
        <f t="shared" si="12"/>
        <v>4.3137792000000001E-2</v>
      </c>
      <c r="I24" s="149">
        <v>480.9328282271785</v>
      </c>
      <c r="J24" s="150">
        <f t="shared" si="13"/>
        <v>3.462716363235685E-2</v>
      </c>
      <c r="K24" s="148">
        <f t="shared" si="38"/>
        <v>6.2035049089939998</v>
      </c>
      <c r="L24" s="149">
        <f t="shared" si="37"/>
        <v>483.59758620494085</v>
      </c>
      <c r="M24" s="150">
        <v>7.2000000000000002E-5</v>
      </c>
      <c r="N24" s="147">
        <f t="shared" si="39"/>
        <v>3.481902620675574E-2</v>
      </c>
      <c r="O24" s="151">
        <f t="shared" si="40"/>
        <v>7.5236603092269302E-3</v>
      </c>
      <c r="P24" s="151">
        <f t="shared" si="41"/>
        <v>7.7617737932442685E-3</v>
      </c>
      <c r="Q24" s="151">
        <f t="shared" si="19"/>
        <v>8.3187657932442607E-3</v>
      </c>
      <c r="R24" s="150">
        <f t="shared" si="20"/>
        <v>-1.9186257439889054E-4</v>
      </c>
      <c r="S24" s="147">
        <f t="shared" si="42"/>
        <v>0.12266752063384122</v>
      </c>
      <c r="T24" s="147">
        <f t="shared" si="22"/>
        <v>1.3055402422907016</v>
      </c>
      <c r="U24" s="147">
        <f t="shared" si="43"/>
        <v>0.12459352947279621</v>
      </c>
      <c r="V24" s="147">
        <f t="shared" si="24"/>
        <v>1.346858792416554</v>
      </c>
      <c r="W24" s="147">
        <f t="shared" si="25"/>
        <v>0.1289865558362131</v>
      </c>
      <c r="X24" s="132">
        <f t="shared" si="26"/>
        <v>1.443510613570969</v>
      </c>
      <c r="Z24" s="132">
        <f t="shared" si="27"/>
        <v>5.4210474174315069E-3</v>
      </c>
      <c r="AA24" s="132">
        <f t="shared" si="28"/>
        <v>3.0770960430487992E-2</v>
      </c>
      <c r="AB24" s="132">
        <f t="shared" si="29"/>
        <v>1.5268910402799651E-2</v>
      </c>
      <c r="AC24" s="132">
        <f t="shared" si="30"/>
        <v>2.636187380085683E-2</v>
      </c>
      <c r="AD24" s="132">
        <f t="shared" si="31"/>
        <v>1.0086314271388088</v>
      </c>
      <c r="AE24" s="132">
        <f t="shared" si="32"/>
        <v>1.9980231194258173</v>
      </c>
      <c r="AF24" s="132">
        <f t="shared" si="33"/>
        <v>8.2773487306090122E-5</v>
      </c>
      <c r="AG24" s="132">
        <f t="shared" si="34"/>
        <v>0.13036772240918054</v>
      </c>
      <c r="AH24" s="132">
        <f t="shared" si="35"/>
        <v>1.4643496585949529</v>
      </c>
      <c r="AI24" s="132">
        <f t="shared" si="36"/>
        <v>6.2035049089940036E-3</v>
      </c>
    </row>
    <row r="25" spans="1:35" x14ac:dyDescent="0.25">
      <c r="A25" s="144">
        <v>500</v>
      </c>
      <c r="B25" s="145">
        <f t="shared" si="9"/>
        <v>0.5</v>
      </c>
      <c r="C25" s="152">
        <v>345.01045090008733</v>
      </c>
      <c r="D25" s="146">
        <f t="shared" si="45"/>
        <v>2.4840752464806288E-2</v>
      </c>
      <c r="E25" s="146">
        <f>487.04-141.2</f>
        <v>345.84000000000003</v>
      </c>
      <c r="F25" s="150">
        <f t="shared" si="44"/>
        <v>2.4900480000000003E-2</v>
      </c>
      <c r="G25" s="145">
        <v>354.30599999999998</v>
      </c>
      <c r="H25" s="145">
        <f t="shared" si="12"/>
        <v>2.5510031999999998E-2</v>
      </c>
      <c r="I25" s="149">
        <v>302.96869693444864</v>
      </c>
      <c r="J25" s="150">
        <f t="shared" si="13"/>
        <v>2.1813746179280304E-2</v>
      </c>
      <c r="K25" s="148">
        <f t="shared" si="38"/>
        <v>4.9237251092134828</v>
      </c>
      <c r="L25" s="149">
        <f t="shared" si="37"/>
        <v>304.6473892689778</v>
      </c>
      <c r="M25" s="150">
        <v>7.2000000000000002E-5</v>
      </c>
      <c r="N25" s="147">
        <f t="shared" si="39"/>
        <v>2.1934612027366403E-2</v>
      </c>
      <c r="O25" s="151">
        <f t="shared" si="40"/>
        <v>2.9061404374398844E-3</v>
      </c>
      <c r="P25" s="151">
        <f t="shared" si="41"/>
        <v>2.9658679726335992E-3</v>
      </c>
      <c r="Q25" s="151">
        <f t="shared" si="19"/>
        <v>3.575419972633595E-3</v>
      </c>
      <c r="R25" s="150">
        <f t="shared" si="20"/>
        <v>-1.2086584808609913E-4</v>
      </c>
      <c r="S25" s="147">
        <f t="shared" si="42"/>
        <v>0.10781726090825874</v>
      </c>
      <c r="T25" s="147">
        <f t="shared" si="22"/>
        <v>0.80050554644606531</v>
      </c>
      <c r="U25" s="147">
        <f t="shared" si="43"/>
        <v>0.10891956615105661</v>
      </c>
      <c r="V25" s="147">
        <f t="shared" si="24"/>
        <v>0.81695768433388205</v>
      </c>
      <c r="W25" s="147">
        <f t="shared" si="25"/>
        <v>0.11958963119992627</v>
      </c>
      <c r="X25" s="132">
        <f t="shared" si="26"/>
        <v>0.9848607046287785</v>
      </c>
      <c r="Z25" s="132">
        <f t="shared" si="27"/>
        <v>5.4210474174315069E-3</v>
      </c>
      <c r="AA25" s="132">
        <f t="shared" si="28"/>
        <v>1.5385480215243996E-2</v>
      </c>
      <c r="AB25" s="132">
        <f t="shared" si="29"/>
        <v>7.6633764384037573E-3</v>
      </c>
      <c r="AC25" s="132">
        <f t="shared" si="30"/>
        <v>2.6461739211020286E-2</v>
      </c>
      <c r="AD25" s="132">
        <f t="shared" si="31"/>
        <v>2.009649795258956</v>
      </c>
      <c r="AE25" s="132">
        <f t="shared" si="32"/>
        <v>0.99901155971290867</v>
      </c>
      <c r="AF25" s="132">
        <f t="shared" si="33"/>
        <v>4.1543527050214146E-5</v>
      </c>
      <c r="AG25" s="132">
        <f t="shared" si="34"/>
        <v>0.12120573194754208</v>
      </c>
      <c r="AH25" s="132">
        <f t="shared" si="35"/>
        <v>1.004633414893136</v>
      </c>
      <c r="AI25" s="132">
        <f t="shared" si="36"/>
        <v>4.9237251092134867E-3</v>
      </c>
    </row>
    <row r="26" spans="1:35" x14ac:dyDescent="0.25">
      <c r="A26" s="144">
        <v>300</v>
      </c>
      <c r="B26" s="145">
        <f t="shared" si="9"/>
        <v>0.3</v>
      </c>
      <c r="C26" s="152">
        <v>236.04244035379423</v>
      </c>
      <c r="D26" s="146">
        <f t="shared" si="45"/>
        <v>1.6995055705473185E-2</v>
      </c>
      <c r="E26" s="146">
        <f>315.93-79.51</f>
        <v>236.42000000000002</v>
      </c>
      <c r="F26" s="150">
        <f t="shared" si="44"/>
        <v>1.7022240000000001E-2</v>
      </c>
      <c r="G26" s="145">
        <v>244.94800000000001</v>
      </c>
      <c r="H26" s="145">
        <f t="shared" si="12"/>
        <v>1.7636255999999999E-2</v>
      </c>
      <c r="I26" s="149">
        <v>215.52546591924391</v>
      </c>
      <c r="J26" s="150">
        <f t="shared" si="13"/>
        <v>1.5517833546185562E-2</v>
      </c>
      <c r="K26" s="148">
        <f t="shared" si="38"/>
        <v>4.1528305920770734</v>
      </c>
      <c r="L26" s="149">
        <f t="shared" si="37"/>
        <v>216.71965182424091</v>
      </c>
      <c r="M26" s="150">
        <v>7.2000000000000002E-5</v>
      </c>
      <c r="N26" s="147">
        <f t="shared" si="39"/>
        <v>1.5603814931345347E-2</v>
      </c>
      <c r="O26" s="151">
        <f t="shared" si="40"/>
        <v>1.3912407741278384E-3</v>
      </c>
      <c r="P26" s="151">
        <f t="shared" si="41"/>
        <v>1.4184250686546541E-3</v>
      </c>
      <c r="Q26" s="151">
        <f t="shared" si="19"/>
        <v>2.0324410686546526E-3</v>
      </c>
      <c r="R26" s="150">
        <f t="shared" si="20"/>
        <v>-8.5981385159784873E-5</v>
      </c>
      <c r="S26" s="147">
        <f t="shared" si="42"/>
        <v>9.6306482098483845E-2</v>
      </c>
      <c r="T26" s="147">
        <f t="shared" si="22"/>
        <v>0.53870277368233843</v>
      </c>
      <c r="U26" s="147">
        <f t="shared" si="43"/>
        <v>9.7242825567567512E-2</v>
      </c>
      <c r="V26" s="147">
        <f t="shared" si="24"/>
        <v>0.54922881283711644</v>
      </c>
      <c r="W26" s="147">
        <f t="shared" si="25"/>
        <v>0.11640277971064243</v>
      </c>
      <c r="X26" s="132">
        <f t="shared" si="26"/>
        <v>0.78698213953406626</v>
      </c>
      <c r="Z26" s="132">
        <f t="shared" si="27"/>
        <v>5.4210474174315069E-3</v>
      </c>
      <c r="AA26" s="132">
        <f t="shared" si="28"/>
        <v>9.2312881291463974E-3</v>
      </c>
      <c r="AB26" s="132">
        <f t="shared" si="29"/>
        <v>4.6050408638940166E-3</v>
      </c>
      <c r="AC26" s="132">
        <f t="shared" si="30"/>
        <v>2.6502110694050958E-2</v>
      </c>
      <c r="AD26" s="132">
        <f t="shared" si="31"/>
        <v>3.3443140561857261</v>
      </c>
      <c r="AE26" s="132">
        <f t="shared" si="32"/>
        <v>0.59940693582774518</v>
      </c>
      <c r="AF26" s="132">
        <f t="shared" si="33"/>
        <v>2.4964144882379213E-5</v>
      </c>
      <c r="AG26" s="132">
        <f t="shared" si="34"/>
        <v>0.11819031444097394</v>
      </c>
      <c r="AH26" s="132">
        <f t="shared" si="35"/>
        <v>0.80570395382193361</v>
      </c>
      <c r="AI26" s="132">
        <f t="shared" si="36"/>
        <v>4.1528305920770763E-3</v>
      </c>
    </row>
    <row r="27" spans="1:35" x14ac:dyDescent="0.25">
      <c r="A27" s="144">
        <v>200</v>
      </c>
      <c r="B27" s="145">
        <f t="shared" si="9"/>
        <v>0.2</v>
      </c>
      <c r="C27" s="152">
        <v>175.92806231200996</v>
      </c>
      <c r="D27" s="146">
        <f t="shared" si="45"/>
        <v>1.2666820486464718E-2</v>
      </c>
      <c r="E27" s="146">
        <f>226.17-50.05</f>
        <v>176.12</v>
      </c>
      <c r="F27" s="150">
        <f t="shared" si="44"/>
        <v>1.268064E-2</v>
      </c>
      <c r="G27" s="145">
        <v>184.749</v>
      </c>
      <c r="H27" s="145">
        <f t="shared" si="12"/>
        <v>1.3301927999999999E-2</v>
      </c>
      <c r="I27" s="149">
        <v>164.47671364713415</v>
      </c>
      <c r="J27" s="150">
        <f t="shared" si="13"/>
        <v>1.1842323382593658E-2</v>
      </c>
      <c r="K27" s="148">
        <f t="shared" si="38"/>
        <v>3.6278316785978095</v>
      </c>
      <c r="L27" s="149">
        <f t="shared" si="37"/>
        <v>165.38804805627186</v>
      </c>
      <c r="M27" s="150">
        <v>7.2000000000000002E-5</v>
      </c>
      <c r="N27" s="147">
        <f t="shared" si="39"/>
        <v>1.1907939460051574E-2</v>
      </c>
      <c r="O27" s="151">
        <f t="shared" si="40"/>
        <v>7.5888102641314369E-4</v>
      </c>
      <c r="P27" s="151">
        <f t="shared" si="41"/>
        <v>7.7270053994842568E-4</v>
      </c>
      <c r="Q27" s="151">
        <f t="shared" si="19"/>
        <v>1.393988539948425E-3</v>
      </c>
      <c r="R27" s="150">
        <f t="shared" si="20"/>
        <v>-6.5616077457916061E-5</v>
      </c>
      <c r="S27" s="147">
        <f t="shared" si="42"/>
        <v>8.711377769406764E-2</v>
      </c>
      <c r="T27" s="147">
        <f t="shared" si="22"/>
        <v>0.38504791998719218</v>
      </c>
      <c r="U27" s="147">
        <f t="shared" si="43"/>
        <v>8.7903386735007291E-2</v>
      </c>
      <c r="V27" s="147">
        <f t="shared" si="24"/>
        <v>0.39205978977545886</v>
      </c>
      <c r="W27" s="147">
        <f t="shared" si="25"/>
        <v>0.1180672918275178</v>
      </c>
      <c r="X27" s="132">
        <f t="shared" si="26"/>
        <v>0.70729451536044829</v>
      </c>
      <c r="Z27" s="132">
        <f t="shared" si="27"/>
        <v>5.4210474174315069E-3</v>
      </c>
      <c r="AA27" s="132">
        <f t="shared" si="28"/>
        <v>6.154192086097598E-3</v>
      </c>
      <c r="AB27" s="132">
        <f t="shared" si="29"/>
        <v>3.0723762949997901E-3</v>
      </c>
      <c r="AC27" s="132">
        <f t="shared" si="30"/>
        <v>2.6522388965841942E-2</v>
      </c>
      <c r="AD27" s="132">
        <f t="shared" si="31"/>
        <v>5.0126356317403733</v>
      </c>
      <c r="AE27" s="132">
        <f t="shared" si="32"/>
        <v>0.39960462388516343</v>
      </c>
      <c r="AF27" s="132">
        <f t="shared" si="33"/>
        <v>1.6655497579386394E-5</v>
      </c>
      <c r="AG27" s="132">
        <f t="shared" si="34"/>
        <v>0.11995467784543802</v>
      </c>
      <c r="AH27" s="132">
        <f t="shared" si="35"/>
        <v>0.72501836872492031</v>
      </c>
      <c r="AI27" s="132">
        <f t="shared" si="36"/>
        <v>3.6278316785978136E-3</v>
      </c>
    </row>
    <row r="28" spans="1:35" x14ac:dyDescent="0.25">
      <c r="A28" s="153">
        <v>100</v>
      </c>
      <c r="B28" s="145">
        <f t="shared" si="9"/>
        <v>0.1</v>
      </c>
      <c r="C28" s="154">
        <v>107.70895343975367</v>
      </c>
      <c r="D28" s="146">
        <f t="shared" si="45"/>
        <v>7.7550446476622641E-3</v>
      </c>
      <c r="E28" s="146">
        <f>130.13-22.36</f>
        <v>107.77</v>
      </c>
      <c r="F28" s="150">
        <f t="shared" si="44"/>
        <v>7.7594400000000003E-3</v>
      </c>
      <c r="G28" s="145">
        <v>116.541</v>
      </c>
      <c r="H28" s="145">
        <f t="shared" si="12"/>
        <v>8.3909520000000001E-3</v>
      </c>
      <c r="I28" s="149">
        <v>103.61383687077782</v>
      </c>
      <c r="J28" s="150">
        <f t="shared" si="13"/>
        <v>7.4601962546960027E-3</v>
      </c>
      <c r="K28" s="148">
        <f t="shared" si="38"/>
        <v>2.8794119114848606</v>
      </c>
      <c r="L28" s="149">
        <f t="shared" si="37"/>
        <v>104.18794157356086</v>
      </c>
      <c r="M28" s="150">
        <v>7.2000000000000002E-5</v>
      </c>
      <c r="N28" s="155">
        <f t="shared" si="39"/>
        <v>7.5015317932963822E-3</v>
      </c>
      <c r="O28" s="150">
        <f t="shared" ref="O28:O33" si="46">D28-N28</f>
        <v>2.5351285436588187E-4</v>
      </c>
      <c r="P28" s="151">
        <f t="shared" si="41"/>
        <v>2.5790820670361803E-4</v>
      </c>
      <c r="Q28" s="151">
        <f t="shared" si="19"/>
        <v>8.894202067036179E-4</v>
      </c>
      <c r="R28" s="150">
        <f t="shared" si="20"/>
        <v>-4.1335538600379557E-5</v>
      </c>
      <c r="S28" s="147">
        <f t="shared" ref="S28:S33" si="47">(2*O28/B28)^0.5</f>
        <v>7.1205737741544664E-2</v>
      </c>
      <c r="T28" s="147">
        <f t="shared" si="22"/>
        <v>0.20418683428689435</v>
      </c>
      <c r="U28" s="147">
        <f t="shared" si="43"/>
        <v>7.1820360163900324E-2</v>
      </c>
      <c r="V28" s="147">
        <f t="shared" si="24"/>
        <v>0.2077269825040832</v>
      </c>
      <c r="W28" s="147">
        <f t="shared" si="25"/>
        <v>0.13337317621648048</v>
      </c>
      <c r="X28" s="132">
        <f t="shared" si="26"/>
        <v>0.71636563286649624</v>
      </c>
      <c r="Z28" s="132">
        <f t="shared" si="27"/>
        <v>5.4210474174315069E-3</v>
      </c>
      <c r="AA28" s="132">
        <f t="shared" si="28"/>
        <v>3.077096043048799E-3</v>
      </c>
      <c r="AB28" s="132">
        <f t="shared" si="29"/>
        <v>1.5373662739941452E-3</v>
      </c>
      <c r="AC28" s="132">
        <f t="shared" si="30"/>
        <v>2.6542729396916296E-2</v>
      </c>
      <c r="AD28" s="132">
        <f t="shared" si="31"/>
        <v>10.017588619541337</v>
      </c>
      <c r="AE28" s="132">
        <f t="shared" si="32"/>
        <v>0.19980231194258172</v>
      </c>
      <c r="AF28" s="132">
        <f t="shared" si="33"/>
        <v>8.3341354692822595E-6</v>
      </c>
      <c r="AG28" s="132">
        <f t="shared" si="34"/>
        <v>0.13529896865429114</v>
      </c>
      <c r="AH28" s="132">
        <f t="shared" si="35"/>
        <v>0.73208291679601512</v>
      </c>
      <c r="AI28" s="132">
        <f t="shared" si="36"/>
        <v>2.8794119114848625E-3</v>
      </c>
    </row>
    <row r="29" spans="1:35" x14ac:dyDescent="0.25">
      <c r="A29" s="144">
        <v>75</v>
      </c>
      <c r="B29" s="145">
        <f t="shared" ref="B29" si="48">A29/1000</f>
        <v>7.4999999999999997E-2</v>
      </c>
      <c r="C29" s="142">
        <v>88.173600855896396</v>
      </c>
      <c r="D29" s="146">
        <f>C29*M29</f>
        <v>6.3484992616245402E-3</v>
      </c>
      <c r="E29" s="156">
        <v>88.205218185995491</v>
      </c>
      <c r="F29" s="150">
        <f>E29*M29</f>
        <v>6.350775709391676E-3</v>
      </c>
      <c r="G29" s="145">
        <v>96.971699999999998</v>
      </c>
      <c r="H29" s="145">
        <f t="shared" si="12"/>
        <v>6.9819623999999997E-3</v>
      </c>
      <c r="I29" s="149">
        <v>85.531337831536021</v>
      </c>
      <c r="J29" s="150">
        <f t="shared" si="13"/>
        <v>6.1582563238705935E-3</v>
      </c>
      <c r="K29" s="148">
        <f t="shared" ref="K29" si="49">((3*A29)/(4*PI()))^(1/3)</f>
        <v>2.6161193398026477</v>
      </c>
      <c r="L29" s="149">
        <f t="shared" ref="L29" si="50">4*PI()*K29^2</f>
        <v>86.005250821995517</v>
      </c>
      <c r="M29" s="150">
        <v>7.2000000000000002E-5</v>
      </c>
      <c r="N29" s="155">
        <f t="shared" ref="N29" si="51">L29*M29</f>
        <v>6.1923780591836772E-3</v>
      </c>
      <c r="O29" s="150">
        <f t="shared" si="46"/>
        <v>1.5612120244086307E-4</v>
      </c>
      <c r="P29" s="151">
        <f t="shared" ref="P29" si="52">F29-N29</f>
        <v>1.5839765020799878E-4</v>
      </c>
      <c r="Q29" s="151">
        <f t="shared" si="19"/>
        <v>7.8958434081632251E-4</v>
      </c>
      <c r="R29" s="150">
        <f t="shared" si="20"/>
        <v>-3.4121735313083663E-5</v>
      </c>
      <c r="S29" s="147">
        <f t="shared" si="47"/>
        <v>6.4523112642600258E-2</v>
      </c>
      <c r="T29" s="147">
        <f t="shared" si="22"/>
        <v>0.15232883806388295</v>
      </c>
      <c r="U29" s="147">
        <f t="shared" ref="U29" si="53" xml:space="preserve"> (2*P29/B29)^0.5</f>
        <v>6.4991825169631659E-2</v>
      </c>
      <c r="V29" s="147">
        <f t="shared" si="24"/>
        <v>0.15454998828473304</v>
      </c>
      <c r="W29" s="147">
        <f t="shared" si="25"/>
        <v>0.14510541830603227</v>
      </c>
      <c r="X29" s="132">
        <f t="shared" si="26"/>
        <v>0.77040442495660855</v>
      </c>
      <c r="Z29" s="132">
        <f t="shared" si="27"/>
        <v>5.4210474174315069E-3</v>
      </c>
      <c r="AA29" s="132">
        <f t="shared" si="28"/>
        <v>2.3078220322865993E-3</v>
      </c>
      <c r="AB29" s="132">
        <f t="shared" si="29"/>
        <v>1.1532460279428669E-3</v>
      </c>
      <c r="AC29" s="132">
        <f t="shared" si="30"/>
        <v>2.6547824258976952E-2</v>
      </c>
      <c r="AD29" s="132">
        <f t="shared" si="31"/>
        <v>13.354221490709861</v>
      </c>
      <c r="AE29" s="132">
        <f t="shared" si="32"/>
        <v>0.14985173395693629</v>
      </c>
      <c r="AF29" s="132">
        <f t="shared" si="33"/>
        <v>6.2518014014428224E-6</v>
      </c>
      <c r="AG29" s="132">
        <f t="shared" si="34"/>
        <v>0.14699847320016196</v>
      </c>
      <c r="AH29" s="132">
        <f t="shared" si="35"/>
        <v>0.78514650692308519</v>
      </c>
      <c r="AI29" s="132">
        <f t="shared" si="36"/>
        <v>2.6161193398026483E-3</v>
      </c>
    </row>
    <row r="30" spans="1:35" x14ac:dyDescent="0.25">
      <c r="A30" s="144">
        <v>50</v>
      </c>
      <c r="B30" s="145">
        <f t="shared" si="9"/>
        <v>0.05</v>
      </c>
      <c r="C30" s="143">
        <v>66.675455828660233</v>
      </c>
      <c r="D30" s="146">
        <f>C30*M30</f>
        <v>4.8006328196635367E-3</v>
      </c>
      <c r="E30" s="156">
        <v>66.696758622472117</v>
      </c>
      <c r="F30" s="150">
        <f>E30*M30</f>
        <v>4.8021666208179926E-3</v>
      </c>
      <c r="G30" s="145">
        <v>75.342500000000001</v>
      </c>
      <c r="H30" s="145">
        <f t="shared" si="12"/>
        <v>5.4246600000000004E-3</v>
      </c>
      <c r="I30" s="149">
        <v>65.272627066933254</v>
      </c>
      <c r="J30" s="150">
        <f t="shared" si="13"/>
        <v>4.6996291488191943E-3</v>
      </c>
      <c r="K30" s="148">
        <f t="shared" si="38"/>
        <v>2.2853907486704159</v>
      </c>
      <c r="L30" s="149">
        <f t="shared" si="37"/>
        <v>65.634290366873259</v>
      </c>
      <c r="M30" s="150">
        <v>7.2000000000000002E-5</v>
      </c>
      <c r="N30" s="155">
        <f t="shared" si="39"/>
        <v>4.7256689064148752E-3</v>
      </c>
      <c r="O30" s="150">
        <f t="shared" si="46"/>
        <v>7.4963913248661529E-5</v>
      </c>
      <c r="P30" s="151">
        <f t="shared" si="41"/>
        <v>7.6497714403117416E-5</v>
      </c>
      <c r="Q30" s="151">
        <f t="shared" si="19"/>
        <v>6.9899109358512526E-4</v>
      </c>
      <c r="R30" s="150">
        <f t="shared" si="20"/>
        <v>-2.6039757595680904E-5</v>
      </c>
      <c r="S30" s="147">
        <f t="shared" si="47"/>
        <v>5.4759077146592429E-2</v>
      </c>
      <c r="T30" s="147">
        <f t="shared" si="22"/>
        <v>9.5844382558110605E-2</v>
      </c>
      <c r="U30" s="147">
        <f t="shared" si="43"/>
        <v>5.5316440378288048E-2</v>
      </c>
      <c r="V30" s="147">
        <f t="shared" si="24"/>
        <v>9.7805409114023023E-2</v>
      </c>
      <c r="W30" s="147">
        <f t="shared" si="25"/>
        <v>0.16721137444386075</v>
      </c>
      <c r="X30" s="132">
        <f t="shared" si="26"/>
        <v>0.89368826779438437</v>
      </c>
      <c r="Z30" s="132">
        <f t="shared" si="27"/>
        <v>5.4210474174315069E-3</v>
      </c>
      <c r="AA30" s="132">
        <f t="shared" si="28"/>
        <v>1.5385480215243995E-3</v>
      </c>
      <c r="AB30" s="132">
        <f t="shared" si="29"/>
        <v>7.689783469131406E-4</v>
      </c>
      <c r="AC30" s="132">
        <f t="shared" si="30"/>
        <v>2.6552923033982528E-2</v>
      </c>
      <c r="AD30" s="132">
        <f t="shared" si="31"/>
        <v>20.027485757241998</v>
      </c>
      <c r="AE30" s="132">
        <f t="shared" si="32"/>
        <v>9.9901155971290859E-2</v>
      </c>
      <c r="AF30" s="132">
        <f t="shared" si="33"/>
        <v>4.1686680815942302E-6</v>
      </c>
      <c r="AG30" s="132">
        <f t="shared" si="34"/>
        <v>0.16903390046687589</v>
      </c>
      <c r="AH30" s="132">
        <f t="shared" si="35"/>
        <v>0.90693381422447761</v>
      </c>
      <c r="AI30" s="132">
        <f t="shared" si="36"/>
        <v>2.2853907486704178E-3</v>
      </c>
    </row>
    <row r="31" spans="1:35" x14ac:dyDescent="0.25">
      <c r="A31" s="144">
        <v>40</v>
      </c>
      <c r="B31" s="145">
        <f t="shared" si="9"/>
        <v>0.04</v>
      </c>
      <c r="C31" s="143">
        <v>57.235654949271698</v>
      </c>
      <c r="D31" s="146">
        <f>C31*M31</f>
        <v>4.1209671563475622E-3</v>
      </c>
      <c r="E31" s="157">
        <v>57.250378669467658</v>
      </c>
      <c r="F31" s="150">
        <f t="shared" si="44"/>
        <v>4.1220272642016713E-3</v>
      </c>
      <c r="G31" s="145">
        <v>65.776200000000003</v>
      </c>
      <c r="H31" s="145">
        <f t="shared" si="12"/>
        <v>4.7358864000000001E-3</v>
      </c>
      <c r="I31" s="149">
        <v>56.250244825006028</v>
      </c>
      <c r="J31" s="150">
        <f t="shared" si="13"/>
        <v>4.0500176274004341E-3</v>
      </c>
      <c r="K31" s="148">
        <f t="shared" si="38"/>
        <v>2.1215688358941107</v>
      </c>
      <c r="L31" s="149">
        <f t="shared" si="37"/>
        <v>56.561916808806927</v>
      </c>
      <c r="M31" s="150">
        <v>7.2000000000000002E-5</v>
      </c>
      <c r="N31" s="155">
        <f t="shared" si="39"/>
        <v>4.0724580102340984E-3</v>
      </c>
      <c r="O31" s="150">
        <f t="shared" si="46"/>
        <v>4.8509146113463741E-5</v>
      </c>
      <c r="P31" s="151">
        <f t="shared" si="41"/>
        <v>4.9569253967572842E-5</v>
      </c>
      <c r="Q31" s="151">
        <f t="shared" si="19"/>
        <v>6.6342838976590161E-4</v>
      </c>
      <c r="R31" s="150">
        <f t="shared" si="20"/>
        <v>-2.2440382833664382E-5</v>
      </c>
      <c r="S31" s="147">
        <f t="shared" si="47"/>
        <v>4.9248932025711858E-2</v>
      </c>
      <c r="T31" s="147">
        <f t="shared" si="22"/>
        <v>7.1968875979131888E-2</v>
      </c>
      <c r="U31" s="151">
        <f t="shared" si="43"/>
        <v>4.9784161119563339E-2</v>
      </c>
      <c r="V31" s="147">
        <f t="shared" si="24"/>
        <v>7.354166743784829E-2</v>
      </c>
      <c r="W31" s="147">
        <f t="shared" si="25"/>
        <v>0.18213022672883017</v>
      </c>
      <c r="X31" s="132">
        <f t="shared" si="26"/>
        <v>0.98427202557674742</v>
      </c>
      <c r="Z31" s="132">
        <f t="shared" si="27"/>
        <v>5.4210474174315069E-3</v>
      </c>
      <c r="AA31" s="132">
        <f t="shared" si="28"/>
        <v>1.2308384172195195E-3</v>
      </c>
      <c r="AB31" s="132">
        <f t="shared" si="29"/>
        <v>6.1522995466112285E-4</v>
      </c>
      <c r="AC31" s="132">
        <f t="shared" si="30"/>
        <v>2.6554963640872502E-2</v>
      </c>
      <c r="AD31" s="132">
        <f t="shared" si="31"/>
        <v>25.032433440132703</v>
      </c>
      <c r="AE31" s="132">
        <f t="shared" si="32"/>
        <v>7.9920924777032679E-2</v>
      </c>
      <c r="AF31" s="132">
        <f t="shared" si="33"/>
        <v>3.335190756842183E-6</v>
      </c>
      <c r="AG31" s="132">
        <f t="shared" si="34"/>
        <v>0.18391043257835157</v>
      </c>
      <c r="AH31" s="132">
        <f t="shared" si="35"/>
        <v>0.99663781803006413</v>
      </c>
      <c r="AI31" s="132">
        <f t="shared" si="36"/>
        <v>2.1215688358941103E-3</v>
      </c>
    </row>
    <row r="32" spans="1:35" x14ac:dyDescent="0.25">
      <c r="A32" s="144">
        <v>30</v>
      </c>
      <c r="B32" s="145">
        <f t="shared" si="9"/>
        <v>0.03</v>
      </c>
      <c r="C32" s="143">
        <v>47.055187585852075</v>
      </c>
      <c r="D32" s="146">
        <f>C32*M32</f>
        <v>3.3879735061813493E-3</v>
      </c>
      <c r="E32" s="157">
        <v>47.06100272078222</v>
      </c>
      <c r="F32" s="150">
        <f t="shared" si="44"/>
        <v>3.3883921958963201E-3</v>
      </c>
      <c r="G32" s="145">
        <v>55.378599999999999</v>
      </c>
      <c r="H32" s="145">
        <f t="shared" si="12"/>
        <v>3.9872592E-3</v>
      </c>
      <c r="I32" s="149">
        <v>46.433554036170364</v>
      </c>
      <c r="J32" s="150">
        <f t="shared" si="13"/>
        <v>3.3432158906042662E-3</v>
      </c>
      <c r="K32" s="145">
        <f t="shared" si="38"/>
        <v>1.9275732104070491</v>
      </c>
      <c r="L32" s="149">
        <f t="shared" si="37"/>
        <v>46.690833590177633</v>
      </c>
      <c r="M32" s="150">
        <v>7.2000000000000002E-5</v>
      </c>
      <c r="N32" s="155">
        <f t="shared" si="39"/>
        <v>3.3617400184927895E-3</v>
      </c>
      <c r="O32" s="150">
        <f t="shared" si="46"/>
        <v>2.6233487688559747E-5</v>
      </c>
      <c r="P32" s="151">
        <f t="shared" si="41"/>
        <v>2.6652177403530507E-5</v>
      </c>
      <c r="Q32" s="151">
        <f t="shared" si="19"/>
        <v>6.2551918150721047E-4</v>
      </c>
      <c r="R32" s="150">
        <f t="shared" si="20"/>
        <v>-1.8524127888523353E-5</v>
      </c>
      <c r="S32" s="147">
        <f t="shared" si="47"/>
        <v>4.1819841932237339E-2</v>
      </c>
      <c r="T32" s="147">
        <f t="shared" si="22"/>
        <v>4.7148688190219966E-2</v>
      </c>
      <c r="U32" s="147">
        <f t="shared" si="43"/>
        <v>4.2152245810894037E-2</v>
      </c>
      <c r="V32" s="147">
        <f t="shared" si="24"/>
        <v>4.7901187097493254E-2</v>
      </c>
      <c r="W32" s="147">
        <f t="shared" si="25"/>
        <v>0.20420890961744878</v>
      </c>
      <c r="X32" s="132">
        <f t="shared" si="26"/>
        <v>1.1242275215562176</v>
      </c>
      <c r="Z32" s="132">
        <f t="shared" si="27"/>
        <v>5.4210474174315069E-3</v>
      </c>
      <c r="AA32" s="132">
        <f t="shared" si="28"/>
        <v>9.2312881291463974E-4</v>
      </c>
      <c r="AB32" s="132">
        <f t="shared" si="29"/>
        <v>4.614579347446135E-4</v>
      </c>
      <c r="AC32" s="132">
        <f t="shared" si="30"/>
        <v>2.6557004875106691E-2</v>
      </c>
      <c r="AD32" s="132">
        <f t="shared" si="31"/>
        <v>33.37401251742196</v>
      </c>
      <c r="AE32" s="132">
        <f t="shared" si="32"/>
        <v>5.9940693582774519E-2</v>
      </c>
      <c r="AF32" s="132">
        <f t="shared" si="33"/>
        <v>2.501585345400564E-6</v>
      </c>
      <c r="AG32" s="132">
        <f t="shared" si="34"/>
        <v>0.20593531090583264</v>
      </c>
      <c r="AH32" s="132">
        <f t="shared" si="35"/>
        <v>1.1353768239105619</v>
      </c>
      <c r="AI32" s="132">
        <f t="shared" si="36"/>
        <v>1.9275732104070502E-3</v>
      </c>
    </row>
    <row r="33" spans="1:35" x14ac:dyDescent="0.25">
      <c r="A33" s="144">
        <v>10</v>
      </c>
      <c r="B33" s="145">
        <f t="shared" si="9"/>
        <v>0.01</v>
      </c>
      <c r="C33" s="143">
        <v>22.422488983704358</v>
      </c>
      <c r="D33" s="146">
        <f>C33*M33</f>
        <v>1.6144192068267139E-3</v>
      </c>
      <c r="E33" s="157">
        <v>22.422210420771972</v>
      </c>
      <c r="F33" s="150">
        <f t="shared" si="44"/>
        <v>1.6143991502955821E-3</v>
      </c>
      <c r="G33" s="145">
        <v>29.470700000000001</v>
      </c>
      <c r="H33" s="145">
        <f t="shared" si="12"/>
        <v>2.1218904000000001E-3</v>
      </c>
      <c r="I33" s="149">
        <v>22.322924452170845</v>
      </c>
      <c r="J33" s="150">
        <f t="shared" si="13"/>
        <v>1.607250560556301E-3</v>
      </c>
      <c r="K33" s="145">
        <f t="shared" si="38"/>
        <v>1.3365046175719759</v>
      </c>
      <c r="L33" s="149">
        <f t="shared" si="37"/>
        <v>22.446611560909474</v>
      </c>
      <c r="M33" s="150">
        <v>7.2000000000000002E-5</v>
      </c>
      <c r="N33" s="155">
        <f t="shared" si="39"/>
        <v>1.6161560323854822E-3</v>
      </c>
      <c r="O33" s="150">
        <f t="shared" si="46"/>
        <v>-1.7368255587682773E-6</v>
      </c>
      <c r="P33" s="151">
        <f t="shared" si="41"/>
        <v>-1.7568820899001476E-6</v>
      </c>
      <c r="Q33" s="151">
        <f t="shared" si="19"/>
        <v>5.0573436761451791E-4</v>
      </c>
      <c r="R33" s="150">
        <f t="shared" si="20"/>
        <v>-8.9054718291812184E-6</v>
      </c>
      <c r="S33" s="147" t="e">
        <f t="shared" si="47"/>
        <v>#NUM!</v>
      </c>
      <c r="T33" s="147" t="e">
        <f t="shared" si="22"/>
        <v>#NUM!</v>
      </c>
      <c r="U33" s="147" t="e">
        <f t="shared" si="43"/>
        <v>#NUM!</v>
      </c>
      <c r="V33" s="147" t="e">
        <f t="shared" si="24"/>
        <v>#NUM!</v>
      </c>
      <c r="W33" s="147">
        <f t="shared" si="25"/>
        <v>0.3180359626251465</v>
      </c>
      <c r="X33" s="132">
        <f t="shared" si="26"/>
        <v>1.8906750142143953</v>
      </c>
      <c r="Z33" s="132">
        <f t="shared" si="27"/>
        <v>5.4210474174315069E-3</v>
      </c>
      <c r="AA33" s="132">
        <f t="shared" si="28"/>
        <v>3.0770960430487988E-4</v>
      </c>
      <c r="AB33" s="132">
        <f t="shared" si="29"/>
        <v>1.5384296832299249E-4</v>
      </c>
      <c r="AC33" s="132">
        <f t="shared" si="30"/>
        <v>2.6561089227010753E-2</v>
      </c>
      <c r="AD33" s="132">
        <f t="shared" si="31"/>
        <v>100.10664158596266</v>
      </c>
      <c r="AE33" s="132">
        <f t="shared" si="32"/>
        <v>1.998023119425817E-2</v>
      </c>
      <c r="AF33" s="132">
        <f t="shared" si="33"/>
        <v>8.3399002611735557E-7</v>
      </c>
      <c r="AG33" s="132">
        <f t="shared" si="34"/>
        <v>0.3196298214198588</v>
      </c>
      <c r="AH33" s="132">
        <f t="shared" si="35"/>
        <v>1.8964113741560391</v>
      </c>
      <c r="AI33" s="132">
        <f t="shared" si="36"/>
        <v>1.3365046175719752E-3</v>
      </c>
    </row>
    <row r="34" spans="1:35" x14ac:dyDescent="0.25"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1:35" x14ac:dyDescent="0.25"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1:35" x14ac:dyDescent="0.25">
      <c r="B36" s="133"/>
      <c r="C36" s="133"/>
      <c r="D36" s="133"/>
      <c r="E36" s="172" t="s">
        <v>96</v>
      </c>
      <c r="F36" s="172"/>
      <c r="G36" s="137"/>
      <c r="H36" s="137"/>
      <c r="I36" s="137"/>
      <c r="J36" s="137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</row>
    <row r="37" spans="1:35" x14ac:dyDescent="0.25">
      <c r="E37" s="172"/>
      <c r="F37" s="172"/>
      <c r="G37" s="137"/>
      <c r="H37" s="137"/>
      <c r="I37" s="137"/>
      <c r="J37" s="137"/>
    </row>
    <row r="38" spans="1:35" x14ac:dyDescent="0.25">
      <c r="E38" s="172"/>
      <c r="F38" s="172"/>
      <c r="G38" s="137"/>
      <c r="H38" s="137"/>
      <c r="I38" s="137"/>
      <c r="J38" s="137"/>
    </row>
    <row r="40" spans="1:35" x14ac:dyDescent="0.25">
      <c r="H40" s="132">
        <f>SQRT(0.072/1000/9.8)*1000</f>
        <v>2.7105237087157534</v>
      </c>
    </row>
  </sheetData>
  <mergeCells count="1">
    <mergeCell ref="E36:F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9</vt:i4>
      </vt:variant>
    </vt:vector>
  </HeadingPairs>
  <TitlesOfParts>
    <vt:vector size="15" baseType="lpstr">
      <vt:lpstr>Sheet3</vt:lpstr>
      <vt:lpstr>Sheet5</vt:lpstr>
      <vt:lpstr>calculation sheet</vt:lpstr>
      <vt:lpstr>Sheet7</vt:lpstr>
      <vt:lpstr>Data_UvV</vt:lpstr>
      <vt:lpstr>modified SEFIT_YK_BA</vt:lpstr>
      <vt:lpstr>U vs Vd images</vt:lpstr>
      <vt:lpstr>We vs Vd images</vt:lpstr>
      <vt:lpstr>U vs Vd all Big Rs</vt:lpstr>
      <vt:lpstr>We vs Vd all big Rs</vt:lpstr>
      <vt:lpstr>U vs Vd all YK dished</vt:lpstr>
      <vt:lpstr>We vs Vd all YK dished</vt:lpstr>
      <vt:lpstr>U vs Vd curves</vt:lpstr>
      <vt:lpstr>Chart2</vt:lpstr>
      <vt:lpstr>Chart4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Attari</dc:creator>
  <cp:lastModifiedBy>Erin Schmidt</cp:lastModifiedBy>
  <dcterms:created xsi:type="dcterms:W3CDTF">2015-04-10T17:02:09Z</dcterms:created>
  <dcterms:modified xsi:type="dcterms:W3CDTF">2016-11-19T00:28:36Z</dcterms:modified>
</cp:coreProperties>
</file>