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choi/Downloads/odsc_west_2017-master/"/>
    </mc:Choice>
  </mc:AlternateContent>
  <bookViews>
    <workbookView xWindow="0" yWindow="460" windowWidth="28800" windowHeight="15940" activeTab="1"/>
  </bookViews>
  <sheets>
    <sheet name="directions" sheetId="2" r:id="rId1"/>
    <sheet name="capacity_plan" sheetId="1" r:id="rId2"/>
    <sheet name="old_model" sheetId="3" r:id="rId3"/>
  </sheets>
  <definedNames>
    <definedName name="CIQWBGuid" hidden="1">"43e5f60d-5ff8-4e27-8622-456136dc980d"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41652.7515856481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sales">#REF!</definedName>
  </definedNames>
  <calcPr calcId="150001" calcMode="autoNoTable" iterate="1" iterateCount="1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1" l="1"/>
  <c r="E28" i="1"/>
  <c r="C15" i="1"/>
  <c r="E46" i="1"/>
  <c r="M3" i="3"/>
  <c r="C3" i="3"/>
  <c r="M4" i="3"/>
  <c r="C4" i="3"/>
  <c r="M5" i="3"/>
  <c r="C5" i="3"/>
  <c r="C14" i="3"/>
  <c r="H3" i="3"/>
  <c r="L3" i="3"/>
  <c r="L4" i="3"/>
  <c r="L5" i="3"/>
  <c r="B11" i="3"/>
  <c r="H11" i="3"/>
  <c r="F12" i="3"/>
  <c r="H12" i="3"/>
  <c r="F13" i="3"/>
  <c r="H13" i="3"/>
  <c r="F14" i="3"/>
  <c r="H14" i="3"/>
  <c r="D24" i="3"/>
  <c r="D25" i="3"/>
  <c r="D26" i="3"/>
  <c r="D27" i="3"/>
  <c r="E29" i="3"/>
  <c r="F29" i="3"/>
  <c r="G29" i="3"/>
  <c r="H29" i="3"/>
  <c r="I29" i="3"/>
  <c r="E30" i="3"/>
  <c r="F30" i="3"/>
  <c r="G30" i="3"/>
  <c r="H30" i="3"/>
  <c r="I30" i="3"/>
  <c r="E31" i="3"/>
  <c r="F31" i="3"/>
  <c r="G31" i="3"/>
  <c r="H31" i="3"/>
  <c r="I31" i="3"/>
  <c r="E33" i="3"/>
  <c r="F33" i="3"/>
  <c r="G33" i="3"/>
  <c r="H33" i="3"/>
  <c r="I33" i="3"/>
  <c r="D34" i="3"/>
  <c r="E34" i="3"/>
  <c r="F34" i="3"/>
  <c r="G34" i="3"/>
  <c r="H34" i="3"/>
  <c r="I34" i="3"/>
  <c r="E36" i="3"/>
  <c r="F36" i="3"/>
  <c r="G36" i="3"/>
  <c r="H36" i="3"/>
  <c r="I36" i="3"/>
  <c r="D37" i="3"/>
  <c r="E37" i="3"/>
  <c r="F37" i="3"/>
  <c r="G37" i="3"/>
  <c r="H37" i="3"/>
  <c r="I37" i="3"/>
  <c r="D67" i="3"/>
  <c r="D75" i="3"/>
  <c r="D68" i="3"/>
  <c r="D76" i="3"/>
  <c r="D69" i="3"/>
  <c r="D77" i="3"/>
  <c r="D78" i="3"/>
  <c r="D79" i="3"/>
  <c r="D81" i="3"/>
  <c r="D39" i="3"/>
  <c r="E46" i="3"/>
  <c r="E47" i="3"/>
  <c r="D40" i="3"/>
  <c r="D42" i="3"/>
  <c r="D43" i="3"/>
  <c r="B46" i="3"/>
  <c r="D46" i="3"/>
  <c r="F46" i="3"/>
  <c r="G46" i="3"/>
  <c r="H46" i="3"/>
  <c r="I46" i="3"/>
  <c r="F47" i="3"/>
  <c r="G47" i="3"/>
  <c r="H47" i="3"/>
  <c r="I47" i="3"/>
  <c r="E53" i="3"/>
  <c r="F53" i="3"/>
  <c r="G53" i="3"/>
  <c r="H53" i="3"/>
  <c r="I53" i="3"/>
  <c r="E57" i="3"/>
  <c r="F57" i="3"/>
  <c r="G57" i="3"/>
  <c r="H57" i="3"/>
  <c r="I57" i="3"/>
  <c r="B67" i="3"/>
  <c r="B68" i="3"/>
  <c r="B69" i="3"/>
  <c r="E69" i="3"/>
  <c r="F69" i="3"/>
  <c r="G69" i="3"/>
  <c r="H69" i="3"/>
  <c r="I69" i="3"/>
  <c r="D70" i="3"/>
  <c r="D72" i="3"/>
  <c r="B75" i="3"/>
  <c r="B76" i="3"/>
  <c r="B77" i="3"/>
  <c r="E77" i="3"/>
  <c r="F77" i="3"/>
  <c r="G77" i="3"/>
  <c r="H77" i="3"/>
  <c r="I77" i="3"/>
  <c r="B79" i="3"/>
  <c r="E79" i="3"/>
  <c r="F79" i="3"/>
  <c r="G79" i="3"/>
  <c r="H79" i="3"/>
  <c r="I79" i="3"/>
  <c r="Q8" i="3"/>
  <c r="R8" i="3"/>
  <c r="S8" i="3"/>
  <c r="T8" i="3"/>
  <c r="O13" i="3"/>
  <c r="O12" i="3"/>
  <c r="P12" i="3"/>
  <c r="Q12" i="3"/>
  <c r="R12" i="3"/>
  <c r="S12" i="3"/>
  <c r="T12" i="3"/>
  <c r="P13" i="3"/>
  <c r="Q13" i="3"/>
  <c r="R13" i="3"/>
  <c r="S13" i="3"/>
  <c r="T13" i="3"/>
  <c r="O14" i="3"/>
  <c r="P14" i="3"/>
  <c r="Q14" i="3"/>
  <c r="R14" i="3"/>
  <c r="S14" i="3"/>
  <c r="T14" i="3"/>
  <c r="O16" i="3"/>
  <c r="O18" i="3"/>
  <c r="O19" i="3"/>
  <c r="O20" i="3"/>
  <c r="O22" i="3"/>
  <c r="O23" i="3"/>
  <c r="O24" i="3"/>
  <c r="O26" i="3"/>
  <c r="O27" i="3"/>
  <c r="O28" i="3"/>
  <c r="D46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D55" i="1"/>
  <c r="D57" i="1"/>
  <c r="C55" i="1"/>
  <c r="C56" i="1"/>
  <c r="D54" i="1"/>
  <c r="D56" i="1"/>
  <c r="E54" i="1"/>
  <c r="E56" i="1"/>
  <c r="E57" i="1"/>
  <c r="F54" i="1"/>
  <c r="F56" i="1"/>
  <c r="F57" i="1"/>
  <c r="G54" i="1"/>
  <c r="G56" i="1"/>
  <c r="G57" i="1"/>
  <c r="H54" i="1"/>
  <c r="H56" i="1"/>
  <c r="H57" i="1"/>
  <c r="I54" i="1"/>
  <c r="I56" i="1"/>
  <c r="I57" i="1"/>
  <c r="J54" i="1"/>
  <c r="J56" i="1"/>
  <c r="J57" i="1"/>
  <c r="K54" i="1"/>
  <c r="K56" i="1"/>
  <c r="K57" i="1"/>
  <c r="L54" i="1"/>
  <c r="L56" i="1"/>
  <c r="L57" i="1"/>
  <c r="M54" i="1"/>
  <c r="M56" i="1"/>
  <c r="M57" i="1"/>
  <c r="N54" i="1"/>
  <c r="N56" i="1"/>
  <c r="N57" i="1"/>
  <c r="O57" i="1"/>
  <c r="P57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E30" i="1"/>
  <c r="C23" i="1"/>
  <c r="N38" i="1"/>
  <c r="M38" i="1"/>
  <c r="L38" i="1"/>
  <c r="K38" i="1"/>
  <c r="J38" i="1"/>
  <c r="I38" i="1"/>
  <c r="H38" i="1"/>
  <c r="G38" i="1"/>
  <c r="F38" i="1"/>
  <c r="E38" i="1"/>
  <c r="D38" i="1"/>
  <c r="C38" i="1"/>
  <c r="O38" i="1"/>
  <c r="C35" i="1"/>
  <c r="C36" i="1"/>
  <c r="F28" i="1"/>
  <c r="G28" i="1"/>
  <c r="H28" i="1"/>
  <c r="I28" i="1"/>
  <c r="J28" i="1"/>
  <c r="K28" i="1"/>
  <c r="L28" i="1"/>
  <c r="M28" i="1"/>
  <c r="N28" i="1"/>
  <c r="E58" i="1"/>
  <c r="E39" i="1"/>
  <c r="E40" i="1"/>
  <c r="M39" i="1"/>
  <c r="N46" i="1"/>
  <c r="G46" i="1"/>
  <c r="L46" i="1"/>
  <c r="N39" i="1"/>
  <c r="N40" i="1"/>
  <c r="C40" i="1"/>
  <c r="C46" i="1"/>
  <c r="H46" i="1"/>
  <c r="M46" i="1"/>
  <c r="I46" i="1"/>
  <c r="K46" i="1"/>
  <c r="F46" i="1"/>
  <c r="J46" i="1"/>
  <c r="M40" i="1"/>
  <c r="G39" i="1"/>
  <c r="G40" i="1"/>
  <c r="K39" i="1"/>
  <c r="K40" i="1"/>
  <c r="I39" i="1"/>
  <c r="I40" i="1"/>
  <c r="D39" i="1"/>
  <c r="D40" i="1"/>
  <c r="H39" i="1"/>
  <c r="H40" i="1"/>
  <c r="L39" i="1"/>
  <c r="L40" i="1"/>
  <c r="F39" i="1"/>
  <c r="F40" i="1"/>
  <c r="J39" i="1"/>
  <c r="J40" i="1"/>
  <c r="C37" i="1"/>
  <c r="C41" i="1"/>
  <c r="D35" i="1"/>
  <c r="O40" i="1"/>
  <c r="F58" i="1"/>
  <c r="D36" i="1"/>
  <c r="D37" i="1"/>
  <c r="G58" i="1"/>
  <c r="E35" i="1"/>
  <c r="D41" i="1"/>
  <c r="H58" i="1"/>
  <c r="E36" i="1"/>
  <c r="E37" i="1"/>
  <c r="I58" i="1"/>
  <c r="F35" i="1"/>
  <c r="E41" i="1"/>
  <c r="J58" i="1"/>
  <c r="F36" i="1"/>
  <c r="F37" i="1"/>
  <c r="K58" i="1"/>
  <c r="G35" i="1"/>
  <c r="F41" i="1"/>
  <c r="C21" i="1"/>
  <c r="C25" i="1"/>
  <c r="N44" i="1"/>
  <c r="N45" i="1"/>
  <c r="N47" i="1"/>
  <c r="M44" i="1"/>
  <c r="M45" i="1"/>
  <c r="M47" i="1"/>
  <c r="L44" i="1"/>
  <c r="L45" i="1"/>
  <c r="L47" i="1"/>
  <c r="K44" i="1"/>
  <c r="K45" i="1"/>
  <c r="K47" i="1"/>
  <c r="J44" i="1"/>
  <c r="J45" i="1"/>
  <c r="J47" i="1"/>
  <c r="I44" i="1"/>
  <c r="I45" i="1"/>
  <c r="I47" i="1"/>
  <c r="H44" i="1"/>
  <c r="H45" i="1"/>
  <c r="H47" i="1"/>
  <c r="G44" i="1"/>
  <c r="G45" i="1"/>
  <c r="G47" i="1"/>
  <c r="F44" i="1"/>
  <c r="F45" i="1"/>
  <c r="F47" i="1"/>
  <c r="E44" i="1"/>
  <c r="D44" i="1"/>
  <c r="D45" i="1"/>
  <c r="D47" i="1"/>
  <c r="C44" i="1"/>
  <c r="C45" i="1"/>
  <c r="C47" i="1"/>
  <c r="C26" i="1"/>
  <c r="D30" i="1"/>
  <c r="C30" i="1"/>
  <c r="C29" i="1"/>
  <c r="C31" i="1"/>
  <c r="L58" i="1"/>
  <c r="E48" i="1"/>
  <c r="D48" i="1"/>
  <c r="D49" i="1"/>
  <c r="D51" i="1"/>
  <c r="G36" i="1"/>
  <c r="G37" i="1"/>
  <c r="E45" i="1"/>
  <c r="E47" i="1"/>
  <c r="N48" i="1"/>
  <c r="O44" i="1"/>
  <c r="C49" i="1"/>
  <c r="C51" i="1"/>
  <c r="M58" i="1"/>
  <c r="G48" i="1"/>
  <c r="G49" i="1"/>
  <c r="L48" i="1"/>
  <c r="L49" i="1"/>
  <c r="M48" i="1"/>
  <c r="M49" i="1"/>
  <c r="K48" i="1"/>
  <c r="K49" i="1"/>
  <c r="F48" i="1"/>
  <c r="I48" i="1"/>
  <c r="I49" i="1"/>
  <c r="J48" i="1"/>
  <c r="J49" i="1"/>
  <c r="H48" i="1"/>
  <c r="H49" i="1"/>
  <c r="H35" i="1"/>
  <c r="H36" i="1"/>
  <c r="H37" i="1"/>
  <c r="G41" i="1"/>
  <c r="N49" i="1"/>
  <c r="O45" i="1"/>
  <c r="C32" i="1"/>
  <c r="D29" i="1"/>
  <c r="D31" i="1"/>
  <c r="E29" i="1"/>
  <c r="E31" i="1"/>
  <c r="O54" i="1"/>
  <c r="O56" i="1"/>
  <c r="N58" i="1"/>
  <c r="G51" i="1"/>
  <c r="I35" i="1"/>
  <c r="H41" i="1"/>
  <c r="H51" i="1"/>
  <c r="O47" i="1"/>
  <c r="E49" i="1"/>
  <c r="E51" i="1"/>
  <c r="D32" i="1"/>
  <c r="I36" i="1"/>
  <c r="I37" i="1"/>
  <c r="O48" i="1"/>
  <c r="F49" i="1"/>
  <c r="E32" i="1"/>
  <c r="F29" i="1"/>
  <c r="F31" i="1"/>
  <c r="O49" i="1"/>
  <c r="F51" i="1"/>
  <c r="J35" i="1"/>
  <c r="J36" i="1"/>
  <c r="J37" i="1"/>
  <c r="I41" i="1"/>
  <c r="I51" i="1"/>
  <c r="G29" i="1"/>
  <c r="G31" i="1"/>
  <c r="F32" i="1"/>
  <c r="K35" i="1"/>
  <c r="J41" i="1"/>
  <c r="J51" i="1"/>
  <c r="H29" i="1"/>
  <c r="H31" i="1"/>
  <c r="G32" i="1"/>
  <c r="K36" i="1"/>
  <c r="K37" i="1"/>
  <c r="I29" i="1"/>
  <c r="I31" i="1"/>
  <c r="H32" i="1"/>
  <c r="L35" i="1"/>
  <c r="L36" i="1"/>
  <c r="L37" i="1"/>
  <c r="K41" i="1"/>
  <c r="K51" i="1"/>
  <c r="I32" i="1"/>
  <c r="J29" i="1"/>
  <c r="J31" i="1"/>
  <c r="M35" i="1"/>
  <c r="L41" i="1"/>
  <c r="L51" i="1"/>
  <c r="K29" i="1"/>
  <c r="K31" i="1"/>
  <c r="J32" i="1"/>
  <c r="M36" i="1"/>
  <c r="M37" i="1"/>
  <c r="L29" i="1"/>
  <c r="L31" i="1"/>
  <c r="K32" i="1"/>
  <c r="N35" i="1"/>
  <c r="M41" i="1"/>
  <c r="M51" i="1"/>
  <c r="M29" i="1"/>
  <c r="M31" i="1"/>
  <c r="L32" i="1"/>
  <c r="N36" i="1"/>
  <c r="O36" i="1"/>
  <c r="M32" i="1"/>
  <c r="N29" i="1"/>
  <c r="N31" i="1"/>
  <c r="N37" i="1"/>
  <c r="N32" i="1"/>
  <c r="O32" i="1"/>
  <c r="P32" i="1"/>
  <c r="O29" i="1"/>
  <c r="O31" i="1"/>
  <c r="N41" i="1"/>
  <c r="N51" i="1"/>
  <c r="O51" i="1"/>
  <c r="P51" i="1"/>
  <c r="O37" i="1"/>
  <c r="O35" i="1"/>
  <c r="O39" i="1"/>
  <c r="O41" i="1"/>
  <c r="H15" i="3"/>
  <c r="H5" i="3"/>
  <c r="H7" i="3"/>
  <c r="C6" i="3"/>
  <c r="T10" i="3"/>
  <c r="S10" i="3"/>
  <c r="R10" i="3"/>
  <c r="Q10" i="3"/>
  <c r="P10" i="3"/>
  <c r="H18" i="3"/>
  <c r="C7" i="3"/>
  <c r="E7" i="3"/>
  <c r="E6" i="3"/>
  <c r="E5" i="3"/>
  <c r="E4" i="3"/>
  <c r="E3" i="3"/>
  <c r="P16" i="3"/>
  <c r="Q16" i="3"/>
  <c r="R16" i="3"/>
  <c r="S16" i="3"/>
  <c r="T16" i="3"/>
  <c r="P18" i="3"/>
  <c r="Q18" i="3"/>
  <c r="R18" i="3"/>
  <c r="S18" i="3"/>
  <c r="T18" i="3"/>
  <c r="P19" i="3"/>
  <c r="Q19" i="3"/>
  <c r="R19" i="3"/>
  <c r="S19" i="3"/>
  <c r="T19" i="3"/>
  <c r="P20" i="3"/>
  <c r="Q20" i="3"/>
  <c r="R20" i="3"/>
  <c r="S20" i="3"/>
  <c r="T20" i="3"/>
  <c r="P22" i="3"/>
  <c r="Q22" i="3"/>
  <c r="R22" i="3"/>
  <c r="S22" i="3"/>
  <c r="T22" i="3"/>
  <c r="P23" i="3"/>
  <c r="Q23" i="3"/>
  <c r="R23" i="3"/>
  <c r="S23" i="3"/>
  <c r="T23" i="3"/>
  <c r="P24" i="3"/>
  <c r="Q24" i="3"/>
  <c r="R24" i="3"/>
  <c r="S24" i="3"/>
  <c r="T24" i="3"/>
  <c r="P26" i="3"/>
  <c r="Q26" i="3"/>
  <c r="R26" i="3"/>
  <c r="S26" i="3"/>
  <c r="T26" i="3"/>
  <c r="P27" i="3"/>
  <c r="Q27" i="3"/>
  <c r="R27" i="3"/>
  <c r="S27" i="3"/>
  <c r="T27" i="3"/>
  <c r="P28" i="3"/>
  <c r="Q28" i="3"/>
  <c r="R28" i="3"/>
  <c r="S28" i="3"/>
  <c r="T28" i="3"/>
  <c r="E39" i="3"/>
  <c r="F39" i="3"/>
  <c r="G39" i="3"/>
  <c r="H39" i="3"/>
  <c r="I39" i="3"/>
  <c r="E40" i="3"/>
  <c r="F40" i="3"/>
  <c r="G40" i="3"/>
  <c r="H40" i="3"/>
  <c r="I40" i="3"/>
  <c r="E42" i="3"/>
  <c r="F42" i="3"/>
  <c r="G42" i="3"/>
  <c r="H42" i="3"/>
  <c r="I42" i="3"/>
  <c r="E43" i="3"/>
  <c r="F43" i="3"/>
  <c r="G43" i="3"/>
  <c r="H43" i="3"/>
  <c r="I43" i="3"/>
  <c r="E48" i="3"/>
  <c r="F48" i="3"/>
  <c r="G48" i="3"/>
  <c r="H48" i="3"/>
  <c r="I48" i="3"/>
  <c r="E49" i="3"/>
  <c r="F49" i="3"/>
  <c r="G49" i="3"/>
  <c r="H49" i="3"/>
  <c r="I49" i="3"/>
  <c r="E50" i="3"/>
  <c r="F50" i="3"/>
  <c r="G50" i="3"/>
  <c r="H50" i="3"/>
  <c r="I50" i="3"/>
  <c r="E54" i="3"/>
  <c r="F54" i="3"/>
  <c r="G54" i="3"/>
  <c r="H54" i="3"/>
  <c r="I54" i="3"/>
  <c r="E55" i="3"/>
  <c r="F55" i="3"/>
  <c r="G55" i="3"/>
  <c r="H55" i="3"/>
  <c r="I55" i="3"/>
  <c r="E59" i="3"/>
  <c r="F59" i="3"/>
  <c r="G59" i="3"/>
  <c r="H59" i="3"/>
  <c r="I59" i="3"/>
  <c r="E60" i="3"/>
  <c r="F60" i="3"/>
  <c r="G60" i="3"/>
  <c r="H60" i="3"/>
  <c r="I60" i="3"/>
  <c r="E61" i="3"/>
  <c r="F61" i="3"/>
  <c r="G61" i="3"/>
  <c r="H61" i="3"/>
  <c r="I61" i="3"/>
  <c r="E62" i="3"/>
  <c r="F62" i="3"/>
  <c r="G62" i="3"/>
  <c r="H62" i="3"/>
  <c r="I62" i="3"/>
  <c r="E65" i="3"/>
  <c r="F65" i="3"/>
  <c r="G65" i="3"/>
  <c r="H65" i="3"/>
  <c r="I65" i="3"/>
  <c r="E67" i="3"/>
  <c r="F67" i="3"/>
  <c r="G67" i="3"/>
  <c r="H67" i="3"/>
  <c r="I67" i="3"/>
  <c r="E68" i="3"/>
  <c r="F68" i="3"/>
  <c r="G68" i="3"/>
  <c r="H68" i="3"/>
  <c r="I68" i="3"/>
  <c r="E70" i="3"/>
  <c r="F70" i="3"/>
  <c r="G70" i="3"/>
  <c r="H70" i="3"/>
  <c r="I70" i="3"/>
  <c r="E72" i="3"/>
  <c r="F72" i="3"/>
  <c r="G72" i="3"/>
  <c r="H72" i="3"/>
  <c r="I72" i="3"/>
  <c r="E75" i="3"/>
  <c r="F75" i="3"/>
  <c r="G75" i="3"/>
  <c r="H75" i="3"/>
  <c r="I75" i="3"/>
  <c r="E76" i="3"/>
  <c r="F76" i="3"/>
  <c r="G76" i="3"/>
  <c r="H76" i="3"/>
  <c r="I76" i="3"/>
  <c r="E78" i="3"/>
  <c r="F78" i="3"/>
  <c r="G78" i="3"/>
  <c r="H78" i="3"/>
  <c r="I78" i="3"/>
  <c r="E81" i="3"/>
  <c r="F81" i="3"/>
  <c r="G81" i="3"/>
  <c r="H81" i="3"/>
  <c r="I81" i="3"/>
</calcChain>
</file>

<file path=xl/sharedStrings.xml><?xml version="1.0" encoding="utf-8"?>
<sst xmlns="http://schemas.openxmlformats.org/spreadsheetml/2006/main" count="165" uniqueCount="144">
  <si>
    <t>Assumptions</t>
  </si>
  <si>
    <t>PY ARR</t>
  </si>
  <si>
    <t>Quota</t>
  </si>
  <si>
    <t>AE</t>
  </si>
  <si>
    <t>SDR</t>
  </si>
  <si>
    <t>AE Quota (mo)</t>
  </si>
  <si>
    <t>AE Ramp (mo)</t>
  </si>
  <si>
    <t>SDR Quota (meetings/mo)</t>
  </si>
  <si>
    <t>SDR Ramp (mo)</t>
  </si>
  <si>
    <t>Marketing (meetings/mo)</t>
  </si>
  <si>
    <t>Gross Revenue Churn (mo)</t>
  </si>
  <si>
    <t xml:space="preserve">Funnel conversion: </t>
  </si>
  <si>
    <t>Meetings to Sales Qualified</t>
  </si>
  <si>
    <t>Sales Qualified to Closed Deal</t>
  </si>
  <si>
    <t>Average Selling Price</t>
  </si>
  <si>
    <t>Deal Velocity (days)</t>
  </si>
  <si>
    <t>BOY HC</t>
  </si>
  <si>
    <t>Rolling (Fractional)</t>
  </si>
  <si>
    <t>assumes all HC adds in month 1</t>
  </si>
  <si>
    <t>Adds (Fractional)</t>
  </si>
  <si>
    <t>Beginning AE HC</t>
  </si>
  <si>
    <t>Target ARR</t>
  </si>
  <si>
    <t>Marketing Meetings</t>
  </si>
  <si>
    <t>Sales Qualified Leads</t>
  </si>
  <si>
    <t>Total Sales</t>
  </si>
  <si>
    <t xml:space="preserve">Churn </t>
  </si>
  <si>
    <t>sensitize?</t>
  </si>
  <si>
    <t>assumes 0.5% of previous month (month 1 will be 0.5% x month 12 of PY)</t>
  </si>
  <si>
    <t xml:space="preserve">Meetings Required (monthly) </t>
  </si>
  <si>
    <t>Meetings Required (monthly) - rounded</t>
  </si>
  <si>
    <t>FY18</t>
  </si>
  <si>
    <t>Existing Business</t>
  </si>
  <si>
    <t>New Business</t>
  </si>
  <si>
    <t>ARR, PY</t>
  </si>
  <si>
    <t>ARR, PY, net of churn</t>
  </si>
  <si>
    <t>New Business, Existing Volume</t>
  </si>
  <si>
    <t>New Business, Existing Volume, net of Churn</t>
  </si>
  <si>
    <t>Total Sales, net of Churn</t>
  </si>
  <si>
    <t>Deal Velocity Factor</t>
  </si>
  <si>
    <t>Closed Deals - Unadjusted</t>
  </si>
  <si>
    <t>Implied Close Date for New Business</t>
  </si>
  <si>
    <t>deal velocity not considered - hit run rate in PY</t>
  </si>
  <si>
    <t>xxx needs to be converted into marketing/sdr investment</t>
  </si>
  <si>
    <t>HC Adds (AEs)</t>
  </si>
  <si>
    <t>HC Adds (AEs) - rounded</t>
  </si>
  <si>
    <t>i assumed this meant existing</t>
  </si>
  <si>
    <t>Beginning SDR HC</t>
  </si>
  <si>
    <t>HC Adds (SDRs)</t>
  </si>
  <si>
    <t>HC Adds (SDRs) - rounded</t>
  </si>
  <si>
    <t>Meetings</t>
  </si>
  <si>
    <t>Calc for Incremental Meetings Only</t>
  </si>
  <si>
    <t>Part 1: SaaS Revenue Capacity Plan (output = Excel file):</t>
  </si>
  <si>
    <t>What level of investment in sales headcount and marketing spend does the below SaaS company</t>
  </si>
  <si>
    <t>need to make in order to achieve 100% ARR growth in one year? Bonus points for including</t>
  </si>
  <si>
    <t>thoughtful sensitivity analyses on key business levers</t>
  </si>
  <si>
    <t>Assume:</t>
  </si>
  <si>
    <t>End prior year at $10M ARR</t>
  </si>
  <si>
    <t>Account Executive quota: $120,000 gross new ARR / month, ramp = 3 months</t>
  </si>
  <si>
    <t>Outbound Sales Development Rep quota: 10 meetings / month, ramp = 1 month</t>
  </si>
  <si>
    <t>10 SDRs and 8 AEs fully ramped and in seat on Jan 1</t>
  </si>
  <si>
    <t>Marketing: 20 meetings / month</t>
  </si>
  <si>
    <t>Gross Revenue Churn: 0.5% / month</t>
  </si>
  <si>
    <t>Funnel conversion: 80% meetings to Sales Qualified. 20% Sales Qualified to Closed Deal</t>
  </si>
  <si>
    <t>Average selling price: $60,000</t>
  </si>
  <si>
    <t>Deal velocity: 45-60 days from first meeting. Can be as short as one week, as long as 100 days</t>
  </si>
  <si>
    <t>* Note any other assumptions made</t>
  </si>
  <si>
    <t>Part 2: Go to Market Strategy (output= Powerpoint file &lt;3 pages):</t>
  </si>
  <si>
    <t>Present and summarize key learnings from Part 1. What three initiatives you would recommend</t>
  </si>
  <si>
    <t>this company prioritize to optimize their go to market strategy? How would you evaluate success</t>
  </si>
  <si>
    <t>for each of these initiatives? Given more time, what other considerations would you have</t>
  </si>
  <si>
    <t>incorporated in the analysis?</t>
  </si>
  <si>
    <t>Part 3: Sample Financial Model (output= previously completed Excel file)</t>
  </si>
  <si>
    <t>Send a 3-statement financial model from a prior work assignment. Model can be scrubbed for</t>
  </si>
  <si>
    <t>confidential financial data (replace with dummy data). You will review structure and model</t>
  </si>
  <si>
    <t>functionality with James on a call to be scheduled.</t>
  </si>
  <si>
    <t>Case</t>
  </si>
  <si>
    <t>Multiple of Invested Capital</t>
  </si>
  <si>
    <t>x</t>
  </si>
  <si>
    <t>IRR</t>
  </si>
  <si>
    <t>Exit Equity Value</t>
  </si>
  <si>
    <t>Less Net Debt</t>
  </si>
  <si>
    <t>Exit Enterprise Value</t>
  </si>
  <si>
    <t>Purchase Price (Equity Value)</t>
  </si>
  <si>
    <t>Returns</t>
  </si>
  <si>
    <t>Total Interest Expense</t>
  </si>
  <si>
    <t>Total Cash</t>
  </si>
  <si>
    <t>Interest</t>
  </si>
  <si>
    <t>Net Debt</t>
  </si>
  <si>
    <t>Total Debt</t>
  </si>
  <si>
    <t>At Close</t>
  </si>
  <si>
    <t>Cash</t>
  </si>
  <si>
    <t>Capitalization</t>
  </si>
  <si>
    <t>FCF</t>
  </si>
  <si>
    <t>TLB PD</t>
  </si>
  <si>
    <t>Revolver Borrowing/PD</t>
  </si>
  <si>
    <t>FCF for Sweep</t>
  </si>
  <si>
    <t>TLB Repayments</t>
  </si>
  <si>
    <t>Cumulative FCF</t>
  </si>
  <si>
    <t>FCF for Debt</t>
  </si>
  <si>
    <t>Cap X</t>
  </si>
  <si>
    <t>CFO</t>
  </si>
  <si>
    <t>Cash Taxes</t>
  </si>
  <si>
    <t>Cash Interest</t>
  </si>
  <si>
    <t>∆ NWC</t>
  </si>
  <si>
    <t>CF</t>
  </si>
  <si>
    <t>Net Income</t>
  </si>
  <si>
    <t>Tax Expense</t>
  </si>
  <si>
    <t>EBT</t>
  </si>
  <si>
    <t>Interest Expense</t>
  </si>
  <si>
    <t>EBIT</t>
  </si>
  <si>
    <t>D&amp;A</t>
  </si>
  <si>
    <t>Margin</t>
  </si>
  <si>
    <t>EBITDA</t>
  </si>
  <si>
    <t>% Growth</t>
  </si>
  <si>
    <t>Revenue</t>
  </si>
  <si>
    <t>IS</t>
  </si>
  <si>
    <t>W/C % of Sales</t>
  </si>
  <si>
    <t>Cap X % of Sales</t>
  </si>
  <si>
    <t>Tax</t>
  </si>
  <si>
    <t>D&amp;A % of Sales</t>
  </si>
  <si>
    <t>EBITDA Margin</t>
  </si>
  <si>
    <t>Revenue Growth</t>
  </si>
  <si>
    <t>Annual Expense</t>
  </si>
  <si>
    <t>Amort of Fees</t>
  </si>
  <si>
    <t>Total Fees</t>
  </si>
  <si>
    <t>Fees</t>
  </si>
  <si>
    <t>Price</t>
  </si>
  <si>
    <t>Multiple</t>
  </si>
  <si>
    <t>M&amp;A</t>
  </si>
  <si>
    <t>Total</t>
  </si>
  <si>
    <t>Sponsor Equity</t>
  </si>
  <si>
    <t>HY</t>
  </si>
  <si>
    <t>Refi Existing Debt</t>
  </si>
  <si>
    <t>TLB</t>
  </si>
  <si>
    <t>Purchase of Equity</t>
  </si>
  <si>
    <t>Rev</t>
  </si>
  <si>
    <t>Option 4</t>
  </si>
  <si>
    <t>Option 3</t>
  </si>
  <si>
    <t>Option 2</t>
  </si>
  <si>
    <t>Option 1</t>
  </si>
  <si>
    <t>Active</t>
  </si>
  <si>
    <t>Uses</t>
  </si>
  <si>
    <t>%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</si>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</sst>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&quot;$&quot;#,##0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_(* #,##0_);_(* \(#,##0\);_(* &quot;-&quot;?_);_(@_)"/>
    <numFmt numFmtId="169" formatCode="[$-409]mmm\-yy;@"/>
    <numFmt numFmtId="170" formatCode="m/d/yy;@"/>
    <numFmt numFmtId="171" formatCode="#,##0.0_);\(#,##0.0\)"/>
    <numFmt numFmtId="172" formatCode="0.0\x;\(0.0\x\)"/>
    <numFmt numFmtId="173" formatCode="0.0%;\(0.0%\)"/>
    <numFmt numFmtId="174" formatCode="&quot;Year&quot;\ 0"/>
    <numFmt numFmtId="175" formatCode="0000&quot;P&quot;"/>
    <numFmt numFmtId="176" formatCode="[$$-409]#,##0.0_);\([$$-409]#,##0.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Verdana"/>
    </font>
    <font>
      <sz val="10"/>
      <name val="Calibri"/>
      <scheme val="minor"/>
    </font>
    <font>
      <b/>
      <sz val="10"/>
      <color theme="0"/>
      <name val="Calibri"/>
      <scheme val="minor"/>
    </font>
    <font>
      <b/>
      <sz val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</cellStyleXfs>
  <cellXfs count="74">
    <xf numFmtId="0" fontId="0" fillId="0" borderId="0" xfId="0"/>
    <xf numFmtId="164" fontId="6" fillId="0" borderId="0" xfId="0" applyNumberFormat="1" applyFont="1"/>
    <xf numFmtId="0" fontId="0" fillId="0" borderId="0" xfId="0" applyAlignment="1">
      <alignment horizontal="right"/>
    </xf>
    <xf numFmtId="166" fontId="6" fillId="0" borderId="0" xfId="1" applyNumberFormat="1" applyFont="1"/>
    <xf numFmtId="167" fontId="6" fillId="0" borderId="0" xfId="2" applyNumberFormat="1" applyFont="1"/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center"/>
    </xf>
    <xf numFmtId="166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5" fontId="5" fillId="0" borderId="0" xfId="1" applyNumberFormat="1" applyFont="1"/>
    <xf numFmtId="164" fontId="5" fillId="0" borderId="0" xfId="0" applyNumberFormat="1" applyFont="1"/>
    <xf numFmtId="164" fontId="0" fillId="0" borderId="0" xfId="0" applyNumberFormat="1"/>
    <xf numFmtId="0" fontId="0" fillId="0" borderId="1" xfId="0" applyBorder="1"/>
    <xf numFmtId="0" fontId="0" fillId="0" borderId="3" xfId="0" applyFill="1" applyBorder="1"/>
    <xf numFmtId="168" fontId="0" fillId="0" borderId="0" xfId="0" applyNumberFormat="1"/>
    <xf numFmtId="0" fontId="0" fillId="0" borderId="5" xfId="0" applyBorder="1"/>
    <xf numFmtId="0" fontId="0" fillId="0" borderId="5" xfId="0" applyFill="1" applyBorder="1"/>
    <xf numFmtId="164" fontId="3" fillId="0" borderId="0" xfId="0" applyNumberFormat="1" applyFont="1"/>
    <xf numFmtId="0" fontId="7" fillId="0" borderId="0" xfId="0" applyFont="1"/>
    <xf numFmtId="165" fontId="6" fillId="4" borderId="2" xfId="1" applyNumberFormat="1" applyFont="1" applyFill="1" applyBorder="1"/>
    <xf numFmtId="165" fontId="6" fillId="4" borderId="6" xfId="1" applyNumberFormat="1" applyFont="1" applyFill="1" applyBorder="1"/>
    <xf numFmtId="164" fontId="6" fillId="4" borderId="4" xfId="0" applyNumberFormat="1" applyFont="1" applyFill="1" applyBorder="1"/>
    <xf numFmtId="169" fontId="2" fillId="2" borderId="0" xfId="0" applyNumberFormat="1" applyFont="1" applyFill="1" applyAlignment="1">
      <alignment horizontal="center"/>
    </xf>
    <xf numFmtId="0" fontId="4" fillId="0" borderId="0" xfId="0" applyFont="1"/>
    <xf numFmtId="0" fontId="8" fillId="0" borderId="0" xfId="0" applyFont="1"/>
    <xf numFmtId="164" fontId="4" fillId="0" borderId="0" xfId="0" applyNumberFormat="1" applyFont="1"/>
    <xf numFmtId="0" fontId="9" fillId="0" borderId="0" xfId="0" applyFont="1"/>
    <xf numFmtId="164" fontId="10" fillId="0" borderId="0" xfId="0" applyNumberFormat="1" applyFont="1"/>
    <xf numFmtId="166" fontId="6" fillId="0" borderId="0" xfId="1" applyNumberFormat="1" applyFont="1" applyFill="1"/>
    <xf numFmtId="165" fontId="5" fillId="4" borderId="6" xfId="1" applyNumberFormat="1" applyFont="1" applyFill="1" applyBorder="1"/>
    <xf numFmtId="0" fontId="4" fillId="3" borderId="0" xfId="0" applyFont="1" applyFill="1"/>
    <xf numFmtId="164" fontId="4" fillId="3" borderId="0" xfId="0" applyNumberFormat="1" applyFont="1" applyFill="1"/>
    <xf numFmtId="170" fontId="0" fillId="4" borderId="0" xfId="0" applyNumberFormat="1" applyFill="1"/>
    <xf numFmtId="37" fontId="0" fillId="4" borderId="0" xfId="0" applyNumberFormat="1" applyFill="1"/>
    <xf numFmtId="0" fontId="7" fillId="0" borderId="0" xfId="0" quotePrefix="1" applyFont="1"/>
    <xf numFmtId="165" fontId="11" fillId="0" borderId="0" xfId="1" applyNumberFormat="1" applyFont="1"/>
    <xf numFmtId="165" fontId="6" fillId="0" borderId="0" xfId="1" applyNumberFormat="1" applyFont="1"/>
    <xf numFmtId="0" fontId="12" fillId="0" borderId="0" xfId="0" applyFont="1"/>
    <xf numFmtId="165" fontId="6" fillId="0" borderId="0" xfId="1" applyNumberFormat="1" applyFont="1" applyFill="1"/>
    <xf numFmtId="166" fontId="3" fillId="0" borderId="0" xfId="1" applyNumberFormat="1" applyFont="1"/>
    <xf numFmtId="171" fontId="14" fillId="0" borderId="0" xfId="3" applyNumberFormat="1" applyFont="1"/>
    <xf numFmtId="171" fontId="15" fillId="5" borderId="8" xfId="3" applyNumberFormat="1" applyFont="1" applyFill="1" applyBorder="1"/>
    <xf numFmtId="37" fontId="15" fillId="5" borderId="7" xfId="3" applyNumberFormat="1" applyFont="1" applyFill="1" applyBorder="1" applyAlignment="1">
      <alignment horizontal="center"/>
    </xf>
    <xf numFmtId="171" fontId="16" fillId="0" borderId="0" xfId="3" applyNumberFormat="1" applyFont="1"/>
    <xf numFmtId="171" fontId="14" fillId="0" borderId="0" xfId="3" applyNumberFormat="1" applyFont="1" applyAlignment="1">
      <alignment horizontal="center"/>
    </xf>
    <xf numFmtId="171" fontId="14" fillId="0" borderId="16" xfId="3" applyNumberFormat="1" applyFont="1" applyBorder="1"/>
    <xf numFmtId="171" fontId="14" fillId="0" borderId="15" xfId="3" applyNumberFormat="1" applyFont="1" applyBorder="1"/>
    <xf numFmtId="171" fontId="14" fillId="0" borderId="14" xfId="3" applyNumberFormat="1" applyFont="1" applyBorder="1"/>
    <xf numFmtId="176" fontId="14" fillId="0" borderId="0" xfId="3" applyNumberFormat="1" applyFont="1"/>
    <xf numFmtId="173" fontId="14" fillId="0" borderId="0" xfId="3" applyNumberFormat="1" applyFont="1"/>
    <xf numFmtId="171" fontId="14" fillId="0" borderId="13" xfId="3" applyNumberFormat="1" applyFont="1" applyBorder="1"/>
    <xf numFmtId="171" fontId="14" fillId="0" borderId="0" xfId="3" applyNumberFormat="1" applyFont="1" applyBorder="1"/>
    <xf numFmtId="171" fontId="14" fillId="0" borderId="12" xfId="3" applyNumberFormat="1" applyFont="1" applyBorder="1"/>
    <xf numFmtId="171" fontId="14" fillId="0" borderId="11" xfId="3" applyNumberFormat="1" applyFont="1" applyBorder="1"/>
    <xf numFmtId="171" fontId="14" fillId="0" borderId="10" xfId="3" applyNumberFormat="1" applyFont="1" applyBorder="1"/>
    <xf numFmtId="171" fontId="14" fillId="0" borderId="9" xfId="3" applyNumberFormat="1" applyFont="1" applyBorder="1"/>
    <xf numFmtId="174" fontId="16" fillId="0" borderId="0" xfId="3" applyNumberFormat="1" applyFont="1" applyAlignment="1">
      <alignment horizontal="center"/>
    </xf>
    <xf numFmtId="0" fontId="14" fillId="0" borderId="0" xfId="3" applyFont="1"/>
    <xf numFmtId="172" fontId="16" fillId="0" borderId="0" xfId="3" applyNumberFormat="1" applyFont="1"/>
    <xf numFmtId="172" fontId="14" fillId="0" borderId="0" xfId="3" applyNumberFormat="1" applyFont="1"/>
    <xf numFmtId="0" fontId="16" fillId="0" borderId="0" xfId="3" applyFont="1"/>
    <xf numFmtId="0" fontId="14" fillId="0" borderId="16" xfId="3" applyFont="1" applyBorder="1"/>
    <xf numFmtId="0" fontId="14" fillId="0" borderId="15" xfId="3" applyFont="1" applyBorder="1"/>
    <xf numFmtId="173" fontId="14" fillId="0" borderId="14" xfId="3" applyNumberFormat="1" applyFont="1" applyBorder="1"/>
    <xf numFmtId="0" fontId="14" fillId="0" borderId="13" xfId="3" applyFont="1" applyBorder="1"/>
    <xf numFmtId="0" fontId="14" fillId="0" borderId="0" xfId="3" applyFont="1" applyBorder="1"/>
    <xf numFmtId="9" fontId="14" fillId="0" borderId="12" xfId="3" applyNumberFormat="1" applyFont="1" applyBorder="1"/>
    <xf numFmtId="173" fontId="14" fillId="0" borderId="12" xfId="3" applyNumberFormat="1" applyFont="1" applyBorder="1"/>
    <xf numFmtId="0" fontId="14" fillId="0" borderId="11" xfId="3" applyFont="1" applyBorder="1"/>
    <xf numFmtId="0" fontId="14" fillId="0" borderId="10" xfId="3" applyFont="1" applyBorder="1"/>
    <xf numFmtId="173" fontId="14" fillId="0" borderId="9" xfId="3" applyNumberFormat="1" applyFont="1" applyBorder="1"/>
    <xf numFmtId="175" fontId="14" fillId="0" borderId="0" xfId="3" applyNumberFormat="1" applyFont="1"/>
    <xf numFmtId="171" fontId="14" fillId="0" borderId="0" xfId="3" applyNumberFormat="1" applyFont="1" applyFill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Pandora FP&amp;A">
      <a:dk1>
        <a:srgbClr val="000000"/>
      </a:dk1>
      <a:lt1>
        <a:sysClr val="window" lastClr="FFFFFF"/>
      </a:lt1>
      <a:dk2>
        <a:srgbClr val="006000"/>
      </a:dk2>
      <a:lt2>
        <a:srgbClr val="0000FF"/>
      </a:lt2>
      <a:accent1>
        <a:srgbClr val="FF0000"/>
      </a:accent1>
      <a:accent2>
        <a:srgbClr val="F07F09"/>
      </a:accent2>
      <a:accent3>
        <a:srgbClr val="1D3B99"/>
      </a:accent3>
      <a:accent4>
        <a:srgbClr val="A500E4"/>
      </a:accent4>
      <a:accent5>
        <a:srgbClr val="00AEEF"/>
      </a:accent5>
      <a:accent6>
        <a:srgbClr val="0082B3"/>
      </a:accent6>
      <a:hlink>
        <a:srgbClr val="854C9E"/>
      </a:hlink>
      <a:folHlink>
        <a:srgbClr val="42264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workbookViewId="0">
      <selection activeCell="B21" sqref="B21"/>
    </sheetView>
  </sheetViews>
  <sheetFormatPr baseColWidth="10" defaultRowHeight="15" x14ac:dyDescent="0.2"/>
  <sheetData>
    <row r="6" spans="2:2" x14ac:dyDescent="0.2">
      <c r="B6" t="s">
        <v>51</v>
      </c>
    </row>
    <row r="7" spans="2:2" x14ac:dyDescent="0.2">
      <c r="B7" t="s">
        <v>52</v>
      </c>
    </row>
    <row r="8" spans="2:2" x14ac:dyDescent="0.2">
      <c r="B8" t="s">
        <v>53</v>
      </c>
    </row>
    <row r="9" spans="2:2" x14ac:dyDescent="0.2">
      <c r="B9" t="s">
        <v>54</v>
      </c>
    </row>
    <row r="10" spans="2:2" x14ac:dyDescent="0.2">
      <c r="B10" t="s">
        <v>55</v>
      </c>
    </row>
    <row r="11" spans="2:2" x14ac:dyDescent="0.2">
      <c r="B11" t="s">
        <v>56</v>
      </c>
    </row>
    <row r="12" spans="2:2" x14ac:dyDescent="0.2">
      <c r="B12" t="s">
        <v>57</v>
      </c>
    </row>
    <row r="13" spans="2:2" x14ac:dyDescent="0.2">
      <c r="B13" t="s">
        <v>58</v>
      </c>
    </row>
    <row r="14" spans="2:2" x14ac:dyDescent="0.2">
      <c r="B14" t="s">
        <v>59</v>
      </c>
    </row>
    <row r="15" spans="2:2" x14ac:dyDescent="0.2">
      <c r="B15" t="s">
        <v>60</v>
      </c>
    </row>
    <row r="16" spans="2:2" x14ac:dyDescent="0.2">
      <c r="B16" t="s">
        <v>61</v>
      </c>
    </row>
    <row r="17" spans="2:2" x14ac:dyDescent="0.2">
      <c r="B17" t="s">
        <v>62</v>
      </c>
    </row>
    <row r="18" spans="2:2" x14ac:dyDescent="0.2">
      <c r="B18" t="s">
        <v>63</v>
      </c>
    </row>
    <row r="19" spans="2:2" x14ac:dyDescent="0.2">
      <c r="B19" t="s">
        <v>64</v>
      </c>
    </row>
    <row r="20" spans="2:2" x14ac:dyDescent="0.2">
      <c r="B20" t="s">
        <v>65</v>
      </c>
    </row>
    <row r="21" spans="2:2" x14ac:dyDescent="0.2">
      <c r="B21" t="s">
        <v>66</v>
      </c>
    </row>
    <row r="22" spans="2:2" x14ac:dyDescent="0.2">
      <c r="B22" t="s">
        <v>67</v>
      </c>
    </row>
    <row r="23" spans="2:2" x14ac:dyDescent="0.2">
      <c r="B23" t="s">
        <v>68</v>
      </c>
    </row>
    <row r="24" spans="2:2" x14ac:dyDescent="0.2">
      <c r="B24" t="s">
        <v>69</v>
      </c>
    </row>
    <row r="25" spans="2:2" x14ac:dyDescent="0.2">
      <c r="B25" t="s">
        <v>70</v>
      </c>
    </row>
    <row r="26" spans="2:2" x14ac:dyDescent="0.2">
      <c r="B26" t="s">
        <v>71</v>
      </c>
    </row>
    <row r="27" spans="2:2" x14ac:dyDescent="0.2">
      <c r="B27" t="s">
        <v>72</v>
      </c>
    </row>
    <row r="28" spans="2:2" x14ac:dyDescent="0.2">
      <c r="B28" t="s">
        <v>73</v>
      </c>
    </row>
    <row r="29" spans="2:2" x14ac:dyDescent="0.2">
      <c r="B2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5" zoomScaleNormal="85" zoomScalePageLayoutView="85" workbookViewId="0">
      <pane xSplit="2" ySplit="28" topLeftCell="C39" activePane="bottomRight" state="frozen"/>
      <selection pane="topRight" activeCell="C1" sqref="C1"/>
      <selection pane="bottomLeft" activeCell="A27" sqref="A27"/>
      <selection pane="bottomRight" activeCell="G11" sqref="G11"/>
    </sheetView>
  </sheetViews>
  <sheetFormatPr baseColWidth="10" defaultColWidth="8.83203125" defaultRowHeight="15" outlineLevelCol="1" x14ac:dyDescent="0.2"/>
  <cols>
    <col min="1" max="1" width="4.33203125" customWidth="1"/>
    <col min="2" max="2" width="45" customWidth="1"/>
    <col min="3" max="15" width="12.1640625" customWidth="1"/>
    <col min="16" max="16" width="11.83203125" bestFit="1" customWidth="1"/>
    <col min="26" max="26" width="9.1640625" customWidth="1" outlineLevel="1"/>
  </cols>
  <sheetData>
    <row r="1" spans="1:26" x14ac:dyDescent="0.2">
      <c r="Z1">
        <v>7</v>
      </c>
    </row>
    <row r="2" spans="1:26" x14ac:dyDescent="0.2">
      <c r="B2" s="24" t="s">
        <v>0</v>
      </c>
      <c r="Z2">
        <v>10</v>
      </c>
    </row>
    <row r="3" spans="1:26" x14ac:dyDescent="0.2">
      <c r="B3" t="s">
        <v>1</v>
      </c>
      <c r="C3" s="1">
        <v>10000000</v>
      </c>
      <c r="Z3">
        <f>Z2+5</f>
        <v>15</v>
      </c>
    </row>
    <row r="4" spans="1:26" x14ac:dyDescent="0.2">
      <c r="B4" t="s">
        <v>5</v>
      </c>
      <c r="C4" s="1">
        <v>120000</v>
      </c>
      <c r="Z4">
        <f t="shared" ref="Z4:Z20" si="0">Z3+5</f>
        <v>20</v>
      </c>
    </row>
    <row r="5" spans="1:26" x14ac:dyDescent="0.2">
      <c r="B5" t="s">
        <v>6</v>
      </c>
      <c r="C5" s="3">
        <v>3</v>
      </c>
      <c r="Z5">
        <f t="shared" si="0"/>
        <v>25</v>
      </c>
    </row>
    <row r="6" spans="1:26" x14ac:dyDescent="0.2">
      <c r="A6" s="2"/>
      <c r="B6" t="s">
        <v>7</v>
      </c>
      <c r="C6" s="29">
        <v>10</v>
      </c>
      <c r="D6" s="19"/>
      <c r="E6" s="1"/>
      <c r="F6" s="3"/>
      <c r="Z6">
        <f t="shared" si="0"/>
        <v>30</v>
      </c>
    </row>
    <row r="7" spans="1:26" x14ac:dyDescent="0.2">
      <c r="A7" s="2"/>
      <c r="B7" t="s">
        <v>8</v>
      </c>
      <c r="C7" s="29">
        <v>1</v>
      </c>
      <c r="D7" s="19"/>
      <c r="Z7">
        <f t="shared" si="0"/>
        <v>35</v>
      </c>
    </row>
    <row r="8" spans="1:26" x14ac:dyDescent="0.2">
      <c r="B8" t="s">
        <v>9</v>
      </c>
      <c r="C8" s="29">
        <v>20</v>
      </c>
      <c r="D8" s="35" t="s">
        <v>45</v>
      </c>
      <c r="Z8">
        <f t="shared" si="0"/>
        <v>40</v>
      </c>
    </row>
    <row r="9" spans="1:26" x14ac:dyDescent="0.2">
      <c r="B9" t="s">
        <v>11</v>
      </c>
      <c r="Z9">
        <f t="shared" si="0"/>
        <v>45</v>
      </c>
    </row>
    <row r="10" spans="1:26" x14ac:dyDescent="0.2">
      <c r="B10" s="5" t="s">
        <v>12</v>
      </c>
      <c r="C10" s="4">
        <v>0.8</v>
      </c>
      <c r="Z10">
        <f t="shared" si="0"/>
        <v>50</v>
      </c>
    </row>
    <row r="11" spans="1:26" x14ac:dyDescent="0.2">
      <c r="B11" s="5" t="s">
        <v>13</v>
      </c>
      <c r="C11" s="4">
        <v>0.2</v>
      </c>
      <c r="Z11">
        <f t="shared" si="0"/>
        <v>55</v>
      </c>
    </row>
    <row r="12" spans="1:26" x14ac:dyDescent="0.2">
      <c r="B12" t="s">
        <v>10</v>
      </c>
      <c r="C12" s="4">
        <v>5.0000000000000001E-3</v>
      </c>
      <c r="D12" s="19" t="s">
        <v>27</v>
      </c>
      <c r="Z12">
        <f t="shared" si="0"/>
        <v>60</v>
      </c>
    </row>
    <row r="13" spans="1:26" x14ac:dyDescent="0.2">
      <c r="B13" t="s">
        <v>14</v>
      </c>
      <c r="C13" s="1">
        <v>60000</v>
      </c>
      <c r="Z13">
        <f t="shared" si="0"/>
        <v>65</v>
      </c>
    </row>
    <row r="14" spans="1:26" x14ac:dyDescent="0.2">
      <c r="B14" t="s">
        <v>15</v>
      </c>
      <c r="C14" s="29">
        <v>7</v>
      </c>
      <c r="D14" s="19" t="s">
        <v>26</v>
      </c>
      <c r="Z14">
        <f t="shared" si="0"/>
        <v>70</v>
      </c>
    </row>
    <row r="15" spans="1:26" x14ac:dyDescent="0.2">
      <c r="B15" t="s">
        <v>40</v>
      </c>
      <c r="C15" s="33">
        <f>C28+C14</f>
        <v>43138</v>
      </c>
      <c r="D15" s="19"/>
      <c r="Z15">
        <f t="shared" si="0"/>
        <v>75</v>
      </c>
    </row>
    <row r="16" spans="1:26" x14ac:dyDescent="0.2">
      <c r="B16" t="s">
        <v>16</v>
      </c>
      <c r="Z16">
        <f t="shared" si="0"/>
        <v>80</v>
      </c>
    </row>
    <row r="17" spans="2:26" x14ac:dyDescent="0.2">
      <c r="B17" s="5" t="s">
        <v>3</v>
      </c>
      <c r="C17" s="3">
        <v>8</v>
      </c>
      <c r="Z17">
        <f t="shared" si="0"/>
        <v>85</v>
      </c>
    </row>
    <row r="18" spans="2:26" x14ac:dyDescent="0.2">
      <c r="B18" s="5" t="s">
        <v>4</v>
      </c>
      <c r="C18" s="29">
        <v>10</v>
      </c>
      <c r="D18" s="19"/>
      <c r="Z18">
        <f t="shared" si="0"/>
        <v>90</v>
      </c>
    </row>
    <row r="19" spans="2:26" ht="4.5" customHeight="1" x14ac:dyDescent="0.2">
      <c r="Z19">
        <f t="shared" si="0"/>
        <v>95</v>
      </c>
    </row>
    <row r="20" spans="2:26" x14ac:dyDescent="0.2">
      <c r="B20" s="13" t="s">
        <v>43</v>
      </c>
      <c r="C20" s="20">
        <v>6.4242424242424203</v>
      </c>
      <c r="D20" s="19" t="s">
        <v>18</v>
      </c>
      <c r="Z20">
        <f t="shared" si="0"/>
        <v>100</v>
      </c>
    </row>
    <row r="21" spans="2:26" x14ac:dyDescent="0.2">
      <c r="B21" s="16" t="s">
        <v>44</v>
      </c>
      <c r="C21" s="30">
        <f>ROUNDUP(C20,0)</f>
        <v>7</v>
      </c>
      <c r="D21" s="19"/>
    </row>
    <row r="22" spans="2:26" x14ac:dyDescent="0.2">
      <c r="B22" s="16" t="s">
        <v>47</v>
      </c>
      <c r="C22" s="21">
        <v>8.2299057456879705</v>
      </c>
      <c r="D22" s="19" t="s">
        <v>18</v>
      </c>
    </row>
    <row r="23" spans="2:26" x14ac:dyDescent="0.2">
      <c r="B23" s="16" t="s">
        <v>48</v>
      </c>
      <c r="C23" s="30">
        <f>ROUNDUP(C22,0)</f>
        <v>9</v>
      </c>
      <c r="D23" s="19"/>
    </row>
    <row r="24" spans="2:26" x14ac:dyDescent="0.2">
      <c r="B24" s="17" t="s">
        <v>28</v>
      </c>
      <c r="C24" s="21">
        <v>82.299057456879694</v>
      </c>
      <c r="D24" s="19"/>
    </row>
    <row r="25" spans="2:26" x14ac:dyDescent="0.2">
      <c r="B25" s="17" t="s">
        <v>29</v>
      </c>
      <c r="C25" s="30">
        <f>ROUNDUP(C24,0)</f>
        <v>83</v>
      </c>
      <c r="D25" s="19" t="s">
        <v>42</v>
      </c>
    </row>
    <row r="26" spans="2:26" x14ac:dyDescent="0.2">
      <c r="B26" s="14" t="s">
        <v>21</v>
      </c>
      <c r="C26" s="22">
        <f>C3*2</f>
        <v>20000000</v>
      </c>
    </row>
    <row r="27" spans="2:26" ht="5.25" customHeight="1" x14ac:dyDescent="0.2"/>
    <row r="28" spans="2:26" x14ac:dyDescent="0.2">
      <c r="C28" s="23">
        <v>43131</v>
      </c>
      <c r="D28" s="23">
        <f>EOMONTH(C28,1)</f>
        <v>43159</v>
      </c>
      <c r="E28" s="23">
        <f t="shared" ref="E28:N28" si="1">EOMONTH(D28,1)</f>
        <v>43190</v>
      </c>
      <c r="F28" s="23">
        <f t="shared" si="1"/>
        <v>43220</v>
      </c>
      <c r="G28" s="23">
        <f t="shared" si="1"/>
        <v>43251</v>
      </c>
      <c r="H28" s="23">
        <f t="shared" si="1"/>
        <v>43281</v>
      </c>
      <c r="I28" s="23">
        <f t="shared" si="1"/>
        <v>43312</v>
      </c>
      <c r="J28" s="23">
        <f t="shared" si="1"/>
        <v>43343</v>
      </c>
      <c r="K28" s="23">
        <f t="shared" si="1"/>
        <v>43373</v>
      </c>
      <c r="L28" s="23">
        <f t="shared" si="1"/>
        <v>43404</v>
      </c>
      <c r="M28" s="23">
        <f t="shared" si="1"/>
        <v>43434</v>
      </c>
      <c r="N28" s="23">
        <f t="shared" si="1"/>
        <v>43465</v>
      </c>
      <c r="O28" s="6" t="s">
        <v>30</v>
      </c>
    </row>
    <row r="29" spans="2:26" x14ac:dyDescent="0.2">
      <c r="B29" t="s">
        <v>20</v>
      </c>
      <c r="C29" s="8">
        <f>C17</f>
        <v>8</v>
      </c>
      <c r="D29" s="8">
        <f>C31</f>
        <v>10.14141414141414</v>
      </c>
      <c r="E29" s="8">
        <f>D31</f>
        <v>12.28282828282828</v>
      </c>
      <c r="F29" s="8">
        <f t="shared" ref="F29:N29" si="2">E31</f>
        <v>14.42424242424242</v>
      </c>
      <c r="G29" s="8">
        <f t="shared" si="2"/>
        <v>14.42424242424242</v>
      </c>
      <c r="H29" s="8">
        <f t="shared" si="2"/>
        <v>14.42424242424242</v>
      </c>
      <c r="I29" s="8">
        <f t="shared" si="2"/>
        <v>14.42424242424242</v>
      </c>
      <c r="J29" s="8">
        <f t="shared" si="2"/>
        <v>14.42424242424242</v>
      </c>
      <c r="K29" s="8">
        <f t="shared" si="2"/>
        <v>14.42424242424242</v>
      </c>
      <c r="L29" s="8">
        <f t="shared" si="2"/>
        <v>14.42424242424242</v>
      </c>
      <c r="M29" s="8">
        <f t="shared" si="2"/>
        <v>14.42424242424242</v>
      </c>
      <c r="N29" s="8">
        <f t="shared" si="2"/>
        <v>14.42424242424242</v>
      </c>
      <c r="O29" s="8">
        <f>N31</f>
        <v>14.42424242424242</v>
      </c>
    </row>
    <row r="30" spans="2:26" x14ac:dyDescent="0.2">
      <c r="B30" t="s">
        <v>19</v>
      </c>
      <c r="C30" s="10">
        <f>$C$20/$C$5</f>
        <v>2.1414141414141401</v>
      </c>
      <c r="D30" s="10">
        <f>$C$20/$C$5</f>
        <v>2.1414141414141401</v>
      </c>
      <c r="E30" s="10">
        <f>$C$20/$C$5</f>
        <v>2.1414141414141401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2:26" x14ac:dyDescent="0.2">
      <c r="B31" t="s">
        <v>17</v>
      </c>
      <c r="C31" s="8">
        <f>C29+(C30)</f>
        <v>10.14141414141414</v>
      </c>
      <c r="D31" s="8">
        <f>D29+(D30)</f>
        <v>12.28282828282828</v>
      </c>
      <c r="E31" s="8">
        <f>E29+(E30)</f>
        <v>14.42424242424242</v>
      </c>
      <c r="F31" s="8">
        <f t="shared" ref="F31:N31" si="3">F29+(F30*1/3)</f>
        <v>14.42424242424242</v>
      </c>
      <c r="G31" s="8">
        <f t="shared" si="3"/>
        <v>14.42424242424242</v>
      </c>
      <c r="H31" s="8">
        <f t="shared" si="3"/>
        <v>14.42424242424242</v>
      </c>
      <c r="I31" s="8">
        <f t="shared" si="3"/>
        <v>14.42424242424242</v>
      </c>
      <c r="J31" s="8">
        <f t="shared" si="3"/>
        <v>14.42424242424242</v>
      </c>
      <c r="K31" s="8">
        <f t="shared" si="3"/>
        <v>14.42424242424242</v>
      </c>
      <c r="L31" s="8">
        <f t="shared" si="3"/>
        <v>14.42424242424242</v>
      </c>
      <c r="M31" s="8">
        <f t="shared" si="3"/>
        <v>14.42424242424242</v>
      </c>
      <c r="N31" s="8">
        <f t="shared" si="3"/>
        <v>14.42424242424242</v>
      </c>
      <c r="O31" s="8">
        <f>O29+(O30*1/3)</f>
        <v>14.42424242424242</v>
      </c>
    </row>
    <row r="32" spans="2:26" x14ac:dyDescent="0.2">
      <c r="B32" t="s">
        <v>2</v>
      </c>
      <c r="C32" s="11">
        <f>C31*$C$4</f>
        <v>1216969.6969696968</v>
      </c>
      <c r="D32" s="11">
        <f t="shared" ref="D32:N32" si="4">D31*$C$4</f>
        <v>1473939.3939393936</v>
      </c>
      <c r="E32" s="11">
        <f t="shared" si="4"/>
        <v>1730909.0909090904</v>
      </c>
      <c r="F32" s="11">
        <f t="shared" si="4"/>
        <v>1730909.0909090904</v>
      </c>
      <c r="G32" s="11">
        <f t="shared" si="4"/>
        <v>1730909.0909090904</v>
      </c>
      <c r="H32" s="11">
        <f t="shared" si="4"/>
        <v>1730909.0909090904</v>
      </c>
      <c r="I32" s="11">
        <f t="shared" si="4"/>
        <v>1730909.0909090904</v>
      </c>
      <c r="J32" s="11">
        <f t="shared" si="4"/>
        <v>1730909.0909090904</v>
      </c>
      <c r="K32" s="11">
        <f t="shared" si="4"/>
        <v>1730909.0909090904</v>
      </c>
      <c r="L32" s="11">
        <f t="shared" si="4"/>
        <v>1730909.0909090904</v>
      </c>
      <c r="M32" s="11">
        <f t="shared" si="4"/>
        <v>1730909.0909090904</v>
      </c>
      <c r="N32" s="11">
        <f t="shared" si="4"/>
        <v>1730909.0909090904</v>
      </c>
      <c r="O32" s="12">
        <f>SUM(C32:N32)</f>
        <v>19999999.999999993</v>
      </c>
      <c r="P32" s="18">
        <f>C26-O32</f>
        <v>0</v>
      </c>
    </row>
    <row r="33" spans="2:16" ht="3" customHeight="1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6" x14ac:dyDescent="0.2">
      <c r="B34" s="27" t="s">
        <v>31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6" x14ac:dyDescent="0.2">
      <c r="B35" t="s">
        <v>33</v>
      </c>
      <c r="C35" s="11">
        <f>C3/12</f>
        <v>833333.33333333337</v>
      </c>
      <c r="D35" s="11">
        <f>C37</f>
        <v>829166.66666666674</v>
      </c>
      <c r="E35" s="11">
        <f t="shared" ref="E35:N35" si="5">D37</f>
        <v>825020.83333333337</v>
      </c>
      <c r="F35" s="11">
        <f t="shared" si="5"/>
        <v>820895.72916666674</v>
      </c>
      <c r="G35" s="11">
        <f t="shared" si="5"/>
        <v>816791.25052083342</v>
      </c>
      <c r="H35" s="11">
        <f t="shared" si="5"/>
        <v>812707.29426822928</v>
      </c>
      <c r="I35" s="11">
        <f t="shared" si="5"/>
        <v>808643.75779688812</v>
      </c>
      <c r="J35" s="11">
        <f t="shared" si="5"/>
        <v>804600.53900790366</v>
      </c>
      <c r="K35" s="11">
        <f t="shared" si="5"/>
        <v>800577.53631286416</v>
      </c>
      <c r="L35" s="11">
        <f t="shared" si="5"/>
        <v>796574.64863129985</v>
      </c>
      <c r="M35" s="11">
        <f t="shared" si="5"/>
        <v>792591.77538814337</v>
      </c>
      <c r="N35" s="11">
        <f t="shared" si="5"/>
        <v>788628.8165112026</v>
      </c>
      <c r="O35" s="12">
        <f t="shared" ref="O35:O41" si="6">SUM(C35:N35)</f>
        <v>9729532.1809373647</v>
      </c>
    </row>
    <row r="36" spans="2:16" x14ac:dyDescent="0.2">
      <c r="B36" t="s">
        <v>25</v>
      </c>
      <c r="C36" s="12">
        <f>-C35*$C$12</f>
        <v>-4166.666666666667</v>
      </c>
      <c r="D36" s="12">
        <f t="shared" ref="D36:N36" si="7">-D35*$C$12</f>
        <v>-4145.8333333333339</v>
      </c>
      <c r="E36" s="12">
        <f t="shared" si="7"/>
        <v>-4125.104166666667</v>
      </c>
      <c r="F36" s="12">
        <f t="shared" si="7"/>
        <v>-4104.4786458333338</v>
      </c>
      <c r="G36" s="12">
        <f t="shared" si="7"/>
        <v>-4083.9562526041673</v>
      </c>
      <c r="H36" s="12">
        <f t="shared" si="7"/>
        <v>-4063.5364713411464</v>
      </c>
      <c r="I36" s="12">
        <f t="shared" si="7"/>
        <v>-4043.2187889844408</v>
      </c>
      <c r="J36" s="12">
        <f t="shared" si="7"/>
        <v>-4023.0026950395186</v>
      </c>
      <c r="K36" s="12">
        <f t="shared" si="7"/>
        <v>-4002.8876815643207</v>
      </c>
      <c r="L36" s="12">
        <f t="shared" si="7"/>
        <v>-3982.8732431564995</v>
      </c>
      <c r="M36" s="12">
        <f t="shared" si="7"/>
        <v>-3962.9588769407169</v>
      </c>
      <c r="N36" s="12">
        <f t="shared" si="7"/>
        <v>-3943.144082556013</v>
      </c>
      <c r="O36" s="12">
        <f t="shared" si="6"/>
        <v>-48647.660904686833</v>
      </c>
    </row>
    <row r="37" spans="2:16" x14ac:dyDescent="0.2">
      <c r="B37" s="24" t="s">
        <v>34</v>
      </c>
      <c r="C37" s="26">
        <f>C35+C36</f>
        <v>829166.66666666674</v>
      </c>
      <c r="D37" s="26">
        <f t="shared" ref="D37:N37" si="8">D35+D36</f>
        <v>825020.83333333337</v>
      </c>
      <c r="E37" s="26">
        <f t="shared" si="8"/>
        <v>820895.72916666674</v>
      </c>
      <c r="F37" s="26">
        <f t="shared" si="8"/>
        <v>816791.25052083342</v>
      </c>
      <c r="G37" s="26">
        <f t="shared" si="8"/>
        <v>812707.29426822928</v>
      </c>
      <c r="H37" s="26">
        <f t="shared" si="8"/>
        <v>808643.75779688812</v>
      </c>
      <c r="I37" s="26">
        <f t="shared" si="8"/>
        <v>804600.53900790366</v>
      </c>
      <c r="J37" s="26">
        <f t="shared" si="8"/>
        <v>800577.53631286416</v>
      </c>
      <c r="K37" s="26">
        <f t="shared" si="8"/>
        <v>796574.64863129985</v>
      </c>
      <c r="L37" s="26">
        <f t="shared" si="8"/>
        <v>792591.77538814337</v>
      </c>
      <c r="M37" s="26">
        <f t="shared" si="8"/>
        <v>788628.8165112026</v>
      </c>
      <c r="N37" s="26">
        <f t="shared" si="8"/>
        <v>784685.67242864659</v>
      </c>
      <c r="O37" s="26">
        <f t="shared" si="6"/>
        <v>9680884.5200326797</v>
      </c>
    </row>
    <row r="38" spans="2:16" x14ac:dyDescent="0.2">
      <c r="B38" t="s">
        <v>35</v>
      </c>
      <c r="C38" s="12">
        <f>$C$8*$C$10*$C$11*$C$13</f>
        <v>192000</v>
      </c>
      <c r="D38" s="12">
        <f t="shared" ref="D38:N38" si="9">$C$8*$C$10*$C$11*$C$13</f>
        <v>192000</v>
      </c>
      <c r="E38" s="12">
        <f t="shared" si="9"/>
        <v>192000</v>
      </c>
      <c r="F38" s="12">
        <f t="shared" si="9"/>
        <v>192000</v>
      </c>
      <c r="G38" s="12">
        <f t="shared" si="9"/>
        <v>192000</v>
      </c>
      <c r="H38" s="12">
        <f t="shared" si="9"/>
        <v>192000</v>
      </c>
      <c r="I38" s="12">
        <f t="shared" si="9"/>
        <v>192000</v>
      </c>
      <c r="J38" s="12">
        <f t="shared" si="9"/>
        <v>192000</v>
      </c>
      <c r="K38" s="12">
        <f t="shared" si="9"/>
        <v>192000</v>
      </c>
      <c r="L38" s="12">
        <f t="shared" si="9"/>
        <v>192000</v>
      </c>
      <c r="M38" s="12">
        <f t="shared" si="9"/>
        <v>192000</v>
      </c>
      <c r="N38" s="12">
        <f t="shared" si="9"/>
        <v>192000</v>
      </c>
      <c r="O38" s="12">
        <f t="shared" si="6"/>
        <v>2304000</v>
      </c>
      <c r="P38" s="25" t="s">
        <v>41</v>
      </c>
    </row>
    <row r="39" spans="2:16" x14ac:dyDescent="0.2">
      <c r="B39" t="s">
        <v>25</v>
      </c>
      <c r="C39" s="1">
        <v>0</v>
      </c>
      <c r="D39" s="12">
        <f>-C38*$C$12</f>
        <v>-960</v>
      </c>
      <c r="E39" s="12">
        <f>-SUM($C38:D38)*$C$12</f>
        <v>-1920</v>
      </c>
      <c r="F39" s="12">
        <f>-SUM($C38:E38)*$C$12</f>
        <v>-2880</v>
      </c>
      <c r="G39" s="12">
        <f>-SUM($C38:F38)*$C$12</f>
        <v>-3840</v>
      </c>
      <c r="H39" s="12">
        <f>-SUM($C38:G38)*$C$12</f>
        <v>-4800</v>
      </c>
      <c r="I39" s="12">
        <f>-SUM($C38:H38)*$C$12</f>
        <v>-5760</v>
      </c>
      <c r="J39" s="12">
        <f>-SUM($C38:I38)*$C$12</f>
        <v>-6720</v>
      </c>
      <c r="K39" s="12">
        <f>-SUM($C38:J38)*$C$12</f>
        <v>-7680</v>
      </c>
      <c r="L39" s="12">
        <f>-SUM($C38:K38)*$C$12</f>
        <v>-8640</v>
      </c>
      <c r="M39" s="12">
        <f>-SUM($C38:L38)*$C$12</f>
        <v>-9600</v>
      </c>
      <c r="N39" s="12">
        <f>-SUM($C38:M38)*$C$12</f>
        <v>-10560</v>
      </c>
      <c r="O39" s="12">
        <f t="shared" si="6"/>
        <v>-63360</v>
      </c>
    </row>
    <row r="40" spans="2:16" x14ac:dyDescent="0.2">
      <c r="B40" s="24" t="s">
        <v>36</v>
      </c>
      <c r="C40" s="28">
        <f>C38+C39</f>
        <v>192000</v>
      </c>
      <c r="D40" s="28">
        <f t="shared" ref="D40:N40" si="10">D38+D39</f>
        <v>191040</v>
      </c>
      <c r="E40" s="28">
        <f t="shared" si="10"/>
        <v>190080</v>
      </c>
      <c r="F40" s="28">
        <f t="shared" si="10"/>
        <v>189120</v>
      </c>
      <c r="G40" s="28">
        <f t="shared" si="10"/>
        <v>188160</v>
      </c>
      <c r="H40" s="28">
        <f t="shared" si="10"/>
        <v>187200</v>
      </c>
      <c r="I40" s="28">
        <f t="shared" si="10"/>
        <v>186240</v>
      </c>
      <c r="J40" s="28">
        <f t="shared" si="10"/>
        <v>185280</v>
      </c>
      <c r="K40" s="28">
        <f t="shared" si="10"/>
        <v>184320</v>
      </c>
      <c r="L40" s="28">
        <f t="shared" si="10"/>
        <v>183360</v>
      </c>
      <c r="M40" s="28">
        <f t="shared" si="10"/>
        <v>182400</v>
      </c>
      <c r="N40" s="28">
        <f t="shared" si="10"/>
        <v>181440</v>
      </c>
      <c r="O40" s="26">
        <f t="shared" si="6"/>
        <v>2240640</v>
      </c>
    </row>
    <row r="41" spans="2:16" x14ac:dyDescent="0.2">
      <c r="C41" s="28">
        <f>C40+C37</f>
        <v>1021166.6666666667</v>
      </c>
      <c r="D41" s="28">
        <f t="shared" ref="D41:N41" si="11">D40+D37</f>
        <v>1016060.8333333334</v>
      </c>
      <c r="E41" s="28">
        <f t="shared" si="11"/>
        <v>1010975.7291666667</v>
      </c>
      <c r="F41" s="28">
        <f t="shared" si="11"/>
        <v>1005911.2505208334</v>
      </c>
      <c r="G41" s="28">
        <f t="shared" si="11"/>
        <v>1000867.2942682293</v>
      </c>
      <c r="H41" s="28">
        <f t="shared" si="11"/>
        <v>995843.75779688812</v>
      </c>
      <c r="I41" s="28">
        <f t="shared" si="11"/>
        <v>990840.53900790366</v>
      </c>
      <c r="J41" s="28">
        <f t="shared" si="11"/>
        <v>985857.53631286416</v>
      </c>
      <c r="K41" s="28">
        <f t="shared" si="11"/>
        <v>980894.64863129985</v>
      </c>
      <c r="L41" s="28">
        <f t="shared" si="11"/>
        <v>975951.77538814337</v>
      </c>
      <c r="M41" s="28">
        <f t="shared" si="11"/>
        <v>971028.8165112026</v>
      </c>
      <c r="N41" s="28">
        <f t="shared" si="11"/>
        <v>966125.67242864659</v>
      </c>
      <c r="O41" s="26">
        <f t="shared" si="6"/>
        <v>11921524.52003268</v>
      </c>
    </row>
    <row r="42" spans="2:16" x14ac:dyDescent="0.2">
      <c r="B42" s="27" t="s">
        <v>32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6" x14ac:dyDescent="0.2">
      <c r="B43" t="s">
        <v>22</v>
      </c>
      <c r="C43" s="7">
        <f>$C$24</f>
        <v>82.299057456879694</v>
      </c>
      <c r="D43" s="7">
        <f t="shared" ref="D43:N43" si="12">$C$24</f>
        <v>82.299057456879694</v>
      </c>
      <c r="E43" s="7">
        <f t="shared" si="12"/>
        <v>82.299057456879694</v>
      </c>
      <c r="F43" s="7">
        <f t="shared" si="12"/>
        <v>82.299057456879694</v>
      </c>
      <c r="G43" s="7">
        <f t="shared" si="12"/>
        <v>82.299057456879694</v>
      </c>
      <c r="H43" s="7">
        <f t="shared" si="12"/>
        <v>82.299057456879694</v>
      </c>
      <c r="I43" s="7">
        <f t="shared" si="12"/>
        <v>82.299057456879694</v>
      </c>
      <c r="J43" s="7">
        <f t="shared" si="12"/>
        <v>82.299057456879694</v>
      </c>
      <c r="K43" s="7">
        <f t="shared" si="12"/>
        <v>82.299057456879694</v>
      </c>
      <c r="L43" s="7">
        <f t="shared" si="12"/>
        <v>82.299057456879694</v>
      </c>
      <c r="M43" s="7">
        <f t="shared" si="12"/>
        <v>82.299057456879694</v>
      </c>
      <c r="N43" s="7">
        <f t="shared" si="12"/>
        <v>82.299057456879694</v>
      </c>
      <c r="O43" s="7">
        <f>SUM(C43:N43)</f>
        <v>987.58868948255656</v>
      </c>
    </row>
    <row r="44" spans="2:16" x14ac:dyDescent="0.2">
      <c r="B44" t="s">
        <v>23</v>
      </c>
      <c r="C44" s="15">
        <f t="shared" ref="C44:N44" si="13">C43*$C$10</f>
        <v>65.839245965503764</v>
      </c>
      <c r="D44" s="15">
        <f t="shared" si="13"/>
        <v>65.839245965503764</v>
      </c>
      <c r="E44" s="15">
        <f t="shared" si="13"/>
        <v>65.839245965503764</v>
      </c>
      <c r="F44" s="15">
        <f t="shared" si="13"/>
        <v>65.839245965503764</v>
      </c>
      <c r="G44" s="15">
        <f t="shared" si="13"/>
        <v>65.839245965503764</v>
      </c>
      <c r="H44" s="15">
        <f t="shared" si="13"/>
        <v>65.839245965503764</v>
      </c>
      <c r="I44" s="15">
        <f t="shared" si="13"/>
        <v>65.839245965503764</v>
      </c>
      <c r="J44" s="15">
        <f t="shared" si="13"/>
        <v>65.839245965503764</v>
      </c>
      <c r="K44" s="15">
        <f t="shared" si="13"/>
        <v>65.839245965503764</v>
      </c>
      <c r="L44" s="15">
        <f t="shared" si="13"/>
        <v>65.839245965503764</v>
      </c>
      <c r="M44" s="15">
        <f t="shared" si="13"/>
        <v>65.839245965503764</v>
      </c>
      <c r="N44" s="15">
        <f t="shared" si="13"/>
        <v>65.839245965503764</v>
      </c>
      <c r="O44" s="15">
        <f>SUM(C44:N44)</f>
        <v>790.07095158604523</v>
      </c>
    </row>
    <row r="45" spans="2:16" x14ac:dyDescent="0.2">
      <c r="B45" t="s">
        <v>39</v>
      </c>
      <c r="C45" s="15">
        <f>C44*$C$11</f>
        <v>13.167849193100754</v>
      </c>
      <c r="D45" s="15">
        <f t="shared" ref="D45:N45" si="14">D44*$C$11</f>
        <v>13.167849193100754</v>
      </c>
      <c r="E45" s="15">
        <f t="shared" si="14"/>
        <v>13.167849193100754</v>
      </c>
      <c r="F45" s="15">
        <f t="shared" si="14"/>
        <v>13.167849193100754</v>
      </c>
      <c r="G45" s="15">
        <f t="shared" si="14"/>
        <v>13.167849193100754</v>
      </c>
      <c r="H45" s="15">
        <f t="shared" si="14"/>
        <v>13.167849193100754</v>
      </c>
      <c r="I45" s="15">
        <f t="shared" si="14"/>
        <v>13.167849193100754</v>
      </c>
      <c r="J45" s="15">
        <f t="shared" si="14"/>
        <v>13.167849193100754</v>
      </c>
      <c r="K45" s="15">
        <f t="shared" si="14"/>
        <v>13.167849193100754</v>
      </c>
      <c r="L45" s="15">
        <f t="shared" si="14"/>
        <v>13.167849193100754</v>
      </c>
      <c r="M45" s="15">
        <f t="shared" si="14"/>
        <v>13.167849193100754</v>
      </c>
      <c r="N45" s="15">
        <f t="shared" si="14"/>
        <v>13.167849193100754</v>
      </c>
      <c r="O45" s="15">
        <f>SUM(C45:N45)</f>
        <v>158.01419031720903</v>
      </c>
    </row>
    <row r="46" spans="2:16" x14ac:dyDescent="0.2">
      <c r="B46" t="s">
        <v>38</v>
      </c>
      <c r="C46" s="34">
        <f>IF(C28&lt;$C$15,0,1)</f>
        <v>0</v>
      </c>
      <c r="D46" s="34">
        <f>IF(D28&lt;$C$15,0,1)</f>
        <v>1</v>
      </c>
      <c r="E46" s="34">
        <f>IF(E28&lt;$C$15,0,1)</f>
        <v>1</v>
      </c>
      <c r="F46" s="34">
        <f t="shared" ref="F46:N46" si="15">IF(F28&lt;$C$15,0,1)</f>
        <v>1</v>
      </c>
      <c r="G46" s="34">
        <f t="shared" si="15"/>
        <v>1</v>
      </c>
      <c r="H46" s="34">
        <f t="shared" si="15"/>
        <v>1</v>
      </c>
      <c r="I46" s="34">
        <f t="shared" si="15"/>
        <v>1</v>
      </c>
      <c r="J46" s="34">
        <f t="shared" si="15"/>
        <v>1</v>
      </c>
      <c r="K46" s="34">
        <f t="shared" si="15"/>
        <v>1</v>
      </c>
      <c r="L46" s="34">
        <f t="shared" si="15"/>
        <v>1</v>
      </c>
      <c r="M46" s="34">
        <f t="shared" si="15"/>
        <v>1</v>
      </c>
      <c r="N46" s="34">
        <f t="shared" si="15"/>
        <v>1</v>
      </c>
      <c r="O46" s="15"/>
    </row>
    <row r="47" spans="2:16" x14ac:dyDescent="0.2">
      <c r="B47" t="s">
        <v>24</v>
      </c>
      <c r="C47" s="11">
        <f t="shared" ref="C47:N47" si="16">C45*$C$13*C46</f>
        <v>0</v>
      </c>
      <c r="D47" s="11">
        <f t="shared" si="16"/>
        <v>790070.95158604521</v>
      </c>
      <c r="E47" s="11">
        <f t="shared" si="16"/>
        <v>790070.95158604521</v>
      </c>
      <c r="F47" s="11">
        <f t="shared" si="16"/>
        <v>790070.95158604521</v>
      </c>
      <c r="G47" s="11">
        <f t="shared" si="16"/>
        <v>790070.95158604521</v>
      </c>
      <c r="H47" s="11">
        <f t="shared" si="16"/>
        <v>790070.95158604521</v>
      </c>
      <c r="I47" s="11">
        <f t="shared" si="16"/>
        <v>790070.95158604521</v>
      </c>
      <c r="J47" s="11">
        <f t="shared" si="16"/>
        <v>790070.95158604521</v>
      </c>
      <c r="K47" s="11">
        <f t="shared" si="16"/>
        <v>790070.95158604521</v>
      </c>
      <c r="L47" s="11">
        <f t="shared" si="16"/>
        <v>790070.95158604521</v>
      </c>
      <c r="M47" s="11">
        <f t="shared" si="16"/>
        <v>790070.95158604521</v>
      </c>
      <c r="N47" s="11">
        <f t="shared" si="16"/>
        <v>790070.95158604521</v>
      </c>
      <c r="O47" s="11">
        <f>SUM(C47:N47)</f>
        <v>8690780.4674464967</v>
      </c>
    </row>
    <row r="48" spans="2:16" x14ac:dyDescent="0.2">
      <c r="B48" t="s">
        <v>25</v>
      </c>
      <c r="C48" s="1">
        <v>0</v>
      </c>
      <c r="D48" s="12">
        <f>-C47*$C$12</f>
        <v>0</v>
      </c>
      <c r="E48" s="12">
        <f>-SUM($C47:D47)*$C$12</f>
        <v>-3950.3547579302262</v>
      </c>
      <c r="F48" s="12">
        <f>-SUM($C47:E47)*$C$12</f>
        <v>-7900.7095158604525</v>
      </c>
      <c r="G48" s="12">
        <f>-SUM($C47:F47)*$C$12</f>
        <v>-11851.064273790678</v>
      </c>
      <c r="H48" s="12">
        <f>-SUM($C47:G47)*$C$12</f>
        <v>-15801.419031720905</v>
      </c>
      <c r="I48" s="12">
        <f>-SUM($C47:H47)*$C$12</f>
        <v>-19751.773789651132</v>
      </c>
      <c r="J48" s="12">
        <f>-SUM($C47:I47)*$C$12</f>
        <v>-23702.128547581357</v>
      </c>
      <c r="K48" s="12">
        <f>-SUM($C47:J47)*$C$12</f>
        <v>-27652.483305511581</v>
      </c>
      <c r="L48" s="12">
        <f>-SUM($C47:K47)*$C$12</f>
        <v>-31602.83806344181</v>
      </c>
      <c r="M48" s="12">
        <f>-SUM($C47:L47)*$C$12</f>
        <v>-35553.192821372038</v>
      </c>
      <c r="N48" s="12">
        <f>-SUM($C47:M47)*$C$12</f>
        <v>-39503.547579302263</v>
      </c>
      <c r="O48" s="11">
        <f>SUM(C48:N48)</f>
        <v>-217269.51168616244</v>
      </c>
    </row>
    <row r="49" spans="2:16" x14ac:dyDescent="0.2">
      <c r="B49" s="24" t="s">
        <v>37</v>
      </c>
      <c r="C49" s="26">
        <f>C47-C48</f>
        <v>0</v>
      </c>
      <c r="D49" s="26">
        <f t="shared" ref="D49:N49" si="17">D47-D48</f>
        <v>790070.95158604521</v>
      </c>
      <c r="E49" s="26">
        <f t="shared" si="17"/>
        <v>794021.30634397548</v>
      </c>
      <c r="F49" s="26">
        <f t="shared" si="17"/>
        <v>797971.66110190563</v>
      </c>
      <c r="G49" s="26">
        <f t="shared" si="17"/>
        <v>801922.0158598359</v>
      </c>
      <c r="H49" s="26">
        <f t="shared" si="17"/>
        <v>805872.37061776617</v>
      </c>
      <c r="I49" s="26">
        <f t="shared" si="17"/>
        <v>809822.72537569632</v>
      </c>
      <c r="J49" s="26">
        <f t="shared" si="17"/>
        <v>813773.08013362659</v>
      </c>
      <c r="K49" s="26">
        <f t="shared" si="17"/>
        <v>817723.43489155674</v>
      </c>
      <c r="L49" s="26">
        <f t="shared" si="17"/>
        <v>821673.78964948701</v>
      </c>
      <c r="M49" s="26">
        <f t="shared" si="17"/>
        <v>825624.14440741728</v>
      </c>
      <c r="N49" s="26">
        <f t="shared" si="17"/>
        <v>829574.49916534743</v>
      </c>
      <c r="O49" s="26">
        <f>SUM(C49:N49)</f>
        <v>8908049.9791326579</v>
      </c>
    </row>
    <row r="50" spans="2:16" ht="5.25" customHeight="1" x14ac:dyDescent="0.2"/>
    <row r="51" spans="2:16" x14ac:dyDescent="0.2">
      <c r="B51" s="31" t="s">
        <v>24</v>
      </c>
      <c r="C51" s="32">
        <f>C49+C41</f>
        <v>1021166.6666666667</v>
      </c>
      <c r="D51" s="32">
        <f t="shared" ref="D51:N51" si="18">D49+D41</f>
        <v>1806131.7849193786</v>
      </c>
      <c r="E51" s="32">
        <f t="shared" si="18"/>
        <v>1804997.0355106422</v>
      </c>
      <c r="F51" s="32">
        <f t="shared" si="18"/>
        <v>1803882.9116227389</v>
      </c>
      <c r="G51" s="32">
        <f t="shared" si="18"/>
        <v>1802789.3101280653</v>
      </c>
      <c r="H51" s="32">
        <f t="shared" si="18"/>
        <v>1801716.1284146542</v>
      </c>
      <c r="I51" s="32">
        <f t="shared" si="18"/>
        <v>1800663.2643836001</v>
      </c>
      <c r="J51" s="32">
        <f t="shared" si="18"/>
        <v>1799630.6164464909</v>
      </c>
      <c r="K51" s="32">
        <f t="shared" si="18"/>
        <v>1798618.0835228567</v>
      </c>
      <c r="L51" s="32">
        <f t="shared" si="18"/>
        <v>1797625.5650376305</v>
      </c>
      <c r="M51" s="32">
        <f t="shared" si="18"/>
        <v>1796652.9609186198</v>
      </c>
      <c r="N51" s="32">
        <f t="shared" si="18"/>
        <v>1795700.1715939939</v>
      </c>
      <c r="O51" s="32">
        <f>SUM(C51:N51)</f>
        <v>20829574.499165338</v>
      </c>
      <c r="P51" s="18">
        <f>O51-C26</f>
        <v>829574.49916533753</v>
      </c>
    </row>
    <row r="52" spans="2:16" ht="14.25" customHeight="1" x14ac:dyDescent="0.2"/>
    <row r="53" spans="2:16" ht="14.25" customHeight="1" x14ac:dyDescent="0.2">
      <c r="B53" s="38" t="s">
        <v>50</v>
      </c>
    </row>
    <row r="54" spans="2:16" x14ac:dyDescent="0.2">
      <c r="B54" t="s">
        <v>46</v>
      </c>
      <c r="C54" s="39">
        <v>0</v>
      </c>
      <c r="D54" s="37">
        <f>C56</f>
        <v>4.1149528728439853</v>
      </c>
      <c r="E54" s="10">
        <f>D56</f>
        <v>8.2299057456879705</v>
      </c>
      <c r="F54" s="10">
        <f t="shared" ref="F54:N54" si="19">E56</f>
        <v>8.2299057456879705</v>
      </c>
      <c r="G54" s="10">
        <f t="shared" si="19"/>
        <v>8.2299057456879705</v>
      </c>
      <c r="H54" s="10">
        <f t="shared" si="19"/>
        <v>8.2299057456879705</v>
      </c>
      <c r="I54" s="10">
        <f t="shared" si="19"/>
        <v>8.2299057456879705</v>
      </c>
      <c r="J54" s="10">
        <f t="shared" si="19"/>
        <v>8.2299057456879705</v>
      </c>
      <c r="K54" s="10">
        <f t="shared" si="19"/>
        <v>8.2299057456879705</v>
      </c>
      <c r="L54" s="10">
        <f t="shared" si="19"/>
        <v>8.2299057456879705</v>
      </c>
      <c r="M54" s="10">
        <f t="shared" si="19"/>
        <v>8.2299057456879705</v>
      </c>
      <c r="N54" s="10">
        <f t="shared" si="19"/>
        <v>8.2299057456879705</v>
      </c>
      <c r="O54" s="10">
        <f>N56</f>
        <v>8.2299057456879705</v>
      </c>
    </row>
    <row r="55" spans="2:16" x14ac:dyDescent="0.2">
      <c r="B55" t="s">
        <v>19</v>
      </c>
      <c r="C55" s="36">
        <f>$C$22/$C$7/2</f>
        <v>4.1149528728439853</v>
      </c>
      <c r="D55" s="36">
        <f>$C$22/$C$7/2</f>
        <v>4.1149528728439853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2:16" x14ac:dyDescent="0.2">
      <c r="B56" t="s">
        <v>17</v>
      </c>
      <c r="C56" s="8">
        <f>C54+C55</f>
        <v>4.1149528728439853</v>
      </c>
      <c r="D56" s="8">
        <f>D54+D55</f>
        <v>8.2299057456879705</v>
      </c>
      <c r="E56" s="8">
        <f>E54+E55</f>
        <v>8.2299057456879705</v>
      </c>
      <c r="F56" s="8">
        <f t="shared" ref="F56:O56" si="20">F54+F55</f>
        <v>8.2299057456879705</v>
      </c>
      <c r="G56" s="8">
        <f t="shared" si="20"/>
        <v>8.2299057456879705</v>
      </c>
      <c r="H56" s="8">
        <f t="shared" si="20"/>
        <v>8.2299057456879705</v>
      </c>
      <c r="I56" s="8">
        <f t="shared" si="20"/>
        <v>8.2299057456879705</v>
      </c>
      <c r="J56" s="8">
        <f t="shared" si="20"/>
        <v>8.2299057456879705</v>
      </c>
      <c r="K56" s="8">
        <f t="shared" si="20"/>
        <v>8.2299057456879705</v>
      </c>
      <c r="L56" s="8">
        <f t="shared" si="20"/>
        <v>8.2299057456879705</v>
      </c>
      <c r="M56" s="8">
        <f t="shared" si="20"/>
        <v>8.2299057456879705</v>
      </c>
      <c r="N56" s="8">
        <f t="shared" si="20"/>
        <v>8.2299057456879705</v>
      </c>
      <c r="O56" s="8">
        <f t="shared" si="20"/>
        <v>8.2299057456879705</v>
      </c>
    </row>
    <row r="57" spans="2:16" x14ac:dyDescent="0.2">
      <c r="B57" t="s">
        <v>49</v>
      </c>
      <c r="C57" s="37">
        <v>0</v>
      </c>
      <c r="D57" s="8">
        <f>D55*$C$6</f>
        <v>41.149528728439854</v>
      </c>
      <c r="E57" s="8">
        <f>E56*$C$6</f>
        <v>82.299057456879709</v>
      </c>
      <c r="F57" s="8">
        <f t="shared" ref="F57:N57" si="21">F56*$C$6</f>
        <v>82.299057456879709</v>
      </c>
      <c r="G57" s="8">
        <f t="shared" si="21"/>
        <v>82.299057456879709</v>
      </c>
      <c r="H57" s="8">
        <f t="shared" si="21"/>
        <v>82.299057456879709</v>
      </c>
      <c r="I57" s="8">
        <f t="shared" si="21"/>
        <v>82.299057456879709</v>
      </c>
      <c r="J57" s="8">
        <f t="shared" si="21"/>
        <v>82.299057456879709</v>
      </c>
      <c r="K57" s="8">
        <f t="shared" si="21"/>
        <v>82.299057456879709</v>
      </c>
      <c r="L57" s="8">
        <f t="shared" si="21"/>
        <v>82.299057456879709</v>
      </c>
      <c r="M57" s="8">
        <f t="shared" si="21"/>
        <v>82.299057456879709</v>
      </c>
      <c r="N57" s="8">
        <f t="shared" si="21"/>
        <v>82.299057456879709</v>
      </c>
      <c r="O57" s="8">
        <f>SUM(C57:N57)</f>
        <v>864.14010329723703</v>
      </c>
      <c r="P57" s="40">
        <f>O43-O57</f>
        <v>123.44858618531953</v>
      </c>
    </row>
    <row r="58" spans="2:16" x14ac:dyDescent="0.2">
      <c r="C58" s="9"/>
      <c r="D58" s="9"/>
      <c r="E58" s="36">
        <f>E57-E43</f>
        <v>0</v>
      </c>
      <c r="F58" s="36">
        <f t="shared" ref="F58:N58" si="22">F57-F43</f>
        <v>0</v>
      </c>
      <c r="G58" s="36">
        <f t="shared" si="22"/>
        <v>0</v>
      </c>
      <c r="H58" s="36">
        <f t="shared" si="22"/>
        <v>0</v>
      </c>
      <c r="I58" s="36">
        <f t="shared" si="22"/>
        <v>0</v>
      </c>
      <c r="J58" s="36">
        <f t="shared" si="22"/>
        <v>0</v>
      </c>
      <c r="K58" s="36">
        <f t="shared" si="22"/>
        <v>0</v>
      </c>
      <c r="L58" s="36">
        <f t="shared" si="22"/>
        <v>0</v>
      </c>
      <c r="M58" s="36">
        <f t="shared" si="22"/>
        <v>0</v>
      </c>
      <c r="N58" s="36">
        <f t="shared" si="22"/>
        <v>0</v>
      </c>
    </row>
  </sheetData>
  <dataValidations disablePrompts="1" count="1">
    <dataValidation type="list" allowBlank="1" showInputMessage="1" showErrorMessage="1" sqref="C14">
      <formula1>$Z$1:$Z$20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opLeftCell="A4" workbookViewId="0">
      <selection activeCell="E43" sqref="E43"/>
    </sheetView>
  </sheetViews>
  <sheetFormatPr baseColWidth="10" defaultColWidth="9" defaultRowHeight="14" x14ac:dyDescent="0.2"/>
  <cols>
    <col min="1" max="1" width="1.6640625" style="41" bestFit="1" customWidth="1"/>
    <col min="2" max="2" width="13.33203125" style="41" bestFit="1" customWidth="1"/>
    <col min="3" max="3" width="10" style="41" customWidth="1"/>
    <col min="4" max="4" width="9" style="41"/>
    <col min="5" max="9" width="9.83203125" style="41" bestFit="1" customWidth="1"/>
    <col min="10" max="18" width="9" style="41"/>
    <col min="19" max="19" width="9.33203125" style="41" bestFit="1" customWidth="1"/>
    <col min="20" max="20" width="9.6640625" style="41" customWidth="1"/>
    <col min="21" max="16384" width="9" style="41"/>
  </cols>
  <sheetData>
    <row r="1" spans="1:20" ht="15" thickBot="1" x14ac:dyDescent="0.25">
      <c r="B1" s="42" t="s">
        <v>75</v>
      </c>
      <c r="C1" s="43">
        <v>1</v>
      </c>
    </row>
    <row r="2" spans="1:20" x14ac:dyDescent="0.2">
      <c r="A2" s="41" t="s">
        <v>77</v>
      </c>
      <c r="B2" s="44" t="s">
        <v>143</v>
      </c>
      <c r="D2" s="41" t="s">
        <v>86</v>
      </c>
      <c r="E2" s="45" t="s">
        <v>142</v>
      </c>
      <c r="F2" s="44" t="s">
        <v>141</v>
      </c>
      <c r="L2" s="46"/>
      <c r="M2" s="47" t="s">
        <v>140</v>
      </c>
      <c r="N2" s="47" t="s">
        <v>139</v>
      </c>
      <c r="O2" s="47" t="s">
        <v>138</v>
      </c>
      <c r="P2" s="47" t="s">
        <v>137</v>
      </c>
      <c r="Q2" s="48" t="s">
        <v>136</v>
      </c>
    </row>
    <row r="3" spans="1:20" x14ac:dyDescent="0.2">
      <c r="B3" s="41" t="s">
        <v>135</v>
      </c>
      <c r="C3" s="49">
        <f ca="1">+M3</f>
        <v>250</v>
      </c>
      <c r="D3" s="50">
        <v>0.02</v>
      </c>
      <c r="E3" s="50">
        <f ca="1">+C3/C$7</f>
        <v>2.5751294002523628E-2</v>
      </c>
      <c r="F3" s="41" t="s">
        <v>134</v>
      </c>
      <c r="H3" s="49">
        <f>$C$14</f>
        <v>5600</v>
      </c>
      <c r="L3" s="51" t="str">
        <f>+B3</f>
        <v>Rev</v>
      </c>
      <c r="M3" s="52">
        <f ca="1">+OFFSET(M3,,C$1)</f>
        <v>250</v>
      </c>
      <c r="N3" s="52">
        <v>250</v>
      </c>
      <c r="O3" s="52">
        <v>250</v>
      </c>
      <c r="P3" s="52">
        <v>250</v>
      </c>
      <c r="Q3" s="53">
        <v>6500</v>
      </c>
    </row>
    <row r="4" spans="1:20" x14ac:dyDescent="0.2">
      <c r="B4" s="41" t="s">
        <v>133</v>
      </c>
      <c r="C4" s="41">
        <f ca="1">+M4</f>
        <v>6500</v>
      </c>
      <c r="D4" s="50">
        <v>0.06</v>
      </c>
      <c r="E4" s="50">
        <f ca="1">+C4/C$7</f>
        <v>0.66953364406561433</v>
      </c>
      <c r="F4" s="41" t="s">
        <v>132</v>
      </c>
      <c r="H4" s="41">
        <v>4000</v>
      </c>
      <c r="L4" s="51" t="str">
        <f>+B4</f>
        <v>TLB</v>
      </c>
      <c r="M4" s="52">
        <f ca="1">+OFFSET(M4,,C$1)</f>
        <v>6500</v>
      </c>
      <c r="N4" s="52">
        <v>6500</v>
      </c>
      <c r="O4" s="52">
        <v>0</v>
      </c>
      <c r="P4" s="52">
        <v>3250</v>
      </c>
      <c r="Q4" s="53">
        <v>250</v>
      </c>
    </row>
    <row r="5" spans="1:20" ht="15" thickBot="1" x14ac:dyDescent="0.25">
      <c r="B5" s="41" t="s">
        <v>131</v>
      </c>
      <c r="C5" s="41">
        <f ca="1">+M5</f>
        <v>0</v>
      </c>
      <c r="D5" s="50">
        <v>0.08</v>
      </c>
      <c r="E5" s="50">
        <f ca="1">+C5/C$7</f>
        <v>0</v>
      </c>
      <c r="F5" s="41" t="s">
        <v>125</v>
      </c>
      <c r="H5" s="41">
        <f ca="1">+H15</f>
        <v>108.25</v>
      </c>
      <c r="L5" s="54" t="str">
        <f>+B5</f>
        <v>HY</v>
      </c>
      <c r="M5" s="55">
        <f ca="1">+OFFSET(M5,,C$1)</f>
        <v>0</v>
      </c>
      <c r="N5" s="55">
        <v>0</v>
      </c>
      <c r="O5" s="55">
        <v>6500</v>
      </c>
      <c r="P5" s="55">
        <v>3250</v>
      </c>
      <c r="Q5" s="56">
        <v>0</v>
      </c>
    </row>
    <row r="6" spans="1:20" x14ac:dyDescent="0.2">
      <c r="B6" s="41" t="s">
        <v>130</v>
      </c>
      <c r="C6" s="41">
        <f ca="1">+H7-SUM(C3:C5)</f>
        <v>2958.25</v>
      </c>
      <c r="E6" s="50">
        <f ca="1">+C6/C$7</f>
        <v>0.3047150619318621</v>
      </c>
    </row>
    <row r="7" spans="1:20" x14ac:dyDescent="0.2">
      <c r="B7" s="41" t="s">
        <v>129</v>
      </c>
      <c r="C7" s="41">
        <f ca="1">SUM(C3:C6)</f>
        <v>9708.25</v>
      </c>
      <c r="E7" s="50">
        <f ca="1">+C7/C$7</f>
        <v>1</v>
      </c>
      <c r="F7" s="41" t="s">
        <v>129</v>
      </c>
      <c r="H7" s="41">
        <f ca="1">SUM(H3:H5)</f>
        <v>9708.25</v>
      </c>
    </row>
    <row r="8" spans="1:20" x14ac:dyDescent="0.2">
      <c r="L8" s="44"/>
      <c r="M8" s="44" t="s">
        <v>83</v>
      </c>
      <c r="N8" s="44"/>
      <c r="O8" s="44"/>
      <c r="P8" s="57">
        <v>1</v>
      </c>
      <c r="Q8" s="57">
        <f>+P8+1</f>
        <v>2</v>
      </c>
      <c r="R8" s="57">
        <f>+Q8+1</f>
        <v>3</v>
      </c>
      <c r="S8" s="57">
        <f>+R8+1</f>
        <v>4</v>
      </c>
      <c r="T8" s="57">
        <f>+S8+1</f>
        <v>5</v>
      </c>
    </row>
    <row r="10" spans="1:20" x14ac:dyDescent="0.2">
      <c r="M10" s="41" t="s">
        <v>82</v>
      </c>
      <c r="P10" s="41">
        <f ca="1">+$C6</f>
        <v>2958.25</v>
      </c>
      <c r="Q10" s="41">
        <f ca="1">+$C6</f>
        <v>2958.25</v>
      </c>
      <c r="R10" s="41">
        <f ca="1">+$C6</f>
        <v>2958.25</v>
      </c>
      <c r="S10" s="41">
        <f ca="1">+$C6</f>
        <v>2958.25</v>
      </c>
      <c r="T10" s="41">
        <f ca="1">+$C6</f>
        <v>2958.25</v>
      </c>
    </row>
    <row r="11" spans="1:20" x14ac:dyDescent="0.2">
      <c r="A11" s="41" t="s">
        <v>77</v>
      </c>
      <c r="B11" s="44" t="str">
        <f>+F3</f>
        <v>Purchase of Equity</v>
      </c>
      <c r="F11" s="58" t="s">
        <v>128</v>
      </c>
      <c r="G11" s="50">
        <v>7.4999999999999997E-3</v>
      </c>
      <c r="H11" s="41">
        <f>+C14</f>
        <v>5600</v>
      </c>
    </row>
    <row r="12" spans="1:20" x14ac:dyDescent="0.2">
      <c r="B12" s="41" t="s">
        <v>112</v>
      </c>
      <c r="C12" s="41">
        <v>560</v>
      </c>
      <c r="F12" s="58" t="str">
        <f>+B3</f>
        <v>Rev</v>
      </c>
      <c r="G12" s="50">
        <v>5.0000000000000001E-3</v>
      </c>
      <c r="H12" s="41">
        <f ca="1">+M3</f>
        <v>250</v>
      </c>
      <c r="M12" s="41" t="s">
        <v>81</v>
      </c>
      <c r="O12" s="59">
        <f>+O13-1</f>
        <v>9</v>
      </c>
      <c r="P12" s="41">
        <f>+$O12*E46</f>
        <v>5929.6184999999987</v>
      </c>
      <c r="Q12" s="41">
        <f>+$O12*F46</f>
        <v>6819.0612749999982</v>
      </c>
      <c r="R12" s="41">
        <f>+$O12*G46</f>
        <v>7841.9204662499978</v>
      </c>
      <c r="S12" s="41">
        <f>+$O12*H46</f>
        <v>9018.2085361874979</v>
      </c>
      <c r="T12" s="41">
        <f>+$O12*I46</f>
        <v>10370.939816615621</v>
      </c>
    </row>
    <row r="13" spans="1:20" s="58" customFormat="1" x14ac:dyDescent="0.2">
      <c r="B13" s="60" t="s">
        <v>127</v>
      </c>
      <c r="C13" s="60">
        <v>10</v>
      </c>
      <c r="F13" s="58" t="str">
        <f>+B4</f>
        <v>TLB</v>
      </c>
      <c r="G13" s="50">
        <v>0.01</v>
      </c>
      <c r="H13" s="41">
        <f ca="1">+M4</f>
        <v>6500</v>
      </c>
      <c r="L13" s="41"/>
      <c r="M13" s="41"/>
      <c r="N13" s="41"/>
      <c r="O13" s="59">
        <f>+C13</f>
        <v>10</v>
      </c>
      <c r="P13" s="41">
        <f>+E46*$C13</f>
        <v>6588.4649999999983</v>
      </c>
      <c r="Q13" s="41">
        <f>+F46*$C13</f>
        <v>7576.7347499999978</v>
      </c>
      <c r="R13" s="41">
        <f>+G46*$C13</f>
        <v>8713.2449624999972</v>
      </c>
      <c r="S13" s="41">
        <f>+H46*$C13</f>
        <v>10020.231706874998</v>
      </c>
      <c r="T13" s="41">
        <f>+I46*$C13</f>
        <v>11523.266462906246</v>
      </c>
    </row>
    <row r="14" spans="1:20" s="58" customFormat="1" x14ac:dyDescent="0.2">
      <c r="B14" s="58" t="s">
        <v>126</v>
      </c>
      <c r="C14" s="41">
        <f>+C13*C12</f>
        <v>5600</v>
      </c>
      <c r="F14" s="58" t="str">
        <f>+B5</f>
        <v>HY</v>
      </c>
      <c r="G14" s="50">
        <v>1.4999999999999999E-2</v>
      </c>
      <c r="H14" s="41">
        <f ca="1">+M5</f>
        <v>0</v>
      </c>
      <c r="L14" s="41"/>
      <c r="M14" s="41"/>
      <c r="N14" s="41"/>
      <c r="O14" s="59">
        <f>+O13+1</f>
        <v>11</v>
      </c>
      <c r="P14" s="41">
        <f>+$O14*E46</f>
        <v>7247.3114999999989</v>
      </c>
      <c r="Q14" s="41">
        <f>+$O14*F46</f>
        <v>8334.4082249999974</v>
      </c>
      <c r="R14" s="41">
        <f>+$O14*G46</f>
        <v>9584.5694587499984</v>
      </c>
      <c r="S14" s="41">
        <f>+$O14*H46</f>
        <v>11022.254877562496</v>
      </c>
      <c r="T14" s="41">
        <f>+$O14*I46</f>
        <v>12675.593109196869</v>
      </c>
    </row>
    <row r="15" spans="1:20" s="58" customFormat="1" x14ac:dyDescent="0.2">
      <c r="A15" s="58" t="s">
        <v>77</v>
      </c>
      <c r="B15" s="44" t="s">
        <v>125</v>
      </c>
      <c r="F15" s="58" t="s">
        <v>124</v>
      </c>
      <c r="H15" s="41">
        <f ca="1">+SUMPRODUCT(G11:G14,H11:H14)</f>
        <v>108.25</v>
      </c>
      <c r="L15" s="41"/>
      <c r="M15" s="41"/>
      <c r="N15" s="41"/>
      <c r="O15" s="41"/>
      <c r="P15" s="41"/>
      <c r="Q15" s="41"/>
      <c r="R15" s="41"/>
      <c r="S15" s="41"/>
      <c r="T15" s="41"/>
    </row>
    <row r="16" spans="1:20" s="58" customFormat="1" x14ac:dyDescent="0.2">
      <c r="L16" s="41"/>
      <c r="M16" s="41" t="s">
        <v>80</v>
      </c>
      <c r="N16" s="41"/>
      <c r="O16" s="41">
        <f t="shared" ref="O16:T16" ca="1" si="0">+-D72</f>
        <v>-6664.9</v>
      </c>
      <c r="P16" s="41">
        <f t="shared" ca="1" si="0"/>
        <v>-6636.2497602127441</v>
      </c>
      <c r="Q16" s="41">
        <f t="shared" ca="1" si="0"/>
        <v>-6445.4782112068269</v>
      </c>
      <c r="R16" s="41">
        <f t="shared" ca="1" si="0"/>
        <v>-6094.0991562546351</v>
      </c>
      <c r="S16" s="41">
        <f t="shared" ca="1" si="0"/>
        <v>-5535.3764361630892</v>
      </c>
      <c r="T16" s="41">
        <f t="shared" ca="1" si="0"/>
        <v>-4719.9786594445804</v>
      </c>
    </row>
    <row r="17" spans="1:20" s="58" customFormat="1" x14ac:dyDescent="0.2">
      <c r="F17" s="58" t="s">
        <v>123</v>
      </c>
      <c r="H17" s="41">
        <v>5</v>
      </c>
      <c r="L17" s="41"/>
      <c r="M17" s="41"/>
      <c r="N17" s="41"/>
      <c r="O17" s="41"/>
      <c r="P17" s="41"/>
      <c r="Q17" s="41"/>
      <c r="R17" s="41"/>
      <c r="S17" s="41"/>
      <c r="T17" s="41"/>
    </row>
    <row r="18" spans="1:20" s="58" customFormat="1" x14ac:dyDescent="0.2">
      <c r="F18" s="58" t="s">
        <v>122</v>
      </c>
      <c r="H18" s="41">
        <f ca="1">+H15/H17</f>
        <v>21.65</v>
      </c>
      <c r="L18" s="41"/>
      <c r="M18" s="41" t="s">
        <v>79</v>
      </c>
      <c r="N18" s="41"/>
      <c r="O18" s="59">
        <f>+O12</f>
        <v>9</v>
      </c>
      <c r="P18" s="41">
        <f t="shared" ref="P18:T20" ca="1" si="1">+P12+P$16</f>
        <v>-706.63126021274547</v>
      </c>
      <c r="Q18" s="41">
        <f t="shared" ca="1" si="1"/>
        <v>373.58306379317128</v>
      </c>
      <c r="R18" s="41">
        <f t="shared" ca="1" si="1"/>
        <v>1747.8213099953628</v>
      </c>
      <c r="S18" s="41">
        <f t="shared" ca="1" si="1"/>
        <v>3482.8321000244086</v>
      </c>
      <c r="T18" s="41">
        <f t="shared" ca="1" si="1"/>
        <v>5650.9611571710402</v>
      </c>
    </row>
    <row r="19" spans="1:20" s="58" customFormat="1" x14ac:dyDescent="0.2">
      <c r="F19" s="41"/>
      <c r="G19" s="41"/>
      <c r="H19" s="41"/>
      <c r="L19" s="41"/>
      <c r="M19" s="41"/>
      <c r="N19" s="41"/>
      <c r="O19" s="59">
        <f>+O13</f>
        <v>10</v>
      </c>
      <c r="P19" s="41">
        <f t="shared" ca="1" si="1"/>
        <v>-47.784760212745823</v>
      </c>
      <c r="Q19" s="41">
        <f t="shared" ca="1" si="1"/>
        <v>1131.2565387931709</v>
      </c>
      <c r="R19" s="41">
        <f t="shared" ca="1" si="1"/>
        <v>2619.1458062453621</v>
      </c>
      <c r="S19" s="41">
        <f t="shared" ca="1" si="1"/>
        <v>4484.8552707119088</v>
      </c>
      <c r="T19" s="41">
        <f t="shared" ca="1" si="1"/>
        <v>6803.2878034616651</v>
      </c>
    </row>
    <row r="20" spans="1:20" s="58" customFormat="1" x14ac:dyDescent="0.2">
      <c r="A20" s="58" t="s">
        <v>77</v>
      </c>
      <c r="B20" s="61" t="s">
        <v>0</v>
      </c>
      <c r="H20" s="41"/>
      <c r="L20" s="41"/>
      <c r="M20" s="41"/>
      <c r="N20" s="41"/>
      <c r="O20" s="59">
        <f>+O14</f>
        <v>11</v>
      </c>
      <c r="P20" s="41">
        <f t="shared" ca="1" si="1"/>
        <v>611.06173978725474</v>
      </c>
      <c r="Q20" s="41">
        <f t="shared" ca="1" si="1"/>
        <v>1888.9300137931705</v>
      </c>
      <c r="R20" s="41">
        <f t="shared" ca="1" si="1"/>
        <v>3490.4703024953633</v>
      </c>
      <c r="S20" s="41">
        <f t="shared" ca="1" si="1"/>
        <v>5486.8784413994072</v>
      </c>
      <c r="T20" s="41">
        <f t="shared" ca="1" si="1"/>
        <v>7955.6144497522882</v>
      </c>
    </row>
    <row r="21" spans="1:20" s="58" customFormat="1" ht="15" thickBot="1" x14ac:dyDescent="0.25">
      <c r="H21" s="41"/>
      <c r="L21" s="41"/>
      <c r="M21" s="41"/>
      <c r="N21" s="41"/>
      <c r="O21" s="41"/>
      <c r="P21" s="41"/>
      <c r="Q21" s="41"/>
      <c r="R21" s="41"/>
      <c r="S21" s="41"/>
      <c r="T21" s="41"/>
    </row>
    <row r="22" spans="1:20" s="58" customFormat="1" x14ac:dyDescent="0.2">
      <c r="B22" s="62" t="s">
        <v>121</v>
      </c>
      <c r="C22" s="63"/>
      <c r="D22" s="64">
        <v>0.15</v>
      </c>
      <c r="H22" s="41"/>
      <c r="L22" s="41"/>
      <c r="M22" s="41" t="s">
        <v>78</v>
      </c>
      <c r="N22" s="41"/>
      <c r="O22" s="59">
        <f>+O18</f>
        <v>9</v>
      </c>
      <c r="P22" s="50">
        <f t="shared" ref="P22:T24" ca="1" si="2">+(P18/P$10)^(1/P$8)-1</f>
        <v>-1.2388679997338783</v>
      </c>
      <c r="Q22" s="50">
        <f t="shared" ca="1" si="2"/>
        <v>-0.64463377150181289</v>
      </c>
      <c r="R22" s="50">
        <f t="shared" ca="1" si="2"/>
        <v>-0.16088647929357403</v>
      </c>
      <c r="S22" s="50">
        <f t="shared" ca="1" si="2"/>
        <v>4.1656231639632946E-2</v>
      </c>
      <c r="T22" s="50">
        <f t="shared" ca="1" si="2"/>
        <v>0.13819713943080014</v>
      </c>
    </row>
    <row r="23" spans="1:20" s="58" customFormat="1" x14ac:dyDescent="0.2">
      <c r="B23" s="65" t="s">
        <v>120</v>
      </c>
      <c r="C23" s="66"/>
      <c r="D23" s="67">
        <v>0.15</v>
      </c>
      <c r="H23" s="41"/>
      <c r="L23" s="41"/>
      <c r="M23" s="41"/>
      <c r="N23" s="41"/>
      <c r="O23" s="59">
        <f>+O19</f>
        <v>10</v>
      </c>
      <c r="P23" s="50">
        <f t="shared" ca="1" si="2"/>
        <v>-1.0161530500169851</v>
      </c>
      <c r="Q23" s="50">
        <f t="shared" ca="1" si="2"/>
        <v>-0.38160906496662406</v>
      </c>
      <c r="R23" s="50">
        <f t="shared" ca="1" si="2"/>
        <v>-3.9770742952583205E-2</v>
      </c>
      <c r="S23" s="50">
        <f t="shared" ca="1" si="2"/>
        <v>0.1096305110918343</v>
      </c>
      <c r="T23" s="50">
        <f t="shared" ca="1" si="2"/>
        <v>0.18123632579467674</v>
      </c>
    </row>
    <row r="24" spans="1:20" s="58" customFormat="1" x14ac:dyDescent="0.2">
      <c r="B24" s="65" t="s">
        <v>119</v>
      </c>
      <c r="C24" s="66"/>
      <c r="D24" s="68">
        <f>+D36/D30</f>
        <v>1.9008221186573804E-2</v>
      </c>
      <c r="H24" s="41"/>
      <c r="L24" s="41"/>
      <c r="M24" s="41"/>
      <c r="N24" s="41"/>
      <c r="O24" s="59">
        <f>+O20</f>
        <v>11</v>
      </c>
      <c r="P24" s="50">
        <f t="shared" ca="1" si="2"/>
        <v>-0.79343810030009132</v>
      </c>
      <c r="Q24" s="50">
        <f t="shared" ca="1" si="2"/>
        <v>-0.20091956555933599</v>
      </c>
      <c r="R24" s="50">
        <f t="shared" ca="1" si="2"/>
        <v>5.6695094676251445E-2</v>
      </c>
      <c r="S24" s="50">
        <f t="shared" ca="1" si="2"/>
        <v>0.16700473027010365</v>
      </c>
      <c r="T24" s="50">
        <f t="shared" ca="1" si="2"/>
        <v>0.21878688129137069</v>
      </c>
    </row>
    <row r="25" spans="1:20" s="58" customFormat="1" x14ac:dyDescent="0.2">
      <c r="B25" s="65" t="s">
        <v>118</v>
      </c>
      <c r="C25" s="66"/>
      <c r="D25" s="68">
        <f>-24.3/181</f>
        <v>-0.13425414364640884</v>
      </c>
      <c r="H25" s="41"/>
      <c r="L25" s="41"/>
      <c r="M25" s="41"/>
      <c r="N25" s="41"/>
      <c r="O25" s="41"/>
      <c r="P25" s="41"/>
      <c r="Q25" s="41"/>
      <c r="R25" s="41"/>
      <c r="S25" s="41"/>
      <c r="T25" s="41"/>
    </row>
    <row r="26" spans="1:20" s="58" customFormat="1" x14ac:dyDescent="0.2">
      <c r="B26" s="65" t="s">
        <v>117</v>
      </c>
      <c r="C26" s="66"/>
      <c r="D26" s="68">
        <f>-130/D30</f>
        <v>-3.4036759700476517E-2</v>
      </c>
      <c r="H26" s="41"/>
      <c r="L26" s="41"/>
      <c r="M26" s="41" t="s">
        <v>76</v>
      </c>
      <c r="N26" s="41"/>
      <c r="O26" s="59">
        <f>+O22</f>
        <v>9</v>
      </c>
      <c r="P26" s="60">
        <f t="shared" ref="P26:T28" ca="1" si="3">+P18/P$10</f>
        <v>-0.23886799973387829</v>
      </c>
      <c r="Q26" s="60">
        <f t="shared" ca="1" si="3"/>
        <v>0.1262851563570257</v>
      </c>
      <c r="R26" s="60">
        <f t="shared" ca="1" si="3"/>
        <v>0.59082948026548221</v>
      </c>
      <c r="S26" s="60">
        <f t="shared" ca="1" si="3"/>
        <v>1.1773285219384462</v>
      </c>
      <c r="T26" s="60">
        <f t="shared" ca="1" si="3"/>
        <v>1.9102378626454966</v>
      </c>
    </row>
    <row r="27" spans="1:20" s="58" customFormat="1" ht="15" thickBot="1" x14ac:dyDescent="0.25">
      <c r="B27" s="69" t="s">
        <v>116</v>
      </c>
      <c r="C27" s="70"/>
      <c r="D27" s="71">
        <f>-111/D30</f>
        <v>-2.9062156359637638E-2</v>
      </c>
      <c r="H27" s="41"/>
      <c r="L27" s="41"/>
      <c r="M27" s="41"/>
      <c r="N27" s="41"/>
      <c r="O27" s="59">
        <f>+O23</f>
        <v>10</v>
      </c>
      <c r="P27" s="60">
        <f t="shared" ca="1" si="3"/>
        <v>-1.6153050016984982E-2</v>
      </c>
      <c r="Q27" s="60">
        <f t="shared" ca="1" si="3"/>
        <v>0.38240734853145303</v>
      </c>
      <c r="R27" s="60">
        <f t="shared" ca="1" si="3"/>
        <v>0.88537000126607357</v>
      </c>
      <c r="S27" s="60">
        <f t="shared" ca="1" si="3"/>
        <v>1.5160501210891266</v>
      </c>
      <c r="T27" s="60">
        <f t="shared" ca="1" si="3"/>
        <v>2.2997677016687788</v>
      </c>
    </row>
    <row r="28" spans="1:20" s="58" customFormat="1" x14ac:dyDescent="0.2">
      <c r="H28" s="41"/>
      <c r="L28" s="41"/>
      <c r="M28" s="41"/>
      <c r="N28" s="41"/>
      <c r="O28" s="59">
        <f>+O24</f>
        <v>11</v>
      </c>
      <c r="P28" s="60">
        <f t="shared" ca="1" si="3"/>
        <v>0.20656189969990865</v>
      </c>
      <c r="Q28" s="60">
        <f t="shared" ca="1" si="3"/>
        <v>0.63852954070588031</v>
      </c>
      <c r="R28" s="60">
        <f t="shared" ca="1" si="3"/>
        <v>1.1799105222666655</v>
      </c>
      <c r="S28" s="60">
        <f t="shared" ca="1" si="3"/>
        <v>1.8547717202398064</v>
      </c>
      <c r="T28" s="60">
        <f t="shared" ca="1" si="3"/>
        <v>2.6892975406920607</v>
      </c>
    </row>
    <row r="29" spans="1:20" s="58" customFormat="1" x14ac:dyDescent="0.2">
      <c r="A29" s="58" t="s">
        <v>77</v>
      </c>
      <c r="B29" s="61" t="s">
        <v>115</v>
      </c>
      <c r="D29" s="58">
        <v>2012</v>
      </c>
      <c r="E29" s="72">
        <f>+D29+1</f>
        <v>2013</v>
      </c>
      <c r="F29" s="72">
        <f>+E29+1</f>
        <v>2014</v>
      </c>
      <c r="G29" s="72">
        <f>+F29+1</f>
        <v>2015</v>
      </c>
      <c r="H29" s="72">
        <f>+G29+1</f>
        <v>2016</v>
      </c>
      <c r="I29" s="72">
        <f>+H29+1</f>
        <v>2017</v>
      </c>
      <c r="L29" s="41"/>
      <c r="M29" s="41"/>
      <c r="N29" s="41"/>
      <c r="O29" s="41"/>
      <c r="P29" s="41"/>
      <c r="Q29" s="41"/>
      <c r="R29" s="41"/>
      <c r="S29" s="41"/>
      <c r="T29" s="41"/>
    </row>
    <row r="30" spans="1:20" x14ac:dyDescent="0.2">
      <c r="B30" s="41" t="s">
        <v>114</v>
      </c>
      <c r="D30" s="41">
        <v>3819.4</v>
      </c>
      <c r="E30" s="41">
        <f>+D30*(1+$D22)</f>
        <v>4392.3099999999995</v>
      </c>
      <c r="F30" s="41">
        <f>+E30*(1+$D22)</f>
        <v>5051.1564999999991</v>
      </c>
      <c r="G30" s="41">
        <f>+F30*(1+$D22)</f>
        <v>5808.8299749999987</v>
      </c>
      <c r="H30" s="41">
        <f>+G30*(1+$D22)</f>
        <v>6680.1544712499981</v>
      </c>
      <c r="I30" s="41">
        <f>+H30*(1+$D22)</f>
        <v>7682.1776419374974</v>
      </c>
    </row>
    <row r="31" spans="1:20" s="58" customFormat="1" x14ac:dyDescent="0.2">
      <c r="B31" s="58" t="s">
        <v>113</v>
      </c>
      <c r="E31" s="50">
        <f>+E30/D30-1</f>
        <v>0.14999999999999991</v>
      </c>
      <c r="F31" s="50">
        <f>+F30/E30-1</f>
        <v>0.14999999999999991</v>
      </c>
      <c r="G31" s="50">
        <f>+G30/F30-1</f>
        <v>0.14999999999999991</v>
      </c>
      <c r="H31" s="50">
        <f>+H30/G30-1</f>
        <v>0.14999999999999991</v>
      </c>
      <c r="I31" s="50">
        <f>+I30/H30-1</f>
        <v>0.14999999999999991</v>
      </c>
      <c r="L31" s="41"/>
      <c r="M31" s="41"/>
      <c r="N31" s="41"/>
      <c r="O31" s="41"/>
      <c r="P31" s="41"/>
      <c r="Q31" s="41"/>
      <c r="R31" s="41"/>
    </row>
    <row r="32" spans="1:20" s="58" customFormat="1" x14ac:dyDescent="0.2"/>
    <row r="33" spans="1:9" x14ac:dyDescent="0.2">
      <c r="B33" s="41" t="s">
        <v>112</v>
      </c>
      <c r="D33" s="41">
        <v>560</v>
      </c>
      <c r="E33" s="41">
        <f>+E30*$D23</f>
        <v>658.84649999999988</v>
      </c>
      <c r="F33" s="41">
        <f>+F30*$D23</f>
        <v>757.67347499999983</v>
      </c>
      <c r="G33" s="41">
        <f>+G30*$D23</f>
        <v>871.32449624999981</v>
      </c>
      <c r="H33" s="41">
        <f>+H30*$D23</f>
        <v>1002.0231706874997</v>
      </c>
      <c r="I33" s="41">
        <f>+I30*$D23</f>
        <v>1152.3266462906245</v>
      </c>
    </row>
    <row r="34" spans="1:9" x14ac:dyDescent="0.2">
      <c r="B34" s="41" t="s">
        <v>111</v>
      </c>
      <c r="D34" s="50">
        <f t="shared" ref="D34:I34" si="4">+D33/D30</f>
        <v>0.14661988794051423</v>
      </c>
      <c r="E34" s="50">
        <f t="shared" si="4"/>
        <v>0.15</v>
      </c>
      <c r="F34" s="50">
        <f t="shared" si="4"/>
        <v>0.15</v>
      </c>
      <c r="G34" s="50">
        <f t="shared" si="4"/>
        <v>0.15</v>
      </c>
      <c r="H34" s="50">
        <f t="shared" si="4"/>
        <v>0.15</v>
      </c>
      <c r="I34" s="50">
        <f t="shared" si="4"/>
        <v>0.15</v>
      </c>
    </row>
    <row r="36" spans="1:9" x14ac:dyDescent="0.2">
      <c r="B36" s="41" t="s">
        <v>110</v>
      </c>
      <c r="D36" s="41">
        <v>72.599999999999994</v>
      </c>
      <c r="E36" s="41">
        <f>+E30*$D24</f>
        <v>83.489999999999981</v>
      </c>
      <c r="F36" s="41">
        <f>+F30*$D24</f>
        <v>96.013499999999965</v>
      </c>
      <c r="G36" s="41">
        <f>+G30*$D24</f>
        <v>110.41552499999996</v>
      </c>
      <c r="H36" s="41">
        <f>+H30*$D24</f>
        <v>126.97785374999994</v>
      </c>
      <c r="I36" s="41">
        <f>+I30*$D24</f>
        <v>146.02453181249993</v>
      </c>
    </row>
    <row r="37" spans="1:9" x14ac:dyDescent="0.2">
      <c r="B37" s="41" t="s">
        <v>109</v>
      </c>
      <c r="D37" s="41">
        <f t="shared" ref="D37:I37" si="5">+D33-D36</f>
        <v>487.4</v>
      </c>
      <c r="E37" s="41">
        <f t="shared" si="5"/>
        <v>575.35649999999987</v>
      </c>
      <c r="F37" s="41">
        <f t="shared" si="5"/>
        <v>661.6599749999998</v>
      </c>
      <c r="G37" s="41">
        <f t="shared" si="5"/>
        <v>760.90897124999981</v>
      </c>
      <c r="H37" s="41">
        <f t="shared" si="5"/>
        <v>875.04531693749982</v>
      </c>
      <c r="I37" s="41">
        <f t="shared" si="5"/>
        <v>1006.3021144781245</v>
      </c>
    </row>
    <row r="39" spans="1:9" x14ac:dyDescent="0.2">
      <c r="B39" s="41" t="s">
        <v>108</v>
      </c>
      <c r="D39" s="73">
        <f t="shared" ref="D39:I39" ca="1" si="6">+D81</f>
        <v>-400</v>
      </c>
      <c r="E39" s="73">
        <f t="shared" ca="1" si="6"/>
        <v>-399.42699520425487</v>
      </c>
      <c r="F39" s="73">
        <f t="shared" ca="1" si="6"/>
        <v>-395.61156422413654</v>
      </c>
      <c r="G39" s="73">
        <f t="shared" ca="1" si="6"/>
        <v>-375.75194937527812</v>
      </c>
      <c r="H39" s="73">
        <f t="shared" ca="1" si="6"/>
        <v>-342.22858616978539</v>
      </c>
      <c r="I39" s="73">
        <f t="shared" ca="1" si="6"/>
        <v>-293.30471956667486</v>
      </c>
    </row>
    <row r="40" spans="1:9" x14ac:dyDescent="0.2">
      <c r="B40" s="41" t="s">
        <v>107</v>
      </c>
      <c r="D40" s="41">
        <f t="shared" ref="D40:I40" ca="1" si="7">+D37+D39</f>
        <v>87.399999999999977</v>
      </c>
      <c r="E40" s="41">
        <f t="shared" ca="1" si="7"/>
        <v>175.929504795745</v>
      </c>
      <c r="F40" s="41">
        <f t="shared" ca="1" si="7"/>
        <v>266.04841077586326</v>
      </c>
      <c r="G40" s="41">
        <f t="shared" ca="1" si="7"/>
        <v>385.15702187472169</v>
      </c>
      <c r="H40" s="41">
        <f t="shared" ca="1" si="7"/>
        <v>532.81673076771449</v>
      </c>
      <c r="I40" s="41">
        <f t="shared" ca="1" si="7"/>
        <v>712.99739491144965</v>
      </c>
    </row>
    <row r="42" spans="1:9" x14ac:dyDescent="0.2">
      <c r="B42" s="41" t="s">
        <v>106</v>
      </c>
      <c r="D42" s="41">
        <f t="shared" ref="D42:I42" ca="1" si="8">D40*$D25</f>
        <v>-11.73381215469613</v>
      </c>
      <c r="E42" s="41">
        <f t="shared" ca="1" si="8"/>
        <v>-23.619265008489521</v>
      </c>
      <c r="F42" s="41">
        <f t="shared" ca="1" si="8"/>
        <v>-35.718101557201528</v>
      </c>
      <c r="G42" s="41">
        <f t="shared" ca="1" si="8"/>
        <v>-51.708926141191917</v>
      </c>
      <c r="H42" s="41">
        <f t="shared" ca="1" si="8"/>
        <v>-71.532853909698687</v>
      </c>
      <c r="I42" s="41">
        <f t="shared" ca="1" si="8"/>
        <v>-95.722854675957052</v>
      </c>
    </row>
    <row r="43" spans="1:9" x14ac:dyDescent="0.2">
      <c r="B43" s="41" t="s">
        <v>105</v>
      </c>
      <c r="D43" s="41">
        <f t="shared" ref="D43:I43" ca="1" si="9">+D42+D40</f>
        <v>75.666187845303853</v>
      </c>
      <c r="E43" s="41">
        <f t="shared" ca="1" si="9"/>
        <v>152.31023978725548</v>
      </c>
      <c r="F43" s="41">
        <f t="shared" ca="1" si="9"/>
        <v>230.33030921866174</v>
      </c>
      <c r="G43" s="41">
        <f t="shared" ca="1" si="9"/>
        <v>333.44809573352978</v>
      </c>
      <c r="H43" s="41">
        <f t="shared" ca="1" si="9"/>
        <v>461.28387685801579</v>
      </c>
      <c r="I43" s="41">
        <f t="shared" ca="1" si="9"/>
        <v>617.27454023549262</v>
      </c>
    </row>
    <row r="45" spans="1:9" x14ac:dyDescent="0.2">
      <c r="A45" s="41" t="s">
        <v>77</v>
      </c>
      <c r="B45" s="44" t="s">
        <v>104</v>
      </c>
    </row>
    <row r="46" spans="1:9" x14ac:dyDescent="0.2">
      <c r="B46" s="41" t="str">
        <f>+B33</f>
        <v>EBITDA</v>
      </c>
      <c r="D46" s="41">
        <f t="shared" ref="D46:I46" si="10">+D33</f>
        <v>560</v>
      </c>
      <c r="E46" s="41">
        <f t="shared" si="10"/>
        <v>658.84649999999988</v>
      </c>
      <c r="F46" s="41">
        <f t="shared" si="10"/>
        <v>757.67347499999983</v>
      </c>
      <c r="G46" s="41">
        <f t="shared" si="10"/>
        <v>871.32449624999981</v>
      </c>
      <c r="H46" s="41">
        <f t="shared" si="10"/>
        <v>1002.0231706874997</v>
      </c>
      <c r="I46" s="41">
        <f t="shared" si="10"/>
        <v>1152.3266462906245</v>
      </c>
    </row>
    <row r="47" spans="1:9" x14ac:dyDescent="0.2">
      <c r="B47" s="41" t="s">
        <v>103</v>
      </c>
      <c r="E47" s="41">
        <f>+$D26*(E30-D30)</f>
        <v>-19.499999999999982</v>
      </c>
      <c r="F47" s="41">
        <f>+$D26*(F30-E30)</f>
        <v>-22.42499999999999</v>
      </c>
      <c r="G47" s="41">
        <f>+$D26*(G30-F30)</f>
        <v>-25.78874999999999</v>
      </c>
      <c r="H47" s="41">
        <f>+$D26*(H30-G30)</f>
        <v>-29.657062499999981</v>
      </c>
      <c r="I47" s="41">
        <f>+$D26*(I30-H30)</f>
        <v>-34.105621874999976</v>
      </c>
    </row>
    <row r="48" spans="1:9" x14ac:dyDescent="0.2">
      <c r="B48" s="41" t="s">
        <v>102</v>
      </c>
      <c r="D48" s="73"/>
      <c r="E48" s="73">
        <f ca="1">+E78</f>
        <v>-394.42699520425487</v>
      </c>
      <c r="F48" s="73">
        <f ca="1">+F78</f>
        <v>-390.61156422413654</v>
      </c>
      <c r="G48" s="73">
        <f ca="1">+G78</f>
        <v>-370.75194937527812</v>
      </c>
      <c r="H48" s="73">
        <f ca="1">+H78</f>
        <v>-337.22858616978539</v>
      </c>
      <c r="I48" s="73">
        <f ca="1">+I78</f>
        <v>-288.30471956667486</v>
      </c>
    </row>
    <row r="49" spans="1:9" x14ac:dyDescent="0.2">
      <c r="B49" s="41" t="s">
        <v>101</v>
      </c>
      <c r="E49" s="41">
        <f ca="1">+E42</f>
        <v>-23.619265008489521</v>
      </c>
      <c r="F49" s="41">
        <f ca="1">+F42</f>
        <v>-35.718101557201528</v>
      </c>
      <c r="G49" s="41">
        <f ca="1">+G42</f>
        <v>-51.708926141191917</v>
      </c>
      <c r="H49" s="41">
        <f ca="1">+H42</f>
        <v>-71.532853909698687</v>
      </c>
      <c r="I49" s="41">
        <f ca="1">+I42</f>
        <v>-95.722854675957052</v>
      </c>
    </row>
    <row r="50" spans="1:9" x14ac:dyDescent="0.2">
      <c r="B50" s="41" t="s">
        <v>100</v>
      </c>
      <c r="E50" s="41">
        <f ca="1">SUM(E46:E49)</f>
        <v>221.30023978725549</v>
      </c>
      <c r="F50" s="41">
        <f ca="1">SUM(F46:F49)</f>
        <v>308.91880921866181</v>
      </c>
      <c r="G50" s="41">
        <f ca="1">SUM(G46:G49)</f>
        <v>423.07487073352985</v>
      </c>
      <c r="H50" s="41">
        <f ca="1">SUM(H46:H49)</f>
        <v>563.60466810801574</v>
      </c>
      <c r="I50" s="41">
        <f ca="1">SUM(I46:I49)</f>
        <v>734.19345017299258</v>
      </c>
    </row>
    <row r="53" spans="1:9" x14ac:dyDescent="0.2">
      <c r="A53" s="41" t="s">
        <v>77</v>
      </c>
      <c r="B53" s="41" t="s">
        <v>99</v>
      </c>
      <c r="E53" s="41">
        <f>+$D27*E30</f>
        <v>-127.64999999999998</v>
      </c>
      <c r="F53" s="41">
        <f>+$D27*F30</f>
        <v>-146.79749999999996</v>
      </c>
      <c r="G53" s="41">
        <f>+$D27*G30</f>
        <v>-168.81712499999995</v>
      </c>
      <c r="H53" s="41">
        <f>+$D27*H30</f>
        <v>-194.13969374999994</v>
      </c>
      <c r="I53" s="41">
        <f>+$D27*I30</f>
        <v>-223.26064781249991</v>
      </c>
    </row>
    <row r="54" spans="1:9" x14ac:dyDescent="0.2">
      <c r="B54" s="41" t="s">
        <v>98</v>
      </c>
      <c r="E54" s="41">
        <f ca="1">+E50+E53</f>
        <v>93.650239787255515</v>
      </c>
      <c r="F54" s="41">
        <f ca="1">+F50+F53</f>
        <v>162.12130921866185</v>
      </c>
      <c r="G54" s="41">
        <f ca="1">+G50+G53</f>
        <v>254.2577457335299</v>
      </c>
      <c r="H54" s="41">
        <f ca="1">+H50+H53</f>
        <v>369.46497435801581</v>
      </c>
      <c r="I54" s="41">
        <f ca="1">+I50+I53</f>
        <v>510.9328023604927</v>
      </c>
    </row>
    <row r="55" spans="1:9" x14ac:dyDescent="0.2">
      <c r="B55" s="41" t="s">
        <v>97</v>
      </c>
      <c r="E55" s="41">
        <f ca="1">+E54+D54</f>
        <v>93.650239787255515</v>
      </c>
      <c r="F55" s="41">
        <f ca="1">+F54+E54</f>
        <v>255.77154900591736</v>
      </c>
      <c r="G55" s="41">
        <f ca="1">+G54+F54</f>
        <v>416.37905495219172</v>
      </c>
      <c r="H55" s="41">
        <f ca="1">+H54+G54</f>
        <v>623.72272009154574</v>
      </c>
      <c r="I55" s="41">
        <f ca="1">+I54+H54</f>
        <v>880.39777671850857</v>
      </c>
    </row>
    <row r="57" spans="1:9" x14ac:dyDescent="0.2">
      <c r="A57" s="41" t="s">
        <v>77</v>
      </c>
      <c r="B57" s="41" t="s">
        <v>96</v>
      </c>
      <c r="C57" s="50">
        <v>-0.01</v>
      </c>
      <c r="E57" s="41">
        <f ca="1">+$C57*$C4</f>
        <v>-65</v>
      </c>
      <c r="F57" s="41">
        <f ca="1">+$C57*$C4</f>
        <v>-65</v>
      </c>
      <c r="G57" s="41">
        <f ca="1">+$C57*$C4</f>
        <v>-65</v>
      </c>
      <c r="H57" s="41">
        <f ca="1">+$C57*$C4</f>
        <v>-65</v>
      </c>
      <c r="I57" s="41">
        <f ca="1">+$C57*$C4</f>
        <v>-65</v>
      </c>
    </row>
    <row r="59" spans="1:9" x14ac:dyDescent="0.2">
      <c r="B59" s="41" t="s">
        <v>95</v>
      </c>
      <c r="E59" s="41">
        <f ca="1">+SUM(E55:E58)</f>
        <v>28.650239787255515</v>
      </c>
      <c r="F59" s="41">
        <f ca="1">+SUM(F55:F58)</f>
        <v>190.77154900591736</v>
      </c>
      <c r="G59" s="41">
        <f ca="1">+SUM(G55:G58)</f>
        <v>351.37905495219172</v>
      </c>
      <c r="H59" s="41">
        <f ca="1">+SUM(H55:H58)</f>
        <v>558.72272009154574</v>
      </c>
      <c r="I59" s="41">
        <f ca="1">+SUM(I55:I58)</f>
        <v>815.39777671850857</v>
      </c>
    </row>
    <row r="60" spans="1:9" x14ac:dyDescent="0.2">
      <c r="B60" s="41" t="s">
        <v>94</v>
      </c>
      <c r="D60" s="73"/>
      <c r="E60" s="73">
        <f ca="1">-MIN(E59,D67)</f>
        <v>-28.650239787255515</v>
      </c>
      <c r="F60" s="73">
        <f ca="1">-MIN(F59,E67)</f>
        <v>-190.77154900591736</v>
      </c>
      <c r="G60" s="73">
        <f ca="1">-MIN(G59,F67)</f>
        <v>-30.57821120682712</v>
      </c>
      <c r="H60" s="73">
        <f ca="1">-MIN(H59,G67)</f>
        <v>0</v>
      </c>
      <c r="I60" s="73">
        <f ca="1">-MIN(I59,H67)</f>
        <v>0</v>
      </c>
    </row>
    <row r="61" spans="1:9" x14ac:dyDescent="0.2">
      <c r="B61" s="41" t="s">
        <v>93</v>
      </c>
      <c r="D61" s="73"/>
      <c r="E61" s="73">
        <f ca="1">-MIN(E59+E60,D68)</f>
        <v>0</v>
      </c>
      <c r="F61" s="73">
        <f ca="1">-MIN(F59+F60,E68)</f>
        <v>0</v>
      </c>
      <c r="G61" s="73">
        <f ca="1">-MIN(G59+G60,F68)</f>
        <v>-320.8008437453646</v>
      </c>
      <c r="H61" s="73">
        <f ca="1">-MIN(H59+H60,G68)</f>
        <v>-558.72272009154574</v>
      </c>
      <c r="I61" s="73">
        <f ca="1">-MIN(I59+I60,H68)</f>
        <v>-815.39777671850857</v>
      </c>
    </row>
    <row r="62" spans="1:9" x14ac:dyDescent="0.2">
      <c r="A62" s="41" t="s">
        <v>77</v>
      </c>
      <c r="B62" s="41" t="s">
        <v>92</v>
      </c>
      <c r="E62" s="41">
        <f ca="1">+SUM(E59:E61)</f>
        <v>0</v>
      </c>
      <c r="F62" s="41">
        <f ca="1">+SUM(F59:F61)</f>
        <v>0</v>
      </c>
      <c r="G62" s="41">
        <f ca="1">+SUM(G59:G61)</f>
        <v>0</v>
      </c>
      <c r="H62" s="41">
        <f ca="1">+SUM(H59:H61)</f>
        <v>0</v>
      </c>
      <c r="I62" s="41">
        <f ca="1">+SUM(I59:I61)</f>
        <v>0</v>
      </c>
    </row>
    <row r="63" spans="1:9" x14ac:dyDescent="0.2">
      <c r="B63" s="44" t="s">
        <v>91</v>
      </c>
    </row>
    <row r="65" spans="1:9" x14ac:dyDescent="0.2">
      <c r="A65" s="41" t="s">
        <v>77</v>
      </c>
      <c r="B65" s="41" t="s">
        <v>90</v>
      </c>
      <c r="D65" s="41">
        <v>85.1</v>
      </c>
      <c r="E65" s="41">
        <f ca="1">+D65+E62</f>
        <v>85.1</v>
      </c>
      <c r="F65" s="41">
        <f ca="1">+E65+F62</f>
        <v>85.1</v>
      </c>
      <c r="G65" s="41">
        <f ca="1">+F65+G62</f>
        <v>85.1</v>
      </c>
      <c r="H65" s="41">
        <f ca="1">+G65+H62</f>
        <v>85.1</v>
      </c>
      <c r="I65" s="41">
        <f ca="1">+H65+I62</f>
        <v>85.1</v>
      </c>
    </row>
    <row r="66" spans="1:9" x14ac:dyDescent="0.2">
      <c r="D66" s="45" t="s">
        <v>89</v>
      </c>
    </row>
    <row r="67" spans="1:9" x14ac:dyDescent="0.2">
      <c r="B67" s="41" t="str">
        <f>+B3</f>
        <v>Rev</v>
      </c>
      <c r="D67" s="41">
        <f ca="1">+C3</f>
        <v>250</v>
      </c>
      <c r="E67" s="41">
        <f t="shared" ref="E67:I68" ca="1" si="11">+D67+E60</f>
        <v>221.34976021274448</v>
      </c>
      <c r="F67" s="41">
        <f t="shared" ca="1" si="11"/>
        <v>30.57821120682712</v>
      </c>
      <c r="G67" s="41">
        <f t="shared" ca="1" si="11"/>
        <v>0</v>
      </c>
      <c r="H67" s="41">
        <f t="shared" ca="1" si="11"/>
        <v>0</v>
      </c>
      <c r="I67" s="41">
        <f t="shared" ca="1" si="11"/>
        <v>0</v>
      </c>
    </row>
    <row r="68" spans="1:9" x14ac:dyDescent="0.2">
      <c r="B68" s="41" t="str">
        <f>+B4</f>
        <v>TLB</v>
      </c>
      <c r="D68" s="41">
        <f ca="1">+C4</f>
        <v>6500</v>
      </c>
      <c r="E68" s="41">
        <f t="shared" ca="1" si="11"/>
        <v>6500</v>
      </c>
      <c r="F68" s="41">
        <f t="shared" ca="1" si="11"/>
        <v>6500</v>
      </c>
      <c r="G68" s="41">
        <f t="shared" ca="1" si="11"/>
        <v>6179.1991562546355</v>
      </c>
      <c r="H68" s="41">
        <f t="shared" ca="1" si="11"/>
        <v>5620.4764361630896</v>
      </c>
      <c r="I68" s="41">
        <f t="shared" ca="1" si="11"/>
        <v>4805.0786594445808</v>
      </c>
    </row>
    <row r="69" spans="1:9" x14ac:dyDescent="0.2">
      <c r="B69" s="41" t="str">
        <f>+B5</f>
        <v>HY</v>
      </c>
      <c r="D69" s="41">
        <f ca="1">+C5</f>
        <v>0</v>
      </c>
      <c r="E69" s="41">
        <f ca="1">+D69</f>
        <v>0</v>
      </c>
      <c r="F69" s="41">
        <f ca="1">+E69</f>
        <v>0</v>
      </c>
      <c r="G69" s="41">
        <f ca="1">+F69</f>
        <v>0</v>
      </c>
      <c r="H69" s="41">
        <f ca="1">+G69</f>
        <v>0</v>
      </c>
      <c r="I69" s="41">
        <f ca="1">+H69</f>
        <v>0</v>
      </c>
    </row>
    <row r="70" spans="1:9" x14ac:dyDescent="0.2">
      <c r="B70" s="41" t="s">
        <v>88</v>
      </c>
      <c r="D70" s="41">
        <f t="shared" ref="D70:I70" ca="1" si="12">SUM(D67:D69)</f>
        <v>6750</v>
      </c>
      <c r="E70" s="41">
        <f t="shared" ca="1" si="12"/>
        <v>6721.3497602127445</v>
      </c>
      <c r="F70" s="41">
        <f t="shared" ca="1" si="12"/>
        <v>6530.5782112068273</v>
      </c>
      <c r="G70" s="41">
        <f t="shared" ca="1" si="12"/>
        <v>6179.1991562546355</v>
      </c>
      <c r="H70" s="41">
        <f t="shared" ca="1" si="12"/>
        <v>5620.4764361630896</v>
      </c>
      <c r="I70" s="41">
        <f t="shared" ca="1" si="12"/>
        <v>4805.0786594445808</v>
      </c>
    </row>
    <row r="72" spans="1:9" x14ac:dyDescent="0.2">
      <c r="B72" s="41" t="s">
        <v>87</v>
      </c>
      <c r="D72" s="41">
        <f t="shared" ref="D72:I72" ca="1" si="13">+D70-D65</f>
        <v>6664.9</v>
      </c>
      <c r="E72" s="41">
        <f t="shared" ca="1" si="13"/>
        <v>6636.2497602127441</v>
      </c>
      <c r="F72" s="41">
        <f t="shared" ca="1" si="13"/>
        <v>6445.4782112068269</v>
      </c>
      <c r="G72" s="41">
        <f t="shared" ca="1" si="13"/>
        <v>6094.0991562546351</v>
      </c>
      <c r="H72" s="41">
        <f t="shared" ca="1" si="13"/>
        <v>5535.3764361630892</v>
      </c>
      <c r="I72" s="41">
        <f t="shared" ca="1" si="13"/>
        <v>4719.9786594445804</v>
      </c>
    </row>
    <row r="74" spans="1:9" x14ac:dyDescent="0.2">
      <c r="A74" s="41" t="s">
        <v>77</v>
      </c>
      <c r="B74" s="41" t="s">
        <v>86</v>
      </c>
    </row>
    <row r="75" spans="1:9" x14ac:dyDescent="0.2">
      <c r="B75" s="41" t="str">
        <f>+B67</f>
        <v>Rev</v>
      </c>
      <c r="D75" s="41">
        <f t="shared" ref="D75:I77" ca="1" si="14">-D67*$D3</f>
        <v>-5</v>
      </c>
      <c r="E75" s="41">
        <f t="shared" ca="1" si="14"/>
        <v>-4.4269952042548901</v>
      </c>
      <c r="F75" s="41">
        <f t="shared" ca="1" si="14"/>
        <v>-0.61156422413654243</v>
      </c>
      <c r="G75" s="41">
        <f t="shared" ca="1" si="14"/>
        <v>0</v>
      </c>
      <c r="H75" s="41">
        <f t="shared" ca="1" si="14"/>
        <v>0</v>
      </c>
      <c r="I75" s="41">
        <f t="shared" ca="1" si="14"/>
        <v>0</v>
      </c>
    </row>
    <row r="76" spans="1:9" x14ac:dyDescent="0.2">
      <c r="B76" s="41" t="str">
        <f>+B68</f>
        <v>TLB</v>
      </c>
      <c r="D76" s="41">
        <f t="shared" ca="1" si="14"/>
        <v>-390</v>
      </c>
      <c r="E76" s="41">
        <f t="shared" ca="1" si="14"/>
        <v>-390</v>
      </c>
      <c r="F76" s="41">
        <f t="shared" ca="1" si="14"/>
        <v>-390</v>
      </c>
      <c r="G76" s="41">
        <f t="shared" ca="1" si="14"/>
        <v>-370.75194937527812</v>
      </c>
      <c r="H76" s="41">
        <f t="shared" ca="1" si="14"/>
        <v>-337.22858616978539</v>
      </c>
      <c r="I76" s="41">
        <f t="shared" ca="1" si="14"/>
        <v>-288.30471956667486</v>
      </c>
    </row>
    <row r="77" spans="1:9" x14ac:dyDescent="0.2">
      <c r="B77" s="41" t="str">
        <f>+B69</f>
        <v>HY</v>
      </c>
      <c r="D77" s="41">
        <f t="shared" ca="1" si="14"/>
        <v>0</v>
      </c>
      <c r="E77" s="41">
        <f t="shared" ca="1" si="14"/>
        <v>0</v>
      </c>
      <c r="F77" s="41">
        <f t="shared" ca="1" si="14"/>
        <v>0</v>
      </c>
      <c r="G77" s="41">
        <f t="shared" ca="1" si="14"/>
        <v>0</v>
      </c>
      <c r="H77" s="41">
        <f t="shared" ca="1" si="14"/>
        <v>0</v>
      </c>
      <c r="I77" s="41">
        <f t="shared" ca="1" si="14"/>
        <v>0</v>
      </c>
    </row>
    <row r="78" spans="1:9" x14ac:dyDescent="0.2">
      <c r="B78" s="41" t="s">
        <v>85</v>
      </c>
      <c r="D78" s="41">
        <f t="shared" ref="D78:I78" ca="1" si="15">SUM(D75:D77)</f>
        <v>-395</v>
      </c>
      <c r="E78" s="41">
        <f t="shared" ca="1" si="15"/>
        <v>-394.42699520425487</v>
      </c>
      <c r="F78" s="41">
        <f t="shared" ca="1" si="15"/>
        <v>-390.61156422413654</v>
      </c>
      <c r="G78" s="41">
        <f t="shared" ca="1" si="15"/>
        <v>-370.75194937527812</v>
      </c>
      <c r="H78" s="41">
        <f t="shared" ca="1" si="15"/>
        <v>-337.22858616978539</v>
      </c>
      <c r="I78" s="41">
        <f t="shared" ca="1" si="15"/>
        <v>-288.30471956667486</v>
      </c>
    </row>
    <row r="79" spans="1:9" x14ac:dyDescent="0.2">
      <c r="B79" s="41" t="str">
        <f>+F17</f>
        <v>Amort of Fees</v>
      </c>
      <c r="D79" s="41">
        <f t="shared" ref="D79:I79" si="16">-$H17</f>
        <v>-5</v>
      </c>
      <c r="E79" s="41">
        <f t="shared" si="16"/>
        <v>-5</v>
      </c>
      <c r="F79" s="41">
        <f t="shared" si="16"/>
        <v>-5</v>
      </c>
      <c r="G79" s="41">
        <f t="shared" si="16"/>
        <v>-5</v>
      </c>
      <c r="H79" s="41">
        <f t="shared" si="16"/>
        <v>-5</v>
      </c>
      <c r="I79" s="41">
        <f t="shared" si="16"/>
        <v>-5</v>
      </c>
    </row>
    <row r="81" spans="2:9" x14ac:dyDescent="0.2">
      <c r="B81" s="41" t="s">
        <v>84</v>
      </c>
      <c r="D81" s="41">
        <f t="shared" ref="D81:I81" ca="1" si="17">+SUM(D78:D80)</f>
        <v>-400</v>
      </c>
      <c r="E81" s="41">
        <f t="shared" ca="1" si="17"/>
        <v>-399.42699520425487</v>
      </c>
      <c r="F81" s="41">
        <f t="shared" ca="1" si="17"/>
        <v>-395.61156422413654</v>
      </c>
      <c r="G81" s="41">
        <f t="shared" ca="1" si="17"/>
        <v>-375.75194937527812</v>
      </c>
      <c r="H81" s="41">
        <f t="shared" ca="1" si="17"/>
        <v>-342.22858616978539</v>
      </c>
      <c r="I81" s="41">
        <f t="shared" ca="1" si="17"/>
        <v>-293.30471956667486</v>
      </c>
    </row>
    <row r="83" spans="2:9" s="44" customFormat="1" x14ac:dyDescent="0.2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capacity_plan</vt:lpstr>
      <vt:lpstr>old_model</vt:lpstr>
    </vt:vector>
  </TitlesOfParts>
  <Company>Pandora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Heyne</dc:creator>
  <cp:lastModifiedBy>Microsoft Office User</cp:lastModifiedBy>
  <dcterms:created xsi:type="dcterms:W3CDTF">2017-11-06T17:28:29Z</dcterms:created>
  <dcterms:modified xsi:type="dcterms:W3CDTF">2017-11-14T21:54:04Z</dcterms:modified>
</cp:coreProperties>
</file>