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Oniland Rerun (JP)" sheetId="1" r:id="rId3"/>
    <sheet state="visible" name="Best 5 APDrop (JP)" sheetId="2" r:id="rId4"/>
    <sheet state="visible" name="Best 5 Droprate (JP)" sheetId="3" r:id="rId5"/>
    <sheet state="hidden" name="Setup" sheetId="4" r:id="rId6"/>
    <sheet state="visible" name="HW3 Mats (NA)" sheetId="5" r:id="rId7"/>
    <sheet state="visible" name="HW3 Currency (NA)" sheetId="6" r:id="rId8"/>
    <sheet state="visible" name="Best 5 APDrop (NA)" sheetId="7" r:id="rId9"/>
    <sheet state="visible" name="Best 5 Droprate (NA)" sheetId="8" r:id="rId10"/>
    <sheet state="visible" name="Treasure Vault" sheetId="9" r:id="rId11"/>
    <sheet state="visible" name="Info &amp; Credits" sheetId="10" r:id="rId12"/>
  </sheets>
  <definedNames/>
  <calcPr/>
</workbook>
</file>

<file path=xl/sharedStrings.xml><?xml version="1.0" encoding="utf-8"?>
<sst xmlns="http://schemas.openxmlformats.org/spreadsheetml/2006/main" count="251" uniqueCount="149">
  <si>
    <t>Oniland Rerun</t>
  </si>
  <si>
    <t>ID</t>
  </si>
  <si>
    <t>AP</t>
  </si>
  <si>
    <t>Gold Mats</t>
  </si>
  <si>
    <t>Not Used</t>
  </si>
  <si>
    <t>Silver Mats</t>
  </si>
  <si>
    <t>Gold Gems</t>
  </si>
  <si>
    <t>Bronze Mats</t>
  </si>
  <si>
    <t>CE</t>
  </si>
  <si>
    <t>CE EXP</t>
  </si>
  <si>
    <t>Event Currency (N/A)</t>
  </si>
  <si>
    <t>Runs</t>
  </si>
  <si>
    <t>Drops per Run</t>
  </si>
  <si>
    <t>Number of Boxes</t>
  </si>
  <si>
    <t>Currency/10AP</t>
  </si>
  <si>
    <t>Mat</t>
  </si>
  <si>
    <t>AP/Drop</t>
  </si>
  <si>
    <t>Droprate</t>
  </si>
  <si>
    <t>Gold</t>
  </si>
  <si>
    <t>Silver</t>
  </si>
  <si>
    <t>Bronze</t>
  </si>
  <si>
    <t>White Wood</t>
  </si>
  <si>
    <t>Note: Data directly imported from JP dropsheet. Due to the changing nature of such sheet, the nodes and mats have been left untranslated. We can't fix any potential data innaccuracy.</t>
  </si>
  <si>
    <t>NA EVENT</t>
  </si>
  <si>
    <t>Event Analysis Page:</t>
  </si>
  <si>
    <t>https://docs.google.com/spreadsheets/d/1H4pRvdAVVbjb6QQH45_XmmpSbOO7przzLcjyshTPUyQ/edit?usp=drivesdk</t>
  </si>
  <si>
    <t>Sheet 1:</t>
  </si>
  <si>
    <t>Event Currency</t>
  </si>
  <si>
    <t>Sheet 1 Range:</t>
  </si>
  <si>
    <t>A1:AC131</t>
  </si>
  <si>
    <t>Sheet 2:</t>
  </si>
  <si>
    <t>Event Mats</t>
  </si>
  <si>
    <t>Sheet 2 Range:</t>
  </si>
  <si>
    <t>A1:AJ206</t>
  </si>
  <si>
    <t>NA MASTER</t>
  </si>
  <si>
    <t>Main Sheet Page:</t>
  </si>
  <si>
    <t>https://docs.google.com/spreadsheets/d/1sxse_7jcGfju0MOIO59TV8_10-qAp5UUXqPzXX_TxcE/</t>
  </si>
  <si>
    <t>NA Best 5 AP/Drop</t>
  </si>
  <si>
    <t>A1:AF234</t>
  </si>
  <si>
    <t>NA Best 5 Droprate</t>
  </si>
  <si>
    <t>Sheet 3:</t>
  </si>
  <si>
    <t>Treasure Vault</t>
  </si>
  <si>
    <t>A1:AC51</t>
  </si>
  <si>
    <t>JP MASTER</t>
  </si>
  <si>
    <t>https://docs.google.com/spreadsheets/d/1T4vfu9kZ7L6tS3xnOPICSna9kYTYSRWQ66rQI_1jWV4/</t>
  </si>
  <si>
    <t>JP Best 5 AP/Drop</t>
  </si>
  <si>
    <t>JP Best 5 Droprate</t>
  </si>
  <si>
    <t>Sheet 3 Range:</t>
  </si>
  <si>
    <t>JP ORIGINAL</t>
  </si>
  <si>
    <t>https://docs.google.com/spreadsheets/d/1TrfSDteVZnjUPz68rKzuZWZdZZBLqw03FlvEToOvqH0/</t>
  </si>
  <si>
    <t>復刻ハロウィン2018</t>
  </si>
  <si>
    <t>A3:BT100</t>
  </si>
  <si>
    <t>BV3:CL100</t>
  </si>
  <si>
    <t>Terms and Conditions</t>
  </si>
  <si>
    <t>All data collected is made available under the Open Data Commons Attribution License (ODC-BY)(https://opendatacommons.org/licenses/by/summary/index.html).</t>
  </si>
  <si>
    <t>License states that our data is available to share and modify as long as we are credited.</t>
  </si>
  <si>
    <t>Credit</t>
  </si>
  <si>
    <t>All credit goes to the JPN Community for all the work, I don't speak enough Japanese to credit anyone specifically.</t>
  </si>
  <si>
    <t>JP Data is all sourced (and imported live) from here, if you can read Japanese I think you can contribute data here as well:</t>
  </si>
  <si>
    <t>https://docs.google.com/spreadsheets/d/1TrfSDteVZnjUPz68rKzuZWZdZZBLqw03FlvEToOvqH0/edit</t>
  </si>
  <si>
    <t>NA specific data is crowd-sourced.  We always appreciate for more data, and thank you in advance for aiding the statistics.</t>
  </si>
  <si>
    <t>https://docs.google.com/spreadsheets/d/10I6LSXkvpI39-ylGZ7Kf5bmcX74vlMmrO-grLunCnaA/edit?usp=sharing</t>
  </si>
  <si>
    <t>Translated JP Maps &amp; References</t>
  </si>
  <si>
    <t>Chaldea</t>
  </si>
  <si>
    <t>https://i.imgur.com/uN0pbFC.png</t>
  </si>
  <si>
    <t>Shinjuku</t>
  </si>
  <si>
    <t>https://i.imgur.com/s5pZHEi.png</t>
  </si>
  <si>
    <t>Fuyuki</t>
  </si>
  <si>
    <t>https://i.imgur.com/TsZ8xYs.png</t>
  </si>
  <si>
    <t>Agartha</t>
  </si>
  <si>
    <t>https://i.imgur.com/kz9giSi.png</t>
  </si>
  <si>
    <t>Orleans</t>
  </si>
  <si>
    <t>https://i.imgur.com/HQ8x25h.png</t>
  </si>
  <si>
    <t>Shimosa</t>
  </si>
  <si>
    <t>https://i.imgur.com/UviqepS.png</t>
  </si>
  <si>
    <t>Septem</t>
  </si>
  <si>
    <t>https://i.imgur.com/kkmWHPP.png</t>
  </si>
  <si>
    <t>Salem</t>
  </si>
  <si>
    <t>https://i.imgur.com/I3nEaAt.png</t>
  </si>
  <si>
    <t>Okeanos</t>
  </si>
  <si>
    <t>https://i.imgur.com/sttaCag.png</t>
  </si>
  <si>
    <t>Anastasia</t>
  </si>
  <si>
    <t>https://i.imgur.com/8JucvML.png</t>
  </si>
  <si>
    <t>London</t>
  </si>
  <si>
    <t>https://i.imgur.com/f8dRAp5.png</t>
  </si>
  <si>
    <t>Götterdämmerung</t>
  </si>
  <si>
    <t>https://i.imgur.com/jL9Yfa2.png</t>
  </si>
  <si>
    <t>America</t>
  </si>
  <si>
    <t>https://i.imgur.com/fIBQkVJ.jpg</t>
  </si>
  <si>
    <t>Camelot</t>
  </si>
  <si>
    <t>http://i.imgur.com/6TNL2z5.png</t>
  </si>
  <si>
    <t>Babylonia</t>
  </si>
  <si>
    <t>https://i.imgur.com/xvKQBst.png</t>
  </si>
  <si>
    <t>Contact</t>
  </si>
  <si>
    <t>All the feedback can be directed into our dedicated discord channel. We are still reachable by reddit PMs.</t>
  </si>
  <si>
    <t>※ Reddit:</t>
  </si>
  <si>
    <t>/u/rathus</t>
  </si>
  <si>
    <t>reddit message:</t>
  </si>
  <si>
    <t>https://www.reddit.com/message/compose/?to=rathus</t>
  </si>
  <si>
    <t>/u/ dumbutilizador</t>
  </si>
  <si>
    <t>https://www.reddit.com/message/compose/?to=dumbutilziador</t>
  </si>
  <si>
    <t>※ Twitter:</t>
  </si>
  <si>
    <t>https://twitter.com/AAcademy_fgo</t>
  </si>
  <si>
    <t>※ Discord channel</t>
  </si>
  <si>
    <t>Atlas Academy:</t>
  </si>
  <si>
    <t>https://discord.gg/sSapWHU</t>
  </si>
  <si>
    <t>※ Discord handles:</t>
  </si>
  <si>
    <t>Rythea</t>
  </si>
  <si>
    <t>Officerアルトリア</t>
  </si>
  <si>
    <t>ty2012</t>
  </si>
  <si>
    <t>solution</t>
  </si>
  <si>
    <t>Updates</t>
  </si>
  <si>
    <t>2016-06-11: First version, probably lots of broken things, but it's useful!</t>
  </si>
  <si>
    <t>2016-07-10: Quick fix, layout of JP version changed which broke mine</t>
  </si>
  <si>
    <t>2016-07-12: Fixed some problems, untranslated locations will now appear untranslated instead of being completely wrong</t>
  </si>
  <si>
    <t>2016-07-29: Updated for Camelot, also includes ALL location names and map references</t>
  </si>
  <si>
    <t>2016-07-30: Fixed!  They added a message about the half AP event, it'll probably break again when they remove it</t>
  </si>
  <si>
    <t>2016-08-02: Fixed misaligned names with icons</t>
  </si>
  <si>
    <t>2016-08-07: 50% AP Event Over, fixed alignment again</t>
  </si>
  <si>
    <t>2016-08-08: Created a new higher quality Camelot map with drops listed thanks to FGO wiki data</t>
  </si>
  <si>
    <t>2016-08-29: Fixed and added Seashells, even though they don't have data for them</t>
  </si>
  <si>
    <t>2016-08-31: Added Translations for new free quest locations for Seashells</t>
  </si>
  <si>
    <t>2016-09-21: Fixed Alignment for 1/2 AP dailies event.  Will re-fix in 1 week when it breaks again.</t>
  </si>
  <si>
    <t>2016-09-22: Major Update, matched new JP style &amp; added automatic highlighting of 1/2 AP by rate ranges</t>
  </si>
  <si>
    <t>2016-10-07: Fixed blank form, they renamed the tab I used.  Might change the best 3 to their new best 5 instead.</t>
  </si>
  <si>
    <t>2016-11-06: Updated to the new "Best 5" sheet, as they deleted the "Best 3" one.  Also, needed Jeanne Art!</t>
  </si>
  <si>
    <t>2016-12-11: Updated with new Babylonia materials and layout.</t>
  </si>
  <si>
    <t>2017-02-28: Added Translations for Shinjuku locations</t>
  </si>
  <si>
    <t>2017-03-01: Added new Shinjuku item to fix misalignment</t>
  </si>
  <si>
    <t>2017-03-12: Fixed some errors, apologies to those who were farming the wrong spots!</t>
  </si>
  <si>
    <t>2017-07-05: Basically rewrote everything.  Probably broke everything too.  But hey, NA support!</t>
  </si>
  <si>
    <t>2017-07-08: Fixed some calcluation issues, removed the rest of the fake NA data.</t>
  </si>
  <si>
    <t>2017-09-29: Big Data Update for NA, Added NA community collected Free Quest Data JP charts</t>
  </si>
  <si>
    <t>2017-10-29: Added Training Grounds Data for NA</t>
  </si>
  <si>
    <t>2017-11-08: Added Shimousa JP drop table</t>
  </si>
  <si>
    <t>Added Shimousa JP drop table</t>
  </si>
  <si>
    <t>2017-12-13: Added Salem to JP drop table; added London to NA drop table</t>
  </si>
  <si>
    <t>2018-02-03: Fixed issues in NA and JP data due to minor JP source changes.</t>
  </si>
  <si>
    <t>2018-03-15: Added America to NA drops</t>
  </si>
  <si>
    <t>2018-04-14: Rewrote entire sheet so that JP and NA share the same formats.  All names will now be using NA official terms</t>
  </si>
  <si>
    <t>for consistency, two sheets with two different translations makes it too hard to update. Added Anastasia JP.</t>
  </si>
  <si>
    <t>2018-06-28: Added Camelot to NA Drops</t>
  </si>
  <si>
    <t>2018-07-23: Changed Camelot item and location names to match NA Translation.     Added Götterdämmerung JP.</t>
  </si>
  <si>
    <t>2018-09-01: Added Seashell quest to NA, changed to JP dailies</t>
  </si>
  <si>
    <t>2018-10-16: Added new Translated JP Maps from Babylonia to Gottdämmerung. (OA)</t>
  </si>
  <si>
    <t>2018-11-10: Added new JP AP/Drop Sheet. (OA)</t>
  </si>
  <si>
    <t>2018-12-01: Added support for Lostbelt 3 (SIN)</t>
  </si>
  <si>
    <t>2018-12-14: Added support for JP Event Rates (OA)</t>
  </si>
  <si>
    <t>2019-2-24: Added support for Mirrors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</si>
</sst>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.0&quot;AP&quot;"/>
    <numFmt numFmtId="165" formatCode="0.0"/>
    <numFmt numFmtId="166" formatCode="#,##0.0"/>
    <numFmt numFmtId="167" formatCode="0AP"/>
    <numFmt numFmtId="168" formatCode="#,##0[$AP]"/>
    <numFmt numFmtId="169" formatCode="# ##0.0"/>
    <numFmt numFmtId="170" formatCode="0,0QP"/>
    <numFmt numFmtId="171" formatCode="0,0.0kQP"/>
    <numFmt numFmtId="172" formatCode="0,0kQP"/>
  </numFmts>
  <fonts count="64">
    <font>
      <sz val="10.0"/>
      <color rgb="FF000000"/>
      <name val="Arial"/>
    </font>
    <font>
      <sz val="14.0"/>
      <color rgb="FFFFFF00"/>
      <name val="Arial"/>
    </font>
    <font>
      <sz val="8.0"/>
      <color rgb="FFFFFFFF"/>
      <name val="Arial"/>
    </font>
    <font>
      <name val="Arial"/>
    </font>
    <font>
      <sz val="13.0"/>
      <color rgb="FFFFFFFF"/>
      <name val="Arial"/>
    </font>
    <font>
      <b/>
      <sz val="12.0"/>
      <name val="Arial"/>
    </font>
    <font/>
    <font>
      <b/>
      <sz val="12.0"/>
      <color rgb="FFFF0000"/>
      <name val="Arial"/>
    </font>
    <font>
      <sz val="12.0"/>
      <color rgb="FFFF0000"/>
      <name val="Arial"/>
    </font>
    <font>
      <i/>
      <color rgb="FFFF0000"/>
      <name val="Arial"/>
    </font>
    <font>
      <sz val="18.0"/>
      <name val="Arial"/>
    </font>
    <font>
      <sz val="12.0"/>
      <color rgb="FFFFFFFF"/>
      <name val="Arial"/>
    </font>
    <font>
      <sz val="9.0"/>
      <color rgb="FFFFFFFF"/>
      <name val="Arial"/>
    </font>
    <font>
      <b/>
      <u/>
      <sz val="12.0"/>
      <color rgb="FF0000FF"/>
      <name val="Arial"/>
    </font>
    <font>
      <color rgb="FF000000"/>
      <name val="Arial"/>
    </font>
    <font>
      <color rgb="FFFFFFFF"/>
      <name val="Arial"/>
    </font>
    <font>
      <sz val="9.0"/>
      <name val="Arial"/>
    </font>
    <font>
      <u/>
      <color rgb="FF0000FF"/>
      <name val="Arial"/>
    </font>
    <font>
      <sz val="8.0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b/>
      <color rgb="FFFFFFFF"/>
    </font>
    <font>
      <u/>
      <color rgb="FF0000FF"/>
    </font>
    <font>
      <u/>
      <color rgb="FF0000FF"/>
    </font>
    <font>
      <color rgb="FFFFFFFF"/>
    </font>
    <font>
      <color rgb="FF000000"/>
    </font>
    <font>
      <sz val="9.0"/>
    </font>
    <font>
      <sz val="8.0"/>
    </font>
    <font>
      <sz val="11.0"/>
      <color rgb="FFFF0000"/>
      <name val="Arial"/>
    </font>
    <font>
      <b/>
      <u/>
    </font>
    <font>
      <b/>
    </font>
    <font>
      <b/>
      <u/>
      <color rgb="FF0000FF"/>
    </font>
    <font>
      <b/>
      <color rgb="FF0000FF"/>
      <name val="Arial"/>
    </font>
    <font>
      <b/>
      <sz val="15.0"/>
      <color rgb="FF0000FF"/>
    </font>
    <font>
      <b/>
      <color rgb="FF0000FF"/>
    </font>
    <font>
      <sz val="7.0"/>
    </font>
    <font>
      <sz val="7.0"/>
      <name val="Arial"/>
    </font>
    <font>
      <b/>
      <name val="Arial"/>
    </font>
    <font>
      <sz val="11.0"/>
      <color rgb="FF000000"/>
      <name val="Inconsolata"/>
    </font>
    <font>
      <sz val="12.0"/>
      <name val="Arial"/>
    </font>
    <font>
      <b/>
      <sz val="13.0"/>
      <color rgb="FF0000FF"/>
    </font>
    <font>
      <sz val="11.0"/>
      <name val="Arial"/>
    </font>
    <font>
      <sz val="10.0"/>
      <name val="Arial"/>
    </font>
    <font>
      <u/>
      <sz val="23.0"/>
      <color rgb="FF0000FF"/>
    </font>
    <font>
      <sz val="24.0"/>
    </font>
    <font>
      <color rgb="FF000000"/>
      <name val="Roboto"/>
    </font>
    <font>
      <u/>
      <color rgb="FF0000FF"/>
    </font>
    <font>
      <strike/>
    </font>
    <font>
      <u/>
      <color rgb="FF0000FF"/>
    </font>
  </fonts>
  <fills count="38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4C1130"/>
        <bgColor rgb="FF4C1130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3F3F3"/>
        <bgColor rgb="FFF3F3F3"/>
      </patternFill>
    </fill>
    <fill>
      <patternFill patternType="solid">
        <fgColor rgb="FFC8E1BD"/>
        <bgColor rgb="FFC8E1BD"/>
      </patternFill>
    </fill>
    <fill>
      <patternFill patternType="solid">
        <fgColor rgb="FFC7C0D6"/>
        <bgColor rgb="FFC7C0D6"/>
      </patternFill>
    </fill>
    <fill>
      <patternFill patternType="solid">
        <fgColor rgb="FFD9D2E9"/>
        <bgColor rgb="FFD9D2E9"/>
      </patternFill>
    </fill>
    <fill>
      <patternFill patternType="solid">
        <fgColor rgb="FFDAEBD3"/>
        <bgColor rgb="FFDAEBD3"/>
      </patternFill>
    </fill>
    <fill>
      <patternFill patternType="solid">
        <fgColor rgb="FFE4F4EC"/>
        <bgColor rgb="FFE4F4EC"/>
      </patternFill>
    </fill>
    <fill>
      <patternFill patternType="solid">
        <fgColor rgb="FFE4DCF5"/>
        <bgColor rgb="FFE4DCF5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FFEBB2"/>
        <bgColor rgb="FFFFEBB2"/>
      </patternFill>
    </fill>
    <fill>
      <patternFill patternType="solid">
        <fgColor rgb="FFC3D5E6"/>
        <bgColor rgb="FFC3D5E6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8E5"/>
        <bgColor rgb="FFFFF8E5"/>
      </patternFill>
    </fill>
    <fill>
      <patternFill patternType="solid">
        <fgColor rgb="FFD9EDFF"/>
        <bgColor rgb="FFD9EDFF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38761D"/>
        <bgColor rgb="FF38761D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9CB9C"/>
        <bgColor rgb="FFF9CB9C"/>
      </patternFill>
    </fill>
    <fill>
      <patternFill patternType="solid">
        <fgColor rgb="FFFDEEDE"/>
        <bgColor rgb="FFFDEEDE"/>
      </patternFill>
    </fill>
    <fill>
      <patternFill patternType="solid">
        <fgColor rgb="FFFFFDFB"/>
        <bgColor rgb="FFFFFDFB"/>
      </patternFill>
    </fill>
    <fill>
      <patternFill patternType="solid">
        <fgColor rgb="FFEFEFEF"/>
        <bgColor rgb="FFEFEFEF"/>
      </patternFill>
    </fill>
  </fills>
  <borders count="91">
    <border/>
    <border>
      <left style="thin">
        <color rgb="FFFFFFFF"/>
      </left>
      <right style="thin">
        <color rgb="FFFFFFFF"/>
      </right>
      <top style="thin">
        <color rgb="FFFFFFFF"/>
      </top>
    </border>
    <border>
      <right style="thin">
        <color rgb="FFFFFFFF"/>
      </right>
      <top style="thin">
        <color rgb="FFFFFFFF"/>
      </top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73763"/>
      </left>
      <top style="thin">
        <color rgb="FF073763"/>
      </top>
    </border>
    <border>
      <right style="thin">
        <color rgb="FFFFFFFF"/>
      </right>
      <bottom style="thin">
        <color rgb="FF000000"/>
      </bottom>
    </border>
    <border>
      <top style="thin">
        <color rgb="FF073763"/>
      </top>
    </border>
    <border>
      <right style="thin">
        <color rgb="FF073763"/>
      </right>
      <top style="thin">
        <color rgb="FF073763"/>
      </top>
    </border>
    <border>
      <right style="thin">
        <color rgb="FFFFFFFF"/>
      </right>
      <top style="thin">
        <color rgb="FFFFFFFF"/>
      </top>
      <bottom style="thin">
        <color rgb="FF000000"/>
      </bottom>
    </border>
    <border>
      <right style="thin">
        <color rgb="FF073763"/>
      </right>
      <top style="thin">
        <color rgb="FF073763"/>
      </top>
      <bottom style="thin">
        <color rgb="FFFFFFFF"/>
      </bottom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73763"/>
      </left>
      <bottom style="thin">
        <color rgb="FF073763"/>
      </bottom>
    </border>
    <border>
      <bottom style="thin">
        <color rgb="FF073763"/>
      </bottom>
    </border>
    <border>
      <right style="thin">
        <color rgb="FF073763"/>
      </right>
      <bottom style="thin">
        <color rgb="FF073763"/>
      </bottom>
    </border>
    <border>
      <right style="thin">
        <color rgb="FFA4C2F4"/>
      </right>
    </border>
    <border>
      <left style="thin">
        <color rgb="FFA4C2F4"/>
      </left>
      <right style="thin">
        <color rgb="FFA4C2F4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4C2F4"/>
      </left>
      <right style="thin">
        <color rgb="FFA4C2F4"/>
      </right>
      <top style="thin">
        <color rgb="FFA4C2F4"/>
      </top>
    </border>
    <border>
      <bottom style="thin">
        <color rgb="FF000000"/>
      </bottom>
    </border>
    <border>
      <right style="thin">
        <color rgb="FFA4C2F4"/>
      </right>
      <bottom style="thin">
        <color rgb="FFA4C2F4"/>
      </bottom>
    </border>
    <border>
      <left style="thin">
        <color rgb="FFA4C2F4"/>
      </left>
      <right style="thin">
        <color rgb="FFA4C2F4"/>
      </right>
      <bottom style="thin">
        <color rgb="FFA4C2F4"/>
      </bottom>
    </border>
    <border>
      <bottom style="thin">
        <color rgb="FFA4C2F4"/>
      </bottom>
    </border>
    <border>
      <left style="thin">
        <color rgb="FFC9DAF8"/>
      </left>
      <top style="thin">
        <color rgb="FFC9DAF8"/>
      </top>
    </border>
    <border>
      <left style="thin">
        <color rgb="FFC9DAF8"/>
      </left>
      <right style="thin">
        <color rgb="FFD0E0E3"/>
      </right>
    </border>
    <border>
      <left style="thin">
        <color rgb="FFC9DAF8"/>
      </left>
    </border>
    <border>
      <left style="thin">
        <color rgb="FFD0E0E3"/>
      </left>
      <right style="thin">
        <color rgb="FFD0E0E3"/>
      </right>
    </border>
    <border>
      <left style="thin">
        <color rgb="FFC9DAF8"/>
      </left>
      <bottom style="thin">
        <color rgb="FFD0E0E3"/>
      </bottom>
    </border>
    <border>
      <left style="thin">
        <color rgb="FFC9DAF8"/>
      </left>
      <right style="thin">
        <color rgb="FFD0E0E3"/>
      </right>
      <bottom style="thin">
        <color rgb="FFD0E0E3"/>
      </bottom>
    </border>
    <border>
      <left style="thin">
        <color rgb="FFD0E0E3"/>
      </left>
      <right style="thin">
        <color rgb="FFD0E0E3"/>
      </right>
      <bottom style="thin">
        <color rgb="FFD0E0E3"/>
      </bottom>
    </border>
    <border>
      <left style="thin">
        <color rgb="FFCFE2F3"/>
      </left>
      <right style="thin">
        <color rgb="FFA4C2F4"/>
      </right>
    </border>
    <border>
      <left style="thin">
        <color rgb="FFCFE2F3"/>
      </left>
      <right style="thin">
        <color rgb="FFA4C2F4"/>
      </right>
      <top style="thin">
        <color rgb="FFCFE2F3"/>
      </top>
    </border>
    <border>
      <left style="thin">
        <color rgb="FFCFE2F3"/>
      </left>
      <right style="thin">
        <color rgb="FFA4C2F4"/>
      </right>
      <bottom style="thin">
        <color rgb="FFA4C2F4"/>
      </bottom>
    </border>
    <border>
      <right/>
    </border>
    <border>
      <left/>
      <right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73763"/>
      </left>
      <right style="thin">
        <color rgb="FF073763"/>
      </right>
    </border>
    <border>
      <left style="thin">
        <color rgb="FF073763"/>
      </left>
    </border>
    <border>
      <left style="thin">
        <color rgb="FF000000"/>
      </left>
      <right style="thin">
        <color rgb="FFFFFFFF"/>
      </right>
      <bottom style="thin">
        <color rgb="FF000000"/>
      </bottom>
    </border>
    <border>
      <left style="thin">
        <color rgb="FFFFFFFF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3F3F3"/>
      </right>
      <top style="thin">
        <color rgb="FF000000"/>
      </top>
      <bottom style="thin">
        <color rgb="FF000000"/>
      </bottom>
    </border>
    <border>
      <left style="thin">
        <color rgb="FFF3F3F3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left style="thin">
        <color rgb="FF073763"/>
      </left>
      <right style="thin">
        <color rgb="FF073763"/>
      </right>
      <top style="thin">
        <color rgb="FF073763"/>
      </top>
    </border>
    <border>
      <right style="thin">
        <color rgb="FF073763"/>
      </right>
    </border>
    <border>
      <left style="thin">
        <color rgb="FFCFE2F3"/>
      </left>
      <top style="thin">
        <color rgb="FFCFE2F3"/>
      </top>
    </border>
    <border>
      <left style="thin">
        <color rgb="FFCFE2F3"/>
      </left>
    </border>
    <border>
      <left style="thin">
        <color rgb="FFCFE2F3"/>
      </left>
      <bottom style="thin">
        <color rgb="FFA4C2F4"/>
      </bottom>
    </border>
    <border>
      <left style="thin">
        <color rgb="FF073763"/>
      </left>
      <right style="thin">
        <color rgb="FF073763"/>
      </right>
      <bottom style="thin">
        <color rgb="FF073763"/>
      </bottom>
    </border>
    <border>
      <left style="thin">
        <color rgb="FFFFFFFF"/>
      </left>
      <right style="thin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FFFFFF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000000"/>
      </top>
      <bottom style="thin">
        <color rgb="FFFFFFFF"/>
      </bottom>
    </border>
    <border>
      <right style="thin">
        <color rgb="FF4C1130"/>
      </right>
    </border>
    <border>
      <left style="thin">
        <color rgb="FF4C1130"/>
      </left>
      <right style="thin">
        <color rgb="FF4C1130"/>
      </right>
    </border>
    <border>
      <left style="thin">
        <color rgb="FF4C1130"/>
      </left>
    </border>
    <border>
      <right style="thin">
        <color rgb="FF000000"/>
      </right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</border>
    <border>
      <bottom style="thin">
        <color rgb="FF4C1130"/>
      </bottom>
    </border>
    <border>
      <left style="thin">
        <color rgb="FF000000"/>
      </left>
      <bottom style="thin">
        <color rgb="FF4C1130"/>
      </bottom>
    </border>
    <border>
      <right style="thin">
        <color rgb="FF000000"/>
      </right>
      <bottom style="thin">
        <color rgb="FF4C1130"/>
      </bottom>
    </border>
    <border>
      <left style="thin">
        <color rgb="FFFFFFFF"/>
      </left>
    </border>
    <border>
      <top style="thin">
        <color rgb="FFFFFFFF"/>
      </top>
    </border>
    <border>
      <left style="thin">
        <color rgb="FF000000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FFFFFF"/>
      </bottom>
    </border>
    <border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FFFFFF"/>
      </top>
    </border>
    <border>
      <right style="thin">
        <color rgb="FF000000"/>
      </right>
      <top style="thin">
        <color rgb="FFFFFFFF"/>
      </top>
    </border>
    <border>
      <left style="thick">
        <color rgb="FFFFFFFF"/>
      </left>
      <right style="thin">
        <color rgb="FFFFFFFF"/>
      </right>
      <top style="thick">
        <color rgb="FFFFFFFF"/>
      </top>
      <bottom style="thin">
        <color rgb="FFFFFFFF"/>
      </bottom>
    </border>
    <border>
      <left style="thick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ck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6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3" fillId="2" fontId="3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/>
    </xf>
    <xf borderId="5" fillId="0" fontId="6" numFmtId="0" xfId="0" applyBorder="1" applyFont="1"/>
    <xf borderId="0" fillId="0" fontId="7" numFmtId="0" xfId="0" applyAlignment="1" applyFont="1">
      <alignment horizontal="left" readingOrder="0"/>
    </xf>
    <xf borderId="0" fillId="3" fontId="8" numFmtId="0" xfId="0" applyAlignment="1" applyFill="1" applyFont="1">
      <alignment horizontal="right" readingOrder="0"/>
    </xf>
    <xf borderId="0" fillId="3" fontId="9" numFmtId="0" xfId="0" applyAlignment="1" applyFont="1">
      <alignment horizontal="left" readingOrder="0" vertical="center"/>
    </xf>
    <xf borderId="3" fillId="0" fontId="6" numFmtId="0" xfId="0" applyBorder="1" applyFont="1"/>
    <xf borderId="0" fillId="3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4" fontId="4" numFmtId="0" xfId="0" applyAlignment="1" applyFill="1" applyFont="1">
      <alignment horizontal="center" readingOrder="0" shrinkToFit="0" vertical="center" wrapText="0"/>
    </xf>
    <xf borderId="0" fillId="0" fontId="10" numFmtId="0" xfId="0" applyAlignment="1" applyFont="1">
      <alignment horizontal="left" readingOrder="0" vertical="center"/>
    </xf>
    <xf borderId="2" fillId="5" fontId="1" numFmtId="0" xfId="0" applyAlignment="1" applyBorder="1" applyFill="1" applyFont="1">
      <alignment horizontal="center" readingOrder="0" shrinkToFit="0" vertical="center" wrapText="1"/>
    </xf>
    <xf borderId="2" fillId="5" fontId="11" numFmtId="0" xfId="0" applyAlignment="1" applyBorder="1" applyFont="1">
      <alignment horizontal="center" shrinkToFit="0" vertical="center" wrapText="1"/>
    </xf>
    <xf borderId="6" fillId="5" fontId="4" numFmtId="0" xfId="0" applyAlignment="1" applyBorder="1" applyFont="1">
      <alignment horizontal="center" readingOrder="0" shrinkToFit="0" vertical="center" wrapText="1"/>
    </xf>
    <xf borderId="6" fillId="0" fontId="6" numFmtId="0" xfId="0" applyBorder="1" applyFont="1"/>
    <xf borderId="7" fillId="0" fontId="6" numFmtId="0" xfId="0" applyBorder="1" applyFont="1"/>
    <xf borderId="3" fillId="5" fontId="12" numFmtId="0" xfId="0" applyAlignment="1" applyBorder="1" applyFont="1">
      <alignment horizontal="center" vertical="center"/>
    </xf>
    <xf borderId="0" fillId="0" fontId="13" numFmtId="0" xfId="0" applyAlignment="1" applyFont="1">
      <alignment horizontal="left" readingOrder="0"/>
    </xf>
    <xf borderId="5" fillId="4" fontId="4" numFmtId="0" xfId="0" applyAlignment="1" applyBorder="1" applyFont="1">
      <alignment horizontal="center" readingOrder="0" shrinkToFit="0" vertical="center" wrapText="0"/>
    </xf>
    <xf borderId="3" fillId="4" fontId="4" numFmtId="0" xfId="0" applyAlignment="1" applyBorder="1" applyFont="1">
      <alignment horizontal="center" readingOrder="0" shrinkToFit="0" vertical="center" wrapText="0"/>
    </xf>
    <xf borderId="8" fillId="0" fontId="6" numFmtId="0" xfId="0" applyBorder="1" applyFont="1"/>
    <xf borderId="9" fillId="2" fontId="12" numFmtId="1" xfId="0" applyAlignment="1" applyBorder="1" applyFont="1" applyNumberFormat="1">
      <alignment horizontal="left" readingOrder="0" shrinkToFit="0" vertical="center" wrapText="1"/>
    </xf>
    <xf borderId="10" fillId="2" fontId="3" numFmtId="0" xfId="0" applyAlignment="1" applyBorder="1" applyFont="1">
      <alignment horizontal="center" vertical="center"/>
    </xf>
    <xf borderId="11" fillId="0" fontId="6" numFmtId="0" xfId="0" applyBorder="1" applyFont="1"/>
    <xf borderId="12" fillId="0" fontId="6" numFmtId="0" xfId="0" applyBorder="1" applyFont="1"/>
    <xf borderId="10" fillId="2" fontId="12" numFmtId="0" xfId="0" applyAlignment="1" applyBorder="1" applyFont="1">
      <alignment horizontal="center" readingOrder="0" shrinkToFit="0" vertical="center" wrapText="1"/>
    </xf>
    <xf borderId="12" fillId="2" fontId="12" numFmtId="0" xfId="0" applyAlignment="1" applyBorder="1" applyFont="1">
      <alignment horizontal="center" readingOrder="0" vertical="center"/>
    </xf>
    <xf borderId="12" fillId="2" fontId="12" numFmtId="0" xfId="0" applyAlignment="1" applyBorder="1" applyFont="1">
      <alignment readingOrder="0" vertical="center"/>
    </xf>
    <xf borderId="0" fillId="4" fontId="2" numFmtId="0" xfId="0" applyAlignment="1" applyFont="1">
      <alignment horizontal="center" readingOrder="0" shrinkToFit="0" vertical="center" wrapText="1"/>
    </xf>
    <xf borderId="13" fillId="5" fontId="2" numFmtId="0" xfId="0" applyAlignment="1" applyBorder="1" applyFont="1">
      <alignment horizontal="center" readingOrder="0" shrinkToFit="0" vertical="center" wrapText="1"/>
    </xf>
    <xf borderId="14" fillId="2" fontId="12" numFmtId="0" xfId="0" applyAlignment="1" applyBorder="1" applyFont="1">
      <alignment horizontal="center" readingOrder="0" vertical="center"/>
    </xf>
    <xf borderId="7" fillId="5" fontId="2" numFmtId="0" xfId="0" applyAlignment="1" applyBorder="1" applyFont="1">
      <alignment horizontal="center" shrinkToFit="0" vertical="center" wrapText="1"/>
    </xf>
    <xf borderId="11" fillId="2" fontId="12" numFmtId="0" xfId="0" applyAlignment="1" applyBorder="1" applyFont="1">
      <alignment horizontal="center" readingOrder="0" vertical="center"/>
    </xf>
    <xf borderId="15" fillId="5" fontId="2" numFmtId="0" xfId="0" applyAlignment="1" applyBorder="1" applyFont="1">
      <alignment horizontal="center" shrinkToFit="0" vertical="center" wrapText="1"/>
    </xf>
    <xf borderId="12" fillId="2" fontId="12" numFmtId="0" xfId="0" applyAlignment="1" applyBorder="1" applyFont="1">
      <alignment horizontal="center" readingOrder="0" shrinkToFit="0" vertical="center" wrapText="1"/>
    </xf>
    <xf borderId="10" fillId="4" fontId="2" numFmtId="0" xfId="0" applyAlignment="1" applyBorder="1" applyFont="1">
      <alignment horizontal="center" readingOrder="0" shrinkToFit="0" vertical="center" wrapText="1"/>
    </xf>
    <xf borderId="12" fillId="2" fontId="3" numFmtId="0" xfId="0" applyAlignment="1" applyBorder="1" applyFont="1">
      <alignment vertical="center"/>
    </xf>
    <xf borderId="16" fillId="4" fontId="2" numFmtId="0" xfId="0" applyAlignment="1" applyBorder="1" applyFont="1">
      <alignment horizontal="center" readingOrder="0" shrinkToFit="0" vertical="center" wrapText="1"/>
    </xf>
    <xf borderId="0" fillId="3" fontId="3" numFmtId="0" xfId="0" applyAlignment="1" applyFont="1">
      <alignment readingOrder="0" vertical="bottom"/>
    </xf>
    <xf borderId="17" fillId="6" fontId="14" numFmtId="0" xfId="0" applyAlignment="1" applyBorder="1" applyFill="1" applyFont="1">
      <alignment shrinkToFit="0" vertical="bottom" wrapText="1"/>
    </xf>
    <xf borderId="18" fillId="3" fontId="14" numFmtId="0" xfId="0" applyAlignment="1" applyBorder="1" applyFont="1">
      <alignment shrinkToFit="0" vertical="bottom" wrapText="0"/>
    </xf>
    <xf borderId="18" fillId="3" fontId="3" numFmtId="0" xfId="0" applyAlignment="1" applyBorder="1" applyFont="1">
      <alignment vertical="bottom"/>
    </xf>
    <xf borderId="18" fillId="2" fontId="15" numFmtId="0" xfId="0" applyAlignment="1" applyBorder="1" applyFont="1">
      <alignment horizontal="center" shrinkToFit="0" vertical="center" wrapText="1"/>
    </xf>
    <xf borderId="18" fillId="3" fontId="3" numFmtId="164" xfId="0" applyAlignment="1" applyBorder="1" applyFont="1" applyNumberFormat="1">
      <alignment horizontal="right" shrinkToFit="0" vertical="bottom" wrapText="1"/>
    </xf>
    <xf borderId="18" fillId="3" fontId="3" numFmtId="10" xfId="0" applyAlignment="1" applyBorder="1" applyFont="1" applyNumberFormat="1">
      <alignment horizontal="right" shrinkToFit="0" vertical="bottom" wrapText="1"/>
    </xf>
    <xf borderId="18" fillId="3" fontId="3" numFmtId="0" xfId="0" applyAlignment="1" applyBorder="1" applyFont="1">
      <alignment horizontal="right" shrinkToFit="0" vertical="bottom" wrapText="1"/>
    </xf>
    <xf borderId="18" fillId="3" fontId="3" numFmtId="164" xfId="0" applyAlignment="1" applyBorder="1" applyFont="1" applyNumberFormat="1">
      <alignment shrinkToFit="0" vertical="bottom" wrapText="1"/>
    </xf>
    <xf borderId="0" fillId="0" fontId="3" numFmtId="0" xfId="0" applyAlignment="1" applyFont="1">
      <alignment readingOrder="0" vertical="bottom"/>
    </xf>
    <xf borderId="18" fillId="3" fontId="3" numFmtId="10" xfId="0" applyAlignment="1" applyBorder="1" applyFont="1" applyNumberFormat="1">
      <alignment shrinkToFit="0" vertical="bottom" wrapText="1"/>
    </xf>
    <xf borderId="18" fillId="3" fontId="3" numFmtId="0" xfId="0" applyAlignment="1" applyBorder="1" applyFont="1">
      <alignment shrinkToFit="0" vertical="bottom" wrapText="1"/>
    </xf>
    <xf borderId="19" fillId="0" fontId="6" numFmtId="0" xfId="0" applyBorder="1" applyFont="1"/>
    <xf borderId="20" fillId="0" fontId="6" numFmtId="0" xfId="0" applyBorder="1" applyFont="1"/>
    <xf borderId="18" fillId="2" fontId="15" numFmtId="0" xfId="0" applyAlignment="1" applyBorder="1" applyFont="1">
      <alignment horizontal="center" shrinkToFit="0" vertical="center" wrapText="1"/>
    </xf>
    <xf borderId="21" fillId="0" fontId="6" numFmtId="0" xfId="0" applyBorder="1" applyFont="1"/>
    <xf borderId="21" fillId="2" fontId="12" numFmtId="0" xfId="0" applyAlignment="1" applyBorder="1" applyFont="1">
      <alignment horizontal="center" readingOrder="0" vertical="center"/>
    </xf>
    <xf borderId="18" fillId="3" fontId="3" numFmtId="3" xfId="0" applyAlignment="1" applyBorder="1" applyFont="1" applyNumberFormat="1">
      <alignment shrinkToFit="0" vertical="bottom" wrapText="1"/>
    </xf>
    <xf borderId="0" fillId="0" fontId="3" numFmtId="4" xfId="0" applyAlignment="1" applyFont="1" applyNumberFormat="1">
      <alignment horizontal="right" shrinkToFit="0" vertical="bottom" wrapText="1"/>
    </xf>
    <xf borderId="0" fillId="0" fontId="3" numFmtId="0" xfId="0" applyFont="1"/>
    <xf borderId="18" fillId="0" fontId="14" numFmtId="0" xfId="0" applyAlignment="1" applyBorder="1" applyFont="1">
      <alignment shrinkToFit="0" vertical="bottom" wrapText="1"/>
    </xf>
    <xf borderId="22" fillId="7" fontId="16" numFmtId="0" xfId="0" applyAlignment="1" applyBorder="1" applyFill="1" applyFont="1">
      <alignment horizontal="center" shrinkToFit="0" vertical="center" wrapText="1"/>
    </xf>
    <xf borderId="18" fillId="0" fontId="3" numFmtId="0" xfId="0" applyAlignment="1" applyBorder="1" applyFont="1">
      <alignment horizontal="right" shrinkToFit="0" vertical="bottom" wrapText="1"/>
    </xf>
    <xf borderId="23" fillId="7" fontId="16" numFmtId="0" xfId="0" applyAlignment="1" applyBorder="1" applyFont="1">
      <alignment horizontal="center" shrinkToFit="0" vertical="center" wrapText="1"/>
    </xf>
    <xf borderId="18" fillId="0" fontId="3" numFmtId="3" xfId="0" applyAlignment="1" applyBorder="1" applyFont="1" applyNumberFormat="1">
      <alignment horizontal="right" shrinkToFit="0" vertical="bottom" wrapText="1"/>
    </xf>
    <xf borderId="0" fillId="6" fontId="3" numFmtId="0" xfId="0" applyAlignment="1" applyFont="1">
      <alignment horizontal="center" readingOrder="0" vertical="bottom"/>
    </xf>
    <xf borderId="18" fillId="0" fontId="3" numFmtId="4" xfId="0" applyAlignment="1" applyBorder="1" applyFont="1" applyNumberFormat="1">
      <alignment horizontal="right" shrinkToFit="0" vertical="bottom" wrapText="1"/>
    </xf>
    <xf borderId="0" fillId="6" fontId="3" numFmtId="49" xfId="0" applyAlignment="1" applyFont="1" applyNumberFormat="1">
      <alignment readingOrder="0" vertical="bottom"/>
    </xf>
    <xf borderId="0" fillId="8" fontId="3" numFmtId="0" xfId="0" applyAlignment="1" applyFill="1" applyFont="1">
      <alignment horizontal="center" readingOrder="0" vertical="bottom"/>
    </xf>
    <xf borderId="0" fillId="6" fontId="3" numFmtId="0" xfId="0" applyAlignment="1" applyFont="1">
      <alignment readingOrder="0" vertical="bottom"/>
    </xf>
    <xf borderId="18" fillId="0" fontId="3" numFmtId="4" xfId="0" applyAlignment="1" applyBorder="1" applyFont="1" applyNumberFormat="1">
      <alignment shrinkToFit="0" vertical="bottom" wrapText="1"/>
    </xf>
    <xf borderId="0" fillId="8" fontId="3" numFmtId="49" xfId="0" applyAlignment="1" applyFont="1" applyNumberFormat="1">
      <alignment readingOrder="0" vertical="bottom"/>
    </xf>
    <xf borderId="24" fillId="0" fontId="3" numFmtId="4" xfId="0" applyAlignment="1" applyBorder="1" applyFont="1" applyNumberFormat="1">
      <alignment shrinkToFit="0" vertical="bottom" wrapText="1"/>
    </xf>
    <xf borderId="25" fillId="0" fontId="3" numFmtId="3" xfId="0" applyAlignment="1" applyBorder="1" applyFont="1" applyNumberFormat="1">
      <alignment horizontal="right" shrinkToFit="0" vertical="bottom" wrapText="1"/>
    </xf>
    <xf borderId="0" fillId="8" fontId="3" numFmtId="0" xfId="0" applyAlignment="1" applyFont="1">
      <alignment readingOrder="0" vertical="bottom"/>
    </xf>
    <xf borderId="17" fillId="0" fontId="3" numFmtId="4" xfId="0" applyAlignment="1" applyBorder="1" applyFont="1" applyNumberFormat="1">
      <alignment horizontal="right" shrinkToFit="0" vertical="bottom" wrapText="1"/>
    </xf>
    <xf borderId="0" fillId="6" fontId="17" numFmtId="0" xfId="0" applyAlignment="1" applyFont="1">
      <alignment readingOrder="0" vertical="bottom"/>
    </xf>
    <xf borderId="18" fillId="9" fontId="3" numFmtId="164" xfId="0" applyAlignment="1" applyBorder="1" applyFill="1" applyFont="1" applyNumberFormat="1">
      <alignment horizontal="right" shrinkToFit="0" vertical="bottom" wrapText="1"/>
    </xf>
    <xf borderId="0" fillId="6" fontId="16" numFmtId="1" xfId="0" applyAlignment="1" applyFont="1" applyNumberFormat="1">
      <alignment horizontal="right" vertical="bottom"/>
    </xf>
    <xf borderId="18" fillId="9" fontId="3" numFmtId="10" xfId="0" applyAlignment="1" applyBorder="1" applyFont="1" applyNumberFormat="1">
      <alignment horizontal="right" shrinkToFit="0" vertical="bottom" wrapText="1"/>
    </xf>
    <xf borderId="0" fillId="6" fontId="18" numFmtId="165" xfId="0" applyAlignment="1" applyFont="1" applyNumberFormat="1">
      <alignment horizontal="right" vertical="bottom"/>
    </xf>
    <xf borderId="18" fillId="9" fontId="3" numFmtId="0" xfId="0" applyAlignment="1" applyBorder="1" applyFont="1">
      <alignment horizontal="right" shrinkToFit="0" vertical="bottom" wrapText="1"/>
    </xf>
    <xf borderId="0" fillId="6" fontId="3" numFmtId="165" xfId="0" applyAlignment="1" applyFont="1" applyNumberFormat="1">
      <alignment vertical="bottom"/>
    </xf>
    <xf borderId="0" fillId="8" fontId="19" numFmtId="0" xfId="0" applyAlignment="1" applyFont="1">
      <alignment readingOrder="0" vertical="bottom"/>
    </xf>
    <xf borderId="0" fillId="6" fontId="18" numFmtId="0" xfId="0" applyAlignment="1" applyFont="1">
      <alignment horizontal="right" readingOrder="0" vertical="bottom"/>
    </xf>
    <xf borderId="0" fillId="8" fontId="16" numFmtId="1" xfId="0" applyAlignment="1" applyFont="1" applyNumberFormat="1">
      <alignment horizontal="right" vertical="bottom"/>
    </xf>
    <xf borderId="0" fillId="6" fontId="3" numFmtId="166" xfId="0" applyAlignment="1" applyFont="1" applyNumberFormat="1">
      <alignment vertical="bottom"/>
    </xf>
    <xf borderId="26" fillId="0" fontId="3" numFmtId="4" xfId="0" applyAlignment="1" applyBorder="1" applyFont="1" applyNumberFormat="1">
      <alignment horizontal="right" shrinkToFit="0" vertical="bottom" wrapText="1"/>
    </xf>
    <xf borderId="0" fillId="8" fontId="18" numFmtId="165" xfId="0" applyAlignment="1" applyFont="1" applyNumberFormat="1">
      <alignment horizontal="right" vertical="bottom"/>
    </xf>
    <xf borderId="27" fillId="7" fontId="16" numFmtId="0" xfId="0" applyAlignment="1" applyBorder="1" applyFont="1">
      <alignment horizontal="center" readingOrder="0" shrinkToFit="0" vertical="center" wrapText="1"/>
    </xf>
    <xf borderId="0" fillId="8" fontId="3" numFmtId="165" xfId="0" applyAlignment="1" applyFont="1" applyNumberFormat="1">
      <alignment vertical="bottom"/>
    </xf>
    <xf borderId="0" fillId="3" fontId="3" numFmtId="0" xfId="0" applyFont="1"/>
    <xf borderId="0" fillId="8" fontId="18" numFmtId="0" xfId="0" applyAlignment="1" applyFont="1">
      <alignment horizontal="right" readingOrder="0" vertical="bottom"/>
    </xf>
    <xf borderId="0" fillId="7" fontId="16" numFmtId="0" xfId="0" applyAlignment="1" applyFont="1">
      <alignment horizontal="center" shrinkToFit="0" vertical="center" wrapText="1"/>
    </xf>
    <xf borderId="0" fillId="8" fontId="3" numFmtId="166" xfId="0" applyAlignment="1" applyFont="1" applyNumberFormat="1">
      <alignment vertical="bottom"/>
    </xf>
    <xf borderId="23" fillId="7" fontId="16" numFmtId="0" xfId="0" applyAlignment="1" applyBorder="1" applyFont="1">
      <alignment horizontal="center" readingOrder="0" shrinkToFit="0" vertical="center" wrapText="1"/>
    </xf>
    <xf borderId="0" fillId="0" fontId="3" numFmtId="0" xfId="0" applyFont="1"/>
    <xf borderId="22" fillId="0" fontId="6" numFmtId="0" xfId="0" applyBorder="1" applyFont="1"/>
    <xf borderId="23" fillId="0" fontId="6" numFmtId="0" xfId="0" applyBorder="1" applyFont="1"/>
    <xf borderId="18" fillId="3" fontId="14" numFmtId="0" xfId="0" applyAlignment="1" applyBorder="1" applyFont="1">
      <alignment readingOrder="0" shrinkToFit="0" vertical="bottom" wrapText="0"/>
    </xf>
    <xf borderId="0" fillId="10" fontId="3" numFmtId="0" xfId="0" applyAlignment="1" applyFill="1" applyFont="1">
      <alignment horizontal="center" readingOrder="0" vertical="bottom"/>
    </xf>
    <xf borderId="0" fillId="10" fontId="3" numFmtId="49" xfId="0" applyAlignment="1" applyFont="1" applyNumberFormat="1">
      <alignment readingOrder="0" vertical="bottom"/>
    </xf>
    <xf borderId="0" fillId="10" fontId="3" numFmtId="0" xfId="0" applyAlignment="1" applyFont="1">
      <alignment readingOrder="0" vertical="bottom"/>
    </xf>
    <xf borderId="0" fillId="11" fontId="3" numFmtId="0" xfId="0" applyAlignment="1" applyFill="1" applyFont="1">
      <alignment horizontal="center" readingOrder="0" vertical="bottom"/>
    </xf>
    <xf borderId="0" fillId="11" fontId="3" numFmtId="49" xfId="0" applyAlignment="1" applyFont="1" applyNumberFormat="1">
      <alignment readingOrder="0" vertical="bottom"/>
    </xf>
    <xf borderId="0" fillId="11" fontId="3" numFmtId="0" xfId="0" applyAlignment="1" applyFont="1">
      <alignment readingOrder="0" vertical="bottom"/>
    </xf>
    <xf borderId="0" fillId="10" fontId="20" numFmtId="0" xfId="0" applyAlignment="1" applyFont="1">
      <alignment readingOrder="0" vertical="bottom"/>
    </xf>
    <xf borderId="0" fillId="10" fontId="16" numFmtId="1" xfId="0" applyAlignment="1" applyFont="1" applyNumberFormat="1">
      <alignment horizontal="right" vertical="bottom"/>
    </xf>
    <xf borderId="0" fillId="10" fontId="18" numFmtId="165" xfId="0" applyAlignment="1" applyFont="1" applyNumberFormat="1">
      <alignment horizontal="right" vertical="bottom"/>
    </xf>
    <xf borderId="18" fillId="3" fontId="3" numFmtId="4" xfId="0" applyAlignment="1" applyBorder="1" applyFont="1" applyNumberFormat="1">
      <alignment shrinkToFit="0" vertical="bottom" wrapText="1"/>
    </xf>
    <xf borderId="0" fillId="10" fontId="3" numFmtId="165" xfId="0" applyAlignment="1" applyFont="1" applyNumberFormat="1">
      <alignment vertical="bottom"/>
    </xf>
    <xf borderId="18" fillId="0" fontId="14" numFmtId="164" xfId="0" applyAlignment="1" applyBorder="1" applyFont="1" applyNumberFormat="1">
      <alignment shrinkToFit="0" vertical="bottom" wrapText="1"/>
    </xf>
    <xf borderId="0" fillId="11" fontId="21" numFmtId="0" xfId="0" applyAlignment="1" applyFont="1">
      <alignment readingOrder="0" vertical="bottom"/>
    </xf>
    <xf borderId="25" fillId="0" fontId="3" numFmtId="4" xfId="0" applyAlignment="1" applyBorder="1" applyFont="1" applyNumberFormat="1">
      <alignment horizontal="right" shrinkToFit="0" vertical="bottom" wrapText="1"/>
    </xf>
    <xf borderId="0" fillId="11" fontId="16" numFmtId="1" xfId="0" applyAlignment="1" applyFont="1" applyNumberFormat="1">
      <alignment horizontal="right" vertical="bottom"/>
    </xf>
    <xf borderId="18" fillId="3" fontId="3" numFmtId="164" xfId="0" applyAlignment="1" applyBorder="1" applyFont="1" applyNumberFormat="1">
      <alignment vertical="bottom"/>
    </xf>
    <xf borderId="0" fillId="11" fontId="18" numFmtId="165" xfId="0" applyAlignment="1" applyFont="1" applyNumberFormat="1">
      <alignment horizontal="right" vertical="bottom"/>
    </xf>
    <xf borderId="18" fillId="3" fontId="3" numFmtId="10" xfId="0" applyAlignment="1" applyBorder="1" applyFont="1" applyNumberFormat="1">
      <alignment vertical="bottom"/>
    </xf>
    <xf borderId="0" fillId="11" fontId="3" numFmtId="165" xfId="0" applyAlignment="1" applyFont="1" applyNumberFormat="1">
      <alignment vertical="bottom"/>
    </xf>
    <xf borderId="0" fillId="10" fontId="18" numFmtId="0" xfId="0" applyAlignment="1" applyFont="1">
      <alignment horizontal="right" readingOrder="0" vertical="bottom"/>
    </xf>
    <xf borderId="0" fillId="11" fontId="18" numFmtId="0" xfId="0" applyAlignment="1" applyFont="1">
      <alignment horizontal="right" readingOrder="0" vertical="bottom"/>
    </xf>
    <xf borderId="0" fillId="10" fontId="3" numFmtId="166" xfId="0" applyAlignment="1" applyFont="1" applyNumberFormat="1">
      <alignment vertical="bottom"/>
    </xf>
    <xf borderId="0" fillId="11" fontId="3" numFmtId="166" xfId="0" applyAlignment="1" applyFont="1" applyNumberFormat="1">
      <alignment vertical="bottom"/>
    </xf>
    <xf borderId="18" fillId="9" fontId="3" numFmtId="164" xfId="0" applyAlignment="1" applyBorder="1" applyFont="1" applyNumberFormat="1">
      <alignment vertical="bottom"/>
    </xf>
    <xf borderId="18" fillId="9" fontId="3" numFmtId="10" xfId="0" applyAlignment="1" applyBorder="1" applyFont="1" applyNumberFormat="1">
      <alignment vertical="bottom"/>
    </xf>
    <xf borderId="18" fillId="9" fontId="3" numFmtId="0" xfId="0" applyAlignment="1" applyBorder="1" applyFont="1">
      <alignment vertical="bottom"/>
    </xf>
    <xf borderId="0" fillId="12" fontId="3" numFmtId="0" xfId="0" applyAlignment="1" applyFill="1" applyFont="1">
      <alignment horizontal="center" readingOrder="0" vertical="bottom"/>
    </xf>
    <xf borderId="0" fillId="12" fontId="3" numFmtId="49" xfId="0" applyAlignment="1" applyFont="1" applyNumberFormat="1">
      <alignment readingOrder="0" vertical="bottom"/>
    </xf>
    <xf borderId="0" fillId="13" fontId="3" numFmtId="0" xfId="0" applyAlignment="1" applyFill="1" applyFont="1">
      <alignment horizontal="center" readingOrder="0" vertical="bottom"/>
    </xf>
    <xf borderId="0" fillId="12" fontId="3" numFmtId="0" xfId="0" applyAlignment="1" applyFont="1">
      <alignment readingOrder="0" vertical="bottom"/>
    </xf>
    <xf borderId="0" fillId="13" fontId="3" numFmtId="49" xfId="0" applyAlignment="1" applyFont="1" applyNumberFormat="1">
      <alignment readingOrder="0" vertical="bottom"/>
    </xf>
    <xf borderId="0" fillId="13" fontId="3" numFmtId="0" xfId="0" applyAlignment="1" applyFont="1">
      <alignment readingOrder="0" vertical="bottom"/>
    </xf>
    <xf borderId="0" fillId="12" fontId="22" numFmtId="0" xfId="0" applyAlignment="1" applyFont="1">
      <alignment readingOrder="0" vertical="bottom"/>
    </xf>
    <xf borderId="0" fillId="13" fontId="23" numFmtId="0" xfId="0" applyAlignment="1" applyFont="1">
      <alignment readingOrder="0" vertical="bottom"/>
    </xf>
    <xf borderId="0" fillId="12" fontId="16" numFmtId="1" xfId="0" applyAlignment="1" applyFont="1" applyNumberFormat="1">
      <alignment horizontal="right" vertical="bottom"/>
    </xf>
    <xf borderId="0" fillId="13" fontId="16" numFmtId="1" xfId="0" applyAlignment="1" applyFont="1" applyNumberFormat="1">
      <alignment horizontal="right" vertical="bottom"/>
    </xf>
    <xf borderId="0" fillId="12" fontId="18" numFmtId="165" xfId="0" applyAlignment="1" applyFont="1" applyNumberFormat="1">
      <alignment horizontal="right" vertical="bottom"/>
    </xf>
    <xf borderId="0" fillId="13" fontId="18" numFmtId="165" xfId="0" applyAlignment="1" applyFont="1" applyNumberFormat="1">
      <alignment horizontal="right" vertical="bottom"/>
    </xf>
    <xf borderId="0" fillId="12" fontId="3" numFmtId="165" xfId="0" applyAlignment="1" applyFont="1" applyNumberFormat="1">
      <alignment vertical="bottom"/>
    </xf>
    <xf borderId="0" fillId="13" fontId="3" numFmtId="165" xfId="0" applyAlignment="1" applyFont="1" applyNumberFormat="1">
      <alignment vertical="bottom"/>
    </xf>
    <xf borderId="0" fillId="12" fontId="18" numFmtId="0" xfId="0" applyAlignment="1" applyFont="1">
      <alignment horizontal="right" readingOrder="0" vertical="bottom"/>
    </xf>
    <xf borderId="0" fillId="13" fontId="18" numFmtId="0" xfId="0" applyAlignment="1" applyFont="1">
      <alignment horizontal="right" readingOrder="0" vertical="bottom"/>
    </xf>
    <xf borderId="0" fillId="12" fontId="3" numFmtId="166" xfId="0" applyAlignment="1" applyFont="1" applyNumberFormat="1">
      <alignment vertical="bottom"/>
    </xf>
    <xf borderId="0" fillId="13" fontId="3" numFmtId="166" xfId="0" applyAlignment="1" applyFont="1" applyNumberFormat="1">
      <alignment vertical="bottom"/>
    </xf>
    <xf borderId="0" fillId="14" fontId="3" numFmtId="0" xfId="0" applyAlignment="1" applyFill="1" applyFont="1">
      <alignment horizontal="center" readingOrder="0" vertical="bottom"/>
    </xf>
    <xf borderId="0" fillId="15" fontId="3" numFmtId="0" xfId="0" applyAlignment="1" applyFill="1" applyFont="1">
      <alignment horizontal="center" readingOrder="0" vertical="bottom"/>
    </xf>
    <xf borderId="0" fillId="14" fontId="3" numFmtId="49" xfId="0" applyAlignment="1" applyFont="1" applyNumberFormat="1">
      <alignment readingOrder="0" vertical="bottom"/>
    </xf>
    <xf borderId="0" fillId="15" fontId="3" numFmtId="49" xfId="0" applyAlignment="1" applyFont="1" applyNumberFormat="1">
      <alignment readingOrder="0" vertical="bottom"/>
    </xf>
    <xf borderId="0" fillId="14" fontId="3" numFmtId="0" xfId="0" applyAlignment="1" applyFont="1">
      <alignment readingOrder="0" vertical="bottom"/>
    </xf>
    <xf borderId="0" fillId="15" fontId="3" numFmtId="0" xfId="0" applyAlignment="1" applyFont="1">
      <alignment readingOrder="0" vertical="bottom"/>
    </xf>
    <xf borderId="0" fillId="14" fontId="24" numFmtId="0" xfId="0" applyAlignment="1" applyFont="1">
      <alignment readingOrder="0" vertical="bottom"/>
    </xf>
    <xf borderId="0" fillId="15" fontId="25" numFmtId="0" xfId="0" applyAlignment="1" applyFont="1">
      <alignment readingOrder="0" vertical="bottom"/>
    </xf>
    <xf borderId="0" fillId="14" fontId="16" numFmtId="1" xfId="0" applyAlignment="1" applyFont="1" applyNumberFormat="1">
      <alignment horizontal="right" vertical="bottom"/>
    </xf>
    <xf borderId="0" fillId="15" fontId="16" numFmtId="1" xfId="0" applyAlignment="1" applyFont="1" applyNumberFormat="1">
      <alignment horizontal="right" vertical="bottom"/>
    </xf>
    <xf borderId="0" fillId="14" fontId="18" numFmtId="165" xfId="0" applyAlignment="1" applyFont="1" applyNumberFormat="1">
      <alignment horizontal="right" vertical="bottom"/>
    </xf>
    <xf borderId="0" fillId="15" fontId="18" numFmtId="165" xfId="0" applyAlignment="1" applyFont="1" applyNumberFormat="1">
      <alignment horizontal="right" vertical="bottom"/>
    </xf>
    <xf borderId="0" fillId="14" fontId="3" numFmtId="165" xfId="0" applyAlignment="1" applyFont="1" applyNumberFormat="1">
      <alignment vertical="bottom"/>
    </xf>
    <xf borderId="0" fillId="15" fontId="3" numFmtId="165" xfId="0" applyAlignment="1" applyFont="1" applyNumberFormat="1">
      <alignment vertical="bottom"/>
    </xf>
    <xf borderId="0" fillId="14" fontId="18" numFmtId="0" xfId="0" applyAlignment="1" applyFont="1">
      <alignment horizontal="right" readingOrder="0" vertical="bottom"/>
    </xf>
    <xf borderId="0" fillId="15" fontId="18" numFmtId="0" xfId="0" applyAlignment="1" applyFont="1">
      <alignment horizontal="right" readingOrder="0" vertical="bottom"/>
    </xf>
    <xf borderId="0" fillId="14" fontId="3" numFmtId="166" xfId="0" applyAlignment="1" applyFont="1" applyNumberFormat="1">
      <alignment vertical="bottom"/>
    </xf>
    <xf borderId="0" fillId="15" fontId="3" numFmtId="166" xfId="0" applyAlignment="1" applyFont="1" applyNumberFormat="1">
      <alignment vertical="bottom"/>
    </xf>
    <xf borderId="18" fillId="0" fontId="3" numFmtId="3" xfId="0" applyAlignment="1" applyBorder="1" applyFont="1" applyNumberFormat="1">
      <alignment shrinkToFit="0" vertical="bottom" wrapText="1"/>
    </xf>
    <xf borderId="24" fillId="0" fontId="3" numFmtId="3" xfId="0" applyAlignment="1" applyBorder="1" applyFont="1" applyNumberFormat="1">
      <alignment shrinkToFit="0" vertical="bottom" wrapText="1"/>
    </xf>
    <xf borderId="28" fillId="0" fontId="6" numFmtId="0" xfId="0" applyBorder="1" applyFont="1"/>
    <xf borderId="29" fillId="0" fontId="6" numFmtId="0" xfId="0" applyBorder="1" applyFont="1"/>
    <xf borderId="30" fillId="0" fontId="6" numFmtId="0" xfId="0" applyBorder="1" applyFont="1"/>
    <xf borderId="0" fillId="0" fontId="3" numFmtId="0" xfId="0" applyAlignment="1" applyFont="1">
      <alignment horizontal="center" readingOrder="0" vertical="bottom"/>
    </xf>
    <xf borderId="0" fillId="0" fontId="3" numFmtId="49" xfId="0" applyAlignment="1" applyFont="1" applyNumberFormat="1">
      <alignment readingOrder="0" vertical="bottom"/>
    </xf>
    <xf borderId="0" fillId="0" fontId="26" numFmtId="0" xfId="0" applyAlignment="1" applyFont="1">
      <alignment readingOrder="0" vertical="bottom"/>
    </xf>
    <xf borderId="0" fillId="0" fontId="16" numFmtId="1" xfId="0" applyAlignment="1" applyFont="1" applyNumberFormat="1">
      <alignment horizontal="right" vertical="bottom"/>
    </xf>
    <xf borderId="0" fillId="0" fontId="18" numFmtId="165" xfId="0" applyAlignment="1" applyFont="1" applyNumberFormat="1">
      <alignment horizontal="right" vertical="bottom"/>
    </xf>
    <xf borderId="0" fillId="0" fontId="3" numFmtId="165" xfId="0" applyAlignment="1" applyFont="1" applyNumberFormat="1">
      <alignment vertical="bottom"/>
    </xf>
    <xf borderId="0" fillId="0" fontId="18" numFmtId="0" xfId="0" applyAlignment="1" applyFont="1">
      <alignment readingOrder="0" vertical="bottom"/>
    </xf>
    <xf borderId="0" fillId="0" fontId="3" numFmtId="166" xfId="0" applyAlignment="1" applyFont="1" applyNumberFormat="1">
      <alignment vertical="bottom"/>
    </xf>
    <xf borderId="0" fillId="3" fontId="3" numFmtId="0" xfId="0" applyAlignment="1" applyFont="1">
      <alignment readingOrder="0"/>
    </xf>
    <xf borderId="31" fillId="0" fontId="6" numFmtId="0" xfId="0" applyBorder="1" applyFont="1"/>
    <xf borderId="32" fillId="16" fontId="16" numFmtId="0" xfId="0" applyAlignment="1" applyBorder="1" applyFill="1" applyFont="1">
      <alignment horizontal="center" shrinkToFit="0" vertical="center" wrapText="1"/>
    </xf>
    <xf borderId="33" fillId="16" fontId="16" numFmtId="0" xfId="0" applyAlignment="1" applyBorder="1" applyFont="1">
      <alignment horizontal="center" shrinkToFit="0" vertical="center" wrapText="1"/>
    </xf>
    <xf borderId="0" fillId="17" fontId="3" numFmtId="0" xfId="0" applyAlignment="1" applyFill="1" applyFont="1">
      <alignment horizontal="center" readingOrder="0" vertical="bottom"/>
    </xf>
    <xf borderId="0" fillId="17" fontId="3" numFmtId="49" xfId="0" applyAlignment="1" applyFont="1" applyNumberFormat="1">
      <alignment readingOrder="0" vertical="bottom"/>
    </xf>
    <xf borderId="34" fillId="16" fontId="16" numFmtId="0" xfId="0" applyAlignment="1" applyBorder="1" applyFont="1">
      <alignment horizontal="center" shrinkToFit="0" vertical="center" wrapText="1"/>
    </xf>
    <xf borderId="0" fillId="17" fontId="3" numFmtId="0" xfId="0" applyAlignment="1" applyFont="1">
      <alignment readingOrder="0" vertical="bottom"/>
    </xf>
    <xf borderId="0" fillId="18" fontId="3" numFmtId="0" xfId="0" applyAlignment="1" applyFill="1" applyFont="1">
      <alignment horizontal="center" readingOrder="0" vertical="bottom"/>
    </xf>
    <xf borderId="18" fillId="6" fontId="14" numFmtId="0" xfId="0" applyAlignment="1" applyBorder="1" applyFont="1">
      <alignment shrinkToFit="0" vertical="bottom" wrapText="1"/>
    </xf>
    <xf borderId="0" fillId="18" fontId="3" numFmtId="49" xfId="0" applyAlignment="1" applyFont="1" applyNumberFormat="1">
      <alignment readingOrder="0" vertical="bottom"/>
    </xf>
    <xf borderId="0" fillId="18" fontId="3" numFmtId="0" xfId="0" applyAlignment="1" applyFont="1">
      <alignment readingOrder="0" vertical="bottom"/>
    </xf>
    <xf borderId="0" fillId="17" fontId="27" numFmtId="0" xfId="0" applyAlignment="1" applyFont="1">
      <alignment readingOrder="0" vertical="bottom"/>
    </xf>
    <xf borderId="0" fillId="17" fontId="16" numFmtId="1" xfId="0" applyAlignment="1" applyFont="1" applyNumberFormat="1">
      <alignment horizontal="right" vertical="bottom"/>
    </xf>
    <xf borderId="0" fillId="17" fontId="18" numFmtId="165" xfId="0" applyAlignment="1" applyFont="1" applyNumberFormat="1">
      <alignment horizontal="right" vertical="bottom"/>
    </xf>
    <xf borderId="0" fillId="17" fontId="3" numFmtId="165" xfId="0" applyAlignment="1" applyFont="1" applyNumberFormat="1">
      <alignment horizontal="right" vertical="bottom"/>
    </xf>
    <xf borderId="0" fillId="18" fontId="28" numFmtId="0" xfId="0" applyAlignment="1" applyFont="1">
      <alignment readingOrder="0" vertical="bottom"/>
    </xf>
    <xf borderId="0" fillId="17" fontId="18" numFmtId="0" xfId="0" applyAlignment="1" applyFont="1">
      <alignment horizontal="right" readingOrder="0" vertical="bottom"/>
    </xf>
    <xf borderId="0" fillId="18" fontId="16" numFmtId="1" xfId="0" applyAlignment="1" applyFont="1" applyNumberFormat="1">
      <alignment horizontal="right" vertical="bottom"/>
    </xf>
    <xf borderId="0" fillId="18" fontId="18" numFmtId="165" xfId="0" applyAlignment="1" applyFont="1" applyNumberFormat="1">
      <alignment horizontal="right" vertical="bottom"/>
    </xf>
    <xf borderId="35" fillId="16" fontId="16" numFmtId="0" xfId="0" applyAlignment="1" applyBorder="1" applyFont="1">
      <alignment horizontal="center" readingOrder="0" shrinkToFit="0" vertical="center" wrapText="1"/>
    </xf>
    <xf borderId="0" fillId="18" fontId="3" numFmtId="165" xfId="0" applyAlignment="1" applyFont="1" applyNumberFormat="1">
      <alignment horizontal="right" vertical="bottom"/>
    </xf>
    <xf borderId="32" fillId="16" fontId="16" numFmtId="0" xfId="0" applyAlignment="1" applyBorder="1" applyFont="1">
      <alignment horizontal="center" readingOrder="0" shrinkToFit="0" vertical="center" wrapText="1"/>
    </xf>
    <xf borderId="0" fillId="18" fontId="18" numFmtId="0" xfId="0" applyAlignment="1" applyFont="1">
      <alignment horizontal="center" readingOrder="0" vertical="bottom"/>
    </xf>
    <xf borderId="0" fillId="18" fontId="18" numFmtId="0" xfId="0" applyAlignment="1" applyFont="1">
      <alignment horizontal="right" readingOrder="0" vertical="bottom"/>
    </xf>
    <xf borderId="34" fillId="16" fontId="16" numFmtId="0" xfId="0" applyAlignment="1" applyBorder="1" applyFont="1">
      <alignment horizontal="center" readingOrder="0" shrinkToFit="0" vertical="center" wrapText="1"/>
    </xf>
    <xf borderId="34" fillId="0" fontId="6" numFmtId="0" xfId="0" applyBorder="1" applyFont="1"/>
    <xf borderId="33" fillId="0" fontId="6" numFmtId="0" xfId="0" applyBorder="1" applyFont="1"/>
    <xf borderId="0" fillId="19" fontId="3" numFmtId="0" xfId="0" applyAlignment="1" applyFill="1" applyFont="1">
      <alignment horizontal="center" readingOrder="0" vertical="bottom"/>
    </xf>
    <xf borderId="0" fillId="19" fontId="3" numFmtId="49" xfId="0" applyAlignment="1" applyFont="1" applyNumberFormat="1">
      <alignment readingOrder="0" vertical="bottom"/>
    </xf>
    <xf borderId="0" fillId="19" fontId="3" numFmtId="0" xfId="0" applyAlignment="1" applyFont="1">
      <alignment readingOrder="0" vertical="bottom"/>
    </xf>
    <xf borderId="0" fillId="20" fontId="3" numFmtId="0" xfId="0" applyAlignment="1" applyFill="1" applyFont="1">
      <alignment horizontal="center" readingOrder="0" vertical="bottom"/>
    </xf>
    <xf borderId="0" fillId="19" fontId="29" numFmtId="0" xfId="0" applyAlignment="1" applyFont="1">
      <alignment readingOrder="0" vertical="bottom"/>
    </xf>
    <xf borderId="0" fillId="20" fontId="3" numFmtId="49" xfId="0" applyAlignment="1" applyFont="1" applyNumberFormat="1">
      <alignment readingOrder="0" vertical="bottom"/>
    </xf>
    <xf borderId="0" fillId="19" fontId="16" numFmtId="1" xfId="0" applyAlignment="1" applyFont="1" applyNumberFormat="1">
      <alignment horizontal="right" vertical="bottom"/>
    </xf>
    <xf borderId="0" fillId="20" fontId="3" numFmtId="0" xfId="0" applyAlignment="1" applyFont="1">
      <alignment readingOrder="0" vertical="bottom"/>
    </xf>
    <xf borderId="0" fillId="19" fontId="18" numFmtId="165" xfId="0" applyAlignment="1" applyFont="1" applyNumberFormat="1">
      <alignment horizontal="right" vertical="bottom"/>
    </xf>
    <xf borderId="0" fillId="19" fontId="3" numFmtId="165" xfId="0" applyAlignment="1" applyFont="1" applyNumberFormat="1">
      <alignment horizontal="right" vertical="bottom"/>
    </xf>
    <xf borderId="0" fillId="19" fontId="18" numFmtId="0" xfId="0" applyAlignment="1" applyFont="1">
      <alignment horizontal="right" readingOrder="0" vertical="bottom"/>
    </xf>
    <xf borderId="0" fillId="20" fontId="30" numFmtId="0" xfId="0" applyAlignment="1" applyFont="1">
      <alignment readingOrder="0" vertical="bottom"/>
    </xf>
    <xf borderId="35" fillId="0" fontId="6" numFmtId="0" xfId="0" applyBorder="1" applyFont="1"/>
    <xf borderId="0" fillId="20" fontId="16" numFmtId="1" xfId="0" applyAlignment="1" applyFont="1" applyNumberFormat="1">
      <alignment horizontal="right" vertical="bottom"/>
    </xf>
    <xf borderId="0" fillId="20" fontId="18" numFmtId="165" xfId="0" applyAlignment="1" applyFont="1" applyNumberFormat="1">
      <alignment horizontal="right" vertical="bottom"/>
    </xf>
    <xf borderId="0" fillId="20" fontId="3" numFmtId="165" xfId="0" applyAlignment="1" applyFont="1" applyNumberFormat="1">
      <alignment horizontal="right" vertical="bottom"/>
    </xf>
    <xf borderId="0" fillId="20" fontId="18" numFmtId="0" xfId="0" applyAlignment="1" applyFont="1">
      <alignment horizontal="right" readingOrder="0" vertical="bottom"/>
    </xf>
    <xf borderId="0" fillId="21" fontId="3" numFmtId="0" xfId="0" applyAlignment="1" applyFill="1" applyFont="1">
      <alignment horizontal="center" readingOrder="0" vertical="bottom"/>
    </xf>
    <xf borderId="0" fillId="21" fontId="3" numFmtId="49" xfId="0" applyAlignment="1" applyFont="1" applyNumberFormat="1">
      <alignment readingOrder="0" vertical="bottom"/>
    </xf>
    <xf borderId="0" fillId="21" fontId="3" numFmtId="0" xfId="0" applyAlignment="1" applyFont="1">
      <alignment readingOrder="0" vertical="bottom"/>
    </xf>
    <xf borderId="0" fillId="22" fontId="3" numFmtId="0" xfId="0" applyAlignment="1" applyFill="1" applyFont="1">
      <alignment horizontal="center" readingOrder="0" vertical="bottom"/>
    </xf>
    <xf borderId="0" fillId="21" fontId="31" numFmtId="0" xfId="0" applyAlignment="1" applyFont="1">
      <alignment readingOrder="0" vertical="bottom"/>
    </xf>
    <xf borderId="0" fillId="22" fontId="3" numFmtId="49" xfId="0" applyAlignment="1" applyFont="1" applyNumberFormat="1">
      <alignment readingOrder="0" vertical="bottom"/>
    </xf>
    <xf borderId="0" fillId="21" fontId="16" numFmtId="1" xfId="0" applyAlignment="1" applyFont="1" applyNumberFormat="1">
      <alignment horizontal="right" vertical="bottom"/>
    </xf>
    <xf borderId="0" fillId="22" fontId="3" numFmtId="0" xfId="0" applyAlignment="1" applyFont="1">
      <alignment readingOrder="0" vertical="bottom"/>
    </xf>
    <xf borderId="0" fillId="21" fontId="18" numFmtId="165" xfId="0" applyAlignment="1" applyFont="1" applyNumberFormat="1">
      <alignment horizontal="right" vertical="bottom"/>
    </xf>
    <xf borderId="0" fillId="21" fontId="3" numFmtId="165" xfId="0" applyAlignment="1" applyFont="1" applyNumberFormat="1">
      <alignment horizontal="right" vertical="bottom"/>
    </xf>
    <xf borderId="0" fillId="21" fontId="18" numFmtId="0" xfId="0" applyAlignment="1" applyFont="1">
      <alignment horizontal="right" readingOrder="0" vertical="bottom"/>
    </xf>
    <xf borderId="0" fillId="22" fontId="32" numFmtId="0" xfId="0" applyAlignment="1" applyFont="1">
      <alignment readingOrder="0" vertical="bottom"/>
    </xf>
    <xf borderId="0" fillId="22" fontId="16" numFmtId="1" xfId="0" applyAlignment="1" applyFont="1" applyNumberFormat="1">
      <alignment horizontal="right" vertical="bottom"/>
    </xf>
    <xf borderId="0" fillId="22" fontId="18" numFmtId="165" xfId="0" applyAlignment="1" applyFont="1" applyNumberFormat="1">
      <alignment horizontal="right" vertical="bottom"/>
    </xf>
    <xf borderId="0" fillId="22" fontId="3" numFmtId="165" xfId="0" applyAlignment="1" applyFont="1" applyNumberFormat="1">
      <alignment horizontal="right" vertical="bottom"/>
    </xf>
    <xf borderId="0" fillId="22" fontId="18" numFmtId="0" xfId="0" applyAlignment="1" applyFont="1">
      <alignment horizontal="right" readingOrder="0" vertical="bottom"/>
    </xf>
    <xf borderId="0" fillId="23" fontId="3" numFmtId="0" xfId="0" applyAlignment="1" applyFill="1" applyFont="1">
      <alignment horizontal="center" readingOrder="0" vertical="bottom"/>
    </xf>
    <xf borderId="0" fillId="24" fontId="3" numFmtId="0" xfId="0" applyAlignment="1" applyFill="1" applyFont="1">
      <alignment horizontal="center" readingOrder="0" vertical="bottom"/>
    </xf>
    <xf borderId="0" fillId="23" fontId="3" numFmtId="49" xfId="0" applyAlignment="1" applyFont="1" applyNumberFormat="1">
      <alignment readingOrder="0" vertical="bottom"/>
    </xf>
    <xf borderId="0" fillId="24" fontId="3" numFmtId="49" xfId="0" applyAlignment="1" applyFont="1" applyNumberFormat="1">
      <alignment readingOrder="0" vertical="bottom"/>
    </xf>
    <xf borderId="0" fillId="23" fontId="3" numFmtId="0" xfId="0" applyAlignment="1" applyFont="1">
      <alignment readingOrder="0" vertical="bottom"/>
    </xf>
    <xf borderId="0" fillId="24" fontId="3" numFmtId="0" xfId="0" applyAlignment="1" applyFont="1">
      <alignment readingOrder="0" vertical="bottom"/>
    </xf>
    <xf borderId="0" fillId="23" fontId="33" numFmtId="0" xfId="0" applyAlignment="1" applyFont="1">
      <alignment readingOrder="0" vertical="bottom"/>
    </xf>
    <xf borderId="0" fillId="24" fontId="34" numFmtId="0" xfId="0" applyAlignment="1" applyFont="1">
      <alignment readingOrder="0" vertical="bottom"/>
    </xf>
    <xf borderId="0" fillId="23" fontId="16" numFmtId="1" xfId="0" applyAlignment="1" applyFont="1" applyNumberFormat="1">
      <alignment horizontal="right" vertical="bottom"/>
    </xf>
    <xf borderId="0" fillId="24" fontId="16" numFmtId="1" xfId="0" applyAlignment="1" applyFont="1" applyNumberFormat="1">
      <alignment horizontal="right" vertical="bottom"/>
    </xf>
    <xf borderId="0" fillId="23" fontId="18" numFmtId="165" xfId="0" applyAlignment="1" applyFont="1" applyNumberFormat="1">
      <alignment horizontal="right" vertical="bottom"/>
    </xf>
    <xf borderId="0" fillId="24" fontId="18" numFmtId="165" xfId="0" applyAlignment="1" applyFont="1" applyNumberFormat="1">
      <alignment horizontal="right" vertical="bottom"/>
    </xf>
    <xf borderId="0" fillId="23" fontId="3" numFmtId="165" xfId="0" applyAlignment="1" applyFont="1" applyNumberFormat="1">
      <alignment horizontal="right" vertical="bottom"/>
    </xf>
    <xf borderId="0" fillId="24" fontId="3" numFmtId="165" xfId="0" applyAlignment="1" applyFont="1" applyNumberFormat="1">
      <alignment horizontal="right" vertical="bottom"/>
    </xf>
    <xf borderId="0" fillId="23" fontId="18" numFmtId="0" xfId="0" applyAlignment="1" applyFont="1">
      <alignment horizontal="right" readingOrder="0" vertical="bottom"/>
    </xf>
    <xf borderId="0" fillId="24" fontId="18" numFmtId="0" xfId="0" applyAlignment="1" applyFont="1">
      <alignment horizontal="right" readingOrder="0" vertical="bottom"/>
    </xf>
    <xf borderId="36" fillId="0" fontId="6" numFmtId="0" xfId="0" applyBorder="1" applyFont="1"/>
    <xf borderId="37" fillId="0" fontId="6" numFmtId="0" xfId="0" applyBorder="1" applyFont="1"/>
    <xf borderId="0" fillId="3" fontId="3" numFmtId="0" xfId="0" applyAlignment="1" applyFont="1">
      <alignment horizontal="center" readingOrder="0" vertical="bottom"/>
    </xf>
    <xf borderId="0" fillId="3" fontId="3" numFmtId="49" xfId="0" applyAlignment="1" applyFont="1" applyNumberFormat="1">
      <alignment readingOrder="0" vertical="bottom"/>
    </xf>
    <xf borderId="0" fillId="3" fontId="35" numFmtId="0" xfId="0" applyAlignment="1" applyFont="1">
      <alignment readingOrder="0" vertical="bottom"/>
    </xf>
    <xf borderId="0" fillId="3" fontId="16" numFmtId="1" xfId="0" applyAlignment="1" applyFont="1" applyNumberFormat="1">
      <alignment horizontal="right" vertical="bottom"/>
    </xf>
    <xf borderId="0" fillId="3" fontId="18" numFmtId="165" xfId="0" applyAlignment="1" applyFont="1" applyNumberFormat="1">
      <alignment horizontal="right" vertical="bottom"/>
    </xf>
    <xf borderId="0" fillId="3" fontId="3" numFmtId="165" xfId="0" applyAlignment="1" applyFont="1" applyNumberFormat="1">
      <alignment horizontal="right" vertical="bottom"/>
    </xf>
    <xf borderId="0" fillId="3" fontId="18" numFmtId="0" xfId="0" applyAlignment="1" applyFont="1">
      <alignment horizontal="right" readingOrder="0" vertical="bottom"/>
    </xf>
    <xf borderId="38" fillId="0" fontId="6" numFmtId="0" xfId="0" applyBorder="1" applyFont="1"/>
    <xf borderId="39" fillId="7" fontId="16" numFmtId="0" xfId="0" applyAlignment="1" applyBorder="1" applyFont="1">
      <alignment horizontal="center" shrinkToFit="0" vertical="center" wrapText="1"/>
    </xf>
    <xf borderId="40" fillId="7" fontId="16" numFmtId="0" xfId="0" applyAlignment="1" applyBorder="1" applyFont="1">
      <alignment horizontal="center" shrinkToFit="0" vertical="center" wrapText="1"/>
    </xf>
    <xf borderId="39" fillId="7" fontId="16" numFmtId="0" xfId="0" applyAlignment="1" applyBorder="1" applyFont="1">
      <alignment horizontal="center" readingOrder="0" shrinkToFit="0" vertical="center" wrapText="1"/>
    </xf>
    <xf borderId="40" fillId="7" fontId="16" numFmtId="0" xfId="0" applyAlignment="1" applyBorder="1" applyFont="1">
      <alignment horizontal="center" readingOrder="0" shrinkToFit="0" vertical="center" wrapText="1"/>
    </xf>
    <xf borderId="39" fillId="0" fontId="6" numFmtId="0" xfId="0" applyBorder="1" applyFont="1"/>
    <xf borderId="41" fillId="0" fontId="6" numFmtId="0" xfId="0" applyBorder="1" applyFont="1"/>
    <xf borderId="17" fillId="6" fontId="14" numFmtId="0" xfId="0" applyAlignment="1" applyBorder="1" applyFont="1">
      <alignment readingOrder="0" shrinkToFit="0" vertical="bottom" wrapText="1"/>
    </xf>
    <xf borderId="18" fillId="2" fontId="15" numFmtId="0" xfId="0" applyAlignment="1" applyBorder="1" applyFont="1">
      <alignment horizontal="center" readingOrder="0" shrinkToFit="0" vertical="center" wrapText="1"/>
    </xf>
    <xf borderId="18" fillId="3" fontId="3" numFmtId="164" xfId="0" applyAlignment="1" applyBorder="1" applyFont="1" applyNumberFormat="1">
      <alignment readingOrder="0" shrinkToFit="0" vertical="bottom" wrapText="1"/>
    </xf>
    <xf borderId="18" fillId="3" fontId="3" numFmtId="10" xfId="0" applyAlignment="1" applyBorder="1" applyFont="1" applyNumberFormat="1">
      <alignment readingOrder="0" shrinkToFit="0" vertical="bottom" wrapText="1"/>
    </xf>
    <xf borderId="18" fillId="3" fontId="3" numFmtId="0" xfId="0" applyAlignment="1" applyBorder="1" applyFont="1">
      <alignment readingOrder="0" shrinkToFit="0" vertical="bottom" wrapText="1"/>
    </xf>
    <xf borderId="18" fillId="3" fontId="3" numFmtId="164" xfId="0" applyAlignment="1" applyBorder="1" applyFont="1" applyNumberFormat="1">
      <alignment horizontal="right" readingOrder="0" shrinkToFit="0" vertical="bottom" wrapText="1"/>
    </xf>
    <xf borderId="18" fillId="3" fontId="3" numFmtId="10" xfId="0" applyAlignment="1" applyBorder="1" applyFont="1" applyNumberFormat="1">
      <alignment horizontal="right" readingOrder="0" shrinkToFit="0" vertical="bottom" wrapText="1"/>
    </xf>
    <xf borderId="18" fillId="3" fontId="3" numFmtId="0" xfId="0" applyAlignment="1" applyBorder="1" applyFont="1">
      <alignment horizontal="right" readingOrder="0" shrinkToFit="0" vertical="bottom" wrapText="1"/>
    </xf>
    <xf borderId="18" fillId="3" fontId="3" numFmtId="4" xfId="0" applyAlignment="1" applyBorder="1" applyFont="1" applyNumberFormat="1">
      <alignment readingOrder="0" shrinkToFit="0" vertical="bottom" wrapText="1"/>
    </xf>
    <xf borderId="28" fillId="0" fontId="3" numFmtId="4" xfId="0" applyAlignment="1" applyBorder="1" applyFont="1" applyNumberFormat="1">
      <alignment horizontal="right" shrinkToFit="0" vertical="bottom" wrapText="1"/>
    </xf>
    <xf borderId="25" fillId="0" fontId="3" numFmtId="3" xfId="0" applyAlignment="1" applyBorder="1" applyFont="1" applyNumberForma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shrinkToFit="0" vertical="center" wrapText="1"/>
    </xf>
    <xf borderId="0" fillId="0" fontId="3" numFmtId="164" xfId="0" applyAlignment="1" applyFont="1" applyNumberFormat="1">
      <alignment vertical="bottom"/>
    </xf>
    <xf borderId="0" fillId="0" fontId="3" numFmtId="10" xfId="0" applyAlignment="1" applyFont="1" applyNumberFormat="1">
      <alignment vertical="bottom"/>
    </xf>
    <xf borderId="0" fillId="0" fontId="3" numFmtId="4" xfId="0" applyAlignment="1" applyFont="1" applyNumberFormat="1">
      <alignment vertical="bottom"/>
    </xf>
    <xf borderId="0" fillId="0" fontId="14" numFmtId="0" xfId="0" applyAlignment="1" applyFont="1">
      <alignment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0" fontId="3" numFmtId="3" xfId="0" applyAlignment="1" applyFont="1" applyNumberFormat="1">
      <alignment shrinkToFit="0" vertical="bottom" wrapText="1"/>
    </xf>
    <xf borderId="42" fillId="0" fontId="3" numFmtId="0" xfId="0" applyAlignment="1" applyBorder="1" applyFont="1">
      <alignment shrinkToFit="0" vertical="bottom" wrapText="0"/>
    </xf>
    <xf borderId="42" fillId="0" fontId="3" numFmtId="0" xfId="0" applyAlignment="1" applyBorder="1" applyFont="1">
      <alignment vertical="bottom"/>
    </xf>
    <xf borderId="43" fillId="0" fontId="3" numFmtId="0" xfId="0" applyAlignment="1" applyBorder="1" applyFont="1">
      <alignment vertical="bottom"/>
    </xf>
    <xf borderId="42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6" numFmtId="4" xfId="0" applyAlignment="1" applyFont="1" applyNumberFormat="1">
      <alignment readingOrder="0" vertical="top"/>
    </xf>
    <xf borderId="0" fillId="0" fontId="6" numFmtId="0" xfId="0" applyAlignment="1" applyFont="1">
      <alignment readingOrder="0" vertical="top"/>
    </xf>
    <xf borderId="0" fillId="0" fontId="3" numFmtId="0" xfId="0" applyAlignment="1" applyFont="1">
      <alignment readingOrder="0" vertical="bottom"/>
    </xf>
    <xf borderId="0" fillId="25" fontId="6" numFmtId="0" xfId="0" applyFill="1" applyFont="1"/>
    <xf borderId="0" fillId="25" fontId="6" numFmtId="0" xfId="0" applyAlignment="1" applyFont="1">
      <alignment readingOrder="0"/>
    </xf>
    <xf borderId="0" fillId="26" fontId="36" numFmtId="0" xfId="0" applyAlignment="1" applyFill="1" applyFont="1">
      <alignment readingOrder="0"/>
    </xf>
    <xf borderId="26" fillId="0" fontId="6" numFmtId="0" xfId="0" applyAlignment="1" applyBorder="1" applyFont="1">
      <alignment readingOrder="0"/>
    </xf>
    <xf borderId="0" fillId="27" fontId="37" numFmtId="0" xfId="0" applyAlignment="1" applyFill="1" applyFont="1">
      <alignment readingOrder="0"/>
    </xf>
    <xf borderId="44" fillId="27" fontId="6" numFmtId="0" xfId="0" applyAlignment="1" applyBorder="1" applyFill="1" applyFont="1">
      <alignment readingOrder="0"/>
    </xf>
    <xf borderId="25" fillId="27" fontId="6" numFmtId="0" xfId="0" applyAlignment="1" applyBorder="1" applyFont="1">
      <alignment readingOrder="0"/>
    </xf>
    <xf borderId="45" fillId="27" fontId="6" numFmtId="0" xfId="0" applyAlignment="1" applyBorder="1" applyFont="1">
      <alignment readingOrder="0"/>
    </xf>
    <xf borderId="44" fillId="0" fontId="6" numFmtId="0" xfId="0" applyBorder="1" applyFont="1"/>
    <xf borderId="0" fillId="28" fontId="36" numFmtId="0" xfId="0" applyAlignment="1" applyFill="1" applyFont="1">
      <alignment readingOrder="0"/>
    </xf>
    <xf borderId="25" fillId="0" fontId="6" numFmtId="0" xfId="0" applyAlignment="1" applyBorder="1" applyFont="1">
      <alignment readingOrder="0"/>
    </xf>
    <xf borderId="45" fillId="27" fontId="38" numFmtId="0" xfId="0" applyAlignment="1" applyBorder="1" applyFont="1">
      <alignment readingOrder="0"/>
    </xf>
    <xf borderId="25" fillId="0" fontId="6" numFmtId="0" xfId="0" applyBorder="1" applyFont="1"/>
    <xf borderId="0" fillId="25" fontId="39" numFmtId="0" xfId="0" applyFont="1"/>
    <xf borderId="0" fillId="29" fontId="36" numFmtId="0" xfId="0" applyAlignment="1" applyFill="1" applyFont="1">
      <alignment readingOrder="0"/>
    </xf>
    <xf borderId="0" fillId="2" fontId="39" numFmtId="0" xfId="0" applyAlignment="1" applyFont="1">
      <alignment horizontal="center" readingOrder="0" vertical="center"/>
    </xf>
    <xf borderId="0" fillId="27" fontId="40" numFmtId="0" xfId="0" applyAlignment="1" applyFont="1">
      <alignment horizontal="center" readingOrder="0" vertical="center"/>
    </xf>
    <xf borderId="0" fillId="2" fontId="39" numFmtId="0" xfId="0" applyAlignment="1" applyFont="1">
      <alignment horizontal="center" readingOrder="0"/>
    </xf>
    <xf borderId="46" fillId="2" fontId="39" numFmtId="0" xfId="0" applyAlignment="1" applyBorder="1" applyFont="1">
      <alignment horizontal="center" readingOrder="0" shrinkToFit="0" vertical="center" wrapText="1"/>
    </xf>
    <xf borderId="47" fillId="2" fontId="39" numFmtId="0" xfId="0" applyAlignment="1" applyBorder="1" applyFont="1">
      <alignment horizontal="center" readingOrder="0" vertical="center"/>
    </xf>
    <xf borderId="0" fillId="2" fontId="39" numFmtId="0" xfId="0" applyAlignment="1" applyFont="1">
      <alignment horizontal="center" readingOrder="0" shrinkToFit="0" vertical="center" wrapText="1"/>
    </xf>
    <xf borderId="47" fillId="0" fontId="6" numFmtId="0" xfId="0" applyBorder="1" applyFont="1"/>
    <xf borderId="0" fillId="30" fontId="6" numFmtId="0" xfId="0" applyAlignment="1" applyFill="1" applyFont="1">
      <alignment readingOrder="0"/>
    </xf>
    <xf borderId="26" fillId="30" fontId="41" numFmtId="0" xfId="0" applyAlignment="1" applyBorder="1" applyFont="1">
      <alignment readingOrder="0" shrinkToFit="0" wrapText="1"/>
    </xf>
    <xf borderId="26" fillId="21" fontId="6" numFmtId="167" xfId="0" applyBorder="1" applyFont="1" applyNumberFormat="1"/>
    <xf borderId="26" fillId="21" fontId="6" numFmtId="0" xfId="0" applyBorder="1" applyFont="1"/>
    <xf borderId="26" fillId="2" fontId="6" numFmtId="0" xfId="0" applyBorder="1" applyFont="1"/>
    <xf borderId="48" fillId="0" fontId="6" numFmtId="165" xfId="0" applyBorder="1" applyFont="1" applyNumberFormat="1"/>
    <xf borderId="49" fillId="0" fontId="42" numFmtId="0" xfId="0" applyAlignment="1" applyBorder="1" applyFont="1">
      <alignment readingOrder="0"/>
    </xf>
    <xf borderId="17" fillId="0" fontId="6" numFmtId="0" xfId="0" applyAlignment="1" applyBorder="1" applyFont="1">
      <alignment readingOrder="0"/>
    </xf>
    <xf borderId="17" fillId="2" fontId="6" numFmtId="0" xfId="0" applyBorder="1" applyFont="1"/>
    <xf borderId="0" fillId="6" fontId="6" numFmtId="0" xfId="0" applyAlignment="1" applyFont="1">
      <alignment readingOrder="0"/>
    </xf>
    <xf borderId="26" fillId="6" fontId="41" numFmtId="0" xfId="0" applyAlignment="1" applyBorder="1" applyFont="1">
      <alignment readingOrder="0" shrinkToFit="0" wrapText="1"/>
    </xf>
    <xf borderId="26" fillId="17" fontId="6" numFmtId="167" xfId="0" applyBorder="1" applyFont="1" applyNumberFormat="1"/>
    <xf borderId="26" fillId="17" fontId="6" numFmtId="0" xfId="0" applyBorder="1" applyFont="1"/>
    <xf borderId="50" fillId="9" fontId="6" numFmtId="165" xfId="0" applyBorder="1" applyFont="1" applyNumberFormat="1"/>
    <xf borderId="51" fillId="9" fontId="42" numFmtId="0" xfId="0" applyAlignment="1" applyBorder="1" applyFont="1">
      <alignment readingOrder="0"/>
    </xf>
    <xf borderId="51" fillId="9" fontId="42" numFmtId="0" xfId="0" applyAlignment="1" applyBorder="1" applyFont="1">
      <alignment readingOrder="0"/>
    </xf>
    <xf borderId="26" fillId="9" fontId="6" numFmtId="0" xfId="0" applyAlignment="1" applyBorder="1" applyFont="1">
      <alignment readingOrder="0"/>
    </xf>
    <xf borderId="7" fillId="3" fontId="6" numFmtId="0" xfId="0" applyBorder="1" applyFont="1"/>
    <xf borderId="8" fillId="3" fontId="6" numFmtId="0" xfId="0" applyBorder="1" applyFont="1"/>
    <xf borderId="8" fillId="3" fontId="6" numFmtId="0" xfId="0" applyAlignment="1" applyBorder="1" applyFont="1">
      <alignment readingOrder="0"/>
    </xf>
    <xf borderId="8" fillId="3" fontId="6" numFmtId="0" xfId="0" applyAlignment="1" applyBorder="1" applyFont="1">
      <alignment shrinkToFit="0" wrapText="1"/>
    </xf>
    <xf borderId="20" fillId="0" fontId="3" numFmtId="0" xfId="0" applyAlignment="1" applyBorder="1" applyFont="1">
      <alignment horizontal="center" readingOrder="0" vertical="bottom"/>
    </xf>
    <xf borderId="8" fillId="3" fontId="42" numFmtId="0" xfId="0" applyBorder="1" applyFont="1"/>
    <xf borderId="52" fillId="3" fontId="6" numFmtId="0" xfId="0" applyAlignment="1" applyBorder="1" applyFont="1">
      <alignment shrinkToFit="0" wrapText="1"/>
    </xf>
    <xf borderId="2" fillId="3" fontId="6" numFmtId="0" xfId="0" applyBorder="1" applyFont="1"/>
    <xf borderId="1" fillId="3" fontId="6" numFmtId="0" xfId="0" applyBorder="1" applyFont="1"/>
    <xf borderId="1" fillId="3" fontId="6" numFmtId="0" xfId="0" applyAlignment="1" applyBorder="1" applyFont="1">
      <alignment readingOrder="0"/>
    </xf>
    <xf borderId="1" fillId="3" fontId="6" numFmtId="0" xfId="0" applyAlignment="1" applyBorder="1" applyFont="1">
      <alignment shrinkToFit="0" wrapText="1"/>
    </xf>
    <xf borderId="1" fillId="3" fontId="42" numFmtId="0" xfId="0" applyBorder="1" applyFont="1"/>
    <xf borderId="53" fillId="3" fontId="6" numFmtId="0" xfId="0" applyAlignment="1" applyBorder="1" applyFont="1">
      <alignment shrinkToFit="0" wrapText="1"/>
    </xf>
    <xf borderId="11" fillId="2" fontId="39" numFmtId="0" xfId="0" applyAlignment="1" applyBorder="1" applyFont="1">
      <alignment horizontal="center" readingOrder="0" vertical="center"/>
    </xf>
    <xf borderId="54" fillId="2" fontId="39" numFmtId="0" xfId="0" applyAlignment="1" applyBorder="1" applyFont="1">
      <alignment horizontal="center" readingOrder="0" shrinkToFit="0" vertical="center" wrapText="1"/>
    </xf>
    <xf borderId="9" fillId="2" fontId="39" numFmtId="0" xfId="0" applyAlignment="1" applyBorder="1" applyFont="1">
      <alignment horizontal="center" readingOrder="0" vertical="center"/>
    </xf>
    <xf borderId="47" fillId="2" fontId="12" numFmtId="1" xfId="0" applyAlignment="1" applyBorder="1" applyFont="1" applyNumberFormat="1">
      <alignment horizontal="left" readingOrder="0" shrinkToFit="0" vertical="center" wrapText="1"/>
    </xf>
    <xf borderId="55" fillId="0" fontId="6" numFmtId="0" xfId="0" applyBorder="1" applyFont="1"/>
    <xf borderId="14" fillId="2" fontId="12" numFmtId="165" xfId="0" applyAlignment="1" applyBorder="1" applyFont="1" applyNumberFormat="1">
      <alignment horizontal="center" readingOrder="0" vertical="center"/>
    </xf>
    <xf borderId="55" fillId="2" fontId="3" numFmtId="0" xfId="0" applyAlignment="1" applyBorder="1" applyFont="1">
      <alignment vertical="center"/>
    </xf>
    <xf borderId="56" fillId="7" fontId="16" numFmtId="0" xfId="0" applyAlignment="1" applyBorder="1" applyFont="1">
      <alignment horizontal="center" shrinkToFit="0" vertical="center" wrapText="1"/>
    </xf>
    <xf borderId="56" fillId="7" fontId="16" numFmtId="0" xfId="0" applyAlignment="1" applyBorder="1" applyFont="1">
      <alignment horizontal="center" readingOrder="0" shrinkToFit="0" vertical="center" wrapText="1"/>
    </xf>
    <xf borderId="57" fillId="0" fontId="6" numFmtId="0" xfId="0" applyBorder="1" applyFont="1"/>
    <xf borderId="58" fillId="0" fontId="6" numFmtId="0" xfId="0" applyBorder="1" applyFont="1"/>
    <xf borderId="57" fillId="7" fontId="16" numFmtId="0" xfId="0" applyAlignment="1" applyBorder="1" applyFont="1">
      <alignment horizontal="center" shrinkToFit="0" vertical="center" wrapText="1"/>
    </xf>
    <xf borderId="57" fillId="7" fontId="16" numFmtId="0" xfId="0" applyAlignment="1" applyBorder="1" applyFont="1">
      <alignment horizontal="center" readingOrder="0" shrinkToFit="0" vertical="center" wrapText="1"/>
    </xf>
    <xf borderId="0" fillId="3" fontId="3" numFmtId="0" xfId="0" applyAlignment="1" applyFont="1">
      <alignment vertical="bottom"/>
    </xf>
    <xf borderId="22" fillId="7" fontId="16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vertical="bottom"/>
    </xf>
    <xf borderId="14" fillId="2" fontId="12" numFmtId="165" xfId="0" applyAlignment="1" applyBorder="1" applyFont="1" applyNumberFormat="1">
      <alignment horizontal="center" readingOrder="0" vertical="center"/>
    </xf>
    <xf borderId="0" fillId="16" fontId="16" numFmtId="0" xfId="0" applyAlignment="1" applyFont="1">
      <alignment horizontal="center" readingOrder="0" shrinkToFit="0" vertical="center" wrapText="1"/>
    </xf>
    <xf borderId="0" fillId="7" fontId="16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vertical="bottom"/>
    </xf>
    <xf borderId="54" fillId="2" fontId="12" numFmtId="1" xfId="0" applyAlignment="1" applyBorder="1" applyFont="1" applyNumberFormat="1">
      <alignment horizontal="left" readingOrder="0" shrinkToFit="0" vertical="center" wrapText="1"/>
    </xf>
    <xf borderId="59" fillId="0" fontId="6" numFmtId="0" xfId="0" applyBorder="1" applyFont="1"/>
    <xf borderId="0" fillId="3" fontId="43" numFmtId="0" xfId="0" applyAlignment="1" applyFont="1">
      <alignment horizontal="left" readingOrder="0"/>
    </xf>
    <xf borderId="0" fillId="0" fontId="43" numFmtId="0" xfId="0" applyAlignment="1" applyFont="1">
      <alignment horizontal="left" readingOrder="0"/>
    </xf>
    <xf borderId="46" fillId="2" fontId="12" numFmtId="1" xfId="0" applyAlignment="1" applyBorder="1" applyFont="1" applyNumberFormat="1">
      <alignment horizontal="left" readingOrder="0" shrinkToFit="0" vertical="center" wrapText="1"/>
    </xf>
    <xf borderId="20" fillId="3" fontId="3" numFmtId="0" xfId="0" applyAlignment="1" applyBorder="1" applyFont="1">
      <alignment horizontal="center" readingOrder="0" vertical="bottom"/>
    </xf>
    <xf borderId="45" fillId="0" fontId="44" numFmtId="0" xfId="0" applyAlignment="1" applyBorder="1" applyFont="1">
      <alignment readingOrder="0"/>
    </xf>
    <xf borderId="7" fillId="0" fontId="45" numFmtId="0" xfId="0" applyAlignment="1" applyBorder="1" applyFont="1">
      <alignment readingOrder="0"/>
    </xf>
    <xf borderId="6" fillId="0" fontId="45" numFmtId="0" xfId="0" applyAlignment="1" applyBorder="1" applyFont="1">
      <alignment readingOrder="0"/>
    </xf>
    <xf borderId="52" fillId="0" fontId="45" numFmtId="0" xfId="0" applyAlignment="1" applyBorder="1" applyFont="1">
      <alignment readingOrder="0"/>
    </xf>
    <xf borderId="45" fillId="0" fontId="46" numFmtId="0" xfId="0" applyAlignment="1" applyBorder="1" applyFont="1">
      <alignment readingOrder="0"/>
    </xf>
    <xf borderId="52" fillId="0" fontId="6" numFmtId="0" xfId="0" applyBorder="1" applyFont="1"/>
    <xf borderId="15" fillId="0" fontId="6" numFmtId="0" xfId="0" applyBorder="1" applyFont="1"/>
    <xf borderId="60" fillId="0" fontId="6" numFmtId="0" xfId="0" applyBorder="1" applyFont="1"/>
    <xf borderId="60" fillId="0" fontId="6" numFmtId="168" xfId="0" applyBorder="1" applyFont="1" applyNumberFormat="1"/>
    <xf borderId="1" fillId="0" fontId="6" numFmtId="0" xfId="0" applyBorder="1" applyFont="1"/>
    <xf borderId="53" fillId="0" fontId="6" numFmtId="0" xfId="0" applyBorder="1" applyFont="1"/>
    <xf borderId="61" fillId="0" fontId="47" numFmtId="4" xfId="0" applyAlignment="1" applyBorder="1" applyFont="1" applyNumberFormat="1">
      <alignment readingOrder="0" vertical="bottom"/>
    </xf>
    <xf borderId="61" fillId="0" fontId="6" numFmtId="0" xfId="0" applyBorder="1" applyFont="1"/>
    <xf borderId="2" fillId="0" fontId="6" numFmtId="0" xfId="0" applyBorder="1" applyFont="1"/>
    <xf borderId="16" fillId="0" fontId="6" numFmtId="0" xfId="0" applyBorder="1" applyFont="1"/>
    <xf borderId="4" fillId="0" fontId="6" numFmtId="0" xfId="0" applyBorder="1" applyFont="1"/>
    <xf borderId="45" fillId="0" fontId="6" numFmtId="0" xfId="0" applyAlignment="1" applyBorder="1" applyFont="1">
      <alignment horizontal="center" readingOrder="0" vertical="center"/>
    </xf>
    <xf borderId="44" fillId="0" fontId="45" numFmtId="0" xfId="0" applyAlignment="1" applyBorder="1" applyFont="1">
      <alignment horizontal="center" shrinkToFit="0" vertical="center" wrapText="1"/>
    </xf>
    <xf borderId="44" fillId="0" fontId="45" numFmtId="168" xfId="0" applyAlignment="1" applyBorder="1" applyFont="1" applyNumberFormat="1">
      <alignment horizontal="center" readingOrder="0" vertical="center"/>
    </xf>
    <xf borderId="25" fillId="0" fontId="45" numFmtId="0" xfId="0" applyAlignment="1" applyBorder="1" applyFont="1">
      <alignment horizontal="center" readingOrder="0" vertical="center"/>
    </xf>
    <xf borderId="25" fillId="0" fontId="45" numFmtId="0" xfId="0" applyAlignment="1" applyBorder="1" applyFont="1">
      <alignment horizontal="center" readingOrder="0" shrinkToFit="0" vertical="center" wrapText="1"/>
    </xf>
    <xf borderId="26" fillId="0" fontId="45" numFmtId="0" xfId="0" applyAlignment="1" applyBorder="1" applyFont="1">
      <alignment horizontal="center" readingOrder="0" shrinkToFit="0" vertical="center" wrapText="1"/>
    </xf>
    <xf borderId="45" fillId="0" fontId="48" numFmtId="0" xfId="0" applyAlignment="1" applyBorder="1" applyFont="1">
      <alignment horizontal="center" readingOrder="0" vertical="center"/>
    </xf>
    <xf borderId="44" fillId="0" fontId="48" numFmtId="0" xfId="0" applyAlignment="1" applyBorder="1" applyFont="1">
      <alignment horizontal="center" readingOrder="0" vertical="center"/>
    </xf>
    <xf borderId="25" fillId="0" fontId="48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vertical="center"/>
    </xf>
    <xf borderId="62" fillId="0" fontId="45" numFmtId="0" xfId="0" applyAlignment="1" applyBorder="1" applyFont="1">
      <alignment horizontal="center" readingOrder="0" vertical="center"/>
    </xf>
    <xf borderId="28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45" numFmtId="0" xfId="0" applyAlignment="1" applyFont="1">
      <alignment horizontal="center" shrinkToFit="0" vertical="center" wrapText="1"/>
    </xf>
    <xf borderId="0" fillId="0" fontId="45" numFmtId="168" xfId="0" applyAlignment="1" applyFont="1" applyNumberFormat="1">
      <alignment horizontal="center" readingOrder="0" vertical="center"/>
    </xf>
    <xf borderId="63" fillId="0" fontId="45" numFmtId="0" xfId="0" applyAlignment="1" applyBorder="1" applyFont="1">
      <alignment horizontal="center" readingOrder="0" vertical="center"/>
    </xf>
    <xf borderId="63" fillId="0" fontId="45" numFmtId="0" xfId="0" applyAlignment="1" applyBorder="1" applyFont="1">
      <alignment horizontal="center" readingOrder="0" shrinkToFit="0" vertical="center" wrapText="1"/>
    </xf>
    <xf borderId="64" fillId="0" fontId="45" numFmtId="0" xfId="0" applyAlignment="1" applyBorder="1" applyFont="1">
      <alignment horizontal="center" readingOrder="0" shrinkToFit="0" vertical="center" wrapText="1"/>
    </xf>
    <xf borderId="0" fillId="0" fontId="49" numFmtId="0" xfId="0" applyAlignment="1" applyFont="1">
      <alignment horizontal="center" readingOrder="0" vertical="center"/>
    </xf>
    <xf borderId="63" fillId="0" fontId="49" numFmtId="0" xfId="0" applyAlignment="1" applyBorder="1" applyFont="1">
      <alignment horizontal="center" readingOrder="0" vertical="center"/>
    </xf>
    <xf borderId="45" fillId="0" fontId="50" numFmtId="0" xfId="0" applyAlignment="1" applyBorder="1" applyFont="1">
      <alignment readingOrder="0"/>
    </xf>
    <xf borderId="44" fillId="0" fontId="6" numFmtId="0" xfId="0" applyAlignment="1" applyBorder="1" applyFont="1">
      <alignment readingOrder="0"/>
    </xf>
    <xf borderId="44" fillId="0" fontId="6" numFmtId="0" xfId="0" applyBorder="1" applyFont="1"/>
    <xf borderId="44" fillId="0" fontId="6" numFmtId="168" xfId="0" applyBorder="1" applyFont="1" applyNumberFormat="1"/>
    <xf borderId="25" fillId="0" fontId="6" numFmtId="0" xfId="0" applyBorder="1" applyFont="1"/>
    <xf borderId="26" fillId="0" fontId="3" numFmtId="2" xfId="0" applyAlignment="1" applyBorder="1" applyFont="1" applyNumberFormat="1">
      <alignment vertical="bottom"/>
    </xf>
    <xf borderId="26" fillId="0" fontId="6" numFmtId="2" xfId="0" applyBorder="1" applyFont="1" applyNumberFormat="1"/>
    <xf borderId="44" fillId="0" fontId="40" numFmtId="165" xfId="0" applyBorder="1" applyFont="1" applyNumberFormat="1"/>
    <xf borderId="25" fillId="0" fontId="40" numFmtId="165" xfId="0" applyBorder="1" applyFont="1" applyNumberFormat="1"/>
    <xf borderId="62" fillId="0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168" xfId="0" applyFont="1" applyNumberFormat="1"/>
    <xf borderId="63" fillId="0" fontId="6" numFmtId="0" xfId="0" applyBorder="1" applyFont="1"/>
    <xf borderId="64" fillId="0" fontId="3" numFmtId="2" xfId="0" applyAlignment="1" applyBorder="1" applyFont="1" applyNumberFormat="1">
      <alignment vertical="bottom"/>
    </xf>
    <xf borderId="64" fillId="0" fontId="6" numFmtId="2" xfId="0" applyBorder="1" applyFont="1" applyNumberFormat="1"/>
    <xf borderId="0" fillId="0" fontId="40" numFmtId="165" xfId="0" applyFont="1" applyNumberFormat="1"/>
    <xf borderId="63" fillId="0" fontId="40" numFmtId="165" xfId="0" applyBorder="1" applyFont="1" applyNumberFormat="1"/>
    <xf borderId="63" fillId="0" fontId="6" numFmtId="2" xfId="0" applyBorder="1" applyFont="1" applyNumberFormat="1"/>
    <xf borderId="65" fillId="0" fontId="6" numFmtId="0" xfId="0" applyAlignment="1" applyBorder="1" applyFont="1">
      <alignment readingOrder="0"/>
    </xf>
    <xf borderId="28" fillId="0" fontId="6" numFmtId="0" xfId="0" applyAlignment="1" applyBorder="1" applyFont="1">
      <alignment readingOrder="0"/>
    </xf>
    <xf borderId="28" fillId="0" fontId="6" numFmtId="0" xfId="0" applyBorder="1" applyFont="1"/>
    <xf borderId="28" fillId="0" fontId="6" numFmtId="168" xfId="0" applyBorder="1" applyFont="1" applyNumberFormat="1"/>
    <xf borderId="18" fillId="0" fontId="6" numFmtId="0" xfId="0" applyBorder="1" applyFont="1"/>
    <xf borderId="18" fillId="0" fontId="6" numFmtId="2" xfId="0" applyBorder="1" applyFont="1" applyNumberFormat="1"/>
    <xf borderId="17" fillId="0" fontId="6" numFmtId="2" xfId="0" applyBorder="1" applyFont="1" applyNumberFormat="1"/>
    <xf borderId="28" fillId="0" fontId="40" numFmtId="165" xfId="0" applyBorder="1" applyFont="1" applyNumberFormat="1"/>
    <xf borderId="18" fillId="0" fontId="40" numFmtId="165" xfId="0" applyBorder="1" applyFont="1" applyNumberFormat="1"/>
    <xf borderId="44" fillId="0" fontId="45" numFmtId="0" xfId="0" applyAlignment="1" applyBorder="1" applyFont="1">
      <alignment horizontal="center" vertical="center"/>
    </xf>
    <xf borderId="66" fillId="0" fontId="45" numFmtId="0" xfId="0" applyAlignment="1" applyBorder="1" applyFont="1">
      <alignment horizontal="center" readingOrder="0" vertical="center"/>
    </xf>
    <xf borderId="44" fillId="0" fontId="6" numFmtId="0" xfId="0" applyAlignment="1" applyBorder="1" applyFont="1">
      <alignment horizontal="center" vertical="center"/>
    </xf>
    <xf borderId="67" fillId="0" fontId="6" numFmtId="0" xfId="0" applyAlignment="1" applyBorder="1" applyFont="1">
      <alignment horizontal="center" vertical="center"/>
    </xf>
    <xf borderId="67" fillId="0" fontId="45" numFmtId="0" xfId="0" applyAlignment="1" applyBorder="1" applyFont="1">
      <alignment horizontal="center" shrinkToFit="0" vertical="center" wrapText="1"/>
    </xf>
    <xf borderId="67" fillId="0" fontId="45" numFmtId="168" xfId="0" applyAlignment="1" applyBorder="1" applyFont="1" applyNumberFormat="1">
      <alignment horizontal="center" readingOrder="0" vertical="center"/>
    </xf>
    <xf borderId="24" fillId="0" fontId="45" numFmtId="0" xfId="0" applyAlignment="1" applyBorder="1" applyFont="1">
      <alignment horizontal="center" readingOrder="0" vertical="center"/>
    </xf>
    <xf borderId="24" fillId="0" fontId="45" numFmtId="0" xfId="0" applyAlignment="1" applyBorder="1" applyFont="1">
      <alignment horizontal="center" readingOrder="0" shrinkToFit="0" vertical="center" wrapText="1"/>
    </xf>
    <xf borderId="45" fillId="0" fontId="6" numFmtId="2" xfId="0" applyBorder="1" applyFont="1" applyNumberFormat="1"/>
    <xf borderId="45" fillId="0" fontId="40" numFmtId="165" xfId="0" applyBorder="1" applyFont="1" applyNumberFormat="1"/>
    <xf borderId="66" fillId="0" fontId="6" numFmtId="0" xfId="0" applyAlignment="1" applyBorder="1" applyFont="1">
      <alignment readingOrder="0"/>
    </xf>
    <xf borderId="67" fillId="0" fontId="6" numFmtId="0" xfId="0" applyAlignment="1" applyBorder="1" applyFont="1">
      <alignment readingOrder="0"/>
    </xf>
    <xf borderId="67" fillId="0" fontId="6" numFmtId="0" xfId="0" applyBorder="1" applyFont="1"/>
    <xf borderId="67" fillId="0" fontId="6" numFmtId="168" xfId="0" applyBorder="1" applyFont="1" applyNumberFormat="1"/>
    <xf borderId="24" fillId="0" fontId="6" numFmtId="0" xfId="0" applyBorder="1" applyFont="1"/>
    <xf borderId="66" fillId="0" fontId="6" numFmtId="2" xfId="0" applyBorder="1" applyFont="1" applyNumberFormat="1"/>
    <xf borderId="62" fillId="0" fontId="40" numFmtId="165" xfId="0" applyBorder="1" applyFont="1" applyNumberFormat="1"/>
    <xf borderId="62" fillId="0" fontId="6" numFmtId="2" xfId="0" applyBorder="1" applyFont="1" applyNumberFormat="1"/>
    <xf borderId="0" fillId="0" fontId="6" numFmtId="1" xfId="0" applyFont="1" applyNumberFormat="1"/>
    <xf borderId="0" fillId="0" fontId="6" numFmtId="1" xfId="0" applyAlignment="1" applyFont="1" applyNumberFormat="1">
      <alignment vertical="center"/>
    </xf>
    <xf borderId="0" fillId="0" fontId="6" numFmtId="0" xfId="0" applyAlignment="1" applyFont="1">
      <alignment vertical="center"/>
    </xf>
    <xf borderId="65" fillId="0" fontId="6" numFmtId="2" xfId="0" applyBorder="1" applyFont="1" applyNumberFormat="1"/>
    <xf borderId="65" fillId="0" fontId="40" numFmtId="165" xfId="0" applyBorder="1" applyFont="1" applyNumberFormat="1"/>
    <xf borderId="45" fillId="31" fontId="51" numFmtId="0" xfId="0" applyAlignment="1" applyBorder="1" applyFill="1" applyFont="1">
      <alignment vertical="bottom"/>
    </xf>
    <xf borderId="44" fillId="31" fontId="3" numFmtId="0" xfId="0" applyAlignment="1" applyBorder="1" applyFont="1">
      <alignment horizontal="right" vertical="bottom"/>
    </xf>
    <xf borderId="44" fillId="31" fontId="3" numFmtId="0" xfId="0" applyAlignment="1" applyBorder="1" applyFont="1">
      <alignment vertical="bottom"/>
    </xf>
    <xf borderId="44" fillId="31" fontId="3" numFmtId="168" xfId="0" applyAlignment="1" applyBorder="1" applyFont="1" applyNumberFormat="1">
      <alignment horizontal="right" vertical="bottom"/>
    </xf>
    <xf borderId="25" fillId="31" fontId="3" numFmtId="0" xfId="0" applyAlignment="1" applyBorder="1" applyFont="1">
      <alignment horizontal="right" vertical="bottom"/>
    </xf>
    <xf borderId="26" fillId="32" fontId="3" numFmtId="2" xfId="0" applyAlignment="1" applyBorder="1" applyFill="1" applyFont="1" applyNumberFormat="1">
      <alignment vertical="bottom"/>
    </xf>
    <xf borderId="45" fillId="0" fontId="6" numFmtId="2" xfId="0" applyBorder="1" applyFont="1" applyNumberFormat="1"/>
    <xf borderId="45" fillId="0" fontId="6" numFmtId="165" xfId="0" applyBorder="1" applyFont="1" applyNumberFormat="1"/>
    <xf borderId="44" fillId="0" fontId="6" numFmtId="165" xfId="0" applyBorder="1" applyFont="1" applyNumberFormat="1"/>
    <xf borderId="25" fillId="0" fontId="6" numFmtId="165" xfId="0" applyBorder="1" applyFont="1" applyNumberFormat="1"/>
    <xf borderId="62" fillId="0" fontId="6" numFmtId="165" xfId="0" applyBorder="1" applyFont="1" applyNumberFormat="1"/>
    <xf borderId="0" fillId="0" fontId="6" numFmtId="165" xfId="0" applyFont="1" applyNumberFormat="1"/>
    <xf borderId="63" fillId="0" fontId="6" numFmtId="165" xfId="0" applyBorder="1" applyFont="1" applyNumberFormat="1"/>
    <xf borderId="17" fillId="0" fontId="3" numFmtId="2" xfId="0" applyAlignment="1" applyBorder="1" applyFont="1" applyNumberFormat="1">
      <alignment vertical="bottom"/>
    </xf>
    <xf borderId="65" fillId="0" fontId="6" numFmtId="165" xfId="0" applyBorder="1" applyFont="1" applyNumberFormat="1"/>
    <xf borderId="28" fillId="0" fontId="6" numFmtId="165" xfId="0" applyBorder="1" applyFont="1" applyNumberFormat="1"/>
    <xf borderId="18" fillId="0" fontId="6" numFmtId="165" xfId="0" applyBorder="1" applyFont="1" applyNumberFormat="1"/>
    <xf borderId="45" fillId="0" fontId="52" numFmtId="0" xfId="0" applyAlignment="1" applyBorder="1" applyFont="1">
      <alignment horizontal="center"/>
    </xf>
    <xf borderId="44" fillId="0" fontId="3" numFmtId="0" xfId="0" applyAlignment="1" applyBorder="1" applyFont="1">
      <alignment horizontal="center"/>
    </xf>
    <xf borderId="44" fillId="0" fontId="3" numFmtId="0" xfId="0" applyBorder="1" applyFont="1"/>
    <xf borderId="44" fillId="0" fontId="3" numFmtId="168" xfId="0" applyBorder="1" applyFont="1" applyNumberFormat="1"/>
    <xf borderId="25" fillId="0" fontId="3" numFmtId="0" xfId="0" applyBorder="1" applyFont="1"/>
    <xf borderId="17" fillId="0" fontId="3" numFmtId="0" xfId="0" applyBorder="1" applyFont="1"/>
    <xf borderId="67" fillId="0" fontId="3" numFmtId="0" xfId="0" applyBorder="1" applyFont="1"/>
    <xf borderId="24" fillId="0" fontId="3" numFmtId="0" xfId="0" applyBorder="1" applyFont="1"/>
    <xf borderId="3" fillId="0" fontId="3" numFmtId="0" xfId="0" applyBorder="1" applyFont="1"/>
    <xf borderId="5" fillId="0" fontId="3" numFmtId="0" xfId="0" applyBorder="1" applyFont="1"/>
    <xf borderId="17" fillId="32" fontId="3" numFmtId="2" xfId="0" applyAlignment="1" applyBorder="1" applyFont="1" applyNumberFormat="1">
      <alignment vertical="bottom"/>
    </xf>
    <xf borderId="64" fillId="33" fontId="3" numFmtId="2" xfId="0" applyAlignment="1" applyBorder="1" applyFill="1" applyFont="1" applyNumberFormat="1">
      <alignment vertical="bottom"/>
    </xf>
    <xf borderId="64" fillId="32" fontId="3" numFmtId="2" xfId="0" applyAlignment="1" applyBorder="1" applyFont="1" applyNumberFormat="1">
      <alignment vertical="bottom"/>
    </xf>
    <xf borderId="68" fillId="0" fontId="3" numFmtId="0" xfId="0" applyAlignment="1" applyBorder="1" applyFont="1">
      <alignment vertical="bottom"/>
    </xf>
    <xf borderId="0" fillId="3" fontId="53" numFmtId="1" xfId="0" applyAlignment="1" applyFont="1" applyNumberFormat="1">
      <alignment horizontal="center"/>
    </xf>
    <xf borderId="68" fillId="0" fontId="3" numFmtId="168" xfId="0" applyAlignment="1" applyBorder="1" applyFont="1" applyNumberFormat="1">
      <alignment vertical="bottom"/>
    </xf>
    <xf borderId="3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54" numFmtId="0" xfId="0" applyAlignment="1" applyFont="1">
      <alignment horizontal="left" readingOrder="0"/>
    </xf>
    <xf borderId="10" fillId="0" fontId="3" numFmtId="0" xfId="0" applyAlignment="1" applyBorder="1" applyFont="1">
      <alignment vertical="bottom"/>
    </xf>
    <xf borderId="45" fillId="0" fontId="6" numFmtId="165" xfId="0" applyBorder="1" applyFont="1" applyNumberFormat="1"/>
    <xf borderId="17" fillId="0" fontId="3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28" fillId="0" fontId="3" numFmtId="0" xfId="0" applyAlignment="1" applyBorder="1" applyFont="1">
      <alignment vertical="bottom"/>
    </xf>
    <xf borderId="66" fillId="0" fontId="55" numFmtId="9" xfId="0" applyAlignment="1" applyBorder="1" applyFont="1" applyNumberFormat="1">
      <alignment horizontal="center" readingOrder="0" vertical="center"/>
    </xf>
    <xf borderId="67" fillId="0" fontId="55" numFmtId="9" xfId="0" applyAlignment="1" applyBorder="1" applyFont="1" applyNumberFormat="1">
      <alignment horizontal="center" readingOrder="0" vertical="center"/>
    </xf>
    <xf borderId="24" fillId="0" fontId="55" numFmtId="9" xfId="0" applyAlignment="1" applyBorder="1" applyFont="1" applyNumberFormat="1">
      <alignment horizontal="center" readingOrder="0" vertical="center"/>
    </xf>
    <xf borderId="45" fillId="0" fontId="6" numFmtId="169" xfId="0" applyBorder="1" applyFont="1" applyNumberFormat="1"/>
    <xf borderId="45" fillId="0" fontId="6" numFmtId="169" xfId="0" applyBorder="1" applyFont="1" applyNumberFormat="1"/>
    <xf borderId="44" fillId="0" fontId="6" numFmtId="169" xfId="0" applyBorder="1" applyFont="1" applyNumberFormat="1"/>
    <xf borderId="25" fillId="0" fontId="6" numFmtId="169" xfId="0" applyBorder="1" applyFont="1" applyNumberFormat="1"/>
    <xf borderId="66" fillId="0" fontId="6" numFmtId="169" xfId="0" applyBorder="1" applyFont="1" applyNumberFormat="1"/>
    <xf borderId="62" fillId="0" fontId="6" numFmtId="169" xfId="0" applyBorder="1" applyFont="1" applyNumberFormat="1"/>
    <xf borderId="0" fillId="0" fontId="6" numFmtId="169" xfId="0" applyFont="1" applyNumberFormat="1"/>
    <xf borderId="63" fillId="0" fontId="6" numFmtId="169" xfId="0" applyBorder="1" applyFont="1" applyNumberFormat="1"/>
    <xf borderId="62" fillId="0" fontId="6" numFmtId="169" xfId="0" applyBorder="1" applyFont="1" applyNumberFormat="1"/>
    <xf borderId="65" fillId="0" fontId="6" numFmtId="169" xfId="0" applyBorder="1" applyFont="1" applyNumberFormat="1"/>
    <xf borderId="65" fillId="0" fontId="6" numFmtId="169" xfId="0" applyBorder="1" applyFont="1" applyNumberFormat="1"/>
    <xf borderId="28" fillId="0" fontId="6" numFmtId="169" xfId="0" applyBorder="1" applyFont="1" applyNumberFormat="1"/>
    <xf borderId="18" fillId="0" fontId="6" numFmtId="169" xfId="0" applyBorder="1" applyFont="1" applyNumberFormat="1"/>
    <xf borderId="28" fillId="0" fontId="3" numFmtId="0" xfId="0" applyAlignment="1" applyBorder="1" applyFont="1">
      <alignment horizontal="center" vertical="bottom"/>
    </xf>
    <xf borderId="28" fillId="31" fontId="3" numFmtId="0" xfId="0" applyAlignment="1" applyBorder="1" applyFont="1">
      <alignment horizontal="right" vertical="bottom"/>
    </xf>
    <xf borderId="65" fillId="32" fontId="3" numFmtId="2" xfId="0" applyAlignment="1" applyBorder="1" applyFont="1" applyNumberFormat="1">
      <alignment vertical="bottom"/>
    </xf>
    <xf borderId="45" fillId="0" fontId="51" numFmtId="0" xfId="0" applyAlignment="1" applyBorder="1" applyFont="1">
      <alignment vertical="bottom"/>
    </xf>
    <xf borderId="44" fillId="0" fontId="3" numFmtId="0" xfId="0" applyAlignment="1" applyBorder="1" applyFont="1">
      <alignment horizontal="right" vertical="bottom"/>
    </xf>
    <xf borderId="44" fillId="0" fontId="3" numFmtId="0" xfId="0" applyAlignment="1" applyBorder="1" applyFont="1">
      <alignment vertical="bottom"/>
    </xf>
    <xf borderId="44" fillId="0" fontId="3" numFmtId="168" xfId="0" applyAlignment="1" applyBorder="1" applyFont="1" applyNumberFormat="1">
      <alignment horizontal="right" vertical="bottom"/>
    </xf>
    <xf borderId="25" fillId="0" fontId="3" numFmtId="0" xfId="0" applyAlignment="1" applyBorder="1" applyFont="1">
      <alignment horizontal="right" vertical="bottom"/>
    </xf>
    <xf borderId="69" fillId="0" fontId="3" numFmtId="0" xfId="0" applyAlignment="1" applyBorder="1" applyFont="1">
      <alignment vertical="bottom"/>
    </xf>
    <xf borderId="69" fillId="0" fontId="3" numFmtId="168" xfId="0" applyAlignment="1" applyBorder="1" applyFont="1" applyNumberFormat="1">
      <alignment vertical="bottom"/>
    </xf>
    <xf borderId="7" fillId="0" fontId="3" numFmtId="0" xfId="0" applyAlignment="1" applyBorder="1" applyFont="1">
      <alignment vertical="bottom"/>
    </xf>
    <xf borderId="3" fillId="0" fontId="3" numFmtId="168" xfId="0" applyAlignment="1" applyBorder="1" applyFont="1" applyNumberFormat="1">
      <alignment vertical="bottom"/>
    </xf>
    <xf borderId="0" fillId="5" fontId="12" numFmtId="0" xfId="0" applyAlignment="1" applyFont="1">
      <alignment readingOrder="0" shrinkToFit="0" vertical="center" wrapText="1"/>
    </xf>
    <xf borderId="70" fillId="0" fontId="6" numFmtId="0" xfId="0" applyBorder="1" applyFont="1"/>
    <xf borderId="71" fillId="5" fontId="12" numFmtId="0" xfId="0" applyAlignment="1" applyBorder="1" applyFont="1">
      <alignment readingOrder="0" shrinkToFit="0" vertical="center" wrapText="1"/>
    </xf>
    <xf borderId="72" fillId="5" fontId="12" numFmtId="0" xfId="0" applyAlignment="1" applyBorder="1" applyFont="1">
      <alignment readingOrder="0" shrinkToFit="0" vertical="center" wrapText="1"/>
    </xf>
    <xf borderId="72" fillId="5" fontId="12" numFmtId="0" xfId="0" applyAlignment="1" applyBorder="1" applyFont="1">
      <alignment horizontal="center" readingOrder="0" shrinkToFit="0" vertical="center" wrapText="1"/>
    </xf>
    <xf borderId="6" fillId="5" fontId="12" numFmtId="0" xfId="0" applyAlignment="1" applyBorder="1" applyFont="1">
      <alignment horizontal="center" readingOrder="0" shrinkToFit="0" vertical="center" wrapText="1"/>
    </xf>
    <xf borderId="52" fillId="5" fontId="12" numFmtId="0" xfId="0" applyAlignment="1" applyBorder="1" applyFont="1">
      <alignment horizontal="center" readingOrder="0" shrinkToFit="0" vertical="center" wrapText="1"/>
    </xf>
    <xf borderId="73" fillId="0" fontId="6" numFmtId="0" xfId="0" applyBorder="1" applyFont="1"/>
    <xf borderId="71" fillId="0" fontId="6" numFmtId="0" xfId="0" applyBorder="1" applyFont="1"/>
    <xf borderId="72" fillId="0" fontId="6" numFmtId="0" xfId="0" applyBorder="1" applyFont="1"/>
    <xf borderId="2" fillId="5" fontId="12" numFmtId="0" xfId="0" applyAlignment="1" applyBorder="1" applyFont="1">
      <alignment horizontal="center" readingOrder="0" shrinkToFit="0" vertical="center" wrapText="1"/>
    </xf>
    <xf borderId="1" fillId="5" fontId="12" numFmtId="0" xfId="0" applyAlignment="1" applyBorder="1" applyFont="1">
      <alignment horizontal="center" readingOrder="0" shrinkToFit="0" vertical="center" wrapText="1"/>
    </xf>
    <xf borderId="74" fillId="5" fontId="12" numFmtId="0" xfId="0" applyAlignment="1" applyBorder="1" applyFont="1">
      <alignment horizontal="center" readingOrder="0" shrinkToFit="0" vertical="center" wrapText="1"/>
    </xf>
    <xf borderId="0" fillId="0" fontId="3" numFmtId="0" xfId="0" applyFont="1"/>
    <xf borderId="0" fillId="16" fontId="56" numFmtId="0" xfId="0" applyAlignment="1" applyFont="1">
      <alignment horizontal="center" readingOrder="0" shrinkToFit="0" vertical="center" wrapText="1"/>
    </xf>
    <xf borderId="0" fillId="34" fontId="57" numFmtId="0" xfId="0" applyAlignment="1" applyFill="1" applyFont="1">
      <alignment readingOrder="0" vertical="bottom"/>
    </xf>
    <xf borderId="0" fillId="34" fontId="57" numFmtId="0" xfId="0" applyAlignment="1" applyFont="1">
      <alignment horizontal="left" readingOrder="0" vertical="bottom"/>
    </xf>
    <xf borderId="62" fillId="34" fontId="6" numFmtId="0" xfId="0" applyAlignment="1" applyBorder="1" applyFont="1">
      <alignment readingOrder="0"/>
    </xf>
    <xf borderId="0" fillId="34" fontId="6" numFmtId="170" xfId="0" applyAlignment="1" applyFont="1" applyNumberFormat="1">
      <alignment readingOrder="0"/>
    </xf>
    <xf borderId="63" fillId="34" fontId="6" numFmtId="170" xfId="0" applyAlignment="1" applyBorder="1" applyFont="1" applyNumberFormat="1">
      <alignment readingOrder="0"/>
    </xf>
    <xf borderId="0" fillId="35" fontId="57" numFmtId="0" xfId="0" applyAlignment="1" applyFill="1" applyFont="1">
      <alignment readingOrder="0" vertical="bottom"/>
    </xf>
    <xf borderId="0" fillId="35" fontId="57" numFmtId="0" xfId="0" applyAlignment="1" applyFont="1">
      <alignment horizontal="left" readingOrder="0" vertical="bottom"/>
    </xf>
    <xf borderId="62" fillId="35" fontId="6" numFmtId="0" xfId="0" applyAlignment="1" applyBorder="1" applyFont="1">
      <alignment readingOrder="0"/>
    </xf>
    <xf borderId="0" fillId="35" fontId="6" numFmtId="170" xfId="0" applyAlignment="1" applyFont="1" applyNumberFormat="1">
      <alignment readingOrder="0"/>
    </xf>
    <xf borderId="63" fillId="35" fontId="6" numFmtId="170" xfId="0" applyAlignment="1" applyBorder="1" applyFont="1" applyNumberFormat="1">
      <alignment readingOrder="0"/>
    </xf>
    <xf borderId="0" fillId="36" fontId="57" numFmtId="0" xfId="0" applyAlignment="1" applyFill="1" applyFont="1">
      <alignment readingOrder="0" vertical="bottom"/>
    </xf>
    <xf borderId="0" fillId="36" fontId="57" numFmtId="0" xfId="0" applyAlignment="1" applyFont="1">
      <alignment horizontal="left" readingOrder="0" vertical="bottom"/>
    </xf>
    <xf borderId="62" fillId="36" fontId="6" numFmtId="0" xfId="0" applyAlignment="1" applyBorder="1" applyFont="1">
      <alignment readingOrder="0"/>
    </xf>
    <xf borderId="0" fillId="36" fontId="6" numFmtId="170" xfId="0" applyAlignment="1" applyFont="1" applyNumberFormat="1">
      <alignment readingOrder="0"/>
    </xf>
    <xf borderId="63" fillId="36" fontId="6" numFmtId="170" xfId="0" applyAlignment="1" applyBorder="1" applyFont="1" applyNumberFormat="1">
      <alignment readingOrder="0"/>
    </xf>
    <xf borderId="0" fillId="0" fontId="57" numFmtId="0" xfId="0" applyAlignment="1" applyFont="1">
      <alignment readingOrder="0" vertical="bottom"/>
    </xf>
    <xf borderId="0" fillId="0" fontId="57" numFmtId="0" xfId="0" applyAlignment="1" applyFont="1">
      <alignment horizontal="left" readingOrder="0" vertical="bottom"/>
    </xf>
    <xf borderId="62" fillId="0" fontId="6" numFmtId="0" xfId="0" applyAlignment="1" applyBorder="1" applyFont="1">
      <alignment readingOrder="0"/>
    </xf>
    <xf borderId="0" fillId="0" fontId="6" numFmtId="170" xfId="0" applyAlignment="1" applyFont="1" applyNumberFormat="1">
      <alignment readingOrder="0"/>
    </xf>
    <xf borderId="63" fillId="0" fontId="6" numFmtId="170" xfId="0" applyAlignment="1" applyBorder="1" applyFont="1" applyNumberFormat="1">
      <alignment readingOrder="0"/>
    </xf>
    <xf borderId="75" fillId="0" fontId="6" numFmtId="0" xfId="0" applyBorder="1" applyFont="1"/>
    <xf borderId="75" fillId="3" fontId="3" numFmtId="0" xfId="0" applyAlignment="1" applyBorder="1" applyFont="1">
      <alignment vertical="bottom"/>
    </xf>
    <xf borderId="76" fillId="3" fontId="3" numFmtId="0" xfId="0" applyAlignment="1" applyBorder="1" applyFont="1">
      <alignment vertical="bottom"/>
    </xf>
    <xf borderId="77" fillId="0" fontId="6" numFmtId="0" xfId="0" applyBorder="1" applyFont="1"/>
    <xf borderId="75" fillId="3" fontId="3" numFmtId="165" xfId="0" applyAlignment="1" applyBorder="1" applyFont="1" applyNumberFormat="1">
      <alignment vertical="bottom"/>
    </xf>
    <xf borderId="45" fillId="0" fontId="6" numFmtId="0" xfId="0" applyBorder="1" applyFont="1"/>
    <xf borderId="26" fillId="0" fontId="6" numFmtId="0" xfId="0" applyAlignment="1" applyBorder="1" applyFont="1">
      <alignment horizontal="center"/>
    </xf>
    <xf borderId="26" fillId="0" fontId="6" numFmtId="9" xfId="0" applyAlignment="1" applyBorder="1" applyFont="1" applyNumberFormat="1">
      <alignment horizontal="center"/>
    </xf>
    <xf borderId="78" fillId="0" fontId="58" numFmtId="0" xfId="0" applyBorder="1" applyFont="1"/>
    <xf borderId="66" fillId="16" fontId="59" numFmtId="0" xfId="0" applyAlignment="1" applyBorder="1" applyFont="1">
      <alignment readingOrder="0"/>
    </xf>
    <xf borderId="67" fillId="0" fontId="6" numFmtId="0" xfId="0" applyBorder="1" applyFont="1"/>
    <xf borderId="24" fillId="0" fontId="6" numFmtId="0" xfId="0" applyBorder="1" applyFont="1"/>
    <xf borderId="79" fillId="0" fontId="6" numFmtId="0" xfId="0" applyBorder="1" applyFont="1"/>
    <xf borderId="65" fillId="0" fontId="6" numFmtId="0" xfId="0" applyBorder="1" applyFont="1"/>
    <xf borderId="18" fillId="0" fontId="6" numFmtId="0" xfId="0" applyBorder="1" applyFont="1"/>
    <xf borderId="26" fillId="0" fontId="6" numFmtId="0" xfId="0" applyBorder="1" applyFont="1"/>
    <xf borderId="26" fillId="26" fontId="39" numFmtId="9" xfId="0" applyAlignment="1" applyBorder="1" applyFont="1" applyNumberFormat="1">
      <alignment horizontal="center" readingOrder="0"/>
    </xf>
    <xf borderId="45" fillId="26" fontId="39" numFmtId="9" xfId="0" applyAlignment="1" applyBorder="1" applyFont="1" applyNumberFormat="1">
      <alignment horizontal="center" readingOrder="0"/>
    </xf>
    <xf borderId="25" fillId="26" fontId="6" numFmtId="0" xfId="0" applyBorder="1" applyFont="1"/>
    <xf borderId="45" fillId="26" fontId="39" numFmtId="0" xfId="0" applyAlignment="1" applyBorder="1" applyFont="1">
      <alignment readingOrder="0"/>
    </xf>
    <xf borderId="26" fillId="26" fontId="39" numFmtId="0" xfId="0" applyAlignment="1" applyBorder="1" applyFont="1">
      <alignment readingOrder="0"/>
    </xf>
    <xf borderId="26" fillId="3" fontId="6" numFmtId="171" xfId="0" applyBorder="1" applyFont="1" applyNumberFormat="1"/>
    <xf borderId="45" fillId="3" fontId="6" numFmtId="171" xfId="0" applyBorder="1" applyFont="1" applyNumberFormat="1"/>
    <xf borderId="25" fillId="3" fontId="6" numFmtId="0" xfId="0" applyBorder="1" applyFont="1"/>
    <xf borderId="45" fillId="3" fontId="6" numFmtId="0" xfId="0" applyBorder="1" applyFont="1"/>
    <xf borderId="26" fillId="3" fontId="6" numFmtId="10" xfId="0" applyBorder="1" applyFont="1" applyNumberFormat="1"/>
    <xf borderId="26" fillId="3" fontId="6" numFmtId="0" xfId="0" applyBorder="1" applyFont="1"/>
    <xf borderId="26" fillId="37" fontId="6" numFmtId="171" xfId="0" applyBorder="1" applyFill="1" applyFont="1" applyNumberFormat="1"/>
    <xf borderId="45" fillId="37" fontId="6" numFmtId="171" xfId="0" applyBorder="1" applyFont="1" applyNumberFormat="1"/>
    <xf borderId="25" fillId="37" fontId="6" numFmtId="0" xfId="0" applyBorder="1" applyFont="1"/>
    <xf borderId="45" fillId="37" fontId="6" numFmtId="0" xfId="0" applyBorder="1" applyFont="1"/>
    <xf borderId="26" fillId="37" fontId="6" numFmtId="10" xfId="0" applyBorder="1" applyFont="1" applyNumberFormat="1"/>
    <xf borderId="26" fillId="37" fontId="6" numFmtId="0" xfId="0" applyBorder="1" applyFont="1"/>
    <xf borderId="80" fillId="3" fontId="6" numFmtId="171" xfId="0" applyBorder="1" applyFont="1" applyNumberFormat="1"/>
    <xf borderId="81" fillId="3" fontId="6" numFmtId="171" xfId="0" applyBorder="1" applyFont="1" applyNumberFormat="1"/>
    <xf borderId="5" fillId="3" fontId="6" numFmtId="171" xfId="0" applyBorder="1" applyFont="1" applyNumberFormat="1"/>
    <xf borderId="81" fillId="3" fontId="6" numFmtId="0" xfId="0" applyBorder="1" applyFont="1"/>
    <xf borderId="82" fillId="3" fontId="6" numFmtId="10" xfId="0" applyBorder="1" applyFont="1" applyNumberFormat="1"/>
    <xf borderId="83" fillId="3" fontId="6" numFmtId="171" xfId="0" applyBorder="1" applyFont="1" applyNumberFormat="1"/>
    <xf borderId="66" fillId="3" fontId="6" numFmtId="171" xfId="0" applyBorder="1" applyFont="1" applyNumberFormat="1"/>
    <xf borderId="24" fillId="3" fontId="6" numFmtId="0" xfId="0" applyBorder="1" applyFont="1"/>
    <xf borderId="84" fillId="3" fontId="6" numFmtId="10" xfId="0" applyBorder="1" applyFont="1" applyNumberFormat="1"/>
    <xf borderId="82" fillId="37" fontId="6" numFmtId="0" xfId="0" applyBorder="1" applyFont="1"/>
    <xf borderId="82" fillId="3" fontId="6" numFmtId="0" xfId="0" applyBorder="1" applyFont="1"/>
    <xf borderId="85" fillId="3" fontId="6" numFmtId="171" xfId="0" applyBorder="1" applyFont="1" applyNumberFormat="1"/>
    <xf borderId="86" fillId="3" fontId="6" numFmtId="171" xfId="0" applyBorder="1" applyFont="1" applyNumberFormat="1"/>
    <xf borderId="79" fillId="3" fontId="6" numFmtId="171" xfId="0" applyBorder="1" applyFont="1" applyNumberFormat="1"/>
    <xf borderId="86" fillId="3" fontId="6" numFmtId="0" xfId="0" applyBorder="1" applyFont="1"/>
    <xf borderId="87" fillId="3" fontId="6" numFmtId="10" xfId="0" applyBorder="1" applyFont="1" applyNumberFormat="1"/>
    <xf borderId="45" fillId="3" fontId="6" numFmtId="0" xfId="0" applyAlignment="1" applyBorder="1" applyFont="1">
      <alignment readingOrder="0"/>
    </xf>
    <xf borderId="44" fillId="3" fontId="6" numFmtId="0" xfId="0" applyBorder="1" applyFont="1"/>
    <xf borderId="26" fillId="3" fontId="6" numFmtId="0" xfId="0" applyAlignment="1" applyBorder="1" applyFont="1">
      <alignment readingOrder="0"/>
    </xf>
    <xf borderId="45" fillId="37" fontId="6" numFmtId="0" xfId="0" applyAlignment="1" applyBorder="1" applyFont="1">
      <alignment readingOrder="0"/>
    </xf>
    <xf borderId="44" fillId="37" fontId="6" numFmtId="0" xfId="0" applyBorder="1" applyFont="1"/>
    <xf borderId="26" fillId="37" fontId="6" numFmtId="172" xfId="0" applyBorder="1" applyFont="1" applyNumberFormat="1"/>
    <xf borderId="88" fillId="0" fontId="45" numFmtId="0" xfId="0" applyAlignment="1" applyBorder="1" applyFont="1">
      <alignment readingOrder="0"/>
    </xf>
    <xf borderId="52" fillId="3" fontId="6" numFmtId="0" xfId="0" applyBorder="1" applyFont="1"/>
    <xf borderId="16" fillId="0" fontId="6" numFmtId="0" xfId="0" applyAlignment="1" applyBorder="1" applyFont="1">
      <alignment readingOrder="0"/>
    </xf>
    <xf borderId="16" fillId="3" fontId="6" numFmtId="0" xfId="0" applyBorder="1" applyFont="1"/>
    <xf borderId="4" fillId="3" fontId="6" numFmtId="0" xfId="0" applyBorder="1" applyFont="1"/>
    <xf borderId="0" fillId="3" fontId="60" numFmtId="0" xfId="0" applyAlignment="1" applyFont="1">
      <alignment readingOrder="0"/>
    </xf>
    <xf borderId="3" fillId="0" fontId="45" numFmtId="0" xfId="0" applyAlignment="1" applyBorder="1" applyFont="1">
      <alignment readingOrder="0"/>
    </xf>
    <xf borderId="89" fillId="0" fontId="45" numFmtId="0" xfId="0" applyAlignment="1" applyBorder="1" applyFont="1">
      <alignment readingOrder="0"/>
    </xf>
    <xf borderId="90" fillId="3" fontId="6" numFmtId="0" xfId="0" applyBorder="1" applyFont="1"/>
    <xf borderId="89" fillId="0" fontId="6" numFmtId="0" xfId="0" applyAlignment="1" applyBorder="1" applyFont="1">
      <alignment readingOrder="0"/>
    </xf>
    <xf borderId="89" fillId="3" fontId="14" numFmtId="0" xfId="0" applyAlignment="1" applyBorder="1" applyFont="1">
      <alignment readingOrder="0"/>
    </xf>
    <xf borderId="89" fillId="0" fontId="61" numFmtId="0" xfId="0" applyAlignment="1" applyBorder="1" applyFont="1">
      <alignment readingOrder="0"/>
    </xf>
    <xf borderId="89" fillId="0" fontId="6" numFmtId="0" xfId="0" applyBorder="1" applyFont="1"/>
    <xf borderId="16" fillId="0" fontId="62" numFmtId="0" xfId="0" applyBorder="1" applyFont="1"/>
    <xf borderId="16" fillId="0" fontId="63" numFmtId="0" xfId="0" applyAlignment="1" applyBorder="1" applyFont="1">
      <alignment readingOrder="0"/>
    </xf>
    <xf borderId="16" fillId="3" fontId="6" numFmtId="0" xfId="0" applyAlignment="1" applyBorder="1" applyFont="1">
      <alignment readingOrder="0"/>
    </xf>
    <xf borderId="90" fillId="3" fontId="6" numFmtId="0" xfId="0" applyAlignment="1" applyBorder="1" applyFont="1">
      <alignment readingOrder="0"/>
    </xf>
    <xf borderId="89" fillId="0" fontId="45" numFmtId="0" xfId="0" applyBorder="1" applyFont="1"/>
    <xf borderId="16" fillId="0" fontId="6" numFmtId="0" xfId="0" applyAlignment="1" applyBorder="1" applyFont="1">
      <alignment readingOrder="0" shrinkToFit="0" wrapText="1"/>
    </xf>
    <xf borderId="12" fillId="2" fontId="12" numFmtId="1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  <tableStyles count="21">
    <tableStyle count="2" pivot="0" name="Oniland Rerun (JP)-style">
      <tableStyleElement dxfId="1" type="firstRowStripe"/>
      <tableStyleElement dxfId="2" type="secondRowStripe"/>
    </tableStyle>
    <tableStyle count="2" pivot="0" name="Oniland Rerun (JP)-style 2">
      <tableStyleElement dxfId="3" type="firstRowStripe"/>
      <tableStyleElement dxfId="4" type="secondRowStripe"/>
    </tableStyle>
    <tableStyle count="2" pivot="0" name="Oniland Rerun (JP)-style 3">
      <tableStyleElement dxfId="3" type="firstRowStripe"/>
      <tableStyleElement dxfId="4" type="secondRowStripe"/>
    </tableStyle>
    <tableStyle count="3" pivot="0" name="HW3 Currency (NA)-style">
      <tableStyleElement dxfId="7" type="headerRow"/>
      <tableStyleElement dxfId="1" type="firstRowStripe"/>
      <tableStyleElement dxfId="2" type="secondRowStripe"/>
    </tableStyle>
    <tableStyle count="3" pivot="0" name="HW3 Currency (NA)-style 2">
      <tableStyleElement dxfId="7" type="headerRow"/>
      <tableStyleElement dxfId="1" type="firstRowStripe"/>
      <tableStyleElement dxfId="2" type="secondRowStripe"/>
    </tableStyle>
    <tableStyle count="3" pivot="0" name="HW3 Currency (NA)-style 3">
      <tableStyleElement dxfId="7" type="headerRow"/>
      <tableStyleElement dxfId="1" type="firstRowStripe"/>
      <tableStyleElement dxfId="2" type="secondRowStripe"/>
    </tableStyle>
    <tableStyle count="2" pivot="0" name="HW3 Currency (NA)-style 4">
      <tableStyleElement dxfId="1" type="firstRowStripe"/>
      <tableStyleElement dxfId="2" type="secondRowStripe"/>
    </tableStyle>
    <tableStyle count="3" pivot="0" name="HW3 Currency (NA)-style 5">
      <tableStyleElement dxfId="7" type="headerRow"/>
      <tableStyleElement dxfId="1" type="firstRowStripe"/>
      <tableStyleElement dxfId="2" type="secondRowStripe"/>
    </tableStyle>
    <tableStyle count="3" pivot="0" name="HW3 Currency (NA)-style 6">
      <tableStyleElement dxfId="7" type="headerRow"/>
      <tableStyleElement dxfId="1" type="firstRowStripe"/>
      <tableStyleElement dxfId="2" type="secondRowStripe"/>
    </tableStyle>
    <tableStyle count="3" pivot="0" name="HW3 Currency (NA)-style 7">
      <tableStyleElement dxfId="7" type="headerRow"/>
      <tableStyleElement dxfId="1" type="firstRowStripe"/>
      <tableStyleElement dxfId="2" type="secondRowStripe"/>
    </tableStyle>
    <tableStyle count="3" pivot="0" name="HW3 Currency (NA)-style 8">
      <tableStyleElement dxfId="7" type="headerRow"/>
      <tableStyleElement dxfId="1" type="firstRowStripe"/>
      <tableStyleElement dxfId="2" type="secondRowStripe"/>
    </tableStyle>
    <tableStyle count="3" pivot="0" name="HW3 Currency (NA)-style 9">
      <tableStyleElement dxfId="7" type="headerRow"/>
      <tableStyleElement dxfId="1" type="firstRowStripe"/>
      <tableStyleElement dxfId="2" type="secondRowStripe"/>
    </tableStyle>
    <tableStyle count="2" pivot="0" name="HW3 Currency (NA)-style 10">
      <tableStyleElement dxfId="1" type="firstRowStripe"/>
      <tableStyleElement dxfId="2" type="secondRowStripe"/>
    </tableStyle>
    <tableStyle count="3" pivot="0" name="HW3 Currency (NA)-style 11">
      <tableStyleElement dxfId="7" type="headerRow"/>
      <tableStyleElement dxfId="1" type="firstRowStripe"/>
      <tableStyleElement dxfId="2" type="secondRowStripe"/>
    </tableStyle>
    <tableStyle count="2" pivot="0" name="HW3 Currency (NA)-style 12">
      <tableStyleElement dxfId="1" type="firstRowStripe"/>
      <tableStyleElement dxfId="2" type="secondRowStripe"/>
    </tableStyle>
    <tableStyle count="3" pivot="0" name="HW3 Currency (NA)-style 13">
      <tableStyleElement dxfId="7" type="headerRow"/>
      <tableStyleElement dxfId="1" type="firstRowStripe"/>
      <tableStyleElement dxfId="2" type="secondRowStripe"/>
    </tableStyle>
    <tableStyle count="3" pivot="0" name="HW3 Currency (NA)-style 14">
      <tableStyleElement dxfId="7" type="headerRow"/>
      <tableStyleElement dxfId="1" type="firstRowStripe"/>
      <tableStyleElement dxfId="2" type="secondRowStripe"/>
    </tableStyle>
    <tableStyle count="2" pivot="0" name="HW3 Currency (NA)-style 15">
      <tableStyleElement dxfId="1" type="firstRowStripe"/>
      <tableStyleElement dxfId="2" type="secondRowStripe"/>
    </tableStyle>
    <tableStyle count="3" pivot="0" name="HW3 Currency (NA)-style 16">
      <tableStyleElement dxfId="7" type="headerRow"/>
      <tableStyleElement dxfId="1" type="firstRowStripe"/>
      <tableStyleElement dxfId="2" type="secondRowStripe"/>
    </tableStyle>
    <tableStyle count="2" pivot="0" name="HW3 Currency (NA)-style 17">
      <tableStyleElement dxfId="1" type="firstRowStripe"/>
      <tableStyleElement dxfId="2" type="secondRowStripe"/>
    </tableStyle>
    <tableStyle count="3" pivot="0" name="HW3 Currency (NA)-style 18">
      <tableStyleElement dxfId="7"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3:CB101" displayName="Table_1" id="1">
  <tableColumns count="7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</tableColumns>
  <tableStyleInfo name="Oniland Rerun (JP)-style" showColumnStripes="0" showFirstColumn="1" showLastColumn="1" showRowStripes="1"/>
</table>
</file>

<file path=xl/tables/table10.xml><?xml version="1.0" encoding="utf-8"?>
<table xmlns="http://schemas.openxmlformats.org/spreadsheetml/2006/main" headerRowCount="0" ref="A41:AC49" displayName="Table_10" id="10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HW3 Currency (NA)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A29:AC37" displayName="Table_11" id="11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HW3 Currency (NA)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A137:AC145" displayName="Table_12" id="12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HW3 Currency (NA)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headerRowCount="0" ref="A146:AC146" displayName="Table_13" id="13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HW3 Currency (NA)-style 10" showColumnStripes="0" showFirstColumn="1" showLastColumn="1" showRowStripes="1"/>
</table>
</file>

<file path=xl/tables/table14.xml><?xml version="1.0" encoding="utf-8"?>
<table xmlns="http://schemas.openxmlformats.org/spreadsheetml/2006/main" headerRowCount="0" ref="A65:AC73" displayName="Table_14" id="14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HW3 Currency (NA)-style 1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headerRowCount="0" ref="A122:AC122" displayName="Table_15" id="15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HW3 Currency (NA)-style 12" showColumnStripes="0" showFirstColumn="1" showLastColumn="1" showRowStripes="1"/>
</table>
</file>

<file path=xl/tables/table16.xml><?xml version="1.0" encoding="utf-8"?>
<table xmlns="http://schemas.openxmlformats.org/spreadsheetml/2006/main" headerRowCount="0" ref="A77:AC86" displayName="Table_16" id="16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HW3 Currency (NA)-style 1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headerRowCount="0" ref="A149:AC157" displayName="Table_17" id="17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HW3 Currency (NA)-style 1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8.xml><?xml version="1.0" encoding="utf-8"?>
<table xmlns="http://schemas.openxmlformats.org/spreadsheetml/2006/main" headerRowCount="0" ref="A134:AC134" displayName="Table_18" id="18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HW3 Currency (NA)-style 15" showColumnStripes="0" showFirstColumn="1" showLastColumn="1" showRowStripes="1"/>
</table>
</file>

<file path=xl/tables/table19.xml><?xml version="1.0" encoding="utf-8"?>
<table xmlns="http://schemas.openxmlformats.org/spreadsheetml/2006/main" headerRowCount="0" ref="A113:AC121" displayName="Table_19" id="19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HW3 Currency (NA)-style 1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CD3:CD101" displayName="Table_2" id="2">
  <tableColumns count="1">
    <tableColumn name="Column1" id="1"/>
  </tableColumns>
  <tableStyleInfo name="Oniland Rerun (JP)-style 2" showColumnStripes="0" showFirstColumn="1" showLastColumn="1" showRowStripes="1"/>
</table>
</file>

<file path=xl/tables/table20.xml><?xml version="1.0" encoding="utf-8"?>
<table xmlns="http://schemas.openxmlformats.org/spreadsheetml/2006/main" headerRowCount="0" ref="A158:AC158" displayName="Table_20" id="20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HW3 Currency (NA)-style 17" showColumnStripes="0" showFirstColumn="1" showLastColumn="1" showRowStripes="1"/>
</table>
</file>

<file path=xl/tables/table21.xml><?xml version="1.0" encoding="utf-8"?>
<table xmlns="http://schemas.openxmlformats.org/spreadsheetml/2006/main" headerRowCount="0" ref="A125:AC133" displayName="Table_21" id="21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HW3 Currency (NA)-style 1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3:A101" displayName="Table_3" id="3">
  <tableColumns count="1">
    <tableColumn name="Column1" id="1"/>
  </tableColumns>
  <tableStyleInfo name="Oniland Rerun (JP)-style 3" showColumnStripes="0" showFirstColumn="1" showLastColumn="1" showRowStripes="1"/>
</table>
</file>

<file path=xl/tables/table4.xml><?xml version="1.0" encoding="utf-8"?>
<table xmlns="http://schemas.openxmlformats.org/spreadsheetml/2006/main" headerRowCount="0" ref="A5:AC13" displayName="Table_4" id="4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HW3 Currency (NA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7:AC25" displayName="Table_5" id="5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HW3 Currency (NA)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89:AC98" displayName="Table_6" id="6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HW3 Currency (NA)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110:AC110" displayName="Table_7" id="7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HW3 Currency (NA)-style 4" showColumnStripes="0" showFirstColumn="1" showLastColumn="1" showRowStripes="1"/>
</table>
</file>

<file path=xl/tables/table8.xml><?xml version="1.0" encoding="utf-8"?>
<table xmlns="http://schemas.openxmlformats.org/spreadsheetml/2006/main" headerRowCount="0" ref="A101:AC109" displayName="Table_8" id="8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HW3 Currency (NA)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A53:AC61" displayName="Table_9" id="9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HW3 Currency (NA)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s://twitter.com/AAcademy_fgo" TargetMode="External"/><Relationship Id="rId22" Type="http://schemas.openxmlformats.org/officeDocument/2006/relationships/drawing" Target="../drawings/drawing10.xml"/><Relationship Id="rId21" Type="http://schemas.openxmlformats.org/officeDocument/2006/relationships/hyperlink" Target="https://discord.gg/sSapWHU" TargetMode="External"/><Relationship Id="rId11" Type="http://schemas.openxmlformats.org/officeDocument/2006/relationships/hyperlink" Target="https://i.imgur.com/sttaCag.png" TargetMode="External"/><Relationship Id="rId10" Type="http://schemas.openxmlformats.org/officeDocument/2006/relationships/hyperlink" Target="https://i.imgur.com/I3nEaAt.png" TargetMode="External"/><Relationship Id="rId13" Type="http://schemas.openxmlformats.org/officeDocument/2006/relationships/hyperlink" Target="https://i.imgur.com/f8dRAp5.png" TargetMode="External"/><Relationship Id="rId12" Type="http://schemas.openxmlformats.org/officeDocument/2006/relationships/hyperlink" Target="https://i.imgur.com/8JucvML.png" TargetMode="External"/><Relationship Id="rId15" Type="http://schemas.openxmlformats.org/officeDocument/2006/relationships/hyperlink" Target="https://i.imgur.com/fIBQkVJ.jpg" TargetMode="External"/><Relationship Id="rId14" Type="http://schemas.openxmlformats.org/officeDocument/2006/relationships/hyperlink" Target="https://i.imgur.com/jL9Yfa2.png" TargetMode="External"/><Relationship Id="rId17" Type="http://schemas.openxmlformats.org/officeDocument/2006/relationships/hyperlink" Target="https://i.imgur.com/xvKQBst.png" TargetMode="External"/><Relationship Id="rId16" Type="http://schemas.openxmlformats.org/officeDocument/2006/relationships/hyperlink" Target="http://i.imgur.com/6TNL2z5.png" TargetMode="External"/><Relationship Id="rId19" Type="http://schemas.openxmlformats.org/officeDocument/2006/relationships/hyperlink" Target="https://www.reddit.com/message/compose/?to=dumbutilziador" TargetMode="External"/><Relationship Id="rId18" Type="http://schemas.openxmlformats.org/officeDocument/2006/relationships/hyperlink" Target="https://www.reddit.com/message/compose/?to=rathus" TargetMode="External"/><Relationship Id="rId1" Type="http://schemas.openxmlformats.org/officeDocument/2006/relationships/hyperlink" Target="https://docs.google.com/spreadsheets/d/1TrfSDteVZnjUPz68rKzuZWZdZZBLqw03FlvEToOvqH0/edit" TargetMode="External"/><Relationship Id="rId2" Type="http://schemas.openxmlformats.org/officeDocument/2006/relationships/hyperlink" Target="https://docs.google.com/spreadsheets/d/10I6LSXkvpI39-ylGZ7Kf5bmcX74vlMmrO-grLunCnaA/edit?usp=sharing" TargetMode="External"/><Relationship Id="rId3" Type="http://schemas.openxmlformats.org/officeDocument/2006/relationships/hyperlink" Target="https://i.imgur.com/uN0pbFC.png" TargetMode="External"/><Relationship Id="rId4" Type="http://schemas.openxmlformats.org/officeDocument/2006/relationships/hyperlink" Target="https://i.imgur.com/s5pZHEi.png" TargetMode="External"/><Relationship Id="rId9" Type="http://schemas.openxmlformats.org/officeDocument/2006/relationships/hyperlink" Target="https://i.imgur.com/kkmWHPP.png" TargetMode="External"/><Relationship Id="rId5" Type="http://schemas.openxmlformats.org/officeDocument/2006/relationships/hyperlink" Target="https://i.imgur.com/TsZ8xYs.png" TargetMode="External"/><Relationship Id="rId6" Type="http://schemas.openxmlformats.org/officeDocument/2006/relationships/hyperlink" Target="https://i.imgur.com/kz9giSi.png" TargetMode="External"/><Relationship Id="rId7" Type="http://schemas.openxmlformats.org/officeDocument/2006/relationships/hyperlink" Target="https://i.imgur.com/HQ8x25h.png" TargetMode="External"/><Relationship Id="rId8" Type="http://schemas.openxmlformats.org/officeDocument/2006/relationships/hyperlink" Target="https://i.imgur.com/UviqepS.png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fategrandorder.fandom.com/wiki/Free_Quests:_Shinjuku" TargetMode="External"/><Relationship Id="rId190" Type="http://schemas.openxmlformats.org/officeDocument/2006/relationships/hyperlink" Target="https://fategrandorder.fandom.com/wiki/Free_Quests:_E_Pluribus_Unum" TargetMode="External"/><Relationship Id="rId42" Type="http://schemas.openxmlformats.org/officeDocument/2006/relationships/hyperlink" Target="https://fategrandorder.fandom.com/wiki/Free_Quests:_Babylonia" TargetMode="External"/><Relationship Id="rId41" Type="http://schemas.openxmlformats.org/officeDocument/2006/relationships/hyperlink" Target="https://fategrandorder.fandom.com/wiki/Free_Quests:_Babylonia" TargetMode="External"/><Relationship Id="rId44" Type="http://schemas.openxmlformats.org/officeDocument/2006/relationships/hyperlink" Target="https://fategrandorder.fandom.com/wiki/Free_Quests:_Shimosa" TargetMode="External"/><Relationship Id="rId194" Type="http://schemas.openxmlformats.org/officeDocument/2006/relationships/hyperlink" Target="https://fategrandorder.fandom.com/wiki/Free_Quests:_Shinjuku" TargetMode="External"/><Relationship Id="rId43" Type="http://schemas.openxmlformats.org/officeDocument/2006/relationships/hyperlink" Target="https://fategrandorder.fandom.com/wiki/Free_Quests:_Anastasia" TargetMode="External"/><Relationship Id="rId193" Type="http://schemas.openxmlformats.org/officeDocument/2006/relationships/hyperlink" Target="https://fategrandorder.fandom.com/wiki/Free_Quests:_Camelot" TargetMode="External"/><Relationship Id="rId46" Type="http://schemas.openxmlformats.org/officeDocument/2006/relationships/hyperlink" Target="https://fategrandorder.fandom.com/wiki/Free_Quests:_Anastasia" TargetMode="External"/><Relationship Id="rId192" Type="http://schemas.openxmlformats.org/officeDocument/2006/relationships/hyperlink" Target="https://fategrandorder.fandom.com/wiki/Free_Quests:_Fuyuki" TargetMode="External"/><Relationship Id="rId45" Type="http://schemas.openxmlformats.org/officeDocument/2006/relationships/hyperlink" Target="https://fategrandorder.fandom.com/wiki/Free_Quests:_Anastasia" TargetMode="External"/><Relationship Id="rId191" Type="http://schemas.openxmlformats.org/officeDocument/2006/relationships/hyperlink" Target="https://fategrandorder.fandom.com/wiki/Free_Quests:_Babylonia" TargetMode="External"/><Relationship Id="rId48" Type="http://schemas.openxmlformats.org/officeDocument/2006/relationships/hyperlink" Target="https://fategrandorder.fandom.com/wiki/Free_Quests:_London" TargetMode="External"/><Relationship Id="rId187" Type="http://schemas.openxmlformats.org/officeDocument/2006/relationships/hyperlink" Target="https://fategrandorder.fandom.com/wiki/Free_Quests:_Camelot" TargetMode="External"/><Relationship Id="rId47" Type="http://schemas.openxmlformats.org/officeDocument/2006/relationships/hyperlink" Target="https://fategrandorder.fandom.com/wiki/Free_Quests:_Babylonia" TargetMode="External"/><Relationship Id="rId186" Type="http://schemas.openxmlformats.org/officeDocument/2006/relationships/hyperlink" Target="https://fategrandorder.fandom.com/wiki/Free_Quests:_Shinjuku" TargetMode="External"/><Relationship Id="rId185" Type="http://schemas.openxmlformats.org/officeDocument/2006/relationships/hyperlink" Target="https://fategrandorder.fandom.com/wiki/Free_Quests:_Yuga_Kshetra" TargetMode="External"/><Relationship Id="rId49" Type="http://schemas.openxmlformats.org/officeDocument/2006/relationships/hyperlink" Target="https://fategrandorder.fandom.com/wiki/Free_Quests:_Shinjuku" TargetMode="External"/><Relationship Id="rId184" Type="http://schemas.openxmlformats.org/officeDocument/2006/relationships/hyperlink" Target="https://fategrandorder.fandom.com/wiki/Free_Quests:_Anastasia" TargetMode="External"/><Relationship Id="rId189" Type="http://schemas.openxmlformats.org/officeDocument/2006/relationships/hyperlink" Target="https://fategrandorder.fandom.com/wiki/Free_Quests:_Shinjuku" TargetMode="External"/><Relationship Id="rId188" Type="http://schemas.openxmlformats.org/officeDocument/2006/relationships/hyperlink" Target="https://fategrandorder.fandom.com/wiki/Free_Quests:_Salem" TargetMode="External"/><Relationship Id="rId31" Type="http://schemas.openxmlformats.org/officeDocument/2006/relationships/hyperlink" Target="https://fategrandorder.fandom.com/wiki/Free_Quests:_Babylonia" TargetMode="External"/><Relationship Id="rId30" Type="http://schemas.openxmlformats.org/officeDocument/2006/relationships/hyperlink" Target="https://fategrandorder.fandom.com/wiki/Free_Quests:_Septem" TargetMode="External"/><Relationship Id="rId33" Type="http://schemas.openxmlformats.org/officeDocument/2006/relationships/hyperlink" Target="https://fategrandorder.fandom.com/wiki/Free_Quests:_Camelot" TargetMode="External"/><Relationship Id="rId183" Type="http://schemas.openxmlformats.org/officeDocument/2006/relationships/hyperlink" Target="https://fategrandorder.fandom.com/wiki/Free_Quests:_Agartha" TargetMode="External"/><Relationship Id="rId32" Type="http://schemas.openxmlformats.org/officeDocument/2006/relationships/hyperlink" Target="https://fategrandorder.fandom.com/wiki/Free_Quests:_Agartha" TargetMode="External"/><Relationship Id="rId182" Type="http://schemas.openxmlformats.org/officeDocument/2006/relationships/hyperlink" Target="https://fategrandorder.fandom.com/wiki/Free_Quests:_E_Pluribus_Unum" TargetMode="External"/><Relationship Id="rId35" Type="http://schemas.openxmlformats.org/officeDocument/2006/relationships/hyperlink" Target="https://fategrandorder.fandom.com/wiki/Free_Quests:_Salem" TargetMode="External"/><Relationship Id="rId181" Type="http://schemas.openxmlformats.org/officeDocument/2006/relationships/hyperlink" Target="https://fategrandorder.fandom.com/wiki/Free_Quests:_London" TargetMode="External"/><Relationship Id="rId34" Type="http://schemas.openxmlformats.org/officeDocument/2006/relationships/hyperlink" Target="https://fategrandorder.fandom.com/wiki/Free_Quests:_Camelot" TargetMode="External"/><Relationship Id="rId180" Type="http://schemas.openxmlformats.org/officeDocument/2006/relationships/hyperlink" Target="https://fategrandorder.fandom.com/wiki/Free_Quests:_Yuga_Kshetra" TargetMode="External"/><Relationship Id="rId37" Type="http://schemas.openxmlformats.org/officeDocument/2006/relationships/hyperlink" Target="https://fategrandorder.fandom.com/wiki/Free_Quests:_Salem" TargetMode="External"/><Relationship Id="rId176" Type="http://schemas.openxmlformats.org/officeDocument/2006/relationships/hyperlink" Target="https://fategrandorder.fandom.com/wiki/Free_Quests:_Yuga_Kshetra" TargetMode="External"/><Relationship Id="rId36" Type="http://schemas.openxmlformats.org/officeDocument/2006/relationships/hyperlink" Target="https://fategrandorder.fandom.com/wiki/Free_Quests:_Camelot" TargetMode="External"/><Relationship Id="rId175" Type="http://schemas.openxmlformats.org/officeDocument/2006/relationships/hyperlink" Target="https://fategrandorder.fandom.com/wiki/Free_Quests:_Yuga_Kshetra" TargetMode="External"/><Relationship Id="rId39" Type="http://schemas.openxmlformats.org/officeDocument/2006/relationships/hyperlink" Target="https://fategrandorder.fandom.com/wiki/Free_Quests:_Agartha" TargetMode="External"/><Relationship Id="rId174" Type="http://schemas.openxmlformats.org/officeDocument/2006/relationships/hyperlink" Target="https://fategrandorder.fandom.com/wiki/Free_Quests:_Okeanos" TargetMode="External"/><Relationship Id="rId38" Type="http://schemas.openxmlformats.org/officeDocument/2006/relationships/hyperlink" Target="https://fategrandorder.fandom.com/wiki/Free_Quests:_Salem" TargetMode="External"/><Relationship Id="rId173" Type="http://schemas.openxmlformats.org/officeDocument/2006/relationships/hyperlink" Target="https://fategrandorder.fandom.com/wiki/Free_Quests:_S_I_N" TargetMode="External"/><Relationship Id="rId179" Type="http://schemas.openxmlformats.org/officeDocument/2006/relationships/hyperlink" Target="https://fategrandorder.fandom.com/wiki/Free_Quests:_London" TargetMode="External"/><Relationship Id="rId178" Type="http://schemas.openxmlformats.org/officeDocument/2006/relationships/hyperlink" Target="https://fategrandorder.fandom.com/wiki/Free_Quests:_Yuga_Kshetra" TargetMode="External"/><Relationship Id="rId177" Type="http://schemas.openxmlformats.org/officeDocument/2006/relationships/hyperlink" Target="https://fategrandorder.fandom.com/wiki/Free_Quests:_Yuga_Kshetra" TargetMode="External"/><Relationship Id="rId20" Type="http://schemas.openxmlformats.org/officeDocument/2006/relationships/hyperlink" Target="https://fategrandorder.fandom.com/wiki/Free_Quests:_Babylonia" TargetMode="External"/><Relationship Id="rId22" Type="http://schemas.openxmlformats.org/officeDocument/2006/relationships/hyperlink" Target="https://fategrandorder.fandom.com/wiki/Free_Quests:_Okeanos" TargetMode="External"/><Relationship Id="rId21" Type="http://schemas.openxmlformats.org/officeDocument/2006/relationships/hyperlink" Target="https://fategrandorder.fandom.com/wiki/Free_Quests:_Yuga_Kshetra" TargetMode="External"/><Relationship Id="rId24" Type="http://schemas.openxmlformats.org/officeDocument/2006/relationships/hyperlink" Target="https://fategrandorder.fandom.com/wiki/Free_Quests:_Agartha" TargetMode="External"/><Relationship Id="rId23" Type="http://schemas.openxmlformats.org/officeDocument/2006/relationships/hyperlink" Target="https://fategrandorder.fandom.com/wiki/Free_Quests:_Yuga_Kshetra" TargetMode="External"/><Relationship Id="rId26" Type="http://schemas.openxmlformats.org/officeDocument/2006/relationships/hyperlink" Target="https://fategrandorder.fandom.com/wiki/Free_Quests:_E_Pluribus_Unum" TargetMode="External"/><Relationship Id="rId25" Type="http://schemas.openxmlformats.org/officeDocument/2006/relationships/hyperlink" Target="https://fategrandorder.fandom.com/wiki/Free_Quests:_Yuga_Kshetra" TargetMode="External"/><Relationship Id="rId28" Type="http://schemas.openxmlformats.org/officeDocument/2006/relationships/hyperlink" Target="https://fategrandorder.fandom.com/wiki/Free_Quests:_E_Pluribus_Unum" TargetMode="External"/><Relationship Id="rId27" Type="http://schemas.openxmlformats.org/officeDocument/2006/relationships/hyperlink" Target="https://fategrandorder.fandom.com/wiki/Free_Quests:_Camelot" TargetMode="External"/><Relationship Id="rId29" Type="http://schemas.openxmlformats.org/officeDocument/2006/relationships/hyperlink" Target="https://fategrandorder.fandom.com/wiki/Free_Quests:_Camelot" TargetMode="External"/><Relationship Id="rId11" Type="http://schemas.openxmlformats.org/officeDocument/2006/relationships/hyperlink" Target="https://fategrandorder.fandom.com/wiki/Free_Quests:_Fuyuki" TargetMode="External"/><Relationship Id="rId10" Type="http://schemas.openxmlformats.org/officeDocument/2006/relationships/hyperlink" Target="https://fategrandorder.fandom.com/wiki/Free_Quests:_Fuyuki" TargetMode="External"/><Relationship Id="rId13" Type="http://schemas.openxmlformats.org/officeDocument/2006/relationships/hyperlink" Target="https://fategrandorder.fandom.com/wiki/Free_Quests:_Agartha" TargetMode="External"/><Relationship Id="rId12" Type="http://schemas.openxmlformats.org/officeDocument/2006/relationships/hyperlink" Target="https://fategrandorder.fandom.com/wiki/Free_Quests:_Fuyuki" TargetMode="External"/><Relationship Id="rId15" Type="http://schemas.openxmlformats.org/officeDocument/2006/relationships/hyperlink" Target="https://fategrandorder.fandom.com/wiki/Free_Quests:_E_Pluribus_Unum" TargetMode="External"/><Relationship Id="rId198" Type="http://schemas.openxmlformats.org/officeDocument/2006/relationships/hyperlink" Target="https://fategrandorder.fandom.com/wiki/Free_Quests:_Agartha" TargetMode="External"/><Relationship Id="rId14" Type="http://schemas.openxmlformats.org/officeDocument/2006/relationships/hyperlink" Target="https://fategrandorder.fandom.com/wiki/Free_Quests:_Fuyuki" TargetMode="External"/><Relationship Id="rId197" Type="http://schemas.openxmlformats.org/officeDocument/2006/relationships/hyperlink" Target="https://fategrandorder.fandom.com/wiki/Free_Quests:_E_Pluribus_Unum" TargetMode="External"/><Relationship Id="rId17" Type="http://schemas.openxmlformats.org/officeDocument/2006/relationships/hyperlink" Target="https://fategrandorder.fandom.com/wiki/Free_Quests:_Camelot" TargetMode="External"/><Relationship Id="rId196" Type="http://schemas.openxmlformats.org/officeDocument/2006/relationships/hyperlink" Target="https://fategrandorder.fandom.com/wiki/Free_Quests:_E_Pluribus_Unum" TargetMode="External"/><Relationship Id="rId16" Type="http://schemas.openxmlformats.org/officeDocument/2006/relationships/hyperlink" Target="https://fategrandorder.fandom.com/wiki/Free_Quests:_Septem" TargetMode="External"/><Relationship Id="rId195" Type="http://schemas.openxmlformats.org/officeDocument/2006/relationships/hyperlink" Target="https://fategrandorder.fandom.com/wiki/Free_Quests:_G%C3%B6tterd%C3%A4mmerung" TargetMode="External"/><Relationship Id="rId19" Type="http://schemas.openxmlformats.org/officeDocument/2006/relationships/hyperlink" Target="https://fategrandorder.fandom.com/wiki/Free_Quests:_Okeanos" TargetMode="External"/><Relationship Id="rId18" Type="http://schemas.openxmlformats.org/officeDocument/2006/relationships/hyperlink" Target="https://fategrandorder.fandom.com/wiki/Free_Quests:_E_Pluribus_Unum" TargetMode="External"/><Relationship Id="rId199" Type="http://schemas.openxmlformats.org/officeDocument/2006/relationships/hyperlink" Target="https://fategrandorder.fandom.com/wiki/Free_Quests:_Yuga_Kshetra" TargetMode="External"/><Relationship Id="rId84" Type="http://schemas.openxmlformats.org/officeDocument/2006/relationships/hyperlink" Target="https://fategrandorder.fandom.com/wiki/Free_Quests:_G%C3%B6tterd%C3%A4mmerung" TargetMode="External"/><Relationship Id="rId83" Type="http://schemas.openxmlformats.org/officeDocument/2006/relationships/hyperlink" Target="https://fategrandorder.fandom.com/wiki/Free_Quests:_Shimosa" TargetMode="External"/><Relationship Id="rId86" Type="http://schemas.openxmlformats.org/officeDocument/2006/relationships/hyperlink" Target="https://fategrandorder.fandom.com/wiki/Free_Quests:_Camelot" TargetMode="External"/><Relationship Id="rId85" Type="http://schemas.openxmlformats.org/officeDocument/2006/relationships/hyperlink" Target="https://fategrandorder.fandom.com/wiki/Free_Quests:_Agartha" TargetMode="External"/><Relationship Id="rId88" Type="http://schemas.openxmlformats.org/officeDocument/2006/relationships/hyperlink" Target="https://fategrandorder.fandom.com/wiki/Free_Quests:_Camelot" TargetMode="External"/><Relationship Id="rId150" Type="http://schemas.openxmlformats.org/officeDocument/2006/relationships/hyperlink" Target="https://fategrandorder.fandom.com/wiki/Free_Quests:_Salem" TargetMode="External"/><Relationship Id="rId87" Type="http://schemas.openxmlformats.org/officeDocument/2006/relationships/hyperlink" Target="https://fategrandorder.fandom.com/wiki/Free_Quests:_G%C3%B6tterd%C3%A4mmerung" TargetMode="External"/><Relationship Id="rId89" Type="http://schemas.openxmlformats.org/officeDocument/2006/relationships/hyperlink" Target="https://fategrandorder.fandom.com/wiki/Free_Quests:_Shimosa" TargetMode="External"/><Relationship Id="rId80" Type="http://schemas.openxmlformats.org/officeDocument/2006/relationships/hyperlink" Target="https://fategrandorder.fandom.com/wiki/Free_Quests:_Okeanos" TargetMode="External"/><Relationship Id="rId82" Type="http://schemas.openxmlformats.org/officeDocument/2006/relationships/hyperlink" Target="https://fategrandorder.fandom.com/wiki/Free_Quests:_G%C3%B6tterd%C3%A4mmerung" TargetMode="External"/><Relationship Id="rId81" Type="http://schemas.openxmlformats.org/officeDocument/2006/relationships/hyperlink" Target="https://fategrandorder.fandom.com/wiki/Free_Quests:_Shimosa" TargetMode="External"/><Relationship Id="rId1" Type="http://schemas.openxmlformats.org/officeDocument/2006/relationships/hyperlink" Target="https://docs.google.com/spreadsheets/d/1NY7nOVQkDyWTXhnK1KP1oPUXoN1C0SY6pMEXPcFuKyI/edit?usp=sharing" TargetMode="External"/><Relationship Id="rId2" Type="http://schemas.openxmlformats.org/officeDocument/2006/relationships/hyperlink" Target="https://fategrandorder.fandom.com/wiki/Free_Quests:_Okeanos" TargetMode="External"/><Relationship Id="rId3" Type="http://schemas.openxmlformats.org/officeDocument/2006/relationships/hyperlink" Target="https://fategrandorder.fandom.com/wiki/Free_Quests:_Orleans" TargetMode="External"/><Relationship Id="rId149" Type="http://schemas.openxmlformats.org/officeDocument/2006/relationships/hyperlink" Target="https://fategrandorder.fandom.com/wiki/Free_Quests:_Shimosa" TargetMode="External"/><Relationship Id="rId4" Type="http://schemas.openxmlformats.org/officeDocument/2006/relationships/hyperlink" Target="https://fategrandorder.fandom.com/wiki/Free_Quests:_Shinjuku" TargetMode="External"/><Relationship Id="rId148" Type="http://schemas.openxmlformats.org/officeDocument/2006/relationships/hyperlink" Target="https://fategrandorder.fandom.com/wiki/Free_Quests:_Septem" TargetMode="External"/><Relationship Id="rId9" Type="http://schemas.openxmlformats.org/officeDocument/2006/relationships/hyperlink" Target="https://fategrandorder.fandom.com/wiki/Free_Quests:_E_Pluribus_Unum" TargetMode="External"/><Relationship Id="rId143" Type="http://schemas.openxmlformats.org/officeDocument/2006/relationships/hyperlink" Target="https://fategrandorder.fandom.com/wiki/Free_Quests:_Shimosa" TargetMode="External"/><Relationship Id="rId142" Type="http://schemas.openxmlformats.org/officeDocument/2006/relationships/hyperlink" Target="https://fategrandorder.fandom.com/wiki/Free_Quests:_Okeanos" TargetMode="External"/><Relationship Id="rId141" Type="http://schemas.openxmlformats.org/officeDocument/2006/relationships/hyperlink" Target="https://fategrandorder.fandom.com/wiki/Free_Quests:_Anastasia" TargetMode="External"/><Relationship Id="rId140" Type="http://schemas.openxmlformats.org/officeDocument/2006/relationships/hyperlink" Target="https://fategrandorder.fandom.com/wiki/Free_Quests:_Septem" TargetMode="External"/><Relationship Id="rId5" Type="http://schemas.openxmlformats.org/officeDocument/2006/relationships/hyperlink" Target="https://fategrandorder.fandom.com/wiki/Free_Quests:_Okeanos" TargetMode="External"/><Relationship Id="rId147" Type="http://schemas.openxmlformats.org/officeDocument/2006/relationships/hyperlink" Target="https://fategrandorder.fandom.com/wiki/Free_Quests:_Shimosa" TargetMode="External"/><Relationship Id="rId6" Type="http://schemas.openxmlformats.org/officeDocument/2006/relationships/hyperlink" Target="https://fategrandorder.fandom.com/wiki/Free_Quests:_G%C3%B6tterd%C3%A4mmerung" TargetMode="External"/><Relationship Id="rId146" Type="http://schemas.openxmlformats.org/officeDocument/2006/relationships/hyperlink" Target="https://fategrandorder.fandom.com/wiki/Free_Quests:_Yuga_Kshetra" TargetMode="External"/><Relationship Id="rId7" Type="http://schemas.openxmlformats.org/officeDocument/2006/relationships/hyperlink" Target="https://fategrandorder.fandom.com/wiki/Free_Quests:_E_Pluribus_Unum" TargetMode="External"/><Relationship Id="rId145" Type="http://schemas.openxmlformats.org/officeDocument/2006/relationships/hyperlink" Target="https://fategrandorder.fandom.com/wiki/Free_Quests:_Shimosa" TargetMode="External"/><Relationship Id="rId8" Type="http://schemas.openxmlformats.org/officeDocument/2006/relationships/hyperlink" Target="https://fategrandorder.fandom.com/wiki/Free_Quests:_Agartha" TargetMode="External"/><Relationship Id="rId144" Type="http://schemas.openxmlformats.org/officeDocument/2006/relationships/hyperlink" Target="https://fategrandorder.fandom.com/wiki/Free_Quests:_Shimosa" TargetMode="External"/><Relationship Id="rId73" Type="http://schemas.openxmlformats.org/officeDocument/2006/relationships/hyperlink" Target="https://fategrandorder.fandom.com/wiki/Free_Quests:_Salem" TargetMode="External"/><Relationship Id="rId72" Type="http://schemas.openxmlformats.org/officeDocument/2006/relationships/hyperlink" Target="https://fategrandorder.fandom.com/wiki/Free_Quests:_Salem" TargetMode="External"/><Relationship Id="rId75" Type="http://schemas.openxmlformats.org/officeDocument/2006/relationships/hyperlink" Target="https://fategrandorder.fandom.com/wiki/Free_Quests:_Yuga_Kshetra" TargetMode="External"/><Relationship Id="rId74" Type="http://schemas.openxmlformats.org/officeDocument/2006/relationships/hyperlink" Target="https://fategrandorder.fandom.com/wiki/Free_Quests:_Agartha" TargetMode="External"/><Relationship Id="rId77" Type="http://schemas.openxmlformats.org/officeDocument/2006/relationships/hyperlink" Target="https://fategrandorder.fandom.com/wiki/Free_Quests:_Salem" TargetMode="External"/><Relationship Id="rId76" Type="http://schemas.openxmlformats.org/officeDocument/2006/relationships/hyperlink" Target="https://fategrandorder.fandom.com/wiki/Free_Quests:_Shimosa" TargetMode="External"/><Relationship Id="rId79" Type="http://schemas.openxmlformats.org/officeDocument/2006/relationships/hyperlink" Target="https://fategrandorder.fandom.com/wiki/Free_Quests:_Camelot" TargetMode="External"/><Relationship Id="rId78" Type="http://schemas.openxmlformats.org/officeDocument/2006/relationships/hyperlink" Target="https://fategrandorder.fandom.com/wiki/Free_Quests:_Babylonia" TargetMode="External"/><Relationship Id="rId71" Type="http://schemas.openxmlformats.org/officeDocument/2006/relationships/hyperlink" Target="https://fategrandorder.fandom.com/wiki/Free_Quests:_Babylonia" TargetMode="External"/><Relationship Id="rId70" Type="http://schemas.openxmlformats.org/officeDocument/2006/relationships/hyperlink" Target="https://fategrandorder.fandom.com/wiki/Free_Quests:_S_I_N" TargetMode="External"/><Relationship Id="rId139" Type="http://schemas.openxmlformats.org/officeDocument/2006/relationships/hyperlink" Target="https://fategrandorder.fandom.com/wiki/Free_Quests:_Anastasia" TargetMode="External"/><Relationship Id="rId138" Type="http://schemas.openxmlformats.org/officeDocument/2006/relationships/hyperlink" Target="https://fategrandorder.fandom.com/wiki/Free_Quests:_London" TargetMode="External"/><Relationship Id="rId137" Type="http://schemas.openxmlformats.org/officeDocument/2006/relationships/hyperlink" Target="https://fategrandorder.fandom.com/wiki/Free_Quests:_Anastasia" TargetMode="External"/><Relationship Id="rId132" Type="http://schemas.openxmlformats.org/officeDocument/2006/relationships/hyperlink" Target="https://fategrandorder.fandom.com/wiki/Free_Quests:_Shinjuku" TargetMode="External"/><Relationship Id="rId131" Type="http://schemas.openxmlformats.org/officeDocument/2006/relationships/hyperlink" Target="https://fategrandorder.fandom.com/wiki/Free_Quests:_Camelot" TargetMode="External"/><Relationship Id="rId130" Type="http://schemas.openxmlformats.org/officeDocument/2006/relationships/hyperlink" Target="https://fategrandorder.fandom.com/wiki/Free_Quests:_Camelot" TargetMode="External"/><Relationship Id="rId136" Type="http://schemas.openxmlformats.org/officeDocument/2006/relationships/hyperlink" Target="https://fategrandorder.fandom.com/wiki/Free_Quests:_Okeanos" TargetMode="External"/><Relationship Id="rId135" Type="http://schemas.openxmlformats.org/officeDocument/2006/relationships/hyperlink" Target="https://fategrandorder.fandom.com/wiki/Free_Quests:_Babylonia" TargetMode="External"/><Relationship Id="rId134" Type="http://schemas.openxmlformats.org/officeDocument/2006/relationships/hyperlink" Target="https://fategrandorder.fandom.com/wiki/Free_Quests:_Shinjuku" TargetMode="External"/><Relationship Id="rId133" Type="http://schemas.openxmlformats.org/officeDocument/2006/relationships/hyperlink" Target="https://fategrandorder.fandom.com/wiki/Free_Quests:_Shinjuku" TargetMode="External"/><Relationship Id="rId62" Type="http://schemas.openxmlformats.org/officeDocument/2006/relationships/hyperlink" Target="https://fategrandorder.fandom.com/wiki/Free_Quests:_Salem" TargetMode="External"/><Relationship Id="rId61" Type="http://schemas.openxmlformats.org/officeDocument/2006/relationships/hyperlink" Target="https://fategrandorder.fandom.com/wiki/Free_Quests:_Shimosa" TargetMode="External"/><Relationship Id="rId64" Type="http://schemas.openxmlformats.org/officeDocument/2006/relationships/hyperlink" Target="https://fategrandorder.fandom.com/wiki/Free_Quests:_Anastasia" TargetMode="External"/><Relationship Id="rId63" Type="http://schemas.openxmlformats.org/officeDocument/2006/relationships/hyperlink" Target="https://fategrandorder.fandom.com/wiki/Free_Quests:_Shimosa" TargetMode="External"/><Relationship Id="rId66" Type="http://schemas.openxmlformats.org/officeDocument/2006/relationships/hyperlink" Target="https://fategrandorder.fandom.com/wiki/Free_Quests:_Anastasia" TargetMode="External"/><Relationship Id="rId172" Type="http://schemas.openxmlformats.org/officeDocument/2006/relationships/hyperlink" Target="https://fategrandorder.fandom.com/wiki/Free_Quests:_S_I_N" TargetMode="External"/><Relationship Id="rId65" Type="http://schemas.openxmlformats.org/officeDocument/2006/relationships/hyperlink" Target="https://fategrandorder.fandom.com/wiki/Free_Quests:_Anastasia" TargetMode="External"/><Relationship Id="rId171" Type="http://schemas.openxmlformats.org/officeDocument/2006/relationships/hyperlink" Target="https://fategrandorder.fandom.com/wiki/Free_Quests:_S_I_N" TargetMode="External"/><Relationship Id="rId68" Type="http://schemas.openxmlformats.org/officeDocument/2006/relationships/hyperlink" Target="https://fategrandorder.fandom.com/wiki/Free_Quests:_Shinjuku" TargetMode="External"/><Relationship Id="rId170" Type="http://schemas.openxmlformats.org/officeDocument/2006/relationships/hyperlink" Target="https://fategrandorder.fandom.com/wiki/Free_Quests:_S_I_N" TargetMode="External"/><Relationship Id="rId67" Type="http://schemas.openxmlformats.org/officeDocument/2006/relationships/hyperlink" Target="https://fategrandorder.fandom.com/wiki/Free_Quests:_Anastasia" TargetMode="External"/><Relationship Id="rId60" Type="http://schemas.openxmlformats.org/officeDocument/2006/relationships/hyperlink" Target="https://fategrandorder.fandom.com/wiki/Free_Quests:_Salem" TargetMode="External"/><Relationship Id="rId165" Type="http://schemas.openxmlformats.org/officeDocument/2006/relationships/hyperlink" Target="https://fategrandorder.fandom.com/wiki/Free_Quests:_G%C3%B6tterd%C3%A4mmerung" TargetMode="External"/><Relationship Id="rId69" Type="http://schemas.openxmlformats.org/officeDocument/2006/relationships/hyperlink" Target="https://fategrandorder.fandom.com/wiki/Free_Quests:_Anastasia" TargetMode="External"/><Relationship Id="rId164" Type="http://schemas.openxmlformats.org/officeDocument/2006/relationships/hyperlink" Target="https://fategrandorder.fandom.com/wiki/Free_Quests:_G%C3%B6tterd%C3%A4mmerung" TargetMode="External"/><Relationship Id="rId163" Type="http://schemas.openxmlformats.org/officeDocument/2006/relationships/hyperlink" Target="https://fategrandorder.fandom.com/wiki/Free_Quests:_G%C3%B6tterd%C3%A4mmerung" TargetMode="External"/><Relationship Id="rId162" Type="http://schemas.openxmlformats.org/officeDocument/2006/relationships/hyperlink" Target="https://fategrandorder.fandom.com/wiki/Free_Quests:_G%C3%B6tterd%C3%A4mmerung" TargetMode="External"/><Relationship Id="rId169" Type="http://schemas.openxmlformats.org/officeDocument/2006/relationships/hyperlink" Target="https://fategrandorder.fandom.com/wiki/Free_Quests:_E_Pluribus_Unum" TargetMode="External"/><Relationship Id="rId168" Type="http://schemas.openxmlformats.org/officeDocument/2006/relationships/hyperlink" Target="https://fategrandorder.fandom.com/wiki/Free_Quests:_G%C3%B6tterd%C3%A4mmerung" TargetMode="External"/><Relationship Id="rId167" Type="http://schemas.openxmlformats.org/officeDocument/2006/relationships/hyperlink" Target="https://fategrandorder.fandom.com/wiki/Free_Quests:_E_Pluribus_Unum" TargetMode="External"/><Relationship Id="rId166" Type="http://schemas.openxmlformats.org/officeDocument/2006/relationships/hyperlink" Target="https://fategrandorder.fandom.com/wiki/Free_Quests:_G%C3%B6tterd%C3%A4mmerung" TargetMode="External"/><Relationship Id="rId51" Type="http://schemas.openxmlformats.org/officeDocument/2006/relationships/hyperlink" Target="https://fategrandorder.fandom.com/wiki/Free_Quests:_Shinjuku" TargetMode="External"/><Relationship Id="rId50" Type="http://schemas.openxmlformats.org/officeDocument/2006/relationships/hyperlink" Target="https://fategrandorder.fandom.com/wiki/Free_Quests:_Shinjuku" TargetMode="External"/><Relationship Id="rId53" Type="http://schemas.openxmlformats.org/officeDocument/2006/relationships/hyperlink" Target="https://fategrandorder.fandom.com/wiki/Free_Quests:_Shinjuku" TargetMode="External"/><Relationship Id="rId52" Type="http://schemas.openxmlformats.org/officeDocument/2006/relationships/hyperlink" Target="https://fategrandorder.fandom.com/wiki/Free_Quests:_Camelot" TargetMode="External"/><Relationship Id="rId55" Type="http://schemas.openxmlformats.org/officeDocument/2006/relationships/hyperlink" Target="https://fategrandorder.fandom.com/wiki/Free_Quests:_Shinjuku" TargetMode="External"/><Relationship Id="rId161" Type="http://schemas.openxmlformats.org/officeDocument/2006/relationships/hyperlink" Target="https://fategrandorder.fandom.com/wiki/Free_Quests:_E_Pluribus_Unum" TargetMode="External"/><Relationship Id="rId54" Type="http://schemas.openxmlformats.org/officeDocument/2006/relationships/hyperlink" Target="https://fategrandorder.fandom.com/wiki/Free_Quests:_Agartha" TargetMode="External"/><Relationship Id="rId160" Type="http://schemas.openxmlformats.org/officeDocument/2006/relationships/hyperlink" Target="https://fategrandorder.fandom.com/wiki/Free_Quests:_G%C3%B6tterd%C3%A4mmerung" TargetMode="External"/><Relationship Id="rId57" Type="http://schemas.openxmlformats.org/officeDocument/2006/relationships/hyperlink" Target="https://fategrandorder.fandom.com/wiki/Free_Quests:_Salem" TargetMode="External"/><Relationship Id="rId56" Type="http://schemas.openxmlformats.org/officeDocument/2006/relationships/hyperlink" Target="https://fategrandorder.fandom.com/wiki/Free_Quests:_Shinjuku" TargetMode="External"/><Relationship Id="rId159" Type="http://schemas.openxmlformats.org/officeDocument/2006/relationships/hyperlink" Target="https://fategrandorder.fandom.com/wiki/Free_Quests:_G%C3%B6tterd%C3%A4mmerung" TargetMode="External"/><Relationship Id="rId59" Type="http://schemas.openxmlformats.org/officeDocument/2006/relationships/hyperlink" Target="https://fategrandorder.fandom.com/wiki/Free_Quests:_Salem" TargetMode="External"/><Relationship Id="rId154" Type="http://schemas.openxmlformats.org/officeDocument/2006/relationships/hyperlink" Target="https://fategrandorder.fandom.com/wiki/Free_Quests:_Anastasia" TargetMode="External"/><Relationship Id="rId58" Type="http://schemas.openxmlformats.org/officeDocument/2006/relationships/hyperlink" Target="https://fategrandorder.fandom.com/wiki/Free_Quests:_Salem" TargetMode="External"/><Relationship Id="rId153" Type="http://schemas.openxmlformats.org/officeDocument/2006/relationships/hyperlink" Target="https://fategrandorder.fandom.com/wiki/Free_Quests:_Anastasia" TargetMode="External"/><Relationship Id="rId152" Type="http://schemas.openxmlformats.org/officeDocument/2006/relationships/hyperlink" Target="https://fategrandorder.fandom.com/wiki/Free_Quests:_Anastasia" TargetMode="External"/><Relationship Id="rId151" Type="http://schemas.openxmlformats.org/officeDocument/2006/relationships/hyperlink" Target="https://fategrandorder.fandom.com/wiki/Free_Quests:_Anastasia" TargetMode="External"/><Relationship Id="rId158" Type="http://schemas.openxmlformats.org/officeDocument/2006/relationships/hyperlink" Target="https://fategrandorder.fandom.com/wiki/Free_Quests:_S_I_N" TargetMode="External"/><Relationship Id="rId157" Type="http://schemas.openxmlformats.org/officeDocument/2006/relationships/hyperlink" Target="https://fategrandorder.fandom.com/wiki/Free_Quests:_G%C3%B6tterd%C3%A4mmerung" TargetMode="External"/><Relationship Id="rId156" Type="http://schemas.openxmlformats.org/officeDocument/2006/relationships/hyperlink" Target="https://fategrandorder.fandom.com/wiki/Free_Quests:_Camelot" TargetMode="External"/><Relationship Id="rId155" Type="http://schemas.openxmlformats.org/officeDocument/2006/relationships/hyperlink" Target="https://fategrandorder.fandom.com/wiki/Free_Quests:_Anastasia" TargetMode="External"/><Relationship Id="rId107" Type="http://schemas.openxmlformats.org/officeDocument/2006/relationships/hyperlink" Target="https://fategrandorder.fandom.com/wiki/Free_Quests:_Fuyuki" TargetMode="External"/><Relationship Id="rId228" Type="http://schemas.openxmlformats.org/officeDocument/2006/relationships/hyperlink" Target="https://fategrandorder.fandom.com/wiki/Free_Quests:_S_I_N" TargetMode="External"/><Relationship Id="rId106" Type="http://schemas.openxmlformats.org/officeDocument/2006/relationships/hyperlink" Target="https://fategrandorder.fandom.com/wiki/Free_Quests:_S_I_N" TargetMode="External"/><Relationship Id="rId227" Type="http://schemas.openxmlformats.org/officeDocument/2006/relationships/hyperlink" Target="https://fategrandorder.fandom.com/wiki/Free_Quests:_Agartha" TargetMode="External"/><Relationship Id="rId105" Type="http://schemas.openxmlformats.org/officeDocument/2006/relationships/hyperlink" Target="https://fategrandorder.fandom.com/wiki/Free_Quests:_E_Pluribus_Unum" TargetMode="External"/><Relationship Id="rId226" Type="http://schemas.openxmlformats.org/officeDocument/2006/relationships/hyperlink" Target="https://fategrandorder.fandom.com/wiki/Free_Quests:_Babylonia" TargetMode="External"/><Relationship Id="rId104" Type="http://schemas.openxmlformats.org/officeDocument/2006/relationships/hyperlink" Target="https://fategrandorder.fandom.com/wiki/Free_Quests:_Shinjuku" TargetMode="External"/><Relationship Id="rId225" Type="http://schemas.openxmlformats.org/officeDocument/2006/relationships/hyperlink" Target="https://fategrandorder.fandom.com/wiki/Free_Quests:_Shimosa" TargetMode="External"/><Relationship Id="rId109" Type="http://schemas.openxmlformats.org/officeDocument/2006/relationships/hyperlink" Target="https://fategrandorder.fandom.com/wiki/Free_Quests:_Fuyuki" TargetMode="External"/><Relationship Id="rId108" Type="http://schemas.openxmlformats.org/officeDocument/2006/relationships/hyperlink" Target="https://fategrandorder.fandom.com/wiki/Free_Quests:_Shinjuku" TargetMode="External"/><Relationship Id="rId229" Type="http://schemas.openxmlformats.org/officeDocument/2006/relationships/hyperlink" Target="https://fategrandorder.fandom.com/wiki/Free_Quests:_Anastasia" TargetMode="External"/><Relationship Id="rId220" Type="http://schemas.openxmlformats.org/officeDocument/2006/relationships/hyperlink" Target="https://fategrandorder.fandom.com/wiki/Free_Quests:_Babylonia" TargetMode="External"/><Relationship Id="rId103" Type="http://schemas.openxmlformats.org/officeDocument/2006/relationships/hyperlink" Target="https://fategrandorder.fandom.com/wiki/Free_Quests:_G%C3%B6tterd%C3%A4mmerung" TargetMode="External"/><Relationship Id="rId224" Type="http://schemas.openxmlformats.org/officeDocument/2006/relationships/hyperlink" Target="https://fategrandorder.fandom.com/wiki/Free_Quests:_Babylonia" TargetMode="External"/><Relationship Id="rId102" Type="http://schemas.openxmlformats.org/officeDocument/2006/relationships/hyperlink" Target="https://fategrandorder.fandom.com/wiki/Free_Quests:_Salem" TargetMode="External"/><Relationship Id="rId223" Type="http://schemas.openxmlformats.org/officeDocument/2006/relationships/hyperlink" Target="https://fategrandorder.fandom.com/wiki/Free_Quests:_G%C3%B6tterd%C3%A4mmerung" TargetMode="External"/><Relationship Id="rId101" Type="http://schemas.openxmlformats.org/officeDocument/2006/relationships/hyperlink" Target="https://fategrandorder.fandom.com/wiki/Free_Quests:_G%C3%B6tterd%C3%A4mmerung" TargetMode="External"/><Relationship Id="rId222" Type="http://schemas.openxmlformats.org/officeDocument/2006/relationships/hyperlink" Target="https://fategrandorder.fandom.com/wiki/Free_Quests:_G%C3%B6tterd%C3%A4mmerung" TargetMode="External"/><Relationship Id="rId100" Type="http://schemas.openxmlformats.org/officeDocument/2006/relationships/hyperlink" Target="https://fategrandorder.fandom.com/wiki/Free_Quests:_Salem" TargetMode="External"/><Relationship Id="rId221" Type="http://schemas.openxmlformats.org/officeDocument/2006/relationships/hyperlink" Target="https://fategrandorder.fandom.com/wiki/Free_Quests:_G%C3%B6tterd%C3%A4mmerung" TargetMode="External"/><Relationship Id="rId217" Type="http://schemas.openxmlformats.org/officeDocument/2006/relationships/hyperlink" Target="https://fategrandorder.fandom.com/wiki/Free_Quests:_Camelot" TargetMode="External"/><Relationship Id="rId216" Type="http://schemas.openxmlformats.org/officeDocument/2006/relationships/hyperlink" Target="https://fategrandorder.fandom.com/wiki/Free_Quests:_Orleans" TargetMode="External"/><Relationship Id="rId215" Type="http://schemas.openxmlformats.org/officeDocument/2006/relationships/hyperlink" Target="https://fategrandorder.fandom.com/wiki/Free_Quests:_Camelot" TargetMode="External"/><Relationship Id="rId214" Type="http://schemas.openxmlformats.org/officeDocument/2006/relationships/hyperlink" Target="https://fategrandorder.fandom.com/wiki/Free_Quests:_Camelot" TargetMode="External"/><Relationship Id="rId219" Type="http://schemas.openxmlformats.org/officeDocument/2006/relationships/hyperlink" Target="https://fategrandorder.fandom.com/wiki/Free_Quests:_E_Pluribus_Unum" TargetMode="External"/><Relationship Id="rId218" Type="http://schemas.openxmlformats.org/officeDocument/2006/relationships/hyperlink" Target="https://fategrandorder.fandom.com/wiki/Free_Quests:_Camelot" TargetMode="External"/><Relationship Id="rId213" Type="http://schemas.openxmlformats.org/officeDocument/2006/relationships/hyperlink" Target="https://fategrandorder.fandom.com/wiki/Free_Quests:_Yuga_Kshetra" TargetMode="External"/><Relationship Id="rId212" Type="http://schemas.openxmlformats.org/officeDocument/2006/relationships/hyperlink" Target="https://fategrandorder.fandom.com/wiki/Free_Quests:_Salem" TargetMode="External"/><Relationship Id="rId211" Type="http://schemas.openxmlformats.org/officeDocument/2006/relationships/hyperlink" Target="https://fategrandorder.fandom.com/wiki/Free_Quests:_Orleans" TargetMode="External"/><Relationship Id="rId210" Type="http://schemas.openxmlformats.org/officeDocument/2006/relationships/hyperlink" Target="https://fategrandorder.fandom.com/wiki/Free_Quests:_E_Pluribus_Unum" TargetMode="External"/><Relationship Id="rId129" Type="http://schemas.openxmlformats.org/officeDocument/2006/relationships/hyperlink" Target="https://fategrandorder.fandom.com/wiki/Free_Quests:_Camelot" TargetMode="External"/><Relationship Id="rId128" Type="http://schemas.openxmlformats.org/officeDocument/2006/relationships/hyperlink" Target="https://fategrandorder.fandom.com/wiki/Free_Quests:_Okeanos" TargetMode="External"/><Relationship Id="rId127" Type="http://schemas.openxmlformats.org/officeDocument/2006/relationships/hyperlink" Target="https://fategrandorder.fandom.com/wiki/Free_Quests:_Orleans" TargetMode="External"/><Relationship Id="rId126" Type="http://schemas.openxmlformats.org/officeDocument/2006/relationships/hyperlink" Target="https://fategrandorder.fandom.com/wiki/Free_Quests:_Orleans" TargetMode="External"/><Relationship Id="rId121" Type="http://schemas.openxmlformats.org/officeDocument/2006/relationships/hyperlink" Target="https://fategrandorder.fandom.com/wiki/Free_Quests:_London" TargetMode="External"/><Relationship Id="rId120" Type="http://schemas.openxmlformats.org/officeDocument/2006/relationships/hyperlink" Target="https://fategrandorder.fandom.com/wiki/Free_Quests:_Orleans" TargetMode="External"/><Relationship Id="rId240" Type="http://schemas.openxmlformats.org/officeDocument/2006/relationships/drawing" Target="../drawings/drawing2.xml"/><Relationship Id="rId125" Type="http://schemas.openxmlformats.org/officeDocument/2006/relationships/hyperlink" Target="https://fategrandorder.fandom.com/wiki/Free_Quests:_Okeanos" TargetMode="External"/><Relationship Id="rId124" Type="http://schemas.openxmlformats.org/officeDocument/2006/relationships/hyperlink" Target="https://fategrandorder.fandom.com/wiki/Free_Quests:_Camelot" TargetMode="External"/><Relationship Id="rId123" Type="http://schemas.openxmlformats.org/officeDocument/2006/relationships/hyperlink" Target="https://fategrandorder.fandom.com/wiki/Free_Quests:_Fuyuki" TargetMode="External"/><Relationship Id="rId122" Type="http://schemas.openxmlformats.org/officeDocument/2006/relationships/hyperlink" Target="https://fategrandorder.fandom.com/wiki/Free_Quests:_London" TargetMode="External"/><Relationship Id="rId95" Type="http://schemas.openxmlformats.org/officeDocument/2006/relationships/hyperlink" Target="https://fategrandorder.fandom.com/wiki/Free_Quests:_Anastasia" TargetMode="External"/><Relationship Id="rId94" Type="http://schemas.openxmlformats.org/officeDocument/2006/relationships/hyperlink" Target="https://fategrandorder.fandom.com/wiki/Free_Quests:_Okeanos" TargetMode="External"/><Relationship Id="rId97" Type="http://schemas.openxmlformats.org/officeDocument/2006/relationships/hyperlink" Target="https://fategrandorder.fandom.com/wiki/Free_Quests:_Salem" TargetMode="External"/><Relationship Id="rId96" Type="http://schemas.openxmlformats.org/officeDocument/2006/relationships/hyperlink" Target="https://fategrandorder.fandom.com/wiki/Free_Quests:_S_I_N" TargetMode="External"/><Relationship Id="rId99" Type="http://schemas.openxmlformats.org/officeDocument/2006/relationships/hyperlink" Target="https://fategrandorder.fandom.com/wiki/Free_Quests:_Agartha" TargetMode="External"/><Relationship Id="rId98" Type="http://schemas.openxmlformats.org/officeDocument/2006/relationships/hyperlink" Target="https://fategrandorder.fandom.com/wiki/Free_Quests:_Agartha" TargetMode="External"/><Relationship Id="rId91" Type="http://schemas.openxmlformats.org/officeDocument/2006/relationships/hyperlink" Target="https://fategrandorder.fandom.com/wiki/Free_Quests:_Okeanos" TargetMode="External"/><Relationship Id="rId90" Type="http://schemas.openxmlformats.org/officeDocument/2006/relationships/hyperlink" Target="https://fategrandorder.fandom.com/wiki/Free_Quests:_Agartha" TargetMode="External"/><Relationship Id="rId93" Type="http://schemas.openxmlformats.org/officeDocument/2006/relationships/hyperlink" Target="https://fategrandorder.fandom.com/wiki/Free_Quests:_Babylonia" TargetMode="External"/><Relationship Id="rId92" Type="http://schemas.openxmlformats.org/officeDocument/2006/relationships/hyperlink" Target="https://fategrandorder.fandom.com/wiki/Free_Quests:_Agartha" TargetMode="External"/><Relationship Id="rId118" Type="http://schemas.openxmlformats.org/officeDocument/2006/relationships/hyperlink" Target="https://fategrandorder.fandom.com/wiki/Free_Quests:_London" TargetMode="External"/><Relationship Id="rId239" Type="http://schemas.openxmlformats.org/officeDocument/2006/relationships/hyperlink" Target="https://fategrandorder.fandom.com/wiki/Free_Quests:_Yuga_Kshetra" TargetMode="External"/><Relationship Id="rId117" Type="http://schemas.openxmlformats.org/officeDocument/2006/relationships/hyperlink" Target="https://fategrandorder.fandom.com/wiki/Free_Quests:_Salem" TargetMode="External"/><Relationship Id="rId238" Type="http://schemas.openxmlformats.org/officeDocument/2006/relationships/hyperlink" Target="https://fategrandorder.fandom.com/wiki/Free_Quests:_Yuga_Kshetra" TargetMode="External"/><Relationship Id="rId116" Type="http://schemas.openxmlformats.org/officeDocument/2006/relationships/hyperlink" Target="https://fategrandorder.fandom.com/wiki/Free_Quests:_Septem" TargetMode="External"/><Relationship Id="rId237" Type="http://schemas.openxmlformats.org/officeDocument/2006/relationships/hyperlink" Target="https://fategrandorder.fandom.com/wiki/Free_Quests:_Yuga_Kshetra" TargetMode="External"/><Relationship Id="rId115" Type="http://schemas.openxmlformats.org/officeDocument/2006/relationships/hyperlink" Target="https://fategrandorder.fandom.com/wiki/Free_Quests:_E_Pluribus_Unum" TargetMode="External"/><Relationship Id="rId236" Type="http://schemas.openxmlformats.org/officeDocument/2006/relationships/hyperlink" Target="https://fategrandorder.fandom.com/wiki/Free_Quests:_Shimosa" TargetMode="External"/><Relationship Id="rId119" Type="http://schemas.openxmlformats.org/officeDocument/2006/relationships/hyperlink" Target="https://fategrandorder.fandom.com/wiki/Free_Quests:_London" TargetMode="External"/><Relationship Id="rId110" Type="http://schemas.openxmlformats.org/officeDocument/2006/relationships/hyperlink" Target="https://fategrandorder.fandom.com/wiki/Free_Quests:_S_I_N" TargetMode="External"/><Relationship Id="rId231" Type="http://schemas.openxmlformats.org/officeDocument/2006/relationships/hyperlink" Target="https://fategrandorder.fandom.com/wiki/Free_Quests:_S_I_N" TargetMode="External"/><Relationship Id="rId230" Type="http://schemas.openxmlformats.org/officeDocument/2006/relationships/hyperlink" Target="https://fategrandorder.fandom.com/wiki/Free_Quests:_Shimosa" TargetMode="External"/><Relationship Id="rId114" Type="http://schemas.openxmlformats.org/officeDocument/2006/relationships/hyperlink" Target="https://fategrandorder.fandom.com/wiki/Free_Quests:_Fuyuki" TargetMode="External"/><Relationship Id="rId235" Type="http://schemas.openxmlformats.org/officeDocument/2006/relationships/hyperlink" Target="https://fategrandorder.fandom.com/wiki/Free_Quests:_S_I_N" TargetMode="External"/><Relationship Id="rId113" Type="http://schemas.openxmlformats.org/officeDocument/2006/relationships/hyperlink" Target="https://fategrandorder.fandom.com/wiki/Free_Quests:_London" TargetMode="External"/><Relationship Id="rId234" Type="http://schemas.openxmlformats.org/officeDocument/2006/relationships/hyperlink" Target="https://fategrandorder.fandom.com/wiki/Free_Quests:_S_I_N" TargetMode="External"/><Relationship Id="rId112" Type="http://schemas.openxmlformats.org/officeDocument/2006/relationships/hyperlink" Target="https://fategrandorder.fandom.com/wiki/Free_Quests:_Shinjuku" TargetMode="External"/><Relationship Id="rId233" Type="http://schemas.openxmlformats.org/officeDocument/2006/relationships/hyperlink" Target="https://fategrandorder.fandom.com/wiki/Free_Quests:_S_I_N" TargetMode="External"/><Relationship Id="rId111" Type="http://schemas.openxmlformats.org/officeDocument/2006/relationships/hyperlink" Target="https://fategrandorder.fandom.com/wiki/Free_Quests:_Fuyuki" TargetMode="External"/><Relationship Id="rId232" Type="http://schemas.openxmlformats.org/officeDocument/2006/relationships/hyperlink" Target="https://fategrandorder.fandom.com/wiki/Free_Quests:_S_I_N" TargetMode="External"/><Relationship Id="rId206" Type="http://schemas.openxmlformats.org/officeDocument/2006/relationships/hyperlink" Target="https://fategrandorder.fandom.com/wiki/Free_Quests:_Orleans" TargetMode="External"/><Relationship Id="rId205" Type="http://schemas.openxmlformats.org/officeDocument/2006/relationships/hyperlink" Target="https://fategrandorder.fandom.com/wiki/Free_Quests:_E_Pluribus_Unum" TargetMode="External"/><Relationship Id="rId204" Type="http://schemas.openxmlformats.org/officeDocument/2006/relationships/hyperlink" Target="https://fategrandorder.fandom.com/wiki/Free_Quests:_Shinjuku" TargetMode="External"/><Relationship Id="rId203" Type="http://schemas.openxmlformats.org/officeDocument/2006/relationships/hyperlink" Target="https://fategrandorder.fandom.com/wiki/Free_Quests:_E_Pluribus_Unum" TargetMode="External"/><Relationship Id="rId209" Type="http://schemas.openxmlformats.org/officeDocument/2006/relationships/hyperlink" Target="https://fategrandorder.fandom.com/wiki/Free_Quests:_Babylonia" TargetMode="External"/><Relationship Id="rId208" Type="http://schemas.openxmlformats.org/officeDocument/2006/relationships/hyperlink" Target="https://fategrandorder.fandom.com/wiki/Free_Quests:_Agartha" TargetMode="External"/><Relationship Id="rId207" Type="http://schemas.openxmlformats.org/officeDocument/2006/relationships/hyperlink" Target="https://fategrandorder.fandom.com/wiki/Free_Quests:_Yuga_Kshetra" TargetMode="External"/><Relationship Id="rId202" Type="http://schemas.openxmlformats.org/officeDocument/2006/relationships/hyperlink" Target="https://fategrandorder.fandom.com/wiki/Free_Quests:_Anastasia" TargetMode="External"/><Relationship Id="rId201" Type="http://schemas.openxmlformats.org/officeDocument/2006/relationships/hyperlink" Target="https://fategrandorder.fandom.com/wiki/Free_Quests:_Anastasia" TargetMode="External"/><Relationship Id="rId200" Type="http://schemas.openxmlformats.org/officeDocument/2006/relationships/hyperlink" Target="https://fategrandorder.fandom.com/wiki/Free_Quests:_Anastasia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fategrandorder.fandom.com/wiki/Free_Quests:_Babylonia" TargetMode="External"/><Relationship Id="rId190" Type="http://schemas.openxmlformats.org/officeDocument/2006/relationships/hyperlink" Target="https://fategrandorder.fandom.com/wiki/Free_Quests:_Camelot" TargetMode="External"/><Relationship Id="rId42" Type="http://schemas.openxmlformats.org/officeDocument/2006/relationships/hyperlink" Target="https://fategrandorder.fandom.com/wiki/Free_Quests:_Babylonia" TargetMode="External"/><Relationship Id="rId41" Type="http://schemas.openxmlformats.org/officeDocument/2006/relationships/hyperlink" Target="https://fategrandorder.fandom.com/wiki/Free_Quests:_Babylonia" TargetMode="External"/><Relationship Id="rId44" Type="http://schemas.openxmlformats.org/officeDocument/2006/relationships/hyperlink" Target="https://fategrandorder.fandom.com/wiki/Free_Quests:_Anastasia" TargetMode="External"/><Relationship Id="rId194" Type="http://schemas.openxmlformats.org/officeDocument/2006/relationships/hyperlink" Target="https://fategrandorder.fandom.com/wiki/Free_Quests:_E_Pluribus_Unum" TargetMode="External"/><Relationship Id="rId43" Type="http://schemas.openxmlformats.org/officeDocument/2006/relationships/hyperlink" Target="https://fategrandorder.fandom.com/wiki/Free_Quests:_Anastasia" TargetMode="External"/><Relationship Id="rId193" Type="http://schemas.openxmlformats.org/officeDocument/2006/relationships/hyperlink" Target="https://fategrandorder.fandom.com/wiki/Free_Quests:_G%C3%B6tterd%C3%A4mmerung" TargetMode="External"/><Relationship Id="rId46" Type="http://schemas.openxmlformats.org/officeDocument/2006/relationships/hyperlink" Target="https://fategrandorder.fandom.com/wiki/Free_Quests:_Anastasia" TargetMode="External"/><Relationship Id="rId192" Type="http://schemas.openxmlformats.org/officeDocument/2006/relationships/hyperlink" Target="https://fategrandorder.fandom.com/wiki/Free_Quests:_Shinjuku" TargetMode="External"/><Relationship Id="rId45" Type="http://schemas.openxmlformats.org/officeDocument/2006/relationships/hyperlink" Target="https://fategrandorder.fandom.com/wiki/Free_Quests:_Shimosa" TargetMode="External"/><Relationship Id="rId191" Type="http://schemas.openxmlformats.org/officeDocument/2006/relationships/hyperlink" Target="https://fategrandorder.fandom.com/wiki/Free_Quests:_Camelot" TargetMode="External"/><Relationship Id="rId48" Type="http://schemas.openxmlformats.org/officeDocument/2006/relationships/hyperlink" Target="https://fategrandorder.fandom.com/wiki/Free_Quests:_Shinjuku" TargetMode="External"/><Relationship Id="rId187" Type="http://schemas.openxmlformats.org/officeDocument/2006/relationships/hyperlink" Target="https://fategrandorder.fandom.com/wiki/Free_Quests:_E_Pluribus_Unum" TargetMode="External"/><Relationship Id="rId47" Type="http://schemas.openxmlformats.org/officeDocument/2006/relationships/hyperlink" Target="https://fategrandorder.fandom.com/wiki/Free_Quests:_S_I_N" TargetMode="External"/><Relationship Id="rId186" Type="http://schemas.openxmlformats.org/officeDocument/2006/relationships/hyperlink" Target="https://fategrandorder.fandom.com/wiki/Free_Quests:_Shinjuku" TargetMode="External"/><Relationship Id="rId185" Type="http://schemas.openxmlformats.org/officeDocument/2006/relationships/hyperlink" Target="https://fategrandorder.fandom.com/wiki/Free_Quests:_Salem" TargetMode="External"/><Relationship Id="rId49" Type="http://schemas.openxmlformats.org/officeDocument/2006/relationships/hyperlink" Target="https://fategrandorder.fandom.com/wiki/Free_Quests:_Shinjuku" TargetMode="External"/><Relationship Id="rId184" Type="http://schemas.openxmlformats.org/officeDocument/2006/relationships/hyperlink" Target="https://fategrandorder.fandom.com/wiki/Free_Quests:_Shinjuku" TargetMode="External"/><Relationship Id="rId189" Type="http://schemas.openxmlformats.org/officeDocument/2006/relationships/hyperlink" Target="https://fategrandorder.fandom.com/wiki/Free_Quests:_Babylonia" TargetMode="External"/><Relationship Id="rId188" Type="http://schemas.openxmlformats.org/officeDocument/2006/relationships/hyperlink" Target="https://fategrandorder.fandom.com/wiki/Free_Quests:_Okeanos" TargetMode="External"/><Relationship Id="rId31" Type="http://schemas.openxmlformats.org/officeDocument/2006/relationships/hyperlink" Target="https://fategrandorder.fandom.com/wiki/Free_Quests:_E_Pluribus_Unum" TargetMode="External"/><Relationship Id="rId30" Type="http://schemas.openxmlformats.org/officeDocument/2006/relationships/hyperlink" Target="https://fategrandorder.fandom.com/wiki/Free_Quests:_Babylonia" TargetMode="External"/><Relationship Id="rId33" Type="http://schemas.openxmlformats.org/officeDocument/2006/relationships/hyperlink" Target="https://fategrandorder.fandom.com/wiki/Free_Quests:_Camelot" TargetMode="External"/><Relationship Id="rId183" Type="http://schemas.openxmlformats.org/officeDocument/2006/relationships/hyperlink" Target="https://fategrandorder.fandom.com/wiki/Free_Quests:_Camelot" TargetMode="External"/><Relationship Id="rId32" Type="http://schemas.openxmlformats.org/officeDocument/2006/relationships/hyperlink" Target="https://fategrandorder.fandom.com/wiki/Free_Quests:_Camelot" TargetMode="External"/><Relationship Id="rId182" Type="http://schemas.openxmlformats.org/officeDocument/2006/relationships/hyperlink" Target="https://fategrandorder.fandom.com/wiki/Free_Quests:_E_Pluribus_Unum" TargetMode="External"/><Relationship Id="rId35" Type="http://schemas.openxmlformats.org/officeDocument/2006/relationships/hyperlink" Target="https://fategrandorder.fandom.com/wiki/Free_Quests:_Camelot" TargetMode="External"/><Relationship Id="rId181" Type="http://schemas.openxmlformats.org/officeDocument/2006/relationships/hyperlink" Target="https://fategrandorder.fandom.com/wiki/Free_Quests:_Yuga_Kshetra" TargetMode="External"/><Relationship Id="rId34" Type="http://schemas.openxmlformats.org/officeDocument/2006/relationships/hyperlink" Target="https://fategrandorder.fandom.com/wiki/Free_Quests:_Salem" TargetMode="External"/><Relationship Id="rId180" Type="http://schemas.openxmlformats.org/officeDocument/2006/relationships/hyperlink" Target="https://fategrandorder.fandom.com/wiki/Free_Quests:_Agartha" TargetMode="External"/><Relationship Id="rId37" Type="http://schemas.openxmlformats.org/officeDocument/2006/relationships/hyperlink" Target="https://fategrandorder.fandom.com/wiki/Free_Quests:_Salem" TargetMode="External"/><Relationship Id="rId176" Type="http://schemas.openxmlformats.org/officeDocument/2006/relationships/hyperlink" Target="https://fategrandorder.fandom.com/wiki/Free_Quests:_London" TargetMode="External"/><Relationship Id="rId36" Type="http://schemas.openxmlformats.org/officeDocument/2006/relationships/hyperlink" Target="https://fategrandorder.fandom.com/wiki/Free_Quests:_Salem" TargetMode="External"/><Relationship Id="rId175" Type="http://schemas.openxmlformats.org/officeDocument/2006/relationships/hyperlink" Target="https://fategrandorder.fandom.com/wiki/Free_Quests:_Yuga_Kshetra" TargetMode="External"/><Relationship Id="rId39" Type="http://schemas.openxmlformats.org/officeDocument/2006/relationships/hyperlink" Target="https://fategrandorder.fandom.com/wiki/Free_Quests:_Shinjuku" TargetMode="External"/><Relationship Id="rId174" Type="http://schemas.openxmlformats.org/officeDocument/2006/relationships/hyperlink" Target="https://fategrandorder.fandom.com/wiki/Free_Quests:_Yuga_Kshetra" TargetMode="External"/><Relationship Id="rId38" Type="http://schemas.openxmlformats.org/officeDocument/2006/relationships/hyperlink" Target="https://fategrandorder.fandom.com/wiki/Free_Quests:_Agartha" TargetMode="External"/><Relationship Id="rId173" Type="http://schemas.openxmlformats.org/officeDocument/2006/relationships/hyperlink" Target="https://fategrandorder.fandom.com/wiki/Free_Quests:_Yuga_Kshetra" TargetMode="External"/><Relationship Id="rId179" Type="http://schemas.openxmlformats.org/officeDocument/2006/relationships/hyperlink" Target="https://fategrandorder.fandom.com/wiki/Free_Quests:_Anastasia" TargetMode="External"/><Relationship Id="rId178" Type="http://schemas.openxmlformats.org/officeDocument/2006/relationships/hyperlink" Target="https://fategrandorder.fandom.com/wiki/Free_Quests:_London" TargetMode="External"/><Relationship Id="rId177" Type="http://schemas.openxmlformats.org/officeDocument/2006/relationships/hyperlink" Target="https://fategrandorder.fandom.com/wiki/Free_Quests:_Yuga_Kshetra" TargetMode="External"/><Relationship Id="rId20" Type="http://schemas.openxmlformats.org/officeDocument/2006/relationships/hyperlink" Target="https://fategrandorder.fandom.com/wiki/Free_Quests:_Okeanos" TargetMode="External"/><Relationship Id="rId22" Type="http://schemas.openxmlformats.org/officeDocument/2006/relationships/hyperlink" Target="https://fategrandorder.fandom.com/wiki/Free_Quests:_Agartha" TargetMode="External"/><Relationship Id="rId21" Type="http://schemas.openxmlformats.org/officeDocument/2006/relationships/hyperlink" Target="https://fategrandorder.fandom.com/wiki/Free_Quests:_Yuga_Kshetra" TargetMode="External"/><Relationship Id="rId24" Type="http://schemas.openxmlformats.org/officeDocument/2006/relationships/hyperlink" Target="https://fategrandorder.fandom.com/wiki/Free_Quests:_Shimosa" TargetMode="External"/><Relationship Id="rId23" Type="http://schemas.openxmlformats.org/officeDocument/2006/relationships/hyperlink" Target="https://fategrandorder.fandom.com/wiki/Free_Quests:_Yuga_Kshetra" TargetMode="External"/><Relationship Id="rId26" Type="http://schemas.openxmlformats.org/officeDocument/2006/relationships/hyperlink" Target="https://fategrandorder.fandom.com/wiki/Free_Quests:_Camelot" TargetMode="External"/><Relationship Id="rId25" Type="http://schemas.openxmlformats.org/officeDocument/2006/relationships/hyperlink" Target="https://fategrandorder.fandom.com/wiki/Free_Quests:_E_Pluribus_Unum" TargetMode="External"/><Relationship Id="rId28" Type="http://schemas.openxmlformats.org/officeDocument/2006/relationships/hyperlink" Target="https://fategrandorder.fandom.com/wiki/Free_Quests:_Camelot" TargetMode="External"/><Relationship Id="rId27" Type="http://schemas.openxmlformats.org/officeDocument/2006/relationships/hyperlink" Target="https://fategrandorder.fandom.com/wiki/Free_Quests:_Agartha" TargetMode="External"/><Relationship Id="rId29" Type="http://schemas.openxmlformats.org/officeDocument/2006/relationships/hyperlink" Target="https://fategrandorder.fandom.com/wiki/Free_Quests:_S_I_N" TargetMode="External"/><Relationship Id="rId11" Type="http://schemas.openxmlformats.org/officeDocument/2006/relationships/hyperlink" Target="https://fategrandorder.fandom.com/wiki/Free_Quests:_Fuyuki" TargetMode="External"/><Relationship Id="rId10" Type="http://schemas.openxmlformats.org/officeDocument/2006/relationships/hyperlink" Target="https://fategrandorder.fandom.com/wiki/Free_Quests:_Fuyuki" TargetMode="External"/><Relationship Id="rId13" Type="http://schemas.openxmlformats.org/officeDocument/2006/relationships/hyperlink" Target="https://fategrandorder.fandom.com/wiki/Free_Quests:_Agartha" TargetMode="External"/><Relationship Id="rId12" Type="http://schemas.openxmlformats.org/officeDocument/2006/relationships/hyperlink" Target="https://fategrandorder.fandom.com/wiki/Free_Quests:_Septem" TargetMode="External"/><Relationship Id="rId15" Type="http://schemas.openxmlformats.org/officeDocument/2006/relationships/hyperlink" Target="https://fategrandorder.fandom.com/wiki/Free_Quests:_E_Pluribus_Unum" TargetMode="External"/><Relationship Id="rId198" Type="http://schemas.openxmlformats.org/officeDocument/2006/relationships/hyperlink" Target="https://fategrandorder.fandom.com/wiki/Free_Quests:_Anastasia" TargetMode="External"/><Relationship Id="rId14" Type="http://schemas.openxmlformats.org/officeDocument/2006/relationships/hyperlink" Target="https://fategrandorder.fandom.com/wiki/Free_Quests:_Shimosa" TargetMode="External"/><Relationship Id="rId197" Type="http://schemas.openxmlformats.org/officeDocument/2006/relationships/hyperlink" Target="https://fategrandorder.fandom.com/wiki/Free_Quests:_Yuga_Kshetra" TargetMode="External"/><Relationship Id="rId17" Type="http://schemas.openxmlformats.org/officeDocument/2006/relationships/hyperlink" Target="https://fategrandorder.fandom.com/wiki/Free_Quests:_Camelot" TargetMode="External"/><Relationship Id="rId196" Type="http://schemas.openxmlformats.org/officeDocument/2006/relationships/hyperlink" Target="https://fategrandorder.fandom.com/wiki/Free_Quests:_Agartha" TargetMode="External"/><Relationship Id="rId16" Type="http://schemas.openxmlformats.org/officeDocument/2006/relationships/hyperlink" Target="https://fategrandorder.fandom.com/wiki/Free_Quests:_London" TargetMode="External"/><Relationship Id="rId195" Type="http://schemas.openxmlformats.org/officeDocument/2006/relationships/hyperlink" Target="https://fategrandorder.fandom.com/wiki/Free_Quests:_E_Pluribus_Unum" TargetMode="External"/><Relationship Id="rId19" Type="http://schemas.openxmlformats.org/officeDocument/2006/relationships/hyperlink" Target="https://fategrandorder.fandom.com/wiki/Free_Quests:_E_Pluribus_Unum" TargetMode="External"/><Relationship Id="rId18" Type="http://schemas.openxmlformats.org/officeDocument/2006/relationships/hyperlink" Target="https://fategrandorder.fandom.com/wiki/Free_Quests:_Babylonia" TargetMode="External"/><Relationship Id="rId199" Type="http://schemas.openxmlformats.org/officeDocument/2006/relationships/hyperlink" Target="https://fategrandorder.fandom.com/wiki/Free_Quests:_Anastasia" TargetMode="External"/><Relationship Id="rId84" Type="http://schemas.openxmlformats.org/officeDocument/2006/relationships/hyperlink" Target="https://fategrandorder.fandom.com/wiki/Free_Quests:_Agartha" TargetMode="External"/><Relationship Id="rId83" Type="http://schemas.openxmlformats.org/officeDocument/2006/relationships/hyperlink" Target="https://fategrandorder.fandom.com/wiki/Free_Quests:_G%C3%B6tterd%C3%A4mmerung" TargetMode="External"/><Relationship Id="rId86" Type="http://schemas.openxmlformats.org/officeDocument/2006/relationships/hyperlink" Target="https://fategrandorder.fandom.com/wiki/Free_Quests:_G%C3%B6tterd%C3%A4mmerung" TargetMode="External"/><Relationship Id="rId85" Type="http://schemas.openxmlformats.org/officeDocument/2006/relationships/hyperlink" Target="https://fategrandorder.fandom.com/wiki/Free_Quests:_Camelot" TargetMode="External"/><Relationship Id="rId88" Type="http://schemas.openxmlformats.org/officeDocument/2006/relationships/hyperlink" Target="https://fategrandorder.fandom.com/wiki/Free_Quests:_Agartha" TargetMode="External"/><Relationship Id="rId150" Type="http://schemas.openxmlformats.org/officeDocument/2006/relationships/hyperlink" Target="https://fategrandorder.fandom.com/wiki/Free_Quests:_Anastasia" TargetMode="External"/><Relationship Id="rId87" Type="http://schemas.openxmlformats.org/officeDocument/2006/relationships/hyperlink" Target="https://fategrandorder.fandom.com/wiki/Free_Quests:_Shimosa" TargetMode="External"/><Relationship Id="rId89" Type="http://schemas.openxmlformats.org/officeDocument/2006/relationships/hyperlink" Target="https://fategrandorder.fandom.com/wiki/Free_Quests:_Camelot" TargetMode="External"/><Relationship Id="rId80" Type="http://schemas.openxmlformats.org/officeDocument/2006/relationships/hyperlink" Target="https://fategrandorder.fandom.com/wiki/Free_Quests:_Shimosa" TargetMode="External"/><Relationship Id="rId82" Type="http://schemas.openxmlformats.org/officeDocument/2006/relationships/hyperlink" Target="https://fategrandorder.fandom.com/wiki/Free_Quests:_Shimosa" TargetMode="External"/><Relationship Id="rId81" Type="http://schemas.openxmlformats.org/officeDocument/2006/relationships/hyperlink" Target="https://fategrandorder.fandom.com/wiki/Free_Quests:_G%C3%B6tterd%C3%A4mmerung" TargetMode="External"/><Relationship Id="rId1" Type="http://schemas.openxmlformats.org/officeDocument/2006/relationships/hyperlink" Target="https://docs.google.com/spreadsheets/d/1NY7nOVQkDyWTXhnK1KP1oPUXoN1C0SY6pMEXPcFuKyI/edit?usp=sharing" TargetMode="External"/><Relationship Id="rId2" Type="http://schemas.openxmlformats.org/officeDocument/2006/relationships/hyperlink" Target="https://fategrandorder.fandom.com/wiki/Free_Quests:_E_Pluribus_Unum" TargetMode="External"/><Relationship Id="rId3" Type="http://schemas.openxmlformats.org/officeDocument/2006/relationships/hyperlink" Target="https://fategrandorder.fandom.com/wiki/Free_Quests:_E_Pluribus_Unum" TargetMode="External"/><Relationship Id="rId149" Type="http://schemas.openxmlformats.org/officeDocument/2006/relationships/hyperlink" Target="https://fategrandorder.fandom.com/wiki/Free_Quests:_Anastasia" TargetMode="External"/><Relationship Id="rId4" Type="http://schemas.openxmlformats.org/officeDocument/2006/relationships/hyperlink" Target="https://fategrandorder.fandom.com/wiki/Free_Quests:_Okeanos" TargetMode="External"/><Relationship Id="rId148" Type="http://schemas.openxmlformats.org/officeDocument/2006/relationships/hyperlink" Target="https://fategrandorder.fandom.com/wiki/Free_Quests:_Anastasia" TargetMode="External"/><Relationship Id="rId9" Type="http://schemas.openxmlformats.org/officeDocument/2006/relationships/hyperlink" Target="https://fategrandorder.fandom.com/wiki/Free_Quests:_Agartha" TargetMode="External"/><Relationship Id="rId143" Type="http://schemas.openxmlformats.org/officeDocument/2006/relationships/hyperlink" Target="https://fategrandorder.fandom.com/wiki/Free_Quests:_Yuga_Kshetra" TargetMode="External"/><Relationship Id="rId142" Type="http://schemas.openxmlformats.org/officeDocument/2006/relationships/hyperlink" Target="https://fategrandorder.fandom.com/wiki/Free_Quests:_Shimosa" TargetMode="External"/><Relationship Id="rId141" Type="http://schemas.openxmlformats.org/officeDocument/2006/relationships/hyperlink" Target="https://fategrandorder.fandom.com/wiki/Free_Quests:_Shimosa" TargetMode="External"/><Relationship Id="rId140" Type="http://schemas.openxmlformats.org/officeDocument/2006/relationships/hyperlink" Target="https://fategrandorder.fandom.com/wiki/Free_Quests:_Shimosa" TargetMode="External"/><Relationship Id="rId5" Type="http://schemas.openxmlformats.org/officeDocument/2006/relationships/hyperlink" Target="https://fategrandorder.fandom.com/wiki/Free_Quests:_Shinjuku" TargetMode="External"/><Relationship Id="rId147" Type="http://schemas.openxmlformats.org/officeDocument/2006/relationships/hyperlink" Target="https://fategrandorder.fandom.com/wiki/Free_Quests:_Yuga_Kshetra" TargetMode="External"/><Relationship Id="rId6" Type="http://schemas.openxmlformats.org/officeDocument/2006/relationships/hyperlink" Target="https://fategrandorder.fandom.com/wiki/Free_Quests:_E_Pluribus_Unum" TargetMode="External"/><Relationship Id="rId146" Type="http://schemas.openxmlformats.org/officeDocument/2006/relationships/hyperlink" Target="https://fategrandorder.fandom.com/wiki/Free_Quests:_Shimosa" TargetMode="External"/><Relationship Id="rId7" Type="http://schemas.openxmlformats.org/officeDocument/2006/relationships/hyperlink" Target="https://fategrandorder.fandom.com/wiki/Free_Quests:_G%C3%B6tterd%C3%A4mmerung" TargetMode="External"/><Relationship Id="rId145" Type="http://schemas.openxmlformats.org/officeDocument/2006/relationships/hyperlink" Target="https://fategrandorder.fandom.com/wiki/Free_Quests:_Salem" TargetMode="External"/><Relationship Id="rId8" Type="http://schemas.openxmlformats.org/officeDocument/2006/relationships/hyperlink" Target="https://fategrandorder.fandom.com/wiki/Free_Quests:_E_Pluribus_Unum" TargetMode="External"/><Relationship Id="rId144" Type="http://schemas.openxmlformats.org/officeDocument/2006/relationships/hyperlink" Target="https://fategrandorder.fandom.com/wiki/Free_Quests:_Shimosa" TargetMode="External"/><Relationship Id="rId73" Type="http://schemas.openxmlformats.org/officeDocument/2006/relationships/hyperlink" Target="https://fategrandorder.fandom.com/wiki/Free_Quests:_Agartha" TargetMode="External"/><Relationship Id="rId72" Type="http://schemas.openxmlformats.org/officeDocument/2006/relationships/hyperlink" Target="https://fategrandorder.fandom.com/wiki/Free_Quests:_Salem" TargetMode="External"/><Relationship Id="rId75" Type="http://schemas.openxmlformats.org/officeDocument/2006/relationships/hyperlink" Target="https://fategrandorder.fandom.com/wiki/Free_Quests:_Shimosa" TargetMode="External"/><Relationship Id="rId74" Type="http://schemas.openxmlformats.org/officeDocument/2006/relationships/hyperlink" Target="https://fategrandorder.fandom.com/wiki/Free_Quests:_Yuga_Kshetra" TargetMode="External"/><Relationship Id="rId77" Type="http://schemas.openxmlformats.org/officeDocument/2006/relationships/hyperlink" Target="https://fategrandorder.fandom.com/wiki/Free_Quests:_Babylonia" TargetMode="External"/><Relationship Id="rId76" Type="http://schemas.openxmlformats.org/officeDocument/2006/relationships/hyperlink" Target="https://fategrandorder.fandom.com/wiki/Free_Quests:_Salem" TargetMode="External"/><Relationship Id="rId79" Type="http://schemas.openxmlformats.org/officeDocument/2006/relationships/hyperlink" Target="https://fategrandorder.fandom.com/wiki/Free_Quests:_Shimosa" TargetMode="External"/><Relationship Id="rId78" Type="http://schemas.openxmlformats.org/officeDocument/2006/relationships/hyperlink" Target="https://fategrandorder.fandom.com/wiki/Free_Quests:_Camelot" TargetMode="External"/><Relationship Id="rId71" Type="http://schemas.openxmlformats.org/officeDocument/2006/relationships/hyperlink" Target="https://fategrandorder.fandom.com/wiki/Free_Quests:_Salem" TargetMode="External"/><Relationship Id="rId70" Type="http://schemas.openxmlformats.org/officeDocument/2006/relationships/hyperlink" Target="https://fategrandorder.fandom.com/wiki/Free_Quests:_Babylonia" TargetMode="External"/><Relationship Id="rId139" Type="http://schemas.openxmlformats.org/officeDocument/2006/relationships/hyperlink" Target="https://fategrandorder.fandom.com/wiki/Free_Quests:_Camelot" TargetMode="External"/><Relationship Id="rId138" Type="http://schemas.openxmlformats.org/officeDocument/2006/relationships/hyperlink" Target="https://fategrandorder.fandom.com/wiki/Free_Quests:_Anastasia" TargetMode="External"/><Relationship Id="rId137" Type="http://schemas.openxmlformats.org/officeDocument/2006/relationships/hyperlink" Target="https://fategrandorder.fandom.com/wiki/Free_Quests:_Okeanos" TargetMode="External"/><Relationship Id="rId132" Type="http://schemas.openxmlformats.org/officeDocument/2006/relationships/hyperlink" Target="https://fategrandorder.fandom.com/wiki/Free_Quests:_Babylonia" TargetMode="External"/><Relationship Id="rId131" Type="http://schemas.openxmlformats.org/officeDocument/2006/relationships/hyperlink" Target="https://fategrandorder.fandom.com/wiki/Free_Quests:_Shinjuku" TargetMode="External"/><Relationship Id="rId130" Type="http://schemas.openxmlformats.org/officeDocument/2006/relationships/hyperlink" Target="https://fategrandorder.fandom.com/wiki/Free_Quests:_Shinjuku" TargetMode="External"/><Relationship Id="rId136" Type="http://schemas.openxmlformats.org/officeDocument/2006/relationships/hyperlink" Target="https://fategrandorder.fandom.com/wiki/Free_Quests:_Anastasia" TargetMode="External"/><Relationship Id="rId135" Type="http://schemas.openxmlformats.org/officeDocument/2006/relationships/hyperlink" Target="https://fategrandorder.fandom.com/wiki/Free_Quests:_London" TargetMode="External"/><Relationship Id="rId134" Type="http://schemas.openxmlformats.org/officeDocument/2006/relationships/hyperlink" Target="https://fategrandorder.fandom.com/wiki/Free_Quests:_Anastasia" TargetMode="External"/><Relationship Id="rId133" Type="http://schemas.openxmlformats.org/officeDocument/2006/relationships/hyperlink" Target="https://fategrandorder.fandom.com/wiki/Free_Quests:_Okeanos" TargetMode="External"/><Relationship Id="rId62" Type="http://schemas.openxmlformats.org/officeDocument/2006/relationships/hyperlink" Target="https://fategrandorder.fandom.com/wiki/Free_Quests:_Shimosa" TargetMode="External"/><Relationship Id="rId61" Type="http://schemas.openxmlformats.org/officeDocument/2006/relationships/hyperlink" Target="https://fategrandorder.fandom.com/wiki/Free_Quests:_Salem" TargetMode="External"/><Relationship Id="rId64" Type="http://schemas.openxmlformats.org/officeDocument/2006/relationships/hyperlink" Target="https://fategrandorder.fandom.com/wiki/Free_Quests:_Anastasia" TargetMode="External"/><Relationship Id="rId63" Type="http://schemas.openxmlformats.org/officeDocument/2006/relationships/hyperlink" Target="https://fategrandorder.fandom.com/wiki/Free_Quests:_Anastasia" TargetMode="External"/><Relationship Id="rId66" Type="http://schemas.openxmlformats.org/officeDocument/2006/relationships/hyperlink" Target="https://fategrandorder.fandom.com/wiki/Free_Quests:_Anastasia" TargetMode="External"/><Relationship Id="rId172" Type="http://schemas.openxmlformats.org/officeDocument/2006/relationships/hyperlink" Target="https://fategrandorder.fandom.com/wiki/Free_Quests:_Yuga_Kshetra" TargetMode="External"/><Relationship Id="rId65" Type="http://schemas.openxmlformats.org/officeDocument/2006/relationships/hyperlink" Target="https://fategrandorder.fandom.com/wiki/Free_Quests:_Anastasia" TargetMode="External"/><Relationship Id="rId171" Type="http://schemas.openxmlformats.org/officeDocument/2006/relationships/hyperlink" Target="https://fategrandorder.fandom.com/wiki/Free_Quests:_Okeanos" TargetMode="External"/><Relationship Id="rId68" Type="http://schemas.openxmlformats.org/officeDocument/2006/relationships/hyperlink" Target="https://fategrandorder.fandom.com/wiki/Free_Quests:_Anastasia" TargetMode="External"/><Relationship Id="rId170" Type="http://schemas.openxmlformats.org/officeDocument/2006/relationships/hyperlink" Target="https://fategrandorder.fandom.com/wiki/Free_Quests:_S_I_N" TargetMode="External"/><Relationship Id="rId67" Type="http://schemas.openxmlformats.org/officeDocument/2006/relationships/hyperlink" Target="https://fategrandorder.fandom.com/wiki/Free_Quests:_Shinjuku" TargetMode="External"/><Relationship Id="rId60" Type="http://schemas.openxmlformats.org/officeDocument/2006/relationships/hyperlink" Target="https://fategrandorder.fandom.com/wiki/Free_Quests:_Shimosa" TargetMode="External"/><Relationship Id="rId165" Type="http://schemas.openxmlformats.org/officeDocument/2006/relationships/hyperlink" Target="https://fategrandorder.fandom.com/wiki/Free_Quests:_G%C3%B6tterd%C3%A4mmerung" TargetMode="External"/><Relationship Id="rId69" Type="http://schemas.openxmlformats.org/officeDocument/2006/relationships/hyperlink" Target="https://fategrandorder.fandom.com/wiki/Free_Quests:_S_I_N" TargetMode="External"/><Relationship Id="rId164" Type="http://schemas.openxmlformats.org/officeDocument/2006/relationships/hyperlink" Target="https://fategrandorder.fandom.com/wiki/Free_Quests:_E_Pluribus_Unum" TargetMode="External"/><Relationship Id="rId163" Type="http://schemas.openxmlformats.org/officeDocument/2006/relationships/hyperlink" Target="https://fategrandorder.fandom.com/wiki/Free_Quests:_G%C3%B6tterd%C3%A4mmerung" TargetMode="External"/><Relationship Id="rId162" Type="http://schemas.openxmlformats.org/officeDocument/2006/relationships/hyperlink" Target="https://fategrandorder.fandom.com/wiki/Free_Quests:_G%C3%B6tterd%C3%A4mmerung" TargetMode="External"/><Relationship Id="rId169" Type="http://schemas.openxmlformats.org/officeDocument/2006/relationships/hyperlink" Target="https://fategrandorder.fandom.com/wiki/Free_Quests:_S_I_N" TargetMode="External"/><Relationship Id="rId168" Type="http://schemas.openxmlformats.org/officeDocument/2006/relationships/hyperlink" Target="https://fategrandorder.fandom.com/wiki/Free_Quests:_S_I_N" TargetMode="External"/><Relationship Id="rId167" Type="http://schemas.openxmlformats.org/officeDocument/2006/relationships/hyperlink" Target="https://fategrandorder.fandom.com/wiki/Free_Quests:_S_I_N" TargetMode="External"/><Relationship Id="rId166" Type="http://schemas.openxmlformats.org/officeDocument/2006/relationships/hyperlink" Target="https://fategrandorder.fandom.com/wiki/Free_Quests:_E_Pluribus_Unum" TargetMode="External"/><Relationship Id="rId51" Type="http://schemas.openxmlformats.org/officeDocument/2006/relationships/hyperlink" Target="https://fategrandorder.fandom.com/wiki/Free_Quests:_Camelot" TargetMode="External"/><Relationship Id="rId50" Type="http://schemas.openxmlformats.org/officeDocument/2006/relationships/hyperlink" Target="https://fategrandorder.fandom.com/wiki/Free_Quests:_Shinjuku" TargetMode="External"/><Relationship Id="rId53" Type="http://schemas.openxmlformats.org/officeDocument/2006/relationships/hyperlink" Target="https://fategrandorder.fandom.com/wiki/Free_Quests:_Shinjuku" TargetMode="External"/><Relationship Id="rId52" Type="http://schemas.openxmlformats.org/officeDocument/2006/relationships/hyperlink" Target="https://fategrandorder.fandom.com/wiki/Free_Quests:_Shinjuku" TargetMode="External"/><Relationship Id="rId55" Type="http://schemas.openxmlformats.org/officeDocument/2006/relationships/hyperlink" Target="https://fategrandorder.fandom.com/wiki/Free_Quests:_Shinjuku" TargetMode="External"/><Relationship Id="rId161" Type="http://schemas.openxmlformats.org/officeDocument/2006/relationships/hyperlink" Target="https://fategrandorder.fandom.com/wiki/Free_Quests:_G%C3%B6tterd%C3%A4mmerung" TargetMode="External"/><Relationship Id="rId54" Type="http://schemas.openxmlformats.org/officeDocument/2006/relationships/hyperlink" Target="https://fategrandorder.fandom.com/wiki/Free_Quests:_Shinjuku" TargetMode="External"/><Relationship Id="rId160" Type="http://schemas.openxmlformats.org/officeDocument/2006/relationships/hyperlink" Target="https://fategrandorder.fandom.com/wiki/Free_Quests:_G%C3%B6tterd%C3%A4mmerung" TargetMode="External"/><Relationship Id="rId57" Type="http://schemas.openxmlformats.org/officeDocument/2006/relationships/hyperlink" Target="https://fategrandorder.fandom.com/wiki/Free_Quests:_Salem" TargetMode="External"/><Relationship Id="rId56" Type="http://schemas.openxmlformats.org/officeDocument/2006/relationships/hyperlink" Target="https://fategrandorder.fandom.com/wiki/Free_Quests:_Salem" TargetMode="External"/><Relationship Id="rId159" Type="http://schemas.openxmlformats.org/officeDocument/2006/relationships/hyperlink" Target="https://fategrandorder.fandom.com/wiki/Free_Quests:_G%C3%B6tterd%C3%A4mmerung" TargetMode="External"/><Relationship Id="rId59" Type="http://schemas.openxmlformats.org/officeDocument/2006/relationships/hyperlink" Target="https://fategrandorder.fandom.com/wiki/Free_Quests:_Salem" TargetMode="External"/><Relationship Id="rId154" Type="http://schemas.openxmlformats.org/officeDocument/2006/relationships/hyperlink" Target="https://fategrandorder.fandom.com/wiki/Free_Quests:_G%C3%B6tterd%C3%A4mmerung" TargetMode="External"/><Relationship Id="rId58" Type="http://schemas.openxmlformats.org/officeDocument/2006/relationships/hyperlink" Target="https://fategrandorder.fandom.com/wiki/Free_Quests:_Salem" TargetMode="External"/><Relationship Id="rId153" Type="http://schemas.openxmlformats.org/officeDocument/2006/relationships/hyperlink" Target="https://fategrandorder.fandom.com/wiki/Free_Quests:_Anastasia" TargetMode="External"/><Relationship Id="rId152" Type="http://schemas.openxmlformats.org/officeDocument/2006/relationships/hyperlink" Target="https://fategrandorder.fandom.com/wiki/Free_Quests:_Camelot" TargetMode="External"/><Relationship Id="rId151" Type="http://schemas.openxmlformats.org/officeDocument/2006/relationships/hyperlink" Target="https://fategrandorder.fandom.com/wiki/Free_Quests:_Anastasia" TargetMode="External"/><Relationship Id="rId158" Type="http://schemas.openxmlformats.org/officeDocument/2006/relationships/hyperlink" Target="https://fategrandorder.fandom.com/wiki/Free_Quests:_E_Pluribus_Unum" TargetMode="External"/><Relationship Id="rId157" Type="http://schemas.openxmlformats.org/officeDocument/2006/relationships/hyperlink" Target="https://fategrandorder.fandom.com/wiki/Free_Quests:_G%C3%B6tterd%C3%A4mmerung" TargetMode="External"/><Relationship Id="rId156" Type="http://schemas.openxmlformats.org/officeDocument/2006/relationships/hyperlink" Target="https://fategrandorder.fandom.com/wiki/Free_Quests:_G%C3%B6tterd%C3%A4mmerung" TargetMode="External"/><Relationship Id="rId155" Type="http://schemas.openxmlformats.org/officeDocument/2006/relationships/hyperlink" Target="https://fategrandorder.fandom.com/wiki/Free_Quests:_G%C3%B6tterd%C3%A4mmerung" TargetMode="External"/><Relationship Id="rId107" Type="http://schemas.openxmlformats.org/officeDocument/2006/relationships/hyperlink" Target="https://fategrandorder.fandom.com/wiki/Free_Quests:_Okeanos" TargetMode="External"/><Relationship Id="rId228" Type="http://schemas.openxmlformats.org/officeDocument/2006/relationships/hyperlink" Target="https://fategrandorder.fandom.com/wiki/Free_Quests:_Shimosa" TargetMode="External"/><Relationship Id="rId106" Type="http://schemas.openxmlformats.org/officeDocument/2006/relationships/hyperlink" Target="https://fategrandorder.fandom.com/wiki/Free_Quests:_S_I_N" TargetMode="External"/><Relationship Id="rId227" Type="http://schemas.openxmlformats.org/officeDocument/2006/relationships/hyperlink" Target="https://fategrandorder.fandom.com/wiki/Free_Quests:_Anastasia" TargetMode="External"/><Relationship Id="rId105" Type="http://schemas.openxmlformats.org/officeDocument/2006/relationships/hyperlink" Target="https://fategrandorder.fandom.com/wiki/Free_Quests:_Agartha" TargetMode="External"/><Relationship Id="rId226" Type="http://schemas.openxmlformats.org/officeDocument/2006/relationships/hyperlink" Target="https://fategrandorder.fandom.com/wiki/Free_Quests:_Anastasia" TargetMode="External"/><Relationship Id="rId104" Type="http://schemas.openxmlformats.org/officeDocument/2006/relationships/hyperlink" Target="https://fategrandorder.fandom.com/wiki/Free_Quests:_Shinjuku" TargetMode="External"/><Relationship Id="rId225" Type="http://schemas.openxmlformats.org/officeDocument/2006/relationships/hyperlink" Target="https://fategrandorder.fandom.com/wiki/Free_Quests:_Agartha" TargetMode="External"/><Relationship Id="rId109" Type="http://schemas.openxmlformats.org/officeDocument/2006/relationships/hyperlink" Target="https://fategrandorder.fandom.com/wiki/Free_Quests:_Agartha" TargetMode="External"/><Relationship Id="rId108" Type="http://schemas.openxmlformats.org/officeDocument/2006/relationships/hyperlink" Target="https://fategrandorder.fandom.com/wiki/Free_Quests:_S_I_N" TargetMode="External"/><Relationship Id="rId229" Type="http://schemas.openxmlformats.org/officeDocument/2006/relationships/hyperlink" Target="https://fategrandorder.fandom.com/wiki/Free_Quests:_S_I_N" TargetMode="External"/><Relationship Id="rId220" Type="http://schemas.openxmlformats.org/officeDocument/2006/relationships/hyperlink" Target="https://fategrandorder.fandom.com/wiki/Free_Quests:_G%C3%B6tterd%C3%A4mmerung" TargetMode="External"/><Relationship Id="rId103" Type="http://schemas.openxmlformats.org/officeDocument/2006/relationships/hyperlink" Target="https://fategrandorder.fandom.com/wiki/Free_Quests:_E_Pluribus_Unum" TargetMode="External"/><Relationship Id="rId224" Type="http://schemas.openxmlformats.org/officeDocument/2006/relationships/hyperlink" Target="https://fategrandorder.fandom.com/wiki/Free_Quests:_Babylonia" TargetMode="External"/><Relationship Id="rId102" Type="http://schemas.openxmlformats.org/officeDocument/2006/relationships/hyperlink" Target="https://fategrandorder.fandom.com/wiki/Free_Quests:_Shinjuku" TargetMode="External"/><Relationship Id="rId223" Type="http://schemas.openxmlformats.org/officeDocument/2006/relationships/hyperlink" Target="https://fategrandorder.fandom.com/wiki/Free_Quests:_Babylonia" TargetMode="External"/><Relationship Id="rId101" Type="http://schemas.openxmlformats.org/officeDocument/2006/relationships/hyperlink" Target="https://fategrandorder.fandom.com/wiki/Free_Quests:_G%C3%B6tterd%C3%A4mmerung" TargetMode="External"/><Relationship Id="rId222" Type="http://schemas.openxmlformats.org/officeDocument/2006/relationships/hyperlink" Target="https://fategrandorder.fandom.com/wiki/Free_Quests:_Babylonia" TargetMode="External"/><Relationship Id="rId100" Type="http://schemas.openxmlformats.org/officeDocument/2006/relationships/hyperlink" Target="https://fategrandorder.fandom.com/wiki/Free_Quests:_Salem" TargetMode="External"/><Relationship Id="rId221" Type="http://schemas.openxmlformats.org/officeDocument/2006/relationships/hyperlink" Target="https://fategrandorder.fandom.com/wiki/Free_Quests:_G%C3%B6tterd%C3%A4mmerung" TargetMode="External"/><Relationship Id="rId217" Type="http://schemas.openxmlformats.org/officeDocument/2006/relationships/hyperlink" Target="https://fategrandorder.fandom.com/wiki/Free_Quests:_E_Pluribus_Unum" TargetMode="External"/><Relationship Id="rId216" Type="http://schemas.openxmlformats.org/officeDocument/2006/relationships/hyperlink" Target="https://fategrandorder.fandom.com/wiki/Free_Quests:_Camelot" TargetMode="External"/><Relationship Id="rId215" Type="http://schemas.openxmlformats.org/officeDocument/2006/relationships/hyperlink" Target="https://fategrandorder.fandom.com/wiki/Free_Quests:_Camelot" TargetMode="External"/><Relationship Id="rId214" Type="http://schemas.openxmlformats.org/officeDocument/2006/relationships/hyperlink" Target="https://fategrandorder.fandom.com/wiki/Free_Quests:_Orleans" TargetMode="External"/><Relationship Id="rId219" Type="http://schemas.openxmlformats.org/officeDocument/2006/relationships/hyperlink" Target="https://fategrandorder.fandom.com/wiki/Free_Quests:_G%C3%B6tterd%C3%A4mmerung" TargetMode="External"/><Relationship Id="rId218" Type="http://schemas.openxmlformats.org/officeDocument/2006/relationships/hyperlink" Target="https://fategrandorder.fandom.com/wiki/Free_Quests:_Babylonia" TargetMode="External"/><Relationship Id="rId213" Type="http://schemas.openxmlformats.org/officeDocument/2006/relationships/hyperlink" Target="https://fategrandorder.fandom.com/wiki/Free_Quests:_Camelot" TargetMode="External"/><Relationship Id="rId212" Type="http://schemas.openxmlformats.org/officeDocument/2006/relationships/hyperlink" Target="https://fategrandorder.fandom.com/wiki/Free_Quests:_Camelot" TargetMode="External"/><Relationship Id="rId211" Type="http://schemas.openxmlformats.org/officeDocument/2006/relationships/hyperlink" Target="https://fategrandorder.fandom.com/wiki/Free_Quests:_Yuga_Kshetra" TargetMode="External"/><Relationship Id="rId210" Type="http://schemas.openxmlformats.org/officeDocument/2006/relationships/hyperlink" Target="https://fategrandorder.fandom.com/wiki/Free_Quests:_Salem" TargetMode="External"/><Relationship Id="rId129" Type="http://schemas.openxmlformats.org/officeDocument/2006/relationships/hyperlink" Target="https://fategrandorder.fandom.com/wiki/Free_Quests:_Anastasia" TargetMode="External"/><Relationship Id="rId128" Type="http://schemas.openxmlformats.org/officeDocument/2006/relationships/hyperlink" Target="https://fategrandorder.fandom.com/wiki/Free_Quests:_Shinjuku" TargetMode="External"/><Relationship Id="rId127" Type="http://schemas.openxmlformats.org/officeDocument/2006/relationships/hyperlink" Target="https://fategrandorder.fandom.com/wiki/Free_Quests:_Camelot" TargetMode="External"/><Relationship Id="rId126" Type="http://schemas.openxmlformats.org/officeDocument/2006/relationships/hyperlink" Target="https://fategrandorder.fandom.com/wiki/Free_Quests:_Camelot" TargetMode="External"/><Relationship Id="rId121" Type="http://schemas.openxmlformats.org/officeDocument/2006/relationships/hyperlink" Target="https://fategrandorder.fandom.com/wiki/Free_Quests:_Camelot" TargetMode="External"/><Relationship Id="rId120" Type="http://schemas.openxmlformats.org/officeDocument/2006/relationships/hyperlink" Target="https://fategrandorder.fandom.com/wiki/Free_Quests:_Agartha" TargetMode="External"/><Relationship Id="rId125" Type="http://schemas.openxmlformats.org/officeDocument/2006/relationships/hyperlink" Target="https://fategrandorder.fandom.com/wiki/Free_Quests:_Camelot" TargetMode="External"/><Relationship Id="rId124" Type="http://schemas.openxmlformats.org/officeDocument/2006/relationships/hyperlink" Target="https://fategrandorder.fandom.com/wiki/Free_Quests:_Orleans" TargetMode="External"/><Relationship Id="rId123" Type="http://schemas.openxmlformats.org/officeDocument/2006/relationships/hyperlink" Target="https://fategrandorder.fandom.com/wiki/Free_Quests:_Salem" TargetMode="External"/><Relationship Id="rId122" Type="http://schemas.openxmlformats.org/officeDocument/2006/relationships/hyperlink" Target="https://fategrandorder.fandom.com/wiki/Free_Quests:_Babylonia" TargetMode="External"/><Relationship Id="rId95" Type="http://schemas.openxmlformats.org/officeDocument/2006/relationships/hyperlink" Target="https://fategrandorder.fandom.com/wiki/Free_Quests:_Salem" TargetMode="External"/><Relationship Id="rId94" Type="http://schemas.openxmlformats.org/officeDocument/2006/relationships/hyperlink" Target="https://fategrandorder.fandom.com/wiki/Free_Quests:_S_I_N" TargetMode="External"/><Relationship Id="rId97" Type="http://schemas.openxmlformats.org/officeDocument/2006/relationships/hyperlink" Target="https://fategrandorder.fandom.com/wiki/Free_Quests:_Agartha" TargetMode="External"/><Relationship Id="rId96" Type="http://schemas.openxmlformats.org/officeDocument/2006/relationships/hyperlink" Target="https://fategrandorder.fandom.com/wiki/Free_Quests:_Agartha" TargetMode="External"/><Relationship Id="rId99" Type="http://schemas.openxmlformats.org/officeDocument/2006/relationships/hyperlink" Target="https://fategrandorder.fandom.com/wiki/Free_Quests:_G%C3%B6tterd%C3%A4mmerung" TargetMode="External"/><Relationship Id="rId98" Type="http://schemas.openxmlformats.org/officeDocument/2006/relationships/hyperlink" Target="https://fategrandorder.fandom.com/wiki/Free_Quests:_Agartha" TargetMode="External"/><Relationship Id="rId91" Type="http://schemas.openxmlformats.org/officeDocument/2006/relationships/hyperlink" Target="https://fategrandorder.fandom.com/wiki/Free_Quests:_Babylonia" TargetMode="External"/><Relationship Id="rId90" Type="http://schemas.openxmlformats.org/officeDocument/2006/relationships/hyperlink" Target="https://fategrandorder.fandom.com/wiki/Free_Quests:_Agartha" TargetMode="External"/><Relationship Id="rId93" Type="http://schemas.openxmlformats.org/officeDocument/2006/relationships/hyperlink" Target="https://fategrandorder.fandom.com/wiki/Free_Quests:_Okeanos" TargetMode="External"/><Relationship Id="rId92" Type="http://schemas.openxmlformats.org/officeDocument/2006/relationships/hyperlink" Target="https://fategrandorder.fandom.com/wiki/Free_Quests:_Anastasia" TargetMode="External"/><Relationship Id="rId118" Type="http://schemas.openxmlformats.org/officeDocument/2006/relationships/hyperlink" Target="https://fategrandorder.fandom.com/wiki/Free_Quests:_Babylonia" TargetMode="External"/><Relationship Id="rId117" Type="http://schemas.openxmlformats.org/officeDocument/2006/relationships/hyperlink" Target="https://fategrandorder.fandom.com/wiki/Free_Quests:_London" TargetMode="External"/><Relationship Id="rId238" Type="http://schemas.openxmlformats.org/officeDocument/2006/relationships/drawing" Target="../drawings/drawing3.xml"/><Relationship Id="rId116" Type="http://schemas.openxmlformats.org/officeDocument/2006/relationships/hyperlink" Target="https://fategrandorder.fandom.com/wiki/Free_Quests:_London" TargetMode="External"/><Relationship Id="rId237" Type="http://schemas.openxmlformats.org/officeDocument/2006/relationships/hyperlink" Target="https://fategrandorder.fandom.com/wiki/Free_Quests:_Yuga_Kshetra" TargetMode="External"/><Relationship Id="rId115" Type="http://schemas.openxmlformats.org/officeDocument/2006/relationships/hyperlink" Target="https://fategrandorder.fandom.com/wiki/Free_Quests:_Salem" TargetMode="External"/><Relationship Id="rId236" Type="http://schemas.openxmlformats.org/officeDocument/2006/relationships/hyperlink" Target="https://fategrandorder.fandom.com/wiki/Free_Quests:_Yuga_Kshetra" TargetMode="External"/><Relationship Id="rId119" Type="http://schemas.openxmlformats.org/officeDocument/2006/relationships/hyperlink" Target="https://fategrandorder.fandom.com/wiki/Free_Quests:_London" TargetMode="External"/><Relationship Id="rId110" Type="http://schemas.openxmlformats.org/officeDocument/2006/relationships/hyperlink" Target="https://fategrandorder.fandom.com/wiki/Free_Quests:_Shinjuku" TargetMode="External"/><Relationship Id="rId231" Type="http://schemas.openxmlformats.org/officeDocument/2006/relationships/hyperlink" Target="https://fategrandorder.fandom.com/wiki/Free_Quests:_S_I_N" TargetMode="External"/><Relationship Id="rId230" Type="http://schemas.openxmlformats.org/officeDocument/2006/relationships/hyperlink" Target="https://fategrandorder.fandom.com/wiki/Free_Quests:_S_I_N" TargetMode="External"/><Relationship Id="rId114" Type="http://schemas.openxmlformats.org/officeDocument/2006/relationships/hyperlink" Target="https://fategrandorder.fandom.com/wiki/Free_Quests:_E_Pluribus_Unum" TargetMode="External"/><Relationship Id="rId235" Type="http://schemas.openxmlformats.org/officeDocument/2006/relationships/hyperlink" Target="https://fategrandorder.fandom.com/wiki/Free_Quests:_Yuga_Kshetra" TargetMode="External"/><Relationship Id="rId113" Type="http://schemas.openxmlformats.org/officeDocument/2006/relationships/hyperlink" Target="https://fategrandorder.fandom.com/wiki/Free_Quests:_Agartha" TargetMode="External"/><Relationship Id="rId234" Type="http://schemas.openxmlformats.org/officeDocument/2006/relationships/hyperlink" Target="https://fategrandorder.fandom.com/wiki/Free_Quests:_Shimosa" TargetMode="External"/><Relationship Id="rId112" Type="http://schemas.openxmlformats.org/officeDocument/2006/relationships/hyperlink" Target="https://fategrandorder.fandom.com/wiki/Free_Quests:_E_Pluribus_Unum" TargetMode="External"/><Relationship Id="rId233" Type="http://schemas.openxmlformats.org/officeDocument/2006/relationships/hyperlink" Target="https://fategrandorder.fandom.com/wiki/Free_Quests:_S_I_N" TargetMode="External"/><Relationship Id="rId111" Type="http://schemas.openxmlformats.org/officeDocument/2006/relationships/hyperlink" Target="https://fategrandorder.fandom.com/wiki/Free_Quests:_London" TargetMode="External"/><Relationship Id="rId232" Type="http://schemas.openxmlformats.org/officeDocument/2006/relationships/hyperlink" Target="https://fategrandorder.fandom.com/wiki/Free_Quests:_S_I_N" TargetMode="External"/><Relationship Id="rId206" Type="http://schemas.openxmlformats.org/officeDocument/2006/relationships/hyperlink" Target="https://fategrandorder.fandom.com/wiki/Free_Quests:_Agartha" TargetMode="External"/><Relationship Id="rId205" Type="http://schemas.openxmlformats.org/officeDocument/2006/relationships/hyperlink" Target="https://fategrandorder.fandom.com/wiki/Free_Quests:_Yuga_Kshetra" TargetMode="External"/><Relationship Id="rId204" Type="http://schemas.openxmlformats.org/officeDocument/2006/relationships/hyperlink" Target="https://fategrandorder.fandom.com/wiki/Free_Quests:_Orleans" TargetMode="External"/><Relationship Id="rId203" Type="http://schemas.openxmlformats.org/officeDocument/2006/relationships/hyperlink" Target="https://fategrandorder.fandom.com/wiki/Free_Quests:_E_Pluribus_Unum" TargetMode="External"/><Relationship Id="rId209" Type="http://schemas.openxmlformats.org/officeDocument/2006/relationships/hyperlink" Target="https://fategrandorder.fandom.com/wiki/Free_Quests:_London" TargetMode="External"/><Relationship Id="rId208" Type="http://schemas.openxmlformats.org/officeDocument/2006/relationships/hyperlink" Target="https://fategrandorder.fandom.com/wiki/Free_Quests:_E_Pluribus_Unum" TargetMode="External"/><Relationship Id="rId207" Type="http://schemas.openxmlformats.org/officeDocument/2006/relationships/hyperlink" Target="https://fategrandorder.fandom.com/wiki/Free_Quests:_Babylonia" TargetMode="External"/><Relationship Id="rId202" Type="http://schemas.openxmlformats.org/officeDocument/2006/relationships/hyperlink" Target="https://fategrandorder.fandom.com/wiki/Free_Quests:_Shinjuku" TargetMode="External"/><Relationship Id="rId201" Type="http://schemas.openxmlformats.org/officeDocument/2006/relationships/hyperlink" Target="https://fategrandorder.fandom.com/wiki/Free_Quests:_E_Pluribus_Unum" TargetMode="External"/><Relationship Id="rId200" Type="http://schemas.openxmlformats.org/officeDocument/2006/relationships/hyperlink" Target="https://fategrandorder.fandom.com/wiki/Free_Quests:_Anastasia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H4pRvdAVVbjb6QQH45_XmmpSbOO7przzLcjyshTPUyQ/edit?usp=drivesdk" TargetMode="External"/><Relationship Id="rId2" Type="http://schemas.openxmlformats.org/officeDocument/2006/relationships/hyperlink" Target="https://docs.google.com/spreadsheets/d/1sxse_7jcGfju0MOIO59TV8_10-qAp5UUXqPzXX_TxcE/" TargetMode="External"/><Relationship Id="rId3" Type="http://schemas.openxmlformats.org/officeDocument/2006/relationships/hyperlink" Target="https://docs.google.com/spreadsheets/d/1T4vfu9kZ7L6tS3xnOPICSna9kYTYSRWQ66rQI_1jWV4/" TargetMode="External"/><Relationship Id="rId4" Type="http://schemas.openxmlformats.org/officeDocument/2006/relationships/hyperlink" Target="https://docs.google.com/spreadsheets/d/1TrfSDteVZnjUPz68rKzuZWZdZZBLqw03FlvEToOvqH0/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31" Type="http://schemas.openxmlformats.org/officeDocument/2006/relationships/table" Target="../tables/table15.xml"/><Relationship Id="rId30" Type="http://schemas.openxmlformats.org/officeDocument/2006/relationships/table" Target="../tables/table14.xml"/><Relationship Id="rId33" Type="http://schemas.openxmlformats.org/officeDocument/2006/relationships/table" Target="../tables/table17.xml"/><Relationship Id="rId32" Type="http://schemas.openxmlformats.org/officeDocument/2006/relationships/table" Target="../tables/table16.xml"/><Relationship Id="rId35" Type="http://schemas.openxmlformats.org/officeDocument/2006/relationships/table" Target="../tables/table19.xml"/><Relationship Id="rId34" Type="http://schemas.openxmlformats.org/officeDocument/2006/relationships/table" Target="../tables/table18.xml"/><Relationship Id="rId37" Type="http://schemas.openxmlformats.org/officeDocument/2006/relationships/table" Target="../tables/table21.xml"/><Relationship Id="rId36" Type="http://schemas.openxmlformats.org/officeDocument/2006/relationships/table" Target="../tables/table20.xml"/><Relationship Id="rId20" Type="http://schemas.openxmlformats.org/officeDocument/2006/relationships/table" Target="../tables/table4.xml"/><Relationship Id="rId22" Type="http://schemas.openxmlformats.org/officeDocument/2006/relationships/table" Target="../tables/table6.xml"/><Relationship Id="rId21" Type="http://schemas.openxmlformats.org/officeDocument/2006/relationships/table" Target="../tables/table5.xml"/><Relationship Id="rId24" Type="http://schemas.openxmlformats.org/officeDocument/2006/relationships/table" Target="../tables/table8.xml"/><Relationship Id="rId23" Type="http://schemas.openxmlformats.org/officeDocument/2006/relationships/table" Target="../tables/table7.xml"/><Relationship Id="rId26" Type="http://schemas.openxmlformats.org/officeDocument/2006/relationships/table" Target="../tables/table10.xml"/><Relationship Id="rId25" Type="http://schemas.openxmlformats.org/officeDocument/2006/relationships/table" Target="../tables/table9.xml"/><Relationship Id="rId28" Type="http://schemas.openxmlformats.org/officeDocument/2006/relationships/table" Target="../tables/table12.xml"/><Relationship Id="rId27" Type="http://schemas.openxmlformats.org/officeDocument/2006/relationships/table" Target="../tables/table11.xml"/><Relationship Id="rId29" Type="http://schemas.openxmlformats.org/officeDocument/2006/relationships/table" Target="../tables/table13.xml"/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fategrandorder.fandom.com/wiki/Free_Quests:_Agartha" TargetMode="External"/><Relationship Id="rId42" Type="http://schemas.openxmlformats.org/officeDocument/2006/relationships/hyperlink" Target="https://fategrandorder.fandom.com/wiki/Free_Quests:_Babylonia" TargetMode="External"/><Relationship Id="rId41" Type="http://schemas.openxmlformats.org/officeDocument/2006/relationships/hyperlink" Target="https://fategrandorder.fandom.com/wiki/Free_Quests:_Babylonia" TargetMode="External"/><Relationship Id="rId44" Type="http://schemas.openxmlformats.org/officeDocument/2006/relationships/hyperlink" Target="https://fategrandorder.fandom.com/wiki/Free_Quests:_London" TargetMode="External"/><Relationship Id="rId43" Type="http://schemas.openxmlformats.org/officeDocument/2006/relationships/hyperlink" Target="https://fategrandorder.fandom.com/wiki/Free_Quests:_Babylonia" TargetMode="External"/><Relationship Id="rId46" Type="http://schemas.openxmlformats.org/officeDocument/2006/relationships/hyperlink" Target="https://fategrandorder.fandom.com/wiki/Free_Quests:_Babylonia" TargetMode="External"/><Relationship Id="rId45" Type="http://schemas.openxmlformats.org/officeDocument/2006/relationships/hyperlink" Target="https://fategrandorder.fandom.com/wiki/Free_Quests:_Babylonia" TargetMode="External"/><Relationship Id="rId48" Type="http://schemas.openxmlformats.org/officeDocument/2006/relationships/hyperlink" Target="https://fategrandorder.fandom.com/wiki/Free_Quests:_Shinjuku" TargetMode="External"/><Relationship Id="rId47" Type="http://schemas.openxmlformats.org/officeDocument/2006/relationships/hyperlink" Target="https://fategrandorder.fandom.com/wiki/Free_Quests:_Shinjuku" TargetMode="External"/><Relationship Id="rId49" Type="http://schemas.openxmlformats.org/officeDocument/2006/relationships/hyperlink" Target="https://fategrandorder.fandom.com/wiki/Free_Quests:_Shinjuku" TargetMode="External"/><Relationship Id="rId31" Type="http://schemas.openxmlformats.org/officeDocument/2006/relationships/hyperlink" Target="https://fategrandorder.fandom.com/wiki/Free_Quests:_Babylonia" TargetMode="External"/><Relationship Id="rId30" Type="http://schemas.openxmlformats.org/officeDocument/2006/relationships/hyperlink" Target="https://fategrandorder.fandom.com/wiki/Free_Quests:_Septem" TargetMode="External"/><Relationship Id="rId33" Type="http://schemas.openxmlformats.org/officeDocument/2006/relationships/hyperlink" Target="https://fategrandorder.fandom.com/wiki/Free_Quests:_Camelot" TargetMode="External"/><Relationship Id="rId32" Type="http://schemas.openxmlformats.org/officeDocument/2006/relationships/hyperlink" Target="https://fategrandorder.fandom.com/wiki/Free_Quests:_Okeanos" TargetMode="External"/><Relationship Id="rId35" Type="http://schemas.openxmlformats.org/officeDocument/2006/relationships/hyperlink" Target="https://fategrandorder.fandom.com/wiki/Free_Quests:_Agartha" TargetMode="External"/><Relationship Id="rId34" Type="http://schemas.openxmlformats.org/officeDocument/2006/relationships/hyperlink" Target="https://fategrandorder.fandom.com/wiki/Free_Quests:_Camelot" TargetMode="External"/><Relationship Id="rId37" Type="http://schemas.openxmlformats.org/officeDocument/2006/relationships/hyperlink" Target="https://fategrandorder.fandom.com/wiki/Free_Quests:_Agartha" TargetMode="External"/><Relationship Id="rId176" Type="http://schemas.openxmlformats.org/officeDocument/2006/relationships/hyperlink" Target="https://fategrandorder.fandom.com/wiki/Free_Quests:_Shimosa" TargetMode="External"/><Relationship Id="rId36" Type="http://schemas.openxmlformats.org/officeDocument/2006/relationships/hyperlink" Target="https://fategrandorder.fandom.com/wiki/Free_Quests:_Camelot" TargetMode="External"/><Relationship Id="rId175" Type="http://schemas.openxmlformats.org/officeDocument/2006/relationships/hyperlink" Target="https://fategrandorder.fandom.com/wiki/Free_Quests:_Agartha" TargetMode="External"/><Relationship Id="rId39" Type="http://schemas.openxmlformats.org/officeDocument/2006/relationships/hyperlink" Target="https://fategrandorder.fandom.com/wiki/Free_Quests:_Camelot" TargetMode="External"/><Relationship Id="rId174" Type="http://schemas.openxmlformats.org/officeDocument/2006/relationships/hyperlink" Target="https://fategrandorder.fandom.com/wiki/Free_Quests:_Babylonia" TargetMode="External"/><Relationship Id="rId38" Type="http://schemas.openxmlformats.org/officeDocument/2006/relationships/hyperlink" Target="https://fategrandorder.fandom.com/wiki/Free_Quests:_Shinjuku" TargetMode="External"/><Relationship Id="rId173" Type="http://schemas.openxmlformats.org/officeDocument/2006/relationships/hyperlink" Target="https://fategrandorder.fandom.com/wiki/Free_Quests:_Shimosa" TargetMode="External"/><Relationship Id="rId177" Type="http://schemas.openxmlformats.org/officeDocument/2006/relationships/drawing" Target="../drawings/drawing7.xml"/><Relationship Id="rId20" Type="http://schemas.openxmlformats.org/officeDocument/2006/relationships/hyperlink" Target="https://fategrandorder.fandom.com/wiki/Free_Quests:_Okeanos" TargetMode="External"/><Relationship Id="rId22" Type="http://schemas.openxmlformats.org/officeDocument/2006/relationships/hyperlink" Target="https://fategrandorder.fandom.com/wiki/Free_Quests:_Shimosa" TargetMode="External"/><Relationship Id="rId21" Type="http://schemas.openxmlformats.org/officeDocument/2006/relationships/hyperlink" Target="https://fategrandorder.fandom.com/wiki/Free_Quests:_Babylonia" TargetMode="External"/><Relationship Id="rId24" Type="http://schemas.openxmlformats.org/officeDocument/2006/relationships/hyperlink" Target="https://fategrandorder.fandom.com/wiki/Free_Quests:_Agartha" TargetMode="External"/><Relationship Id="rId23" Type="http://schemas.openxmlformats.org/officeDocument/2006/relationships/hyperlink" Target="https://fategrandorder.fandom.com/wiki/Free_Quests:_Okeanos" TargetMode="External"/><Relationship Id="rId26" Type="http://schemas.openxmlformats.org/officeDocument/2006/relationships/hyperlink" Target="https://fategrandorder.fandom.com/wiki/Free_Quests:_E_Pluribus_Unum" TargetMode="External"/><Relationship Id="rId25" Type="http://schemas.openxmlformats.org/officeDocument/2006/relationships/hyperlink" Target="https://fategrandorder.fandom.com/wiki/Free_Quests:_Agartha" TargetMode="External"/><Relationship Id="rId28" Type="http://schemas.openxmlformats.org/officeDocument/2006/relationships/hyperlink" Target="https://fategrandorder.fandom.com/wiki/Free_Quests:_E_Pluribus_Unum" TargetMode="External"/><Relationship Id="rId27" Type="http://schemas.openxmlformats.org/officeDocument/2006/relationships/hyperlink" Target="https://fategrandorder.fandom.com/wiki/Free_Quests:_Camelot" TargetMode="External"/><Relationship Id="rId29" Type="http://schemas.openxmlformats.org/officeDocument/2006/relationships/hyperlink" Target="https://fategrandorder.fandom.com/wiki/Free_Quests:_Camelot" TargetMode="External"/><Relationship Id="rId11" Type="http://schemas.openxmlformats.org/officeDocument/2006/relationships/hyperlink" Target="https://fategrandorder.fandom.com/wiki/Free_Quests:_Fuyuki" TargetMode="External"/><Relationship Id="rId10" Type="http://schemas.openxmlformats.org/officeDocument/2006/relationships/hyperlink" Target="https://fategrandorder.fandom.com/wiki/Free_Quests:_Camelot" TargetMode="External"/><Relationship Id="rId13" Type="http://schemas.openxmlformats.org/officeDocument/2006/relationships/hyperlink" Target="https://fategrandorder.fandom.com/wiki/Free_Quests:_Fuyuki" TargetMode="External"/><Relationship Id="rId12" Type="http://schemas.openxmlformats.org/officeDocument/2006/relationships/hyperlink" Target="https://fategrandorder.fandom.com/wiki/Free_Quests:_Fuyuki" TargetMode="External"/><Relationship Id="rId15" Type="http://schemas.openxmlformats.org/officeDocument/2006/relationships/hyperlink" Target="https://fategrandorder.fandom.com/wiki/Free_Quests:_Fuyuki" TargetMode="External"/><Relationship Id="rId14" Type="http://schemas.openxmlformats.org/officeDocument/2006/relationships/hyperlink" Target="https://fategrandorder.fandom.com/wiki/Free_Quests:_Agartha" TargetMode="External"/><Relationship Id="rId17" Type="http://schemas.openxmlformats.org/officeDocument/2006/relationships/hyperlink" Target="https://fategrandorder.fandom.com/wiki/Free_Quests:_Fuyuki" TargetMode="External"/><Relationship Id="rId16" Type="http://schemas.openxmlformats.org/officeDocument/2006/relationships/hyperlink" Target="https://fategrandorder.fandom.com/wiki/Free_Quests:_E_Pluribus_Unum" TargetMode="External"/><Relationship Id="rId19" Type="http://schemas.openxmlformats.org/officeDocument/2006/relationships/hyperlink" Target="https://fategrandorder.fandom.com/wiki/Free_Quests:_E_Pluribus_Unum" TargetMode="External"/><Relationship Id="rId18" Type="http://schemas.openxmlformats.org/officeDocument/2006/relationships/hyperlink" Target="https://fategrandorder.fandom.com/wiki/Free_Quests:_Camelot" TargetMode="External"/><Relationship Id="rId84" Type="http://schemas.openxmlformats.org/officeDocument/2006/relationships/hyperlink" Target="https://fategrandorder.fandom.com/wiki/Free_Quests:_Agartha" TargetMode="External"/><Relationship Id="rId83" Type="http://schemas.openxmlformats.org/officeDocument/2006/relationships/hyperlink" Target="https://fategrandorder.fandom.com/wiki/Free_Quests:_Shinjuku" TargetMode="External"/><Relationship Id="rId86" Type="http://schemas.openxmlformats.org/officeDocument/2006/relationships/hyperlink" Target="https://fategrandorder.fandom.com/wiki/Free_Quests:_Agartha" TargetMode="External"/><Relationship Id="rId85" Type="http://schemas.openxmlformats.org/officeDocument/2006/relationships/hyperlink" Target="https://fategrandorder.fandom.com/wiki/Free_Quests:_Agartha" TargetMode="External"/><Relationship Id="rId88" Type="http://schemas.openxmlformats.org/officeDocument/2006/relationships/hyperlink" Target="https://fategrandorder.fandom.com/wiki/Free_Quests:_Babylonia" TargetMode="External"/><Relationship Id="rId150" Type="http://schemas.openxmlformats.org/officeDocument/2006/relationships/hyperlink" Target="https://fategrandorder.fandom.com/wiki/Free_Quests:_Shinjuku" TargetMode="External"/><Relationship Id="rId87" Type="http://schemas.openxmlformats.org/officeDocument/2006/relationships/hyperlink" Target="https://fategrandorder.fandom.com/wiki/Free_Quests:_Agartha" TargetMode="External"/><Relationship Id="rId89" Type="http://schemas.openxmlformats.org/officeDocument/2006/relationships/hyperlink" Target="https://fategrandorder.fandom.com/wiki/Free_Quests:_Babylonia" TargetMode="External"/><Relationship Id="rId80" Type="http://schemas.openxmlformats.org/officeDocument/2006/relationships/hyperlink" Target="https://fategrandorder.fandom.com/wiki/Free_Quests:_Babylonia" TargetMode="External"/><Relationship Id="rId82" Type="http://schemas.openxmlformats.org/officeDocument/2006/relationships/hyperlink" Target="https://fategrandorder.fandom.com/wiki/Free_Quests:_Shinjuku" TargetMode="External"/><Relationship Id="rId81" Type="http://schemas.openxmlformats.org/officeDocument/2006/relationships/hyperlink" Target="https://fategrandorder.fandom.com/wiki/Free_Quests:_Okeanos" TargetMode="External"/><Relationship Id="rId1" Type="http://schemas.openxmlformats.org/officeDocument/2006/relationships/hyperlink" Target="https://docs.google.com/spreadsheets/d/1NY7nOVQkDyWTXhnK1KP1oPUXoN1C0SY6pMEXPcFuKyI/edit?usp=sharing" TargetMode="External"/><Relationship Id="rId2" Type="http://schemas.openxmlformats.org/officeDocument/2006/relationships/hyperlink" Target="https://docs.google.com/spreadsheets/d/10I6LSXkvpI39-ylGZ7Kf5bmcX74vlMmrO-grLunCnaA/edit?usp=sharing" TargetMode="External"/><Relationship Id="rId3" Type="http://schemas.openxmlformats.org/officeDocument/2006/relationships/hyperlink" Target="https://fategrandorder.fandom.com/wiki/Free_Quests:_Okeanos" TargetMode="External"/><Relationship Id="rId149" Type="http://schemas.openxmlformats.org/officeDocument/2006/relationships/hyperlink" Target="https://fategrandorder.fandom.com/wiki/Free_Quests:_Camelot" TargetMode="External"/><Relationship Id="rId4" Type="http://schemas.openxmlformats.org/officeDocument/2006/relationships/hyperlink" Target="https://fategrandorder.fandom.com/wiki/Free_Quests:_Orleans" TargetMode="External"/><Relationship Id="rId148" Type="http://schemas.openxmlformats.org/officeDocument/2006/relationships/hyperlink" Target="https://fategrandorder.fandom.com/wiki/Free_Quests:_Fuyuki" TargetMode="External"/><Relationship Id="rId9" Type="http://schemas.openxmlformats.org/officeDocument/2006/relationships/hyperlink" Target="https://fategrandorder.fandom.com/wiki/Free_Quests:_Septem" TargetMode="External"/><Relationship Id="rId143" Type="http://schemas.openxmlformats.org/officeDocument/2006/relationships/hyperlink" Target="https://fategrandorder.fandom.com/wiki/Free_Quests:_Babylonia" TargetMode="External"/><Relationship Id="rId142" Type="http://schemas.openxmlformats.org/officeDocument/2006/relationships/hyperlink" Target="https://fategrandorder.fandom.com/wiki/Free_Quests:_Shinjuku" TargetMode="External"/><Relationship Id="rId141" Type="http://schemas.openxmlformats.org/officeDocument/2006/relationships/hyperlink" Target="https://fategrandorder.fandom.com/wiki/Free_Quests:_Agartha" TargetMode="External"/><Relationship Id="rId140" Type="http://schemas.openxmlformats.org/officeDocument/2006/relationships/hyperlink" Target="https://fategrandorder.fandom.com/wiki/Free_Quests:_E_Pluribus_Unum" TargetMode="External"/><Relationship Id="rId5" Type="http://schemas.openxmlformats.org/officeDocument/2006/relationships/hyperlink" Target="https://fategrandorder.fandom.com/wiki/Free_Quests:_Shinjuku" TargetMode="External"/><Relationship Id="rId147" Type="http://schemas.openxmlformats.org/officeDocument/2006/relationships/hyperlink" Target="https://fategrandorder.fandom.com/wiki/Free_Quests:_Babylonia" TargetMode="External"/><Relationship Id="rId6" Type="http://schemas.openxmlformats.org/officeDocument/2006/relationships/hyperlink" Target="https://fategrandorder.fandom.com/wiki/Free_Quests:_Okeanos" TargetMode="External"/><Relationship Id="rId146" Type="http://schemas.openxmlformats.org/officeDocument/2006/relationships/hyperlink" Target="https://fategrandorder.fandom.com/wiki/Free_Quests:_E_Pluribus_Unum" TargetMode="External"/><Relationship Id="rId7" Type="http://schemas.openxmlformats.org/officeDocument/2006/relationships/hyperlink" Target="https://fategrandorder.fandom.com/wiki/Free_Quests:_Agartha" TargetMode="External"/><Relationship Id="rId145" Type="http://schemas.openxmlformats.org/officeDocument/2006/relationships/hyperlink" Target="https://fategrandorder.fandom.com/wiki/Free_Quests:_Shinjuku" TargetMode="External"/><Relationship Id="rId8" Type="http://schemas.openxmlformats.org/officeDocument/2006/relationships/hyperlink" Target="https://fategrandorder.fandom.com/wiki/Free_Quests:_E_Pluribus_Unum" TargetMode="External"/><Relationship Id="rId144" Type="http://schemas.openxmlformats.org/officeDocument/2006/relationships/hyperlink" Target="https://fategrandorder.fandom.com/wiki/Free_Quests:_Camelot" TargetMode="External"/><Relationship Id="rId73" Type="http://schemas.openxmlformats.org/officeDocument/2006/relationships/hyperlink" Target="https://fategrandorder.fandom.com/wiki/Free_Quests:_Agartha" TargetMode="External"/><Relationship Id="rId72" Type="http://schemas.openxmlformats.org/officeDocument/2006/relationships/hyperlink" Target="https://fategrandorder.fandom.com/wiki/Free_Quests:_Orleans" TargetMode="External"/><Relationship Id="rId75" Type="http://schemas.openxmlformats.org/officeDocument/2006/relationships/hyperlink" Target="https://fategrandorder.fandom.com/wiki/Free_Quests:_Shimosa" TargetMode="External"/><Relationship Id="rId74" Type="http://schemas.openxmlformats.org/officeDocument/2006/relationships/hyperlink" Target="https://fategrandorder.fandom.com/wiki/Free_Quests:_Camelot" TargetMode="External"/><Relationship Id="rId77" Type="http://schemas.openxmlformats.org/officeDocument/2006/relationships/hyperlink" Target="https://fategrandorder.fandom.com/wiki/Free_Quests:_Okeanos" TargetMode="External"/><Relationship Id="rId76" Type="http://schemas.openxmlformats.org/officeDocument/2006/relationships/hyperlink" Target="https://fategrandorder.fandom.com/wiki/Free_Quests:_Agartha" TargetMode="External"/><Relationship Id="rId79" Type="http://schemas.openxmlformats.org/officeDocument/2006/relationships/hyperlink" Target="https://fategrandorder.fandom.com/wiki/Free_Quests:_Agartha" TargetMode="External"/><Relationship Id="rId78" Type="http://schemas.openxmlformats.org/officeDocument/2006/relationships/hyperlink" Target="https://fategrandorder.fandom.com/wiki/Free_Quests:_Camelot" TargetMode="External"/><Relationship Id="rId71" Type="http://schemas.openxmlformats.org/officeDocument/2006/relationships/hyperlink" Target="https://fategrandorder.fandom.com/wiki/Free_Quests:_Shimosa" TargetMode="External"/><Relationship Id="rId70" Type="http://schemas.openxmlformats.org/officeDocument/2006/relationships/hyperlink" Target="https://fategrandorder.fandom.com/wiki/Free_Quests:_Babylonia" TargetMode="External"/><Relationship Id="rId139" Type="http://schemas.openxmlformats.org/officeDocument/2006/relationships/hyperlink" Target="https://fategrandorder.fandom.com/wiki/Free_Quests:_London" TargetMode="External"/><Relationship Id="rId138" Type="http://schemas.openxmlformats.org/officeDocument/2006/relationships/hyperlink" Target="https://fategrandorder.fandom.com/wiki/Free_Quests:_London" TargetMode="External"/><Relationship Id="rId137" Type="http://schemas.openxmlformats.org/officeDocument/2006/relationships/hyperlink" Target="https://fategrandorder.fandom.com/wiki/Free_Quests:_Okeanos" TargetMode="External"/><Relationship Id="rId132" Type="http://schemas.openxmlformats.org/officeDocument/2006/relationships/hyperlink" Target="https://fategrandorder.fandom.com/wiki/Free_Quests:_Okeanos" TargetMode="External"/><Relationship Id="rId131" Type="http://schemas.openxmlformats.org/officeDocument/2006/relationships/hyperlink" Target="https://fategrandorder.fandom.com/wiki/Free_Quests:_Shimosa" TargetMode="External"/><Relationship Id="rId130" Type="http://schemas.openxmlformats.org/officeDocument/2006/relationships/hyperlink" Target="https://fategrandorder.fandom.com/wiki/Free_Quests:_Agartha" TargetMode="External"/><Relationship Id="rId136" Type="http://schemas.openxmlformats.org/officeDocument/2006/relationships/hyperlink" Target="https://fategrandorder.fandom.com/wiki/Free_Quests:_E_Pluribus_Unum" TargetMode="External"/><Relationship Id="rId135" Type="http://schemas.openxmlformats.org/officeDocument/2006/relationships/hyperlink" Target="https://fategrandorder.fandom.com/wiki/Free_Quests:_E_Pluribus_Unum" TargetMode="External"/><Relationship Id="rId134" Type="http://schemas.openxmlformats.org/officeDocument/2006/relationships/hyperlink" Target="https://fategrandorder.fandom.com/wiki/Free_Quests:_E_Pluribus_Unum" TargetMode="External"/><Relationship Id="rId133" Type="http://schemas.openxmlformats.org/officeDocument/2006/relationships/hyperlink" Target="https://fategrandorder.fandom.com/wiki/Free_Quests:_Camelot" TargetMode="External"/><Relationship Id="rId62" Type="http://schemas.openxmlformats.org/officeDocument/2006/relationships/hyperlink" Target="https://fategrandorder.fandom.com/wiki/Free_Quests:_Agartha" TargetMode="External"/><Relationship Id="rId61" Type="http://schemas.openxmlformats.org/officeDocument/2006/relationships/hyperlink" Target="https://fategrandorder.fandom.com/wiki/Free_Quests:_Shimosa" TargetMode="External"/><Relationship Id="rId64" Type="http://schemas.openxmlformats.org/officeDocument/2006/relationships/hyperlink" Target="https://fategrandorder.fandom.com/wiki/Free_Quests:_Shimosa" TargetMode="External"/><Relationship Id="rId63" Type="http://schemas.openxmlformats.org/officeDocument/2006/relationships/hyperlink" Target="https://fategrandorder.fandom.com/wiki/Free_Quests:_Agartha" TargetMode="External"/><Relationship Id="rId66" Type="http://schemas.openxmlformats.org/officeDocument/2006/relationships/hyperlink" Target="https://fategrandorder.fandom.com/wiki/Free_Quests:_Babylonia" TargetMode="External"/><Relationship Id="rId172" Type="http://schemas.openxmlformats.org/officeDocument/2006/relationships/hyperlink" Target="https://fategrandorder.fandom.com/wiki/Free_Quests:_Babylonia" TargetMode="External"/><Relationship Id="rId65" Type="http://schemas.openxmlformats.org/officeDocument/2006/relationships/hyperlink" Target="https://fategrandorder.fandom.com/wiki/Free_Quests:_Agartha" TargetMode="External"/><Relationship Id="rId171" Type="http://schemas.openxmlformats.org/officeDocument/2006/relationships/hyperlink" Target="https://fategrandorder.fandom.com/wiki/Free_Quests:_Babylonia" TargetMode="External"/><Relationship Id="rId68" Type="http://schemas.openxmlformats.org/officeDocument/2006/relationships/hyperlink" Target="https://fategrandorder.fandom.com/wiki/Free_Quests:_Okeanos" TargetMode="External"/><Relationship Id="rId170" Type="http://schemas.openxmlformats.org/officeDocument/2006/relationships/hyperlink" Target="https://fategrandorder.fandom.com/wiki/Free_Quests:_Babylonia" TargetMode="External"/><Relationship Id="rId67" Type="http://schemas.openxmlformats.org/officeDocument/2006/relationships/hyperlink" Target="https://fategrandorder.fandom.com/wiki/Free_Quests:_Camelot" TargetMode="External"/><Relationship Id="rId60" Type="http://schemas.openxmlformats.org/officeDocument/2006/relationships/hyperlink" Target="https://fategrandorder.fandom.com/wiki/Free_Quests:_Agartha" TargetMode="External"/><Relationship Id="rId165" Type="http://schemas.openxmlformats.org/officeDocument/2006/relationships/hyperlink" Target="https://fategrandorder.fandom.com/wiki/Free_Quests:_Camelot" TargetMode="External"/><Relationship Id="rId69" Type="http://schemas.openxmlformats.org/officeDocument/2006/relationships/hyperlink" Target="https://fategrandorder.fandom.com/wiki/Free_Quests:_Shimosa" TargetMode="External"/><Relationship Id="rId164" Type="http://schemas.openxmlformats.org/officeDocument/2006/relationships/hyperlink" Target="https://fategrandorder.fandom.com/wiki/Free_Quests:_Camelot" TargetMode="External"/><Relationship Id="rId163" Type="http://schemas.openxmlformats.org/officeDocument/2006/relationships/hyperlink" Target="https://fategrandorder.fandom.com/wiki/Free_Quests:_Orleans" TargetMode="External"/><Relationship Id="rId162" Type="http://schemas.openxmlformats.org/officeDocument/2006/relationships/hyperlink" Target="https://fategrandorder.fandom.com/wiki/Free_Quests:_E_Pluribus_Unum" TargetMode="External"/><Relationship Id="rId169" Type="http://schemas.openxmlformats.org/officeDocument/2006/relationships/hyperlink" Target="https://fategrandorder.fandom.com/wiki/Free_Quests:_E_Pluribus_Unum" TargetMode="External"/><Relationship Id="rId168" Type="http://schemas.openxmlformats.org/officeDocument/2006/relationships/hyperlink" Target="https://fategrandorder.fandom.com/wiki/Free_Quests:_Camelot" TargetMode="External"/><Relationship Id="rId167" Type="http://schemas.openxmlformats.org/officeDocument/2006/relationships/hyperlink" Target="https://fategrandorder.fandom.com/wiki/Free_Quests:_Camelot" TargetMode="External"/><Relationship Id="rId166" Type="http://schemas.openxmlformats.org/officeDocument/2006/relationships/hyperlink" Target="https://fategrandorder.fandom.com/wiki/Free_Quests:_Orleans" TargetMode="External"/><Relationship Id="rId51" Type="http://schemas.openxmlformats.org/officeDocument/2006/relationships/hyperlink" Target="https://fategrandorder.fandom.com/wiki/Free_Quests:_Shinjuku" TargetMode="External"/><Relationship Id="rId50" Type="http://schemas.openxmlformats.org/officeDocument/2006/relationships/hyperlink" Target="https://fategrandorder.fandom.com/wiki/Free_Quests:_Camelot" TargetMode="External"/><Relationship Id="rId53" Type="http://schemas.openxmlformats.org/officeDocument/2006/relationships/hyperlink" Target="https://fategrandorder.fandom.com/wiki/Free_Quests:_Shinjuku" TargetMode="External"/><Relationship Id="rId52" Type="http://schemas.openxmlformats.org/officeDocument/2006/relationships/hyperlink" Target="https://fategrandorder.fandom.com/wiki/Free_Quests:_Agartha" TargetMode="External"/><Relationship Id="rId55" Type="http://schemas.openxmlformats.org/officeDocument/2006/relationships/hyperlink" Target="https://fategrandorder.fandom.com/wiki/Free_Quests:_Shimosa" TargetMode="External"/><Relationship Id="rId161" Type="http://schemas.openxmlformats.org/officeDocument/2006/relationships/hyperlink" Target="https://fategrandorder.fandom.com/wiki/Free_Quests:_Babylonia" TargetMode="External"/><Relationship Id="rId54" Type="http://schemas.openxmlformats.org/officeDocument/2006/relationships/hyperlink" Target="https://fategrandorder.fandom.com/wiki/Free_Quests:_Shinjuku" TargetMode="External"/><Relationship Id="rId160" Type="http://schemas.openxmlformats.org/officeDocument/2006/relationships/hyperlink" Target="https://fategrandorder.fandom.com/wiki/Free_Quests:_Agartha" TargetMode="External"/><Relationship Id="rId57" Type="http://schemas.openxmlformats.org/officeDocument/2006/relationships/hyperlink" Target="https://fategrandorder.fandom.com/wiki/Free_Quests:_Shinjuku" TargetMode="External"/><Relationship Id="rId56" Type="http://schemas.openxmlformats.org/officeDocument/2006/relationships/hyperlink" Target="https://fategrandorder.fandom.com/wiki/Free_Quests:_Shimosa" TargetMode="External"/><Relationship Id="rId159" Type="http://schemas.openxmlformats.org/officeDocument/2006/relationships/hyperlink" Target="https://fategrandorder.fandom.com/wiki/Free_Quests:_Orleans" TargetMode="External"/><Relationship Id="rId59" Type="http://schemas.openxmlformats.org/officeDocument/2006/relationships/hyperlink" Target="https://fategrandorder.fandom.com/wiki/Free_Quests:_Babylonia" TargetMode="External"/><Relationship Id="rId154" Type="http://schemas.openxmlformats.org/officeDocument/2006/relationships/hyperlink" Target="https://fategrandorder.fandom.com/wiki/Free_Quests:_Camelot" TargetMode="External"/><Relationship Id="rId58" Type="http://schemas.openxmlformats.org/officeDocument/2006/relationships/hyperlink" Target="https://fategrandorder.fandom.com/wiki/Free_Quests:_Camelot" TargetMode="External"/><Relationship Id="rId153" Type="http://schemas.openxmlformats.org/officeDocument/2006/relationships/hyperlink" Target="https://fategrandorder.fandom.com/wiki/Free_Quests:_Agartha" TargetMode="External"/><Relationship Id="rId152" Type="http://schemas.openxmlformats.org/officeDocument/2006/relationships/hyperlink" Target="https://fategrandorder.fandom.com/wiki/Free_Quests:_E_Pluribus_Unum" TargetMode="External"/><Relationship Id="rId151" Type="http://schemas.openxmlformats.org/officeDocument/2006/relationships/hyperlink" Target="https://fategrandorder.fandom.com/wiki/Free_Quests:_E_Pluribus_Unum" TargetMode="External"/><Relationship Id="rId158" Type="http://schemas.openxmlformats.org/officeDocument/2006/relationships/hyperlink" Target="https://fategrandorder.fandom.com/wiki/Free_Quests:_E_Pluribus_Unum" TargetMode="External"/><Relationship Id="rId157" Type="http://schemas.openxmlformats.org/officeDocument/2006/relationships/hyperlink" Target="https://fategrandorder.fandom.com/wiki/Free_Quests:_Shinjuku" TargetMode="External"/><Relationship Id="rId156" Type="http://schemas.openxmlformats.org/officeDocument/2006/relationships/hyperlink" Target="https://fategrandorder.fandom.com/wiki/Free_Quests:_E_Pluribus_Unum" TargetMode="External"/><Relationship Id="rId155" Type="http://schemas.openxmlformats.org/officeDocument/2006/relationships/hyperlink" Target="https://fategrandorder.fandom.com/wiki/Free_Quests:_E_Pluribus_Unum" TargetMode="External"/><Relationship Id="rId107" Type="http://schemas.openxmlformats.org/officeDocument/2006/relationships/hyperlink" Target="https://fategrandorder.fandom.com/wiki/Free_Quests:_Fuyuki" TargetMode="External"/><Relationship Id="rId106" Type="http://schemas.openxmlformats.org/officeDocument/2006/relationships/hyperlink" Target="https://fategrandorder.fandom.com/wiki/Free_Quests:_Orleans" TargetMode="External"/><Relationship Id="rId105" Type="http://schemas.openxmlformats.org/officeDocument/2006/relationships/hyperlink" Target="https://fategrandorder.fandom.com/wiki/Free_Quests:_London" TargetMode="External"/><Relationship Id="rId104" Type="http://schemas.openxmlformats.org/officeDocument/2006/relationships/hyperlink" Target="https://fategrandorder.fandom.com/wiki/Free_Quests:_London" TargetMode="External"/><Relationship Id="rId109" Type="http://schemas.openxmlformats.org/officeDocument/2006/relationships/hyperlink" Target="https://fategrandorder.fandom.com/wiki/Free_Quests:_Camelot" TargetMode="External"/><Relationship Id="rId108" Type="http://schemas.openxmlformats.org/officeDocument/2006/relationships/hyperlink" Target="https://fategrandorder.fandom.com/wiki/Free_Quests:_London" TargetMode="External"/><Relationship Id="rId103" Type="http://schemas.openxmlformats.org/officeDocument/2006/relationships/hyperlink" Target="https://fategrandorder.fandom.com/wiki/Free_Quests:_London" TargetMode="External"/><Relationship Id="rId102" Type="http://schemas.openxmlformats.org/officeDocument/2006/relationships/hyperlink" Target="https://fategrandorder.fandom.com/wiki/Free_Quests:_Septem" TargetMode="External"/><Relationship Id="rId101" Type="http://schemas.openxmlformats.org/officeDocument/2006/relationships/hyperlink" Target="https://fategrandorder.fandom.com/wiki/Free_Quests:_Septem" TargetMode="External"/><Relationship Id="rId100" Type="http://schemas.openxmlformats.org/officeDocument/2006/relationships/hyperlink" Target="https://fategrandorder.fandom.com/wiki/Free_Quests:_Fuyuki" TargetMode="External"/><Relationship Id="rId129" Type="http://schemas.openxmlformats.org/officeDocument/2006/relationships/hyperlink" Target="https://fategrandorder.fandom.com/wiki/Free_Quests:_Shimosa" TargetMode="External"/><Relationship Id="rId128" Type="http://schemas.openxmlformats.org/officeDocument/2006/relationships/hyperlink" Target="https://fategrandorder.fandom.com/wiki/Free_Quests:_Septem" TargetMode="External"/><Relationship Id="rId127" Type="http://schemas.openxmlformats.org/officeDocument/2006/relationships/hyperlink" Target="https://fategrandorder.fandom.com/wiki/Free_Quests:_Shimosa" TargetMode="External"/><Relationship Id="rId126" Type="http://schemas.openxmlformats.org/officeDocument/2006/relationships/hyperlink" Target="https://fategrandorder.fandom.com/wiki/Free_Quests:_Shimosa" TargetMode="External"/><Relationship Id="rId121" Type="http://schemas.openxmlformats.org/officeDocument/2006/relationships/hyperlink" Target="https://fategrandorder.fandom.com/wiki/Free_Quests:_Okeanos" TargetMode="External"/><Relationship Id="rId120" Type="http://schemas.openxmlformats.org/officeDocument/2006/relationships/hyperlink" Target="https://fategrandorder.fandom.com/wiki/Free_Quests:_Babylonia" TargetMode="External"/><Relationship Id="rId125" Type="http://schemas.openxmlformats.org/officeDocument/2006/relationships/hyperlink" Target="https://fategrandorder.fandom.com/wiki/Free_Quests:_Shimosa" TargetMode="External"/><Relationship Id="rId124" Type="http://schemas.openxmlformats.org/officeDocument/2006/relationships/hyperlink" Target="https://fategrandorder.fandom.com/wiki/Free_Quests:_Orleans" TargetMode="External"/><Relationship Id="rId123" Type="http://schemas.openxmlformats.org/officeDocument/2006/relationships/hyperlink" Target="https://fategrandorder.fandom.com/wiki/Free_Quests:_London" TargetMode="External"/><Relationship Id="rId122" Type="http://schemas.openxmlformats.org/officeDocument/2006/relationships/hyperlink" Target="https://fategrandorder.fandom.com/wiki/Free_Quests:_Septem" TargetMode="External"/><Relationship Id="rId95" Type="http://schemas.openxmlformats.org/officeDocument/2006/relationships/hyperlink" Target="https://fategrandorder.fandom.com/wiki/Free_Quests:_Fuyuki" TargetMode="External"/><Relationship Id="rId94" Type="http://schemas.openxmlformats.org/officeDocument/2006/relationships/hyperlink" Target="https://fategrandorder.fandom.com/wiki/Free_Quests:_London" TargetMode="External"/><Relationship Id="rId97" Type="http://schemas.openxmlformats.org/officeDocument/2006/relationships/hyperlink" Target="https://fategrandorder.fandom.com/wiki/Free_Quests:_Fuyuki" TargetMode="External"/><Relationship Id="rId96" Type="http://schemas.openxmlformats.org/officeDocument/2006/relationships/hyperlink" Target="https://fategrandorder.fandom.com/wiki/Free_Quests:_E_Pluribus_Unum" TargetMode="External"/><Relationship Id="rId99" Type="http://schemas.openxmlformats.org/officeDocument/2006/relationships/hyperlink" Target="https://fategrandorder.fandom.com/wiki/Free_Quests:_London" TargetMode="External"/><Relationship Id="rId98" Type="http://schemas.openxmlformats.org/officeDocument/2006/relationships/hyperlink" Target="https://fategrandorder.fandom.com/wiki/Free_Quests:_Shinjuku" TargetMode="External"/><Relationship Id="rId91" Type="http://schemas.openxmlformats.org/officeDocument/2006/relationships/hyperlink" Target="https://fategrandorder.fandom.com/wiki/Free_Quests:_E_Pluribus_Unum" TargetMode="External"/><Relationship Id="rId90" Type="http://schemas.openxmlformats.org/officeDocument/2006/relationships/hyperlink" Target="https://fategrandorder.fandom.com/wiki/Free_Quests:_Shinjuku" TargetMode="External"/><Relationship Id="rId93" Type="http://schemas.openxmlformats.org/officeDocument/2006/relationships/hyperlink" Target="https://fategrandorder.fandom.com/wiki/Free_Quests:_Fuyuki" TargetMode="External"/><Relationship Id="rId92" Type="http://schemas.openxmlformats.org/officeDocument/2006/relationships/hyperlink" Target="https://fategrandorder.fandom.com/wiki/Free_Quests:_Shinjuku" TargetMode="External"/><Relationship Id="rId118" Type="http://schemas.openxmlformats.org/officeDocument/2006/relationships/hyperlink" Target="https://fategrandorder.fandom.com/wiki/Free_Quests:_Shinjuku" TargetMode="External"/><Relationship Id="rId117" Type="http://schemas.openxmlformats.org/officeDocument/2006/relationships/hyperlink" Target="https://fategrandorder.fandom.com/wiki/Free_Quests:_Shinjuku" TargetMode="External"/><Relationship Id="rId116" Type="http://schemas.openxmlformats.org/officeDocument/2006/relationships/hyperlink" Target="https://fategrandorder.fandom.com/wiki/Free_Quests:_Camelot" TargetMode="External"/><Relationship Id="rId115" Type="http://schemas.openxmlformats.org/officeDocument/2006/relationships/hyperlink" Target="https://fategrandorder.fandom.com/wiki/Free_Quests:_Camelot" TargetMode="External"/><Relationship Id="rId119" Type="http://schemas.openxmlformats.org/officeDocument/2006/relationships/hyperlink" Target="https://fategrandorder.fandom.com/wiki/Free_Quests:_London" TargetMode="External"/><Relationship Id="rId110" Type="http://schemas.openxmlformats.org/officeDocument/2006/relationships/hyperlink" Target="https://fategrandorder.fandom.com/wiki/Free_Quests:_Okeanos" TargetMode="External"/><Relationship Id="rId114" Type="http://schemas.openxmlformats.org/officeDocument/2006/relationships/hyperlink" Target="https://fategrandorder.fandom.com/wiki/Free_Quests:_Camelot" TargetMode="External"/><Relationship Id="rId113" Type="http://schemas.openxmlformats.org/officeDocument/2006/relationships/hyperlink" Target="https://fategrandorder.fandom.com/wiki/Free_Quests:_Okeanos" TargetMode="External"/><Relationship Id="rId112" Type="http://schemas.openxmlformats.org/officeDocument/2006/relationships/hyperlink" Target="https://fategrandorder.fandom.com/wiki/Free_Quests:_Orleans" TargetMode="External"/><Relationship Id="rId111" Type="http://schemas.openxmlformats.org/officeDocument/2006/relationships/hyperlink" Target="https://fategrandorder.fandom.com/wiki/Free_Quests:_Orleans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fategrandorder.fandom.com/wiki/Free_Quests:_Babylonia" TargetMode="External"/><Relationship Id="rId42" Type="http://schemas.openxmlformats.org/officeDocument/2006/relationships/hyperlink" Target="https://fategrandorder.fandom.com/wiki/Free_Quests:_Babylonia" TargetMode="External"/><Relationship Id="rId41" Type="http://schemas.openxmlformats.org/officeDocument/2006/relationships/hyperlink" Target="https://fategrandorder.fandom.com/wiki/Free_Quests:_Babylonia" TargetMode="External"/><Relationship Id="rId44" Type="http://schemas.openxmlformats.org/officeDocument/2006/relationships/hyperlink" Target="https://fategrandorder.fandom.com/wiki/Free_Quests:_Babylonia" TargetMode="External"/><Relationship Id="rId43" Type="http://schemas.openxmlformats.org/officeDocument/2006/relationships/hyperlink" Target="https://fategrandorder.fandom.com/wiki/Free_Quests:_London" TargetMode="External"/><Relationship Id="rId46" Type="http://schemas.openxmlformats.org/officeDocument/2006/relationships/hyperlink" Target="https://fategrandorder.fandom.com/wiki/Free_Quests:_Shinjuku" TargetMode="External"/><Relationship Id="rId45" Type="http://schemas.openxmlformats.org/officeDocument/2006/relationships/hyperlink" Target="https://fategrandorder.fandom.com/wiki/Free_Quests:_Babylonia" TargetMode="External"/><Relationship Id="rId48" Type="http://schemas.openxmlformats.org/officeDocument/2006/relationships/hyperlink" Target="https://fategrandorder.fandom.com/wiki/Free_Quests:_Shinjuku" TargetMode="External"/><Relationship Id="rId47" Type="http://schemas.openxmlformats.org/officeDocument/2006/relationships/hyperlink" Target="https://fategrandorder.fandom.com/wiki/Free_Quests:_Shinjuku" TargetMode="External"/><Relationship Id="rId49" Type="http://schemas.openxmlformats.org/officeDocument/2006/relationships/hyperlink" Target="https://fategrandorder.fandom.com/wiki/Free_Quests:_Camelot" TargetMode="External"/><Relationship Id="rId31" Type="http://schemas.openxmlformats.org/officeDocument/2006/relationships/hyperlink" Target="https://fategrandorder.fandom.com/wiki/Free_Quests:_Shinjuku" TargetMode="External"/><Relationship Id="rId30" Type="http://schemas.openxmlformats.org/officeDocument/2006/relationships/hyperlink" Target="https://fategrandorder.fandom.com/wiki/Free_Quests:_Babylonia" TargetMode="External"/><Relationship Id="rId33" Type="http://schemas.openxmlformats.org/officeDocument/2006/relationships/hyperlink" Target="https://fategrandorder.fandom.com/wiki/Free_Quests:_Camelot" TargetMode="External"/><Relationship Id="rId32" Type="http://schemas.openxmlformats.org/officeDocument/2006/relationships/hyperlink" Target="https://fategrandorder.fandom.com/wiki/Free_Quests:_Camelot" TargetMode="External"/><Relationship Id="rId35" Type="http://schemas.openxmlformats.org/officeDocument/2006/relationships/hyperlink" Target="https://fategrandorder.fandom.com/wiki/Free_Quests:_Camelot" TargetMode="External"/><Relationship Id="rId34" Type="http://schemas.openxmlformats.org/officeDocument/2006/relationships/hyperlink" Target="https://fategrandorder.fandom.com/wiki/Free_Quests:_Agartha" TargetMode="External"/><Relationship Id="rId37" Type="http://schemas.openxmlformats.org/officeDocument/2006/relationships/hyperlink" Target="https://fategrandorder.fandom.com/wiki/Free_Quests:_Shinjuku" TargetMode="External"/><Relationship Id="rId36" Type="http://schemas.openxmlformats.org/officeDocument/2006/relationships/hyperlink" Target="https://fategrandorder.fandom.com/wiki/Free_Quests:_Agartha" TargetMode="External"/><Relationship Id="rId39" Type="http://schemas.openxmlformats.org/officeDocument/2006/relationships/hyperlink" Target="https://fategrandorder.fandom.com/wiki/Free_Quests:_Agartha" TargetMode="External"/><Relationship Id="rId38" Type="http://schemas.openxmlformats.org/officeDocument/2006/relationships/hyperlink" Target="https://fategrandorder.fandom.com/wiki/Free_Quests:_Camelot" TargetMode="External"/><Relationship Id="rId173" Type="http://schemas.openxmlformats.org/officeDocument/2006/relationships/drawing" Target="../drawings/drawing8.xml"/><Relationship Id="rId20" Type="http://schemas.openxmlformats.org/officeDocument/2006/relationships/hyperlink" Target="https://fategrandorder.fandom.com/wiki/Free_Quests:_E_Pluribus_Unum" TargetMode="External"/><Relationship Id="rId22" Type="http://schemas.openxmlformats.org/officeDocument/2006/relationships/hyperlink" Target="https://fategrandorder.fandom.com/wiki/Free_Quests:_Shimosa" TargetMode="External"/><Relationship Id="rId21" Type="http://schemas.openxmlformats.org/officeDocument/2006/relationships/hyperlink" Target="https://fategrandorder.fandom.com/wiki/Free_Quests:_Okeanos" TargetMode="External"/><Relationship Id="rId24" Type="http://schemas.openxmlformats.org/officeDocument/2006/relationships/hyperlink" Target="https://fategrandorder.fandom.com/wiki/Free_Quests:_Agartha" TargetMode="External"/><Relationship Id="rId23" Type="http://schemas.openxmlformats.org/officeDocument/2006/relationships/hyperlink" Target="https://fategrandorder.fandom.com/wiki/Free_Quests:_Agartha" TargetMode="External"/><Relationship Id="rId26" Type="http://schemas.openxmlformats.org/officeDocument/2006/relationships/hyperlink" Target="https://fategrandorder.fandom.com/wiki/Free_Quests:_Camelot" TargetMode="External"/><Relationship Id="rId25" Type="http://schemas.openxmlformats.org/officeDocument/2006/relationships/hyperlink" Target="https://fategrandorder.fandom.com/wiki/Free_Quests:_E_Pluribus_Unum" TargetMode="External"/><Relationship Id="rId28" Type="http://schemas.openxmlformats.org/officeDocument/2006/relationships/hyperlink" Target="https://fategrandorder.fandom.com/wiki/Free_Quests:_Camelot" TargetMode="External"/><Relationship Id="rId27" Type="http://schemas.openxmlformats.org/officeDocument/2006/relationships/hyperlink" Target="https://fategrandorder.fandom.com/wiki/Free_Quests:_E_Pluribus_Unum" TargetMode="External"/><Relationship Id="rId29" Type="http://schemas.openxmlformats.org/officeDocument/2006/relationships/hyperlink" Target="https://fategrandorder.fandom.com/wiki/Free_Quests:_Agartha" TargetMode="External"/><Relationship Id="rId11" Type="http://schemas.openxmlformats.org/officeDocument/2006/relationships/hyperlink" Target="https://fategrandorder.fandom.com/wiki/Free_Quests:_Fuyuki" TargetMode="External"/><Relationship Id="rId10" Type="http://schemas.openxmlformats.org/officeDocument/2006/relationships/hyperlink" Target="https://fategrandorder.fandom.com/wiki/Free_Quests:_Camelot" TargetMode="External"/><Relationship Id="rId13" Type="http://schemas.openxmlformats.org/officeDocument/2006/relationships/hyperlink" Target="https://fategrandorder.fandom.com/wiki/Free_Quests:_Septem" TargetMode="External"/><Relationship Id="rId12" Type="http://schemas.openxmlformats.org/officeDocument/2006/relationships/hyperlink" Target="https://fategrandorder.fandom.com/wiki/Free_Quests:_Camelot" TargetMode="External"/><Relationship Id="rId15" Type="http://schemas.openxmlformats.org/officeDocument/2006/relationships/hyperlink" Target="https://fategrandorder.fandom.com/wiki/Free_Quests:_Shimosa" TargetMode="External"/><Relationship Id="rId14" Type="http://schemas.openxmlformats.org/officeDocument/2006/relationships/hyperlink" Target="https://fategrandorder.fandom.com/wiki/Free_Quests:_Agartha" TargetMode="External"/><Relationship Id="rId17" Type="http://schemas.openxmlformats.org/officeDocument/2006/relationships/hyperlink" Target="https://fategrandorder.fandom.com/wiki/Free_Quests:_London" TargetMode="External"/><Relationship Id="rId16" Type="http://schemas.openxmlformats.org/officeDocument/2006/relationships/hyperlink" Target="https://fategrandorder.fandom.com/wiki/Free_Quests:_E_Pluribus_Unum" TargetMode="External"/><Relationship Id="rId19" Type="http://schemas.openxmlformats.org/officeDocument/2006/relationships/hyperlink" Target="https://fategrandorder.fandom.com/wiki/Free_Quests:_Babylonia" TargetMode="External"/><Relationship Id="rId18" Type="http://schemas.openxmlformats.org/officeDocument/2006/relationships/hyperlink" Target="https://fategrandorder.fandom.com/wiki/Free_Quests:_Camelot" TargetMode="External"/><Relationship Id="rId84" Type="http://schemas.openxmlformats.org/officeDocument/2006/relationships/hyperlink" Target="https://fategrandorder.fandom.com/wiki/Free_Quests:_Babylonia" TargetMode="External"/><Relationship Id="rId83" Type="http://schemas.openxmlformats.org/officeDocument/2006/relationships/hyperlink" Target="https://fategrandorder.fandom.com/wiki/Free_Quests:_Agartha" TargetMode="External"/><Relationship Id="rId86" Type="http://schemas.openxmlformats.org/officeDocument/2006/relationships/hyperlink" Target="https://fategrandorder.fandom.com/wiki/Free_Quests:_Babylonia" TargetMode="External"/><Relationship Id="rId85" Type="http://schemas.openxmlformats.org/officeDocument/2006/relationships/hyperlink" Target="https://fategrandorder.fandom.com/wiki/Free_Quests:_Agartha" TargetMode="External"/><Relationship Id="rId88" Type="http://schemas.openxmlformats.org/officeDocument/2006/relationships/hyperlink" Target="https://fategrandorder.fandom.com/wiki/Free_Quests:_E_Pluribus_Unum" TargetMode="External"/><Relationship Id="rId150" Type="http://schemas.openxmlformats.org/officeDocument/2006/relationships/hyperlink" Target="https://fategrandorder.fandom.com/wiki/Free_Quests:_Camelot" TargetMode="External"/><Relationship Id="rId87" Type="http://schemas.openxmlformats.org/officeDocument/2006/relationships/hyperlink" Target="https://fategrandorder.fandom.com/wiki/Free_Quests:_Shinjuku" TargetMode="External"/><Relationship Id="rId89" Type="http://schemas.openxmlformats.org/officeDocument/2006/relationships/hyperlink" Target="https://fategrandorder.fandom.com/wiki/Free_Quests:_Shinjuku" TargetMode="External"/><Relationship Id="rId80" Type="http://schemas.openxmlformats.org/officeDocument/2006/relationships/hyperlink" Target="https://fategrandorder.fandom.com/wiki/Free_Quests:_Okeanos" TargetMode="External"/><Relationship Id="rId82" Type="http://schemas.openxmlformats.org/officeDocument/2006/relationships/hyperlink" Target="https://fategrandorder.fandom.com/wiki/Free_Quests:_Agartha" TargetMode="External"/><Relationship Id="rId81" Type="http://schemas.openxmlformats.org/officeDocument/2006/relationships/hyperlink" Target="https://fategrandorder.fandom.com/wiki/Free_Quests:_Shinjuku" TargetMode="External"/><Relationship Id="rId1" Type="http://schemas.openxmlformats.org/officeDocument/2006/relationships/hyperlink" Target="https://docs.google.com/spreadsheets/d/1NY7nOVQkDyWTXhnK1KP1oPUXoN1C0SY6pMEXPcFuKyI/edit?usp=sharing" TargetMode="External"/><Relationship Id="rId2" Type="http://schemas.openxmlformats.org/officeDocument/2006/relationships/hyperlink" Target="https://docs.google.com/spreadsheets/d/10I6LSXkvpI39-ylGZ7Kf5bmcX74vlMmrO-grLunCnaA/edit?usp=sharing" TargetMode="External"/><Relationship Id="rId3" Type="http://schemas.openxmlformats.org/officeDocument/2006/relationships/hyperlink" Target="https://fategrandorder.fandom.com/wiki/Free_Quests:_E_Pluribus_Unum" TargetMode="External"/><Relationship Id="rId149" Type="http://schemas.openxmlformats.org/officeDocument/2006/relationships/hyperlink" Target="https://fategrandorder.fandom.com/wiki/Free_Quests:_Agartha" TargetMode="External"/><Relationship Id="rId4" Type="http://schemas.openxmlformats.org/officeDocument/2006/relationships/hyperlink" Target="https://fategrandorder.fandom.com/wiki/Free_Quests:_E_Pluribus_Unum" TargetMode="External"/><Relationship Id="rId148" Type="http://schemas.openxmlformats.org/officeDocument/2006/relationships/hyperlink" Target="https://fategrandorder.fandom.com/wiki/Free_Quests:_E_Pluribus_Unum" TargetMode="External"/><Relationship Id="rId9" Type="http://schemas.openxmlformats.org/officeDocument/2006/relationships/hyperlink" Target="https://fategrandorder.fandom.com/wiki/Free_Quests:_E_Pluribus_Unum" TargetMode="External"/><Relationship Id="rId143" Type="http://schemas.openxmlformats.org/officeDocument/2006/relationships/hyperlink" Target="https://fategrandorder.fandom.com/wiki/Free_Quests:_Babylonia" TargetMode="External"/><Relationship Id="rId142" Type="http://schemas.openxmlformats.org/officeDocument/2006/relationships/hyperlink" Target="https://fategrandorder.fandom.com/wiki/Free_Quests:_Okeanos" TargetMode="External"/><Relationship Id="rId141" Type="http://schemas.openxmlformats.org/officeDocument/2006/relationships/hyperlink" Target="https://fategrandorder.fandom.com/wiki/Free_Quests:_E_Pluribus_Unum" TargetMode="External"/><Relationship Id="rId140" Type="http://schemas.openxmlformats.org/officeDocument/2006/relationships/hyperlink" Target="https://fategrandorder.fandom.com/wiki/Free_Quests:_Shinjuku" TargetMode="External"/><Relationship Id="rId5" Type="http://schemas.openxmlformats.org/officeDocument/2006/relationships/hyperlink" Target="https://fategrandorder.fandom.com/wiki/Free_Quests:_Okeanos" TargetMode="External"/><Relationship Id="rId147" Type="http://schemas.openxmlformats.org/officeDocument/2006/relationships/hyperlink" Target="https://fategrandorder.fandom.com/wiki/Free_Quests:_E_Pluribus_Unum" TargetMode="External"/><Relationship Id="rId6" Type="http://schemas.openxmlformats.org/officeDocument/2006/relationships/hyperlink" Target="https://fategrandorder.fandom.com/wiki/Free_Quests:_Shinjuku" TargetMode="External"/><Relationship Id="rId146" Type="http://schemas.openxmlformats.org/officeDocument/2006/relationships/hyperlink" Target="https://fategrandorder.fandom.com/wiki/Free_Quests:_Shinjuku" TargetMode="External"/><Relationship Id="rId7" Type="http://schemas.openxmlformats.org/officeDocument/2006/relationships/hyperlink" Target="https://fategrandorder.fandom.com/wiki/Free_Quests:_E_Pluribus_Unum" TargetMode="External"/><Relationship Id="rId145" Type="http://schemas.openxmlformats.org/officeDocument/2006/relationships/hyperlink" Target="https://fategrandorder.fandom.com/wiki/Free_Quests:_Camelot" TargetMode="External"/><Relationship Id="rId8" Type="http://schemas.openxmlformats.org/officeDocument/2006/relationships/hyperlink" Target="https://fategrandorder.fandom.com/wiki/Free_Quests:_Agartha" TargetMode="External"/><Relationship Id="rId144" Type="http://schemas.openxmlformats.org/officeDocument/2006/relationships/hyperlink" Target="https://fategrandorder.fandom.com/wiki/Free_Quests:_Septem" TargetMode="External"/><Relationship Id="rId73" Type="http://schemas.openxmlformats.org/officeDocument/2006/relationships/hyperlink" Target="https://fategrandorder.fandom.com/wiki/Free_Quests:_Camelot" TargetMode="External"/><Relationship Id="rId72" Type="http://schemas.openxmlformats.org/officeDocument/2006/relationships/hyperlink" Target="https://fategrandorder.fandom.com/wiki/Free_Quests:_Agartha" TargetMode="External"/><Relationship Id="rId75" Type="http://schemas.openxmlformats.org/officeDocument/2006/relationships/hyperlink" Target="https://fategrandorder.fandom.com/wiki/Free_Quests:_Agartha" TargetMode="External"/><Relationship Id="rId74" Type="http://schemas.openxmlformats.org/officeDocument/2006/relationships/hyperlink" Target="https://fategrandorder.fandom.com/wiki/Free_Quests:_Shimosa" TargetMode="External"/><Relationship Id="rId77" Type="http://schemas.openxmlformats.org/officeDocument/2006/relationships/hyperlink" Target="https://fategrandorder.fandom.com/wiki/Free_Quests:_Agartha" TargetMode="External"/><Relationship Id="rId76" Type="http://schemas.openxmlformats.org/officeDocument/2006/relationships/hyperlink" Target="https://fategrandorder.fandom.com/wiki/Free_Quests:_Camelot" TargetMode="External"/><Relationship Id="rId79" Type="http://schemas.openxmlformats.org/officeDocument/2006/relationships/hyperlink" Target="https://fategrandorder.fandom.com/wiki/Free_Quests:_Shinjuku" TargetMode="External"/><Relationship Id="rId78" Type="http://schemas.openxmlformats.org/officeDocument/2006/relationships/hyperlink" Target="https://fategrandorder.fandom.com/wiki/Free_Quests:_Babylonia" TargetMode="External"/><Relationship Id="rId71" Type="http://schemas.openxmlformats.org/officeDocument/2006/relationships/hyperlink" Target="https://fategrandorder.fandom.com/wiki/Free_Quests:_Babylonia" TargetMode="External"/><Relationship Id="rId70" Type="http://schemas.openxmlformats.org/officeDocument/2006/relationships/hyperlink" Target="https://fategrandorder.fandom.com/wiki/Free_Quests:_Okeanos" TargetMode="External"/><Relationship Id="rId139" Type="http://schemas.openxmlformats.org/officeDocument/2006/relationships/hyperlink" Target="https://fategrandorder.fandom.com/wiki/Free_Quests:_Camelot" TargetMode="External"/><Relationship Id="rId138" Type="http://schemas.openxmlformats.org/officeDocument/2006/relationships/hyperlink" Target="https://fategrandorder.fandom.com/wiki/Free_Quests:_Babylonia" TargetMode="External"/><Relationship Id="rId137" Type="http://schemas.openxmlformats.org/officeDocument/2006/relationships/hyperlink" Target="https://fategrandorder.fandom.com/wiki/Free_Quests:_Shinjuku" TargetMode="External"/><Relationship Id="rId132" Type="http://schemas.openxmlformats.org/officeDocument/2006/relationships/hyperlink" Target="https://fategrandorder.fandom.com/wiki/Free_Quests:_Okeanos" TargetMode="External"/><Relationship Id="rId131" Type="http://schemas.openxmlformats.org/officeDocument/2006/relationships/hyperlink" Target="https://fategrandorder.fandom.com/wiki/Free_Quests:_E_Pluribus_Unum" TargetMode="External"/><Relationship Id="rId130" Type="http://schemas.openxmlformats.org/officeDocument/2006/relationships/hyperlink" Target="https://fategrandorder.fandom.com/wiki/Free_Quests:_E_Pluribus_Unum" TargetMode="External"/><Relationship Id="rId136" Type="http://schemas.openxmlformats.org/officeDocument/2006/relationships/hyperlink" Target="https://fategrandorder.fandom.com/wiki/Free_Quests:_E_Pluribus_Unum" TargetMode="External"/><Relationship Id="rId135" Type="http://schemas.openxmlformats.org/officeDocument/2006/relationships/hyperlink" Target="https://fategrandorder.fandom.com/wiki/Free_Quests:_Agartha" TargetMode="External"/><Relationship Id="rId134" Type="http://schemas.openxmlformats.org/officeDocument/2006/relationships/hyperlink" Target="https://fategrandorder.fandom.com/wiki/Free_Quests:_London" TargetMode="External"/><Relationship Id="rId133" Type="http://schemas.openxmlformats.org/officeDocument/2006/relationships/hyperlink" Target="https://fategrandorder.fandom.com/wiki/Free_Quests:_London" TargetMode="External"/><Relationship Id="rId62" Type="http://schemas.openxmlformats.org/officeDocument/2006/relationships/hyperlink" Target="https://fategrandorder.fandom.com/wiki/Free_Quests:_Agartha" TargetMode="External"/><Relationship Id="rId61" Type="http://schemas.openxmlformats.org/officeDocument/2006/relationships/hyperlink" Target="https://fategrandorder.fandom.com/wiki/Free_Quests:_Agartha" TargetMode="External"/><Relationship Id="rId64" Type="http://schemas.openxmlformats.org/officeDocument/2006/relationships/hyperlink" Target="https://fategrandorder.fandom.com/wiki/Free_Quests:_Agartha" TargetMode="External"/><Relationship Id="rId63" Type="http://schemas.openxmlformats.org/officeDocument/2006/relationships/hyperlink" Target="https://fategrandorder.fandom.com/wiki/Free_Quests:_Shimosa" TargetMode="External"/><Relationship Id="rId66" Type="http://schemas.openxmlformats.org/officeDocument/2006/relationships/hyperlink" Target="https://fategrandorder.fandom.com/wiki/Free_Quests:_Camelot" TargetMode="External"/><Relationship Id="rId172" Type="http://schemas.openxmlformats.org/officeDocument/2006/relationships/hyperlink" Target="https://fategrandorder.fandom.com/wiki/Free_Quests:_Shimosa" TargetMode="External"/><Relationship Id="rId65" Type="http://schemas.openxmlformats.org/officeDocument/2006/relationships/hyperlink" Target="https://fategrandorder.fandom.com/wiki/Free_Quests:_Babylonia" TargetMode="External"/><Relationship Id="rId171" Type="http://schemas.openxmlformats.org/officeDocument/2006/relationships/hyperlink" Target="https://fategrandorder.fandom.com/wiki/Free_Quests:_Agartha" TargetMode="External"/><Relationship Id="rId68" Type="http://schemas.openxmlformats.org/officeDocument/2006/relationships/hyperlink" Target="https://fategrandorder.fandom.com/wiki/Free_Quests:_Shimosa" TargetMode="External"/><Relationship Id="rId170" Type="http://schemas.openxmlformats.org/officeDocument/2006/relationships/hyperlink" Target="https://fategrandorder.fandom.com/wiki/Free_Quests:_Babylonia" TargetMode="External"/><Relationship Id="rId67" Type="http://schemas.openxmlformats.org/officeDocument/2006/relationships/hyperlink" Target="https://fategrandorder.fandom.com/wiki/Free_Quests:_Shimosa" TargetMode="External"/><Relationship Id="rId60" Type="http://schemas.openxmlformats.org/officeDocument/2006/relationships/hyperlink" Target="https://fategrandorder.fandom.com/wiki/Free_Quests:_Shimosa" TargetMode="External"/><Relationship Id="rId165" Type="http://schemas.openxmlformats.org/officeDocument/2006/relationships/hyperlink" Target="https://fategrandorder.fandom.com/wiki/Free_Quests:_E_Pluribus_Unum" TargetMode="External"/><Relationship Id="rId69" Type="http://schemas.openxmlformats.org/officeDocument/2006/relationships/hyperlink" Target="https://fategrandorder.fandom.com/wiki/Free_Quests:_Babylonia" TargetMode="External"/><Relationship Id="rId164" Type="http://schemas.openxmlformats.org/officeDocument/2006/relationships/hyperlink" Target="https://fategrandorder.fandom.com/wiki/Free_Quests:_Camelot" TargetMode="External"/><Relationship Id="rId163" Type="http://schemas.openxmlformats.org/officeDocument/2006/relationships/hyperlink" Target="https://fategrandorder.fandom.com/wiki/Free_Quests:_Camelot" TargetMode="External"/><Relationship Id="rId162" Type="http://schemas.openxmlformats.org/officeDocument/2006/relationships/hyperlink" Target="https://fategrandorder.fandom.com/wiki/Free_Quests:_Orleans" TargetMode="External"/><Relationship Id="rId169" Type="http://schemas.openxmlformats.org/officeDocument/2006/relationships/hyperlink" Target="https://fategrandorder.fandom.com/wiki/Free_Quests:_Shimosa" TargetMode="External"/><Relationship Id="rId168" Type="http://schemas.openxmlformats.org/officeDocument/2006/relationships/hyperlink" Target="https://fategrandorder.fandom.com/wiki/Free_Quests:_Babylonia" TargetMode="External"/><Relationship Id="rId167" Type="http://schemas.openxmlformats.org/officeDocument/2006/relationships/hyperlink" Target="https://fategrandorder.fandom.com/wiki/Free_Quests:_Babylonia" TargetMode="External"/><Relationship Id="rId166" Type="http://schemas.openxmlformats.org/officeDocument/2006/relationships/hyperlink" Target="https://fategrandorder.fandom.com/wiki/Free_Quests:_Babylonia" TargetMode="External"/><Relationship Id="rId51" Type="http://schemas.openxmlformats.org/officeDocument/2006/relationships/hyperlink" Target="https://fategrandorder.fandom.com/wiki/Free_Quests:_Agartha" TargetMode="External"/><Relationship Id="rId50" Type="http://schemas.openxmlformats.org/officeDocument/2006/relationships/hyperlink" Target="https://fategrandorder.fandom.com/wiki/Free_Quests:_Shinjuku" TargetMode="External"/><Relationship Id="rId53" Type="http://schemas.openxmlformats.org/officeDocument/2006/relationships/hyperlink" Target="https://fategrandorder.fandom.com/wiki/Free_Quests:_Shinjuku" TargetMode="External"/><Relationship Id="rId52" Type="http://schemas.openxmlformats.org/officeDocument/2006/relationships/hyperlink" Target="https://fategrandorder.fandom.com/wiki/Free_Quests:_Shinjuku" TargetMode="External"/><Relationship Id="rId55" Type="http://schemas.openxmlformats.org/officeDocument/2006/relationships/hyperlink" Target="https://fategrandorder.fandom.com/wiki/Free_Quests:_Shimosa" TargetMode="External"/><Relationship Id="rId161" Type="http://schemas.openxmlformats.org/officeDocument/2006/relationships/hyperlink" Target="https://fategrandorder.fandom.com/wiki/Free_Quests:_Camelot" TargetMode="External"/><Relationship Id="rId54" Type="http://schemas.openxmlformats.org/officeDocument/2006/relationships/hyperlink" Target="https://fategrandorder.fandom.com/wiki/Free_Quests:_Shimosa" TargetMode="External"/><Relationship Id="rId160" Type="http://schemas.openxmlformats.org/officeDocument/2006/relationships/hyperlink" Target="https://fategrandorder.fandom.com/wiki/Free_Quests:_Camelot" TargetMode="External"/><Relationship Id="rId57" Type="http://schemas.openxmlformats.org/officeDocument/2006/relationships/hyperlink" Target="https://fategrandorder.fandom.com/wiki/Free_Quests:_E_Pluribus_Unum" TargetMode="External"/><Relationship Id="rId56" Type="http://schemas.openxmlformats.org/officeDocument/2006/relationships/hyperlink" Target="https://fategrandorder.fandom.com/wiki/Free_Quests:_Shinjuku" TargetMode="External"/><Relationship Id="rId159" Type="http://schemas.openxmlformats.org/officeDocument/2006/relationships/hyperlink" Target="https://fategrandorder.fandom.com/wiki/Free_Quests:_London" TargetMode="External"/><Relationship Id="rId59" Type="http://schemas.openxmlformats.org/officeDocument/2006/relationships/hyperlink" Target="https://fategrandorder.fandom.com/wiki/Free_Quests:_Agartha" TargetMode="External"/><Relationship Id="rId154" Type="http://schemas.openxmlformats.org/officeDocument/2006/relationships/hyperlink" Target="https://fategrandorder.fandom.com/wiki/Free_Quests:_E_Pluribus_Unum" TargetMode="External"/><Relationship Id="rId58" Type="http://schemas.openxmlformats.org/officeDocument/2006/relationships/hyperlink" Target="https://fategrandorder.fandom.com/wiki/Free_Quests:_Babylonia" TargetMode="External"/><Relationship Id="rId153" Type="http://schemas.openxmlformats.org/officeDocument/2006/relationships/hyperlink" Target="https://fategrandorder.fandom.com/wiki/Free_Quests:_Shinjuku" TargetMode="External"/><Relationship Id="rId152" Type="http://schemas.openxmlformats.org/officeDocument/2006/relationships/hyperlink" Target="https://fategrandorder.fandom.com/wiki/Free_Quests:_E_Pluribus_Unum" TargetMode="External"/><Relationship Id="rId151" Type="http://schemas.openxmlformats.org/officeDocument/2006/relationships/hyperlink" Target="https://fategrandorder.fandom.com/wiki/Free_Quests:_E_Pluribus_Unum" TargetMode="External"/><Relationship Id="rId158" Type="http://schemas.openxmlformats.org/officeDocument/2006/relationships/hyperlink" Target="https://fategrandorder.fandom.com/wiki/Free_Quests:_E_Pluribus_Unum" TargetMode="External"/><Relationship Id="rId157" Type="http://schemas.openxmlformats.org/officeDocument/2006/relationships/hyperlink" Target="https://fategrandorder.fandom.com/wiki/Free_Quests:_Babylonia" TargetMode="External"/><Relationship Id="rId156" Type="http://schemas.openxmlformats.org/officeDocument/2006/relationships/hyperlink" Target="https://fategrandorder.fandom.com/wiki/Free_Quests:_Agartha" TargetMode="External"/><Relationship Id="rId155" Type="http://schemas.openxmlformats.org/officeDocument/2006/relationships/hyperlink" Target="https://fategrandorder.fandom.com/wiki/Free_Quests:_Orleans" TargetMode="External"/><Relationship Id="rId107" Type="http://schemas.openxmlformats.org/officeDocument/2006/relationships/hyperlink" Target="https://fategrandorder.fandom.com/wiki/Free_Quests:_Babylonia" TargetMode="External"/><Relationship Id="rId106" Type="http://schemas.openxmlformats.org/officeDocument/2006/relationships/hyperlink" Target="https://fategrandorder.fandom.com/wiki/Free_Quests:_Camelot" TargetMode="External"/><Relationship Id="rId105" Type="http://schemas.openxmlformats.org/officeDocument/2006/relationships/hyperlink" Target="https://fategrandorder.fandom.com/wiki/Free_Quests:_Agartha" TargetMode="External"/><Relationship Id="rId104" Type="http://schemas.openxmlformats.org/officeDocument/2006/relationships/hyperlink" Target="https://fategrandorder.fandom.com/wiki/Free_Quests:_London" TargetMode="External"/><Relationship Id="rId109" Type="http://schemas.openxmlformats.org/officeDocument/2006/relationships/hyperlink" Target="https://fategrandorder.fandom.com/wiki/Free_Quests:_Agartha" TargetMode="External"/><Relationship Id="rId108" Type="http://schemas.openxmlformats.org/officeDocument/2006/relationships/hyperlink" Target="https://fategrandorder.fandom.com/wiki/Free_Quests:_Okeanos" TargetMode="External"/><Relationship Id="rId103" Type="http://schemas.openxmlformats.org/officeDocument/2006/relationships/hyperlink" Target="https://fategrandorder.fandom.com/wiki/Free_Quests:_Babylonia" TargetMode="External"/><Relationship Id="rId102" Type="http://schemas.openxmlformats.org/officeDocument/2006/relationships/hyperlink" Target="https://fategrandorder.fandom.com/wiki/Free_Quests:_London" TargetMode="External"/><Relationship Id="rId101" Type="http://schemas.openxmlformats.org/officeDocument/2006/relationships/hyperlink" Target="https://fategrandorder.fandom.com/wiki/Free_Quests:_London" TargetMode="External"/><Relationship Id="rId100" Type="http://schemas.openxmlformats.org/officeDocument/2006/relationships/hyperlink" Target="https://fategrandorder.fandom.com/wiki/Free_Quests:_London" TargetMode="External"/><Relationship Id="rId129" Type="http://schemas.openxmlformats.org/officeDocument/2006/relationships/hyperlink" Target="https://fategrandorder.fandom.com/wiki/Free_Quests:_E_Pluribus_Unum" TargetMode="External"/><Relationship Id="rId128" Type="http://schemas.openxmlformats.org/officeDocument/2006/relationships/hyperlink" Target="https://fategrandorder.fandom.com/wiki/Free_Quests:_Camelot" TargetMode="External"/><Relationship Id="rId127" Type="http://schemas.openxmlformats.org/officeDocument/2006/relationships/hyperlink" Target="https://fategrandorder.fandom.com/wiki/Free_Quests:_Shimosa" TargetMode="External"/><Relationship Id="rId126" Type="http://schemas.openxmlformats.org/officeDocument/2006/relationships/hyperlink" Target="https://fategrandorder.fandom.com/wiki/Free_Quests:_Okeanos" TargetMode="External"/><Relationship Id="rId121" Type="http://schemas.openxmlformats.org/officeDocument/2006/relationships/hyperlink" Target="https://fategrandorder.fandom.com/wiki/Free_Quests:_Shimosa" TargetMode="External"/><Relationship Id="rId120" Type="http://schemas.openxmlformats.org/officeDocument/2006/relationships/hyperlink" Target="https://fategrandorder.fandom.com/wiki/Free_Quests:_Camelot" TargetMode="External"/><Relationship Id="rId125" Type="http://schemas.openxmlformats.org/officeDocument/2006/relationships/hyperlink" Target="https://fategrandorder.fandom.com/wiki/Free_Quests:_Shimosa" TargetMode="External"/><Relationship Id="rId124" Type="http://schemas.openxmlformats.org/officeDocument/2006/relationships/hyperlink" Target="https://fategrandorder.fandom.com/wiki/Free_Quests:_Agartha" TargetMode="External"/><Relationship Id="rId123" Type="http://schemas.openxmlformats.org/officeDocument/2006/relationships/hyperlink" Target="https://fategrandorder.fandom.com/wiki/Free_Quests:_Shimosa" TargetMode="External"/><Relationship Id="rId122" Type="http://schemas.openxmlformats.org/officeDocument/2006/relationships/hyperlink" Target="https://fategrandorder.fandom.com/wiki/Free_Quests:_Shimosa" TargetMode="External"/><Relationship Id="rId95" Type="http://schemas.openxmlformats.org/officeDocument/2006/relationships/hyperlink" Target="https://fategrandorder.fandom.com/wiki/Free_Quests:_Shinjuku" TargetMode="External"/><Relationship Id="rId94" Type="http://schemas.openxmlformats.org/officeDocument/2006/relationships/hyperlink" Target="https://fategrandorder.fandom.com/wiki/Free_Quests:_Agartha" TargetMode="External"/><Relationship Id="rId97" Type="http://schemas.openxmlformats.org/officeDocument/2006/relationships/hyperlink" Target="https://fategrandorder.fandom.com/wiki/Free_Quests:_E_Pluribus_Unum" TargetMode="External"/><Relationship Id="rId96" Type="http://schemas.openxmlformats.org/officeDocument/2006/relationships/hyperlink" Target="https://fategrandorder.fandom.com/wiki/Free_Quests:_London" TargetMode="External"/><Relationship Id="rId99" Type="http://schemas.openxmlformats.org/officeDocument/2006/relationships/hyperlink" Target="https://fategrandorder.fandom.com/wiki/Free_Quests:_E_Pluribus_Unum" TargetMode="External"/><Relationship Id="rId98" Type="http://schemas.openxmlformats.org/officeDocument/2006/relationships/hyperlink" Target="https://fategrandorder.fandom.com/wiki/Free_Quests:_Agartha" TargetMode="External"/><Relationship Id="rId91" Type="http://schemas.openxmlformats.org/officeDocument/2006/relationships/hyperlink" Target="https://fategrandorder.fandom.com/wiki/Free_Quests:_London" TargetMode="External"/><Relationship Id="rId90" Type="http://schemas.openxmlformats.org/officeDocument/2006/relationships/hyperlink" Target="https://fategrandorder.fandom.com/wiki/Free_Quests:_Agartha" TargetMode="External"/><Relationship Id="rId93" Type="http://schemas.openxmlformats.org/officeDocument/2006/relationships/hyperlink" Target="https://fategrandorder.fandom.com/wiki/Free_Quests:_Shinjuku" TargetMode="External"/><Relationship Id="rId92" Type="http://schemas.openxmlformats.org/officeDocument/2006/relationships/hyperlink" Target="https://fategrandorder.fandom.com/wiki/Free_Quests:_Okeanos" TargetMode="External"/><Relationship Id="rId118" Type="http://schemas.openxmlformats.org/officeDocument/2006/relationships/hyperlink" Target="https://fategrandorder.fandom.com/wiki/Free_Quests:_London" TargetMode="External"/><Relationship Id="rId117" Type="http://schemas.openxmlformats.org/officeDocument/2006/relationships/hyperlink" Target="https://fategrandorder.fandom.com/wiki/Free_Quests:_Okeanos" TargetMode="External"/><Relationship Id="rId116" Type="http://schemas.openxmlformats.org/officeDocument/2006/relationships/hyperlink" Target="https://fategrandorder.fandom.com/wiki/Free_Quests:_Babylonia" TargetMode="External"/><Relationship Id="rId115" Type="http://schemas.openxmlformats.org/officeDocument/2006/relationships/hyperlink" Target="https://fategrandorder.fandom.com/wiki/Free_Quests:_Shinjuku" TargetMode="External"/><Relationship Id="rId119" Type="http://schemas.openxmlformats.org/officeDocument/2006/relationships/hyperlink" Target="https://fategrandorder.fandom.com/wiki/Free_Quests:_Okeanos" TargetMode="External"/><Relationship Id="rId110" Type="http://schemas.openxmlformats.org/officeDocument/2006/relationships/hyperlink" Target="https://fategrandorder.fandom.com/wiki/Free_Quests:_Camelot" TargetMode="External"/><Relationship Id="rId114" Type="http://schemas.openxmlformats.org/officeDocument/2006/relationships/hyperlink" Target="https://fategrandorder.fandom.com/wiki/Free_Quests:_Shinjuku" TargetMode="External"/><Relationship Id="rId113" Type="http://schemas.openxmlformats.org/officeDocument/2006/relationships/hyperlink" Target="https://fategrandorder.fandom.com/wiki/Free_Quests:_Shinjuku" TargetMode="External"/><Relationship Id="rId112" Type="http://schemas.openxmlformats.org/officeDocument/2006/relationships/hyperlink" Target="https://fategrandorder.fandom.com/wiki/Free_Quests:_Camelot" TargetMode="External"/><Relationship Id="rId111" Type="http://schemas.openxmlformats.org/officeDocument/2006/relationships/hyperlink" Target="https://fategrandorder.fandom.com/wiki/Free_Quests:_Camelot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0I6LSXkvpI39-ylGZ7Kf5bmcX74vlMmrO-grLunCnaA/edit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29"/>
    <col customWidth="1" hidden="1" min="2" max="2" width="6.71"/>
    <col customWidth="1" min="3" max="3" width="6.71"/>
    <col customWidth="1" min="4" max="4" width="0.43"/>
    <col customWidth="1" min="5" max="5" width="4.14"/>
    <col customWidth="1" min="6" max="6" width="11.14"/>
    <col customWidth="1" min="7" max="7" width="8.71"/>
    <col customWidth="1" min="8" max="8" width="7.43"/>
    <col customWidth="1" hidden="1" min="9" max="9" width="4.14"/>
    <col customWidth="1" hidden="1" min="10" max="10" width="10.14"/>
    <col customWidth="1" hidden="1" min="11" max="11" width="7.86"/>
    <col customWidth="1" hidden="1" min="12" max="12" width="6.43"/>
    <col customWidth="1" hidden="1" min="13" max="13" width="4.14"/>
    <col customWidth="1" hidden="1" min="14" max="14" width="10.14"/>
    <col customWidth="1" hidden="1" min="15" max="15" width="7.86"/>
    <col customWidth="1" hidden="1" min="16" max="16" width="6.43"/>
    <col customWidth="1" min="17" max="17" width="4.14"/>
    <col customWidth="1" min="18" max="18" width="10.14"/>
    <col customWidth="1" min="19" max="19" width="7.86"/>
    <col customWidth="1" min="20" max="20" width="6.43"/>
    <col customWidth="1" hidden="1" min="21" max="21" width="4.14"/>
    <col customWidth="1" hidden="1" min="22" max="22" width="10.14"/>
    <col customWidth="1" hidden="1" min="23" max="23" width="7.86"/>
    <col customWidth="1" hidden="1" min="24" max="24" width="6.43"/>
    <col customWidth="1" hidden="1" min="25" max="25" width="4.14"/>
    <col customWidth="1" hidden="1" min="26" max="26" width="10.14"/>
    <col customWidth="1" hidden="1" min="27" max="27" width="7.86"/>
    <col customWidth="1" hidden="1" min="28" max="28" width="6.43"/>
    <col customWidth="1" min="29" max="29" width="4.14"/>
    <col customWidth="1" min="30" max="30" width="10.14"/>
    <col customWidth="1" min="31" max="31" width="7.86"/>
    <col customWidth="1" min="32" max="32" width="6.43"/>
    <col customWidth="1" min="33" max="33" width="4.14"/>
    <col customWidth="1" min="34" max="34" width="10.14"/>
    <col customWidth="1" min="35" max="35" width="7.86"/>
    <col customWidth="1" min="36" max="36" width="6.43"/>
    <col customWidth="1" hidden="1" min="37" max="37" width="4.14"/>
    <col customWidth="1" hidden="1" min="38" max="38" width="10.14"/>
    <col customWidth="1" hidden="1" min="39" max="39" width="7.86"/>
    <col customWidth="1" hidden="1" min="40" max="40" width="6.43"/>
    <col customWidth="1" min="41" max="41" width="4.14"/>
    <col customWidth="1" min="42" max="42" width="10.14"/>
    <col customWidth="1" min="43" max="43" width="7.86"/>
    <col customWidth="1" min="44" max="44" width="6.43"/>
    <col customWidth="1" hidden="1" min="45" max="45" width="4.14"/>
    <col customWidth="1" hidden="1" min="46" max="46" width="10.14"/>
    <col customWidth="1" hidden="1" min="47" max="47" width="7.86"/>
    <col customWidth="1" hidden="1" min="48" max="48" width="6.43"/>
    <col customWidth="1" hidden="1" min="49" max="49" width="4.14"/>
    <col customWidth="1" hidden="1" min="50" max="50" width="10.14"/>
    <col customWidth="1" hidden="1" min="51" max="51" width="7.86"/>
    <col customWidth="1" hidden="1" min="52" max="52" width="6.43"/>
    <col customWidth="1" min="53" max="53" width="4.14"/>
    <col customWidth="1" min="54" max="54" width="10.14"/>
    <col customWidth="1" min="55" max="55" width="7.86"/>
    <col customWidth="1" min="56" max="56" width="6.43"/>
    <col customWidth="1" min="57" max="57" width="4.14"/>
    <col customWidth="1" min="58" max="58" width="10.14"/>
    <col customWidth="1" min="59" max="59" width="7.86"/>
    <col customWidth="1" min="60" max="60" width="6.43"/>
    <col customWidth="1" min="61" max="61" width="4.14"/>
    <col customWidth="1" min="62" max="62" width="10.14"/>
    <col customWidth="1" min="63" max="63" width="7.86"/>
    <col customWidth="1" min="64" max="64" width="6.43"/>
    <col customWidth="1" hidden="1" min="65" max="65" width="4.14"/>
    <col customWidth="1" hidden="1" min="66" max="66" width="10.14"/>
    <col customWidth="1" hidden="1" min="67" max="67" width="7.86"/>
    <col customWidth="1" hidden="1" min="68" max="68" width="6.43"/>
    <col customWidth="1" hidden="1" min="69" max="69" width="4.14"/>
    <col customWidth="1" hidden="1" min="70" max="70" width="10.14"/>
    <col customWidth="1" hidden="1" min="71" max="71" width="7.86"/>
    <col customWidth="1" hidden="1" min="72" max="80" width="6.43"/>
    <col customWidth="1" hidden="1" min="81" max="81" width="14.43"/>
    <col customWidth="1" hidden="1" min="82" max="82" width="25.29"/>
    <col customWidth="1" hidden="1" min="83" max="85" width="6.86"/>
    <col customWidth="1" hidden="1" min="86" max="88" width="7.57"/>
    <col customWidth="1" hidden="1" min="89" max="89" width="0.43"/>
    <col customWidth="1" hidden="1" min="90" max="93" width="7.57"/>
    <col customWidth="1" hidden="1" min="94" max="94" width="0.43"/>
    <col customWidth="1" hidden="1" min="95" max="105" width="7.57"/>
  </cols>
  <sheetData>
    <row r="1" ht="25.5" customHeight="1">
      <c r="A1" s="1" t="s">
        <v>0</v>
      </c>
      <c r="B1" s="2" t="s">
        <v>1</v>
      </c>
      <c r="C1" s="2" t="s">
        <v>2</v>
      </c>
      <c r="D1" s="3"/>
      <c r="E1" s="4" t="s">
        <v>3</v>
      </c>
      <c r="F1" s="6"/>
      <c r="G1" s="6"/>
      <c r="H1" s="6"/>
      <c r="I1" s="4" t="s">
        <v>3</v>
      </c>
      <c r="J1" s="6"/>
      <c r="K1" s="6"/>
      <c r="L1" s="6"/>
      <c r="M1" s="4" t="s">
        <v>4</v>
      </c>
      <c r="N1" s="6"/>
      <c r="O1" s="6"/>
      <c r="P1" s="6"/>
      <c r="Q1" s="4" t="s">
        <v>5</v>
      </c>
      <c r="R1" s="6"/>
      <c r="S1" s="6"/>
      <c r="T1" s="6"/>
      <c r="U1" s="4" t="s">
        <v>5</v>
      </c>
      <c r="V1" s="6"/>
      <c r="W1" s="6"/>
      <c r="X1" s="6"/>
      <c r="Y1" s="4" t="s">
        <v>6</v>
      </c>
      <c r="Z1" s="6"/>
      <c r="AA1" s="6"/>
      <c r="AB1" s="6"/>
      <c r="AC1" s="4" t="s">
        <v>7</v>
      </c>
      <c r="AD1" s="6"/>
      <c r="AE1" s="6"/>
      <c r="AF1" s="6"/>
      <c r="AG1" s="4" t="s">
        <v>7</v>
      </c>
      <c r="AH1" s="6"/>
      <c r="AI1" s="6"/>
      <c r="AJ1" s="6"/>
      <c r="AK1" s="4" t="s">
        <v>3</v>
      </c>
      <c r="AL1" s="6"/>
      <c r="AM1" s="6"/>
      <c r="AN1" s="6"/>
      <c r="AO1" s="4" t="s">
        <v>6</v>
      </c>
      <c r="AP1" s="6"/>
      <c r="AQ1" s="6"/>
      <c r="AR1" s="6"/>
      <c r="AS1" s="4" t="s">
        <v>5</v>
      </c>
      <c r="AT1" s="6"/>
      <c r="AU1" s="6"/>
      <c r="AV1" s="6"/>
      <c r="AW1" s="4" t="s">
        <v>5</v>
      </c>
      <c r="AX1" s="6"/>
      <c r="AY1" s="6"/>
      <c r="AZ1" s="6"/>
      <c r="BA1" s="4" t="s">
        <v>8</v>
      </c>
      <c r="BB1" s="6"/>
      <c r="BC1" s="6"/>
      <c r="BD1" s="10"/>
      <c r="BE1" s="4" t="s">
        <v>8</v>
      </c>
      <c r="BF1" s="6"/>
      <c r="BG1" s="6"/>
      <c r="BH1" s="10"/>
      <c r="BI1" s="4" t="s">
        <v>8</v>
      </c>
      <c r="BJ1" s="6"/>
      <c r="BK1" s="6"/>
      <c r="BL1" s="10"/>
      <c r="BM1" s="4" t="s">
        <v>9</v>
      </c>
      <c r="BN1" s="6"/>
      <c r="BO1" s="6"/>
      <c r="BP1" s="6"/>
      <c r="BQ1" s="4" t="s">
        <v>9</v>
      </c>
      <c r="BR1" s="6"/>
      <c r="BS1" s="6"/>
      <c r="BT1" s="10"/>
      <c r="BU1" s="4"/>
      <c r="BV1" s="6"/>
      <c r="BW1" s="6"/>
      <c r="BX1" s="10"/>
      <c r="BY1" s="4"/>
      <c r="BZ1" s="6"/>
      <c r="CA1" s="6"/>
      <c r="CB1" s="10"/>
      <c r="CC1" s="13"/>
      <c r="CD1" s="15" t="s">
        <v>10</v>
      </c>
      <c r="CE1" s="16" t="s">
        <v>11</v>
      </c>
      <c r="CF1" s="17" t="s">
        <v>12</v>
      </c>
      <c r="CG1" s="18"/>
      <c r="CH1" s="18"/>
      <c r="CI1" s="18"/>
      <c r="CJ1" s="19"/>
      <c r="CK1" s="20"/>
      <c r="CL1" s="17" t="s">
        <v>13</v>
      </c>
      <c r="CM1" s="18"/>
      <c r="CN1" s="18"/>
      <c r="CO1" s="19"/>
      <c r="CP1" s="20"/>
      <c r="CQ1" s="22" t="s">
        <v>14</v>
      </c>
      <c r="CR1" s="6"/>
      <c r="CS1" s="6"/>
      <c r="CT1" s="10"/>
      <c r="CU1" s="22"/>
      <c r="CV1" s="22"/>
      <c r="CW1" s="22"/>
      <c r="CX1" s="22"/>
      <c r="CY1" s="23"/>
      <c r="CZ1" s="13"/>
      <c r="DA1" s="13"/>
    </row>
    <row r="2" ht="25.5" customHeight="1">
      <c r="A2" s="24"/>
      <c r="B2" s="19"/>
      <c r="C2" s="19"/>
      <c r="D2" s="26"/>
      <c r="E2" s="29" t="s">
        <v>15</v>
      </c>
      <c r="F2" s="29" t="s">
        <v>16</v>
      </c>
      <c r="G2" s="29" t="s">
        <v>17</v>
      </c>
      <c r="H2" s="29" t="s">
        <v>11</v>
      </c>
      <c r="I2" s="29" t="s">
        <v>15</v>
      </c>
      <c r="J2" s="29" t="s">
        <v>16</v>
      </c>
      <c r="K2" s="29" t="s">
        <v>17</v>
      </c>
      <c r="L2" s="29" t="s">
        <v>11</v>
      </c>
      <c r="M2" s="29" t="s">
        <v>15</v>
      </c>
      <c r="N2" s="29" t="s">
        <v>16</v>
      </c>
      <c r="O2" s="29" t="s">
        <v>17</v>
      </c>
      <c r="P2" s="29" t="s">
        <v>11</v>
      </c>
      <c r="Q2" s="29" t="s">
        <v>15</v>
      </c>
      <c r="R2" s="29" t="s">
        <v>16</v>
      </c>
      <c r="S2" s="29" t="s">
        <v>17</v>
      </c>
      <c r="T2" s="29" t="s">
        <v>11</v>
      </c>
      <c r="U2" s="29" t="s">
        <v>15</v>
      </c>
      <c r="V2" s="29" t="s">
        <v>16</v>
      </c>
      <c r="W2" s="29" t="s">
        <v>17</v>
      </c>
      <c r="X2" s="29" t="s">
        <v>11</v>
      </c>
      <c r="Y2" s="29" t="s">
        <v>15</v>
      </c>
      <c r="Z2" s="29" t="s">
        <v>16</v>
      </c>
      <c r="AA2" s="29" t="s">
        <v>17</v>
      </c>
      <c r="AB2" s="29" t="s">
        <v>11</v>
      </c>
      <c r="AC2" s="29" t="s">
        <v>15</v>
      </c>
      <c r="AD2" s="29" t="s">
        <v>16</v>
      </c>
      <c r="AE2" s="29" t="s">
        <v>17</v>
      </c>
      <c r="AF2" s="29" t="s">
        <v>11</v>
      </c>
      <c r="AG2" s="29" t="s">
        <v>15</v>
      </c>
      <c r="AH2" s="29" t="s">
        <v>16</v>
      </c>
      <c r="AI2" s="29" t="s">
        <v>17</v>
      </c>
      <c r="AJ2" s="29" t="s">
        <v>11</v>
      </c>
      <c r="AK2" s="29" t="s">
        <v>15</v>
      </c>
      <c r="AL2" s="29" t="s">
        <v>16</v>
      </c>
      <c r="AM2" s="29" t="s">
        <v>17</v>
      </c>
      <c r="AN2" s="29" t="s">
        <v>11</v>
      </c>
      <c r="AO2" s="29" t="s">
        <v>15</v>
      </c>
      <c r="AP2" s="29" t="s">
        <v>16</v>
      </c>
      <c r="AQ2" s="29" t="s">
        <v>17</v>
      </c>
      <c r="AR2" s="29" t="s">
        <v>11</v>
      </c>
      <c r="AS2" s="29" t="s">
        <v>15</v>
      </c>
      <c r="AT2" s="29" t="s">
        <v>16</v>
      </c>
      <c r="AU2" s="29" t="s">
        <v>17</v>
      </c>
      <c r="AV2" s="29" t="s">
        <v>11</v>
      </c>
      <c r="AW2" s="29" t="s">
        <v>15</v>
      </c>
      <c r="AX2" s="29" t="s">
        <v>16</v>
      </c>
      <c r="AY2" s="29" t="s">
        <v>17</v>
      </c>
      <c r="AZ2" s="29" t="s">
        <v>11</v>
      </c>
      <c r="BA2" s="29" t="s">
        <v>15</v>
      </c>
      <c r="BB2" s="29" t="s">
        <v>16</v>
      </c>
      <c r="BC2" s="29" t="s">
        <v>17</v>
      </c>
      <c r="BD2" s="29" t="s">
        <v>11</v>
      </c>
      <c r="BE2" s="29" t="s">
        <v>15</v>
      </c>
      <c r="BF2" s="29" t="s">
        <v>16</v>
      </c>
      <c r="BG2" s="29" t="s">
        <v>17</v>
      </c>
      <c r="BH2" s="29" t="s">
        <v>11</v>
      </c>
      <c r="BI2" s="29" t="s">
        <v>15</v>
      </c>
      <c r="BJ2" s="29" t="s">
        <v>16</v>
      </c>
      <c r="BK2" s="29" t="s">
        <v>17</v>
      </c>
      <c r="BL2" s="29" t="s">
        <v>11</v>
      </c>
      <c r="BM2" s="29" t="s">
        <v>15</v>
      </c>
      <c r="BN2" s="29" t="s">
        <v>16</v>
      </c>
      <c r="BO2" s="29" t="s">
        <v>17</v>
      </c>
      <c r="BP2" s="29" t="s">
        <v>11</v>
      </c>
      <c r="BQ2" s="29" t="s">
        <v>15</v>
      </c>
      <c r="BR2" s="29" t="s">
        <v>16</v>
      </c>
      <c r="BS2" s="29" t="s">
        <v>17</v>
      </c>
      <c r="BT2" s="29" t="s">
        <v>11</v>
      </c>
      <c r="BU2" s="29"/>
      <c r="BV2" s="29"/>
      <c r="BW2" s="29"/>
      <c r="BX2" s="29"/>
      <c r="BY2" s="29"/>
      <c r="BZ2" s="29"/>
      <c r="CA2" s="29"/>
      <c r="CB2" s="29"/>
      <c r="CC2" s="32"/>
      <c r="CD2" s="19"/>
      <c r="CE2" s="19"/>
      <c r="CF2" s="16"/>
      <c r="CG2" s="16"/>
      <c r="CH2" s="33" t="s">
        <v>18</v>
      </c>
      <c r="CI2" s="33" t="s">
        <v>19</v>
      </c>
      <c r="CJ2" s="33" t="s">
        <v>20</v>
      </c>
      <c r="CK2" s="35"/>
      <c r="CL2" s="33"/>
      <c r="CM2" s="33" t="s">
        <v>18</v>
      </c>
      <c r="CN2" s="33" t="s">
        <v>19</v>
      </c>
      <c r="CO2" s="33" t="s">
        <v>20</v>
      </c>
      <c r="CP2" s="37" t="s">
        <v>21</v>
      </c>
      <c r="CQ2" s="39"/>
      <c r="CR2" s="39" t="s">
        <v>18</v>
      </c>
      <c r="CS2" s="39" t="s">
        <v>19</v>
      </c>
      <c r="CT2" s="39" t="s">
        <v>20</v>
      </c>
      <c r="CU2" s="41"/>
      <c r="CV2" s="41"/>
      <c r="CW2" s="41"/>
      <c r="CX2" s="41"/>
      <c r="CY2" s="41"/>
      <c r="CZ2" s="32"/>
      <c r="DA2" s="32"/>
    </row>
    <row r="3" ht="31.5" customHeight="1">
      <c r="A3" s="43" t="str">
        <f>IFERROR(__xludf.DUMMYFUNCTION("IMPORTRANGE(Setup!C13,Setup!C14&amp;""!""&amp;Setup!F14)"),"#REF!")</f>
        <v>#REF!</v>
      </c>
      <c r="B3" s="44"/>
      <c r="C3" s="44"/>
      <c r="D3" s="45"/>
      <c r="E3" s="46"/>
      <c r="F3" s="47"/>
      <c r="G3" s="48"/>
      <c r="H3" s="49"/>
      <c r="I3" s="46"/>
      <c r="J3" s="50"/>
      <c r="K3" s="52"/>
      <c r="L3" s="53"/>
      <c r="M3" s="46"/>
      <c r="N3" s="50"/>
      <c r="O3" s="52"/>
      <c r="P3" s="53"/>
      <c r="Q3" s="46"/>
      <c r="R3" s="50"/>
      <c r="S3" s="52"/>
      <c r="T3" s="53"/>
      <c r="U3" s="56"/>
      <c r="V3" s="50"/>
      <c r="W3" s="52"/>
      <c r="X3" s="53"/>
      <c r="Y3" s="56"/>
      <c r="Z3" s="50"/>
      <c r="AA3" s="52"/>
      <c r="AB3" s="53"/>
      <c r="AC3" s="56"/>
      <c r="AD3" s="50"/>
      <c r="AE3" s="52"/>
      <c r="AF3" s="53"/>
      <c r="AG3" s="46"/>
      <c r="AH3" s="47"/>
      <c r="AI3" s="48"/>
      <c r="AJ3" s="49"/>
      <c r="AK3" s="46"/>
      <c r="AL3" s="50"/>
      <c r="AM3" s="53"/>
      <c r="AN3" s="53"/>
      <c r="AO3" s="46"/>
      <c r="AP3" s="50"/>
      <c r="AQ3" s="52"/>
      <c r="AR3" s="53"/>
      <c r="AS3" s="46"/>
      <c r="AT3" s="50"/>
      <c r="AU3" s="52"/>
      <c r="AV3" s="53"/>
      <c r="AW3" s="46"/>
      <c r="AX3" s="50"/>
      <c r="AY3" s="52"/>
      <c r="AZ3" s="53"/>
      <c r="BA3" s="46"/>
      <c r="BB3" s="50"/>
      <c r="BC3" s="52"/>
      <c r="BD3" s="53"/>
      <c r="BE3" s="46"/>
      <c r="BF3" s="50"/>
      <c r="BG3" s="52"/>
      <c r="BH3" s="53"/>
      <c r="BI3" s="46"/>
      <c r="BJ3" s="50"/>
      <c r="BK3" s="52"/>
      <c r="BL3" s="53"/>
      <c r="BM3" s="46"/>
      <c r="BN3" s="50"/>
      <c r="BO3" s="52"/>
      <c r="BP3" s="53"/>
      <c r="BQ3" s="46"/>
      <c r="BR3" s="50"/>
      <c r="BS3" s="52"/>
      <c r="BT3" s="53"/>
      <c r="BU3" s="46"/>
      <c r="BV3" s="50"/>
      <c r="BW3" s="52"/>
      <c r="BX3" s="53"/>
      <c r="BY3" s="46"/>
      <c r="BZ3" s="50"/>
      <c r="CA3" s="52"/>
      <c r="CB3" s="59"/>
      <c r="CC3" s="60"/>
      <c r="CD3" s="62" t="str">
        <f>IFERROR(__xludf.DUMMYFUNCTION("IMPORTRANGE(Setup!C13,Setup!C15&amp;""!""&amp;Setup!F15)"),"#REF!")</f>
        <v>#REF!</v>
      </c>
      <c r="CE3" s="64"/>
      <c r="CF3" s="64"/>
      <c r="CG3" s="64"/>
      <c r="CH3" s="66"/>
      <c r="CI3" s="68"/>
      <c r="CJ3" s="68"/>
      <c r="CK3" s="72"/>
      <c r="CL3" s="66"/>
      <c r="CM3" s="66"/>
      <c r="CN3" s="68"/>
      <c r="CO3" s="68"/>
      <c r="CP3" s="74"/>
      <c r="CQ3" s="75"/>
      <c r="CR3" s="68"/>
      <c r="CS3" s="68"/>
      <c r="CT3" s="77"/>
      <c r="CU3" s="77"/>
      <c r="CV3" s="77"/>
      <c r="CW3" s="77"/>
      <c r="CX3" s="77"/>
      <c r="CY3" s="77"/>
      <c r="CZ3" s="60"/>
      <c r="DA3" s="60"/>
    </row>
    <row r="4" ht="31.5" customHeight="1">
      <c r="A4" s="43"/>
      <c r="B4" s="44"/>
      <c r="C4" s="44"/>
      <c r="D4" s="45"/>
      <c r="E4" s="46"/>
      <c r="F4" s="79"/>
      <c r="G4" s="81"/>
      <c r="H4" s="83"/>
      <c r="I4" s="46"/>
      <c r="J4" s="50"/>
      <c r="K4" s="52"/>
      <c r="L4" s="53"/>
      <c r="M4" s="46"/>
      <c r="N4" s="50"/>
      <c r="O4" s="52"/>
      <c r="P4" s="53"/>
      <c r="Q4" s="46"/>
      <c r="R4" s="50"/>
      <c r="S4" s="52"/>
      <c r="T4" s="53"/>
      <c r="U4" s="56"/>
      <c r="V4" s="50"/>
      <c r="W4" s="52"/>
      <c r="X4" s="53"/>
      <c r="Y4" s="56"/>
      <c r="Z4" s="50"/>
      <c r="AA4" s="52"/>
      <c r="AB4" s="53"/>
      <c r="AC4" s="56"/>
      <c r="AD4" s="50"/>
      <c r="AE4" s="52"/>
      <c r="AF4" s="53"/>
      <c r="AG4" s="46"/>
      <c r="AH4" s="47"/>
      <c r="AI4" s="48"/>
      <c r="AJ4" s="49"/>
      <c r="AK4" s="46"/>
      <c r="AL4" s="50"/>
      <c r="AM4" s="53"/>
      <c r="AN4" s="53"/>
      <c r="AO4" s="46"/>
      <c r="AP4" s="50"/>
      <c r="AQ4" s="52"/>
      <c r="AR4" s="53"/>
      <c r="AS4" s="46"/>
      <c r="AT4" s="50"/>
      <c r="AU4" s="52"/>
      <c r="AV4" s="53"/>
      <c r="AW4" s="46"/>
      <c r="AX4" s="50"/>
      <c r="AY4" s="52"/>
      <c r="AZ4" s="53"/>
      <c r="BA4" s="46"/>
      <c r="BB4" s="50"/>
      <c r="BC4" s="52"/>
      <c r="BD4" s="53"/>
      <c r="BE4" s="46"/>
      <c r="BF4" s="50"/>
      <c r="BG4" s="52"/>
      <c r="BH4" s="53"/>
      <c r="BI4" s="46"/>
      <c r="BJ4" s="50"/>
      <c r="BK4" s="52"/>
      <c r="BL4" s="53"/>
      <c r="BM4" s="46"/>
      <c r="BN4" s="50"/>
      <c r="BO4" s="52"/>
      <c r="BP4" s="53"/>
      <c r="BQ4" s="46"/>
      <c r="BR4" s="50"/>
      <c r="BS4" s="52"/>
      <c r="BT4" s="53"/>
      <c r="BU4" s="46"/>
      <c r="BV4" s="50"/>
      <c r="BW4" s="52"/>
      <c r="BX4" s="53"/>
      <c r="BY4" s="46"/>
      <c r="BZ4" s="50"/>
      <c r="CA4" s="52"/>
      <c r="CB4" s="59"/>
      <c r="CC4" s="60"/>
      <c r="CD4" s="62"/>
      <c r="CE4" s="64"/>
      <c r="CF4" s="64"/>
      <c r="CG4" s="64"/>
      <c r="CH4" s="66"/>
      <c r="CI4" s="68"/>
      <c r="CJ4" s="68"/>
      <c r="CK4" s="72"/>
      <c r="CL4" s="66"/>
      <c r="CM4" s="66"/>
      <c r="CN4" s="68"/>
      <c r="CO4" s="68"/>
      <c r="CP4" s="74"/>
      <c r="CQ4" s="75"/>
      <c r="CR4" s="68"/>
      <c r="CS4" s="68"/>
      <c r="CT4" s="89"/>
      <c r="CU4" s="89"/>
      <c r="CV4" s="89"/>
      <c r="CW4" s="89"/>
      <c r="CX4" s="89"/>
      <c r="CY4" s="89"/>
      <c r="CZ4" s="60"/>
      <c r="DA4" s="60"/>
    </row>
    <row r="5" ht="31.5" customHeight="1">
      <c r="A5" s="43"/>
      <c r="B5" s="44"/>
      <c r="C5" s="44"/>
      <c r="D5" s="45"/>
      <c r="E5" s="46"/>
      <c r="F5" s="47"/>
      <c r="G5" s="48"/>
      <c r="H5" s="49"/>
      <c r="I5" s="46"/>
      <c r="J5" s="50"/>
      <c r="K5" s="52"/>
      <c r="L5" s="53"/>
      <c r="M5" s="46"/>
      <c r="N5" s="50"/>
      <c r="O5" s="52"/>
      <c r="P5" s="53"/>
      <c r="Q5" s="46"/>
      <c r="R5" s="50"/>
      <c r="S5" s="52"/>
      <c r="T5" s="53"/>
      <c r="U5" s="56"/>
      <c r="V5" s="50"/>
      <c r="W5" s="52"/>
      <c r="X5" s="53"/>
      <c r="Y5" s="56"/>
      <c r="Z5" s="50"/>
      <c r="AA5" s="52"/>
      <c r="AB5" s="53"/>
      <c r="AC5" s="56"/>
      <c r="AD5" s="50"/>
      <c r="AE5" s="52"/>
      <c r="AF5" s="53"/>
      <c r="AG5" s="46"/>
      <c r="AH5" s="47"/>
      <c r="AI5" s="48"/>
      <c r="AJ5" s="49"/>
      <c r="AK5" s="46"/>
      <c r="AL5" s="50"/>
      <c r="AM5" s="53"/>
      <c r="AN5" s="53"/>
      <c r="AO5" s="46"/>
      <c r="AP5" s="50"/>
      <c r="AQ5" s="52"/>
      <c r="AR5" s="53"/>
      <c r="AS5" s="46"/>
      <c r="AT5" s="50"/>
      <c r="AU5" s="52"/>
      <c r="AV5" s="53"/>
      <c r="AW5" s="46"/>
      <c r="AX5" s="50"/>
      <c r="AY5" s="52"/>
      <c r="AZ5" s="53"/>
      <c r="BA5" s="46"/>
      <c r="BB5" s="50"/>
      <c r="BC5" s="52"/>
      <c r="BD5" s="53"/>
      <c r="BE5" s="46"/>
      <c r="BF5" s="50"/>
      <c r="BG5" s="52"/>
      <c r="BH5" s="53"/>
      <c r="BI5" s="46"/>
      <c r="BJ5" s="50"/>
      <c r="BK5" s="52"/>
      <c r="BL5" s="53"/>
      <c r="BM5" s="46"/>
      <c r="BN5" s="50"/>
      <c r="BO5" s="52"/>
      <c r="BP5" s="53"/>
      <c r="BQ5" s="46"/>
      <c r="BR5" s="50"/>
      <c r="BS5" s="52"/>
      <c r="BT5" s="53"/>
      <c r="BU5" s="46"/>
      <c r="BV5" s="50"/>
      <c r="BW5" s="52"/>
      <c r="BX5" s="53"/>
      <c r="BY5" s="46"/>
      <c r="BZ5" s="50"/>
      <c r="CA5" s="52"/>
      <c r="CB5" s="59"/>
      <c r="CC5" s="60"/>
      <c r="CD5" s="62"/>
      <c r="CE5" s="64"/>
      <c r="CF5" s="64"/>
      <c r="CG5" s="64"/>
      <c r="CH5" s="66"/>
      <c r="CI5" s="68"/>
      <c r="CJ5" s="68"/>
      <c r="CK5" s="72"/>
      <c r="CL5" s="66"/>
      <c r="CM5" s="66"/>
      <c r="CN5" s="68"/>
      <c r="CO5" s="68"/>
      <c r="CP5" s="74"/>
      <c r="CQ5" s="75"/>
      <c r="CR5" s="68"/>
      <c r="CS5" s="68"/>
      <c r="CT5" s="89"/>
      <c r="CU5" s="89"/>
      <c r="CV5" s="89"/>
      <c r="CW5" s="89"/>
      <c r="CX5" s="89"/>
      <c r="CY5" s="89"/>
      <c r="CZ5" s="60"/>
      <c r="DA5" s="60"/>
    </row>
    <row r="6" ht="31.5" customHeight="1">
      <c r="A6" s="43"/>
      <c r="B6" s="44"/>
      <c r="C6" s="44"/>
      <c r="D6" s="45"/>
      <c r="E6" s="46"/>
      <c r="F6" s="79"/>
      <c r="G6" s="81"/>
      <c r="H6" s="83"/>
      <c r="I6" s="46"/>
      <c r="J6" s="50"/>
      <c r="K6" s="52"/>
      <c r="L6" s="53"/>
      <c r="M6" s="46"/>
      <c r="N6" s="50"/>
      <c r="O6" s="52"/>
      <c r="P6" s="53"/>
      <c r="Q6" s="46"/>
      <c r="R6" s="50"/>
      <c r="S6" s="52"/>
      <c r="T6" s="53"/>
      <c r="U6" s="56"/>
      <c r="V6" s="50"/>
      <c r="W6" s="52"/>
      <c r="X6" s="53"/>
      <c r="Y6" s="56"/>
      <c r="Z6" s="50"/>
      <c r="AA6" s="52"/>
      <c r="AB6" s="53"/>
      <c r="AC6" s="56"/>
      <c r="AD6" s="50"/>
      <c r="AE6" s="52"/>
      <c r="AF6" s="53"/>
      <c r="AG6" s="46"/>
      <c r="AH6" s="47"/>
      <c r="AI6" s="48"/>
      <c r="AJ6" s="49"/>
      <c r="AK6" s="46"/>
      <c r="AL6" s="50"/>
      <c r="AM6" s="53"/>
      <c r="AN6" s="53"/>
      <c r="AO6" s="46"/>
      <c r="AP6" s="50"/>
      <c r="AQ6" s="52"/>
      <c r="AR6" s="53"/>
      <c r="AS6" s="46"/>
      <c r="AT6" s="50"/>
      <c r="AU6" s="52"/>
      <c r="AV6" s="53"/>
      <c r="AW6" s="46"/>
      <c r="AX6" s="50"/>
      <c r="AY6" s="52"/>
      <c r="AZ6" s="53"/>
      <c r="BA6" s="46"/>
      <c r="BB6" s="50"/>
      <c r="BC6" s="52"/>
      <c r="BD6" s="53"/>
      <c r="BE6" s="46"/>
      <c r="BF6" s="50"/>
      <c r="BG6" s="52"/>
      <c r="BH6" s="53"/>
      <c r="BI6" s="46"/>
      <c r="BJ6" s="50"/>
      <c r="BK6" s="52"/>
      <c r="BL6" s="53"/>
      <c r="BM6" s="46"/>
      <c r="BN6" s="50"/>
      <c r="BO6" s="52"/>
      <c r="BP6" s="53"/>
      <c r="BQ6" s="46"/>
      <c r="BR6" s="50"/>
      <c r="BS6" s="52"/>
      <c r="BT6" s="53"/>
      <c r="BU6" s="46"/>
      <c r="BV6" s="50"/>
      <c r="BW6" s="52"/>
      <c r="BX6" s="53"/>
      <c r="BY6" s="46"/>
      <c r="BZ6" s="50"/>
      <c r="CA6" s="52"/>
      <c r="CB6" s="59"/>
      <c r="CC6" s="60"/>
      <c r="CD6" s="62"/>
      <c r="CE6" s="64"/>
      <c r="CF6" s="64"/>
      <c r="CG6" s="64"/>
      <c r="CH6" s="66"/>
      <c r="CI6" s="68"/>
      <c r="CJ6" s="68"/>
      <c r="CK6" s="72"/>
      <c r="CL6" s="66"/>
      <c r="CM6" s="66"/>
      <c r="CN6" s="68"/>
      <c r="CO6" s="68"/>
      <c r="CP6" s="74"/>
      <c r="CQ6" s="75"/>
      <c r="CR6" s="68"/>
      <c r="CS6" s="68"/>
      <c r="CT6" s="89"/>
      <c r="CU6" s="89"/>
      <c r="CV6" s="89"/>
      <c r="CW6" s="89"/>
      <c r="CX6" s="89"/>
      <c r="CY6" s="89"/>
      <c r="CZ6" s="60"/>
      <c r="DA6" s="60"/>
    </row>
    <row r="7" ht="31.5" customHeight="1">
      <c r="A7" s="43"/>
      <c r="B7" s="44"/>
      <c r="C7" s="44"/>
      <c r="D7" s="45"/>
      <c r="E7" s="46"/>
      <c r="F7" s="47"/>
      <c r="G7" s="48"/>
      <c r="H7" s="49"/>
      <c r="I7" s="46"/>
      <c r="J7" s="50"/>
      <c r="K7" s="52"/>
      <c r="L7" s="53"/>
      <c r="M7" s="46"/>
      <c r="N7" s="50"/>
      <c r="O7" s="52"/>
      <c r="P7" s="53"/>
      <c r="Q7" s="46"/>
      <c r="R7" s="50"/>
      <c r="S7" s="52"/>
      <c r="T7" s="53"/>
      <c r="U7" s="56"/>
      <c r="V7" s="50"/>
      <c r="W7" s="52"/>
      <c r="X7" s="53"/>
      <c r="Y7" s="56"/>
      <c r="Z7" s="50"/>
      <c r="AA7" s="52"/>
      <c r="AB7" s="53"/>
      <c r="AC7" s="56"/>
      <c r="AD7" s="50"/>
      <c r="AE7" s="52"/>
      <c r="AF7" s="53"/>
      <c r="AG7" s="46"/>
      <c r="AH7" s="47"/>
      <c r="AI7" s="48"/>
      <c r="AJ7" s="49"/>
      <c r="AK7" s="46"/>
      <c r="AL7" s="50"/>
      <c r="AM7" s="53"/>
      <c r="AN7" s="53"/>
      <c r="AO7" s="46"/>
      <c r="AP7" s="50"/>
      <c r="AQ7" s="52"/>
      <c r="AR7" s="53"/>
      <c r="AS7" s="46"/>
      <c r="AT7" s="50"/>
      <c r="AU7" s="52"/>
      <c r="AV7" s="53"/>
      <c r="AW7" s="46"/>
      <c r="AX7" s="50"/>
      <c r="AY7" s="52"/>
      <c r="AZ7" s="53"/>
      <c r="BA7" s="46"/>
      <c r="BB7" s="50"/>
      <c r="BC7" s="52"/>
      <c r="BD7" s="53"/>
      <c r="BE7" s="46"/>
      <c r="BF7" s="50"/>
      <c r="BG7" s="52"/>
      <c r="BH7" s="53"/>
      <c r="BI7" s="46"/>
      <c r="BJ7" s="50"/>
      <c r="BK7" s="52"/>
      <c r="BL7" s="53"/>
      <c r="BM7" s="46"/>
      <c r="BN7" s="50"/>
      <c r="BO7" s="52"/>
      <c r="BP7" s="53"/>
      <c r="BQ7" s="46"/>
      <c r="BR7" s="50"/>
      <c r="BS7" s="52"/>
      <c r="BT7" s="53"/>
      <c r="BU7" s="46"/>
      <c r="BV7" s="50"/>
      <c r="BW7" s="52"/>
      <c r="BX7" s="53"/>
      <c r="BY7" s="46"/>
      <c r="BZ7" s="50"/>
      <c r="CA7" s="52"/>
      <c r="CB7" s="59"/>
      <c r="CC7" s="60"/>
      <c r="CD7" s="62"/>
      <c r="CE7" s="64"/>
      <c r="CF7" s="64"/>
      <c r="CG7" s="64"/>
      <c r="CH7" s="66"/>
      <c r="CI7" s="68"/>
      <c r="CJ7" s="68"/>
      <c r="CK7" s="72"/>
      <c r="CL7" s="66"/>
      <c r="CM7" s="66"/>
      <c r="CN7" s="68"/>
      <c r="CO7" s="68"/>
      <c r="CP7" s="74"/>
      <c r="CQ7" s="75"/>
      <c r="CR7" s="68"/>
      <c r="CS7" s="68"/>
      <c r="CT7" s="89"/>
      <c r="CU7" s="89"/>
      <c r="CV7" s="89"/>
      <c r="CW7" s="89"/>
      <c r="CX7" s="89"/>
      <c r="CY7" s="89"/>
      <c r="CZ7" s="60"/>
      <c r="DA7" s="60"/>
    </row>
    <row r="8" ht="31.5" customHeight="1">
      <c r="A8" s="43"/>
      <c r="B8" s="101"/>
      <c r="C8" s="101"/>
      <c r="D8" s="45"/>
      <c r="E8" s="46"/>
      <c r="F8" s="79"/>
      <c r="G8" s="81"/>
      <c r="H8" s="83"/>
      <c r="I8" s="46"/>
      <c r="J8" s="50"/>
      <c r="K8" s="52"/>
      <c r="L8" s="53"/>
      <c r="M8" s="46"/>
      <c r="N8" s="50"/>
      <c r="O8" s="52"/>
      <c r="P8" s="53"/>
      <c r="Q8" s="46"/>
      <c r="R8" s="50"/>
      <c r="S8" s="52"/>
      <c r="T8" s="53"/>
      <c r="U8" s="56"/>
      <c r="V8" s="50"/>
      <c r="W8" s="52"/>
      <c r="X8" s="53"/>
      <c r="Y8" s="56"/>
      <c r="Z8" s="50"/>
      <c r="AA8" s="52"/>
      <c r="AB8" s="53"/>
      <c r="AC8" s="56"/>
      <c r="AD8" s="50"/>
      <c r="AE8" s="52"/>
      <c r="AF8" s="53"/>
      <c r="AG8" s="46"/>
      <c r="AH8" s="47"/>
      <c r="AI8" s="48"/>
      <c r="AJ8" s="49"/>
      <c r="AK8" s="46"/>
      <c r="AL8" s="50"/>
      <c r="AM8" s="53"/>
      <c r="AN8" s="53"/>
      <c r="AO8" s="46"/>
      <c r="AP8" s="50"/>
      <c r="AQ8" s="52"/>
      <c r="AR8" s="53"/>
      <c r="AS8" s="46"/>
      <c r="AT8" s="50"/>
      <c r="AU8" s="52"/>
      <c r="AV8" s="53"/>
      <c r="AW8" s="46"/>
      <c r="AX8" s="50"/>
      <c r="AY8" s="52"/>
      <c r="AZ8" s="53"/>
      <c r="BA8" s="46"/>
      <c r="BB8" s="50"/>
      <c r="BC8" s="52"/>
      <c r="BD8" s="53"/>
      <c r="BE8" s="46"/>
      <c r="BF8" s="50"/>
      <c r="BG8" s="52"/>
      <c r="BH8" s="53"/>
      <c r="BI8" s="46"/>
      <c r="BJ8" s="50"/>
      <c r="BK8" s="52"/>
      <c r="BL8" s="53"/>
      <c r="BM8" s="46"/>
      <c r="BN8" s="50"/>
      <c r="BO8" s="52"/>
      <c r="BP8" s="53"/>
      <c r="BQ8" s="46"/>
      <c r="BR8" s="50"/>
      <c r="BS8" s="52"/>
      <c r="BT8" s="53"/>
      <c r="BU8" s="46"/>
      <c r="BV8" s="50"/>
      <c r="BW8" s="52"/>
      <c r="BX8" s="53"/>
      <c r="BY8" s="46"/>
      <c r="BZ8" s="50"/>
      <c r="CA8" s="52"/>
      <c r="CB8" s="59"/>
      <c r="CC8" s="60"/>
      <c r="CD8" s="62"/>
      <c r="CE8" s="64"/>
      <c r="CF8" s="64"/>
      <c r="CG8" s="64"/>
      <c r="CH8" s="66"/>
      <c r="CI8" s="68"/>
      <c r="CJ8" s="68"/>
      <c r="CK8" s="72"/>
      <c r="CL8" s="66"/>
      <c r="CM8" s="66"/>
      <c r="CN8" s="68"/>
      <c r="CO8" s="68"/>
      <c r="CP8" s="74"/>
      <c r="CQ8" s="75"/>
      <c r="CR8" s="68"/>
      <c r="CS8" s="68"/>
      <c r="CT8" s="89"/>
      <c r="CU8" s="89"/>
      <c r="CV8" s="89"/>
      <c r="CW8" s="89"/>
      <c r="CX8" s="89"/>
      <c r="CY8" s="89"/>
      <c r="CZ8" s="60"/>
      <c r="DA8" s="60"/>
    </row>
    <row r="9" ht="31.5" customHeight="1">
      <c r="A9" s="43"/>
      <c r="B9" s="44"/>
      <c r="C9" s="44"/>
      <c r="D9" s="45"/>
      <c r="E9" s="46"/>
      <c r="F9" s="47"/>
      <c r="G9" s="48"/>
      <c r="H9" s="49"/>
      <c r="I9" s="46"/>
      <c r="J9" s="50"/>
      <c r="K9" s="52"/>
      <c r="L9" s="53"/>
      <c r="M9" s="46"/>
      <c r="N9" s="50"/>
      <c r="O9" s="52"/>
      <c r="P9" s="53"/>
      <c r="Q9" s="46"/>
      <c r="R9" s="50"/>
      <c r="S9" s="52"/>
      <c r="T9" s="53"/>
      <c r="U9" s="56"/>
      <c r="V9" s="50"/>
      <c r="W9" s="52"/>
      <c r="X9" s="53"/>
      <c r="Y9" s="56"/>
      <c r="Z9" s="50"/>
      <c r="AA9" s="52"/>
      <c r="AB9" s="53"/>
      <c r="AC9" s="56"/>
      <c r="AD9" s="50"/>
      <c r="AE9" s="52"/>
      <c r="AF9" s="53"/>
      <c r="AG9" s="46"/>
      <c r="AH9" s="47"/>
      <c r="AI9" s="48"/>
      <c r="AJ9" s="49"/>
      <c r="AK9" s="46"/>
      <c r="AL9" s="50"/>
      <c r="AM9" s="53"/>
      <c r="AN9" s="53"/>
      <c r="AO9" s="46"/>
      <c r="AP9" s="50"/>
      <c r="AQ9" s="52"/>
      <c r="AR9" s="53"/>
      <c r="AS9" s="46"/>
      <c r="AT9" s="50"/>
      <c r="AU9" s="52"/>
      <c r="AV9" s="53"/>
      <c r="AW9" s="46"/>
      <c r="AX9" s="50"/>
      <c r="AY9" s="52"/>
      <c r="AZ9" s="53"/>
      <c r="BA9" s="46"/>
      <c r="BB9" s="50"/>
      <c r="BC9" s="52"/>
      <c r="BD9" s="53"/>
      <c r="BE9" s="46"/>
      <c r="BF9" s="50"/>
      <c r="BG9" s="52"/>
      <c r="BH9" s="53"/>
      <c r="BI9" s="46"/>
      <c r="BJ9" s="50"/>
      <c r="BK9" s="52"/>
      <c r="BL9" s="53"/>
      <c r="BM9" s="46"/>
      <c r="BN9" s="50"/>
      <c r="BO9" s="52"/>
      <c r="BP9" s="53"/>
      <c r="BQ9" s="46"/>
      <c r="BR9" s="50"/>
      <c r="BS9" s="52"/>
      <c r="BT9" s="53"/>
      <c r="BU9" s="46"/>
      <c r="BV9" s="50"/>
      <c r="BW9" s="52"/>
      <c r="BX9" s="53"/>
      <c r="BY9" s="46"/>
      <c r="BZ9" s="50"/>
      <c r="CA9" s="52"/>
      <c r="CB9" s="59"/>
      <c r="CC9" s="60"/>
      <c r="CD9" s="62"/>
      <c r="CE9" s="64"/>
      <c r="CF9" s="64"/>
      <c r="CG9" s="64"/>
      <c r="CH9" s="66"/>
      <c r="CI9" s="68"/>
      <c r="CJ9" s="68"/>
      <c r="CK9" s="72"/>
      <c r="CL9" s="66"/>
      <c r="CM9" s="66"/>
      <c r="CN9" s="68"/>
      <c r="CO9" s="68"/>
      <c r="CP9" s="74"/>
      <c r="CQ9" s="75"/>
      <c r="CR9" s="68"/>
      <c r="CS9" s="68"/>
      <c r="CT9" s="89"/>
      <c r="CU9" s="89"/>
      <c r="CV9" s="89"/>
      <c r="CW9" s="89"/>
      <c r="CX9" s="89"/>
      <c r="CY9" s="89"/>
      <c r="CZ9" s="60"/>
      <c r="DA9" s="60"/>
    </row>
    <row r="10" ht="31.5" customHeight="1">
      <c r="A10" s="43"/>
      <c r="B10" s="44"/>
      <c r="C10" s="44"/>
      <c r="D10" s="45"/>
      <c r="E10" s="46"/>
      <c r="F10" s="47"/>
      <c r="G10" s="48"/>
      <c r="H10" s="49"/>
      <c r="I10" s="46"/>
      <c r="J10" s="50"/>
      <c r="K10" s="52"/>
      <c r="L10" s="53"/>
      <c r="M10" s="46"/>
      <c r="N10" s="50"/>
      <c r="O10" s="52"/>
      <c r="P10" s="53"/>
      <c r="Q10" s="46"/>
      <c r="R10" s="50"/>
      <c r="S10" s="52"/>
      <c r="T10" s="53"/>
      <c r="U10" s="56"/>
      <c r="V10" s="50"/>
      <c r="W10" s="52"/>
      <c r="X10" s="53"/>
      <c r="Y10" s="56"/>
      <c r="Z10" s="50"/>
      <c r="AA10" s="52"/>
      <c r="AB10" s="53"/>
      <c r="AC10" s="56"/>
      <c r="AD10" s="50"/>
      <c r="AE10" s="52"/>
      <c r="AF10" s="53"/>
      <c r="AG10" s="46"/>
      <c r="AH10" s="47"/>
      <c r="AI10" s="48"/>
      <c r="AJ10" s="49"/>
      <c r="AK10" s="46"/>
      <c r="AL10" s="50"/>
      <c r="AM10" s="52"/>
      <c r="AN10" s="53"/>
      <c r="AO10" s="46"/>
      <c r="AP10" s="50"/>
      <c r="AQ10" s="52"/>
      <c r="AR10" s="53"/>
      <c r="AS10" s="46"/>
      <c r="AT10" s="50"/>
      <c r="AU10" s="52"/>
      <c r="AV10" s="53"/>
      <c r="AW10" s="46"/>
      <c r="AX10" s="50"/>
      <c r="AY10" s="52"/>
      <c r="AZ10" s="53"/>
      <c r="BA10" s="46"/>
      <c r="BB10" s="50"/>
      <c r="BC10" s="52"/>
      <c r="BD10" s="53"/>
      <c r="BE10" s="46"/>
      <c r="BF10" s="50"/>
      <c r="BG10" s="52"/>
      <c r="BH10" s="53"/>
      <c r="BI10" s="46"/>
      <c r="BJ10" s="50"/>
      <c r="BK10" s="52"/>
      <c r="BL10" s="53"/>
      <c r="BM10" s="46"/>
      <c r="BN10" s="50"/>
      <c r="BO10" s="52"/>
      <c r="BP10" s="53"/>
      <c r="BQ10" s="46"/>
      <c r="BR10" s="50"/>
      <c r="BS10" s="52"/>
      <c r="BT10" s="53"/>
      <c r="BU10" s="46"/>
      <c r="BV10" s="50"/>
      <c r="BW10" s="52"/>
      <c r="BX10" s="53"/>
      <c r="BY10" s="46"/>
      <c r="BZ10" s="50"/>
      <c r="CA10" s="52"/>
      <c r="CB10" s="111"/>
      <c r="CC10" s="60"/>
      <c r="CD10" s="113"/>
      <c r="CE10" s="66"/>
      <c r="CF10" s="66"/>
      <c r="CG10" s="66"/>
      <c r="CH10" s="68"/>
      <c r="CI10" s="68"/>
      <c r="CJ10" s="68"/>
      <c r="CK10" s="72"/>
      <c r="CL10" s="68"/>
      <c r="CM10" s="68"/>
      <c r="CN10" s="68"/>
      <c r="CO10" s="68"/>
      <c r="CP10" s="74"/>
      <c r="CQ10" s="115"/>
      <c r="CR10" s="68"/>
      <c r="CS10" s="68"/>
      <c r="CT10" s="89"/>
      <c r="CU10" s="89"/>
      <c r="CV10" s="89"/>
      <c r="CW10" s="89"/>
      <c r="CX10" s="89"/>
      <c r="CY10" s="89"/>
      <c r="CZ10" s="60"/>
      <c r="DA10" s="60"/>
    </row>
    <row r="11" ht="31.5" customHeight="1">
      <c r="A11" s="43"/>
      <c r="B11" s="44"/>
      <c r="C11" s="44"/>
      <c r="D11" s="45"/>
      <c r="E11" s="46"/>
      <c r="F11" s="117"/>
      <c r="G11" s="119"/>
      <c r="H11" s="45"/>
      <c r="I11" s="46"/>
      <c r="J11" s="50"/>
      <c r="K11" s="52"/>
      <c r="L11" s="53"/>
      <c r="M11" s="46"/>
      <c r="N11" s="50"/>
      <c r="O11" s="52"/>
      <c r="P11" s="53"/>
      <c r="Q11" s="46"/>
      <c r="R11" s="50"/>
      <c r="S11" s="52"/>
      <c r="T11" s="53"/>
      <c r="U11" s="56"/>
      <c r="V11" s="50"/>
      <c r="W11" s="52"/>
      <c r="X11" s="53"/>
      <c r="Y11" s="56"/>
      <c r="Z11" s="50"/>
      <c r="AA11" s="52"/>
      <c r="AB11" s="53"/>
      <c r="AC11" s="56"/>
      <c r="AD11" s="50"/>
      <c r="AE11" s="52"/>
      <c r="AF11" s="53"/>
      <c r="AG11" s="46"/>
      <c r="AH11" s="47"/>
      <c r="AI11" s="48"/>
      <c r="AJ11" s="49"/>
      <c r="AK11" s="46"/>
      <c r="AL11" s="50"/>
      <c r="AM11" s="53"/>
      <c r="AN11" s="53"/>
      <c r="AO11" s="46"/>
      <c r="AP11" s="50"/>
      <c r="AQ11" s="52"/>
      <c r="AR11" s="53"/>
      <c r="AS11" s="46"/>
      <c r="AT11" s="50"/>
      <c r="AU11" s="52"/>
      <c r="AV11" s="53"/>
      <c r="AW11" s="46"/>
      <c r="AX11" s="50"/>
      <c r="AY11" s="52"/>
      <c r="AZ11" s="53"/>
      <c r="BA11" s="46"/>
      <c r="BB11" s="50"/>
      <c r="BC11" s="52"/>
      <c r="BD11" s="53"/>
      <c r="BE11" s="46"/>
      <c r="BF11" s="50"/>
      <c r="BG11" s="52"/>
      <c r="BH11" s="53"/>
      <c r="BI11" s="46"/>
      <c r="BJ11" s="50"/>
      <c r="BK11" s="52"/>
      <c r="BL11" s="53"/>
      <c r="BM11" s="46"/>
      <c r="BN11" s="50"/>
      <c r="BO11" s="52"/>
      <c r="BP11" s="53"/>
      <c r="BQ11" s="46"/>
      <c r="BR11" s="50"/>
      <c r="BS11" s="52"/>
      <c r="BT11" s="53"/>
      <c r="BU11" s="46"/>
      <c r="BV11" s="50"/>
      <c r="BW11" s="52"/>
      <c r="BX11" s="53"/>
      <c r="BY11" s="46"/>
      <c r="BZ11" s="50"/>
      <c r="CA11" s="52"/>
      <c r="CB11" s="111"/>
      <c r="CC11" s="60"/>
      <c r="CD11" s="62"/>
      <c r="CE11" s="64"/>
      <c r="CF11" s="64"/>
      <c r="CG11" s="64"/>
      <c r="CH11" s="68"/>
      <c r="CI11" s="68"/>
      <c r="CJ11" s="68"/>
      <c r="CK11" s="72"/>
      <c r="CL11" s="68"/>
      <c r="CM11" s="68"/>
      <c r="CN11" s="68"/>
      <c r="CO11" s="68"/>
      <c r="CP11" s="74"/>
      <c r="CQ11" s="115"/>
      <c r="CR11" s="68"/>
      <c r="CS11" s="68"/>
      <c r="CT11" s="89"/>
      <c r="CU11" s="89"/>
      <c r="CV11" s="89"/>
      <c r="CW11" s="89"/>
      <c r="CX11" s="89"/>
      <c r="CY11" s="89"/>
      <c r="CZ11" s="60"/>
      <c r="DA11" s="60"/>
    </row>
    <row r="12" ht="31.5" customHeight="1">
      <c r="A12" s="43"/>
      <c r="B12" s="44"/>
      <c r="C12" s="44"/>
      <c r="D12" s="45"/>
      <c r="E12" s="46"/>
      <c r="F12" s="125"/>
      <c r="G12" s="126"/>
      <c r="H12" s="127"/>
      <c r="I12" s="46"/>
      <c r="J12" s="50"/>
      <c r="K12" s="52"/>
      <c r="L12" s="53"/>
      <c r="M12" s="46"/>
      <c r="N12" s="50"/>
      <c r="O12" s="52"/>
      <c r="P12" s="53"/>
      <c r="Q12" s="46"/>
      <c r="R12" s="50"/>
      <c r="S12" s="52"/>
      <c r="T12" s="53"/>
      <c r="U12" s="56"/>
      <c r="V12" s="50"/>
      <c r="W12" s="52"/>
      <c r="X12" s="53"/>
      <c r="Y12" s="56"/>
      <c r="Z12" s="50"/>
      <c r="AA12" s="52"/>
      <c r="AB12" s="53"/>
      <c r="AC12" s="56"/>
      <c r="AD12" s="50"/>
      <c r="AE12" s="52"/>
      <c r="AF12" s="53"/>
      <c r="AG12" s="46"/>
      <c r="AH12" s="47"/>
      <c r="AI12" s="48"/>
      <c r="AJ12" s="49"/>
      <c r="AK12" s="46"/>
      <c r="AL12" s="50"/>
      <c r="AM12" s="53"/>
      <c r="AN12" s="53"/>
      <c r="AO12" s="46"/>
      <c r="AP12" s="50"/>
      <c r="AQ12" s="52"/>
      <c r="AR12" s="53"/>
      <c r="AS12" s="46"/>
      <c r="AT12" s="50"/>
      <c r="AU12" s="52"/>
      <c r="AV12" s="53"/>
      <c r="AW12" s="46"/>
      <c r="AX12" s="50"/>
      <c r="AY12" s="52"/>
      <c r="AZ12" s="53"/>
      <c r="BA12" s="46"/>
      <c r="BB12" s="50"/>
      <c r="BC12" s="52"/>
      <c r="BD12" s="53"/>
      <c r="BE12" s="46"/>
      <c r="BF12" s="50"/>
      <c r="BG12" s="52"/>
      <c r="BH12" s="53"/>
      <c r="BI12" s="46"/>
      <c r="BJ12" s="50"/>
      <c r="BK12" s="52"/>
      <c r="BL12" s="53"/>
      <c r="BM12" s="46"/>
      <c r="BN12" s="50"/>
      <c r="BO12" s="52"/>
      <c r="BP12" s="53"/>
      <c r="BQ12" s="46"/>
      <c r="BR12" s="50"/>
      <c r="BS12" s="52"/>
      <c r="BT12" s="53"/>
      <c r="BU12" s="46"/>
      <c r="BV12" s="50"/>
      <c r="BW12" s="52"/>
      <c r="BX12" s="53"/>
      <c r="BY12" s="46"/>
      <c r="BZ12" s="50"/>
      <c r="CA12" s="52"/>
      <c r="CB12" s="111"/>
      <c r="CC12" s="60"/>
      <c r="CD12" s="62"/>
      <c r="CE12" s="64"/>
      <c r="CF12" s="64"/>
      <c r="CG12" s="64"/>
      <c r="CH12" s="68"/>
      <c r="CI12" s="68"/>
      <c r="CJ12" s="68"/>
      <c r="CK12" s="72"/>
      <c r="CL12" s="68"/>
      <c r="CM12" s="68"/>
      <c r="CN12" s="68"/>
      <c r="CO12" s="68"/>
      <c r="CP12" s="74"/>
      <c r="CQ12" s="115"/>
      <c r="CR12" s="68"/>
      <c r="CS12" s="68"/>
      <c r="CT12" s="89"/>
      <c r="CU12" s="89"/>
      <c r="CV12" s="89"/>
      <c r="CW12" s="89"/>
      <c r="CX12" s="89"/>
      <c r="CY12" s="89"/>
      <c r="CZ12" s="60"/>
      <c r="DA12" s="60"/>
    </row>
    <row r="13" ht="31.5" customHeight="1">
      <c r="A13" s="43"/>
      <c r="B13" s="44"/>
      <c r="C13" s="44"/>
      <c r="D13" s="45"/>
      <c r="E13" s="46"/>
      <c r="F13" s="117"/>
      <c r="G13" s="119"/>
      <c r="H13" s="45"/>
      <c r="I13" s="46"/>
      <c r="J13" s="50"/>
      <c r="K13" s="52"/>
      <c r="L13" s="53"/>
      <c r="M13" s="46"/>
      <c r="N13" s="50"/>
      <c r="O13" s="52"/>
      <c r="P13" s="53"/>
      <c r="Q13" s="46"/>
      <c r="R13" s="50"/>
      <c r="S13" s="52"/>
      <c r="T13" s="53"/>
      <c r="U13" s="56"/>
      <c r="V13" s="50"/>
      <c r="W13" s="52"/>
      <c r="X13" s="53"/>
      <c r="Y13" s="56"/>
      <c r="Z13" s="50"/>
      <c r="AA13" s="52"/>
      <c r="AB13" s="53"/>
      <c r="AC13" s="56"/>
      <c r="AD13" s="50"/>
      <c r="AE13" s="52"/>
      <c r="AF13" s="53"/>
      <c r="AG13" s="46"/>
      <c r="AH13" s="47"/>
      <c r="AI13" s="48"/>
      <c r="AJ13" s="49"/>
      <c r="AK13" s="46"/>
      <c r="AL13" s="50"/>
      <c r="AM13" s="52"/>
      <c r="AN13" s="53"/>
      <c r="AO13" s="46"/>
      <c r="AP13" s="50"/>
      <c r="AQ13" s="52"/>
      <c r="AR13" s="53"/>
      <c r="AS13" s="46"/>
      <c r="AT13" s="50"/>
      <c r="AU13" s="52"/>
      <c r="AV13" s="53"/>
      <c r="AW13" s="46"/>
      <c r="AX13" s="50"/>
      <c r="AY13" s="52"/>
      <c r="AZ13" s="53"/>
      <c r="BA13" s="46"/>
      <c r="BB13" s="50"/>
      <c r="BC13" s="52"/>
      <c r="BD13" s="53"/>
      <c r="BE13" s="46"/>
      <c r="BF13" s="50"/>
      <c r="BG13" s="52"/>
      <c r="BH13" s="53"/>
      <c r="BI13" s="46"/>
      <c r="BJ13" s="50"/>
      <c r="BK13" s="52"/>
      <c r="BL13" s="53"/>
      <c r="BM13" s="46"/>
      <c r="BN13" s="50"/>
      <c r="BO13" s="52"/>
      <c r="BP13" s="53"/>
      <c r="BQ13" s="46"/>
      <c r="BR13" s="50"/>
      <c r="BS13" s="52"/>
      <c r="BT13" s="53"/>
      <c r="BU13" s="46"/>
      <c r="BV13" s="50"/>
      <c r="BW13" s="52"/>
      <c r="BX13" s="53"/>
      <c r="BY13" s="46"/>
      <c r="BZ13" s="50"/>
      <c r="CA13" s="52"/>
      <c r="CB13" s="111"/>
      <c r="CC13" s="60"/>
      <c r="CD13" s="62"/>
      <c r="CE13" s="64"/>
      <c r="CF13" s="68"/>
      <c r="CG13" s="68"/>
      <c r="CH13" s="68"/>
      <c r="CI13" s="68"/>
      <c r="CJ13" s="68"/>
      <c r="CK13" s="72"/>
      <c r="CL13" s="68"/>
      <c r="CM13" s="68"/>
      <c r="CN13" s="68"/>
      <c r="CO13" s="68"/>
      <c r="CP13" s="74"/>
      <c r="CQ13" s="115"/>
      <c r="CR13" s="68"/>
      <c r="CS13" s="68"/>
      <c r="CT13" s="89"/>
      <c r="CU13" s="89"/>
      <c r="CV13" s="89"/>
      <c r="CW13" s="89"/>
      <c r="CX13" s="89"/>
      <c r="CY13" s="89"/>
      <c r="CZ13" s="60"/>
      <c r="DA13" s="60"/>
    </row>
    <row r="14" ht="31.5" customHeight="1">
      <c r="A14" s="43"/>
      <c r="B14" s="44"/>
      <c r="C14" s="44"/>
      <c r="D14" s="45"/>
      <c r="E14" s="46"/>
      <c r="F14" s="125"/>
      <c r="G14" s="126"/>
      <c r="H14" s="127"/>
      <c r="I14" s="46"/>
      <c r="J14" s="50"/>
      <c r="K14" s="52"/>
      <c r="L14" s="53"/>
      <c r="M14" s="46"/>
      <c r="N14" s="50"/>
      <c r="O14" s="52"/>
      <c r="P14" s="53"/>
      <c r="Q14" s="46"/>
      <c r="R14" s="50"/>
      <c r="S14" s="52"/>
      <c r="T14" s="53"/>
      <c r="U14" s="56"/>
      <c r="V14" s="50"/>
      <c r="W14" s="52"/>
      <c r="X14" s="53"/>
      <c r="Y14" s="56"/>
      <c r="Z14" s="50"/>
      <c r="AA14" s="52"/>
      <c r="AB14" s="53"/>
      <c r="AC14" s="56"/>
      <c r="AD14" s="50"/>
      <c r="AE14" s="52"/>
      <c r="AF14" s="53"/>
      <c r="AG14" s="46"/>
      <c r="AH14" s="47"/>
      <c r="AI14" s="48"/>
      <c r="AJ14" s="49"/>
      <c r="AK14" s="46"/>
      <c r="AL14" s="50"/>
      <c r="AM14" s="52"/>
      <c r="AN14" s="53"/>
      <c r="AO14" s="46"/>
      <c r="AP14" s="50"/>
      <c r="AQ14" s="52"/>
      <c r="AR14" s="53"/>
      <c r="AS14" s="46"/>
      <c r="AT14" s="50"/>
      <c r="AU14" s="52"/>
      <c r="AV14" s="53"/>
      <c r="AW14" s="46"/>
      <c r="AX14" s="50"/>
      <c r="AY14" s="52"/>
      <c r="AZ14" s="53"/>
      <c r="BA14" s="46"/>
      <c r="BB14" s="50"/>
      <c r="BC14" s="52"/>
      <c r="BD14" s="53"/>
      <c r="BE14" s="46"/>
      <c r="BF14" s="50"/>
      <c r="BG14" s="52"/>
      <c r="BH14" s="53"/>
      <c r="BI14" s="46"/>
      <c r="BJ14" s="50"/>
      <c r="BK14" s="52"/>
      <c r="BL14" s="53"/>
      <c r="BM14" s="46"/>
      <c r="BN14" s="50"/>
      <c r="BO14" s="52"/>
      <c r="BP14" s="53"/>
      <c r="BQ14" s="46"/>
      <c r="BR14" s="50"/>
      <c r="BS14" s="52"/>
      <c r="BT14" s="53"/>
      <c r="BU14" s="46"/>
      <c r="BV14" s="50"/>
      <c r="BW14" s="52"/>
      <c r="BX14" s="53"/>
      <c r="BY14" s="46"/>
      <c r="BZ14" s="50"/>
      <c r="CA14" s="52"/>
      <c r="CB14" s="111"/>
      <c r="CC14" s="60"/>
      <c r="CD14" s="62"/>
      <c r="CE14" s="64"/>
      <c r="CF14" s="68"/>
      <c r="CG14" s="68"/>
      <c r="CH14" s="68"/>
      <c r="CI14" s="68"/>
      <c r="CJ14" s="68"/>
      <c r="CK14" s="72"/>
      <c r="CL14" s="68"/>
      <c r="CM14" s="68"/>
      <c r="CN14" s="68"/>
      <c r="CO14" s="68"/>
      <c r="CP14" s="74"/>
      <c r="CQ14" s="115"/>
      <c r="CR14" s="68"/>
      <c r="CS14" s="68"/>
      <c r="CT14" s="89"/>
      <c r="CU14" s="89"/>
      <c r="CV14" s="89"/>
      <c r="CW14" s="89"/>
      <c r="CX14" s="89"/>
      <c r="CY14" s="89"/>
      <c r="CZ14" s="60"/>
      <c r="DA14" s="60"/>
    </row>
    <row r="15" ht="31.5" customHeight="1">
      <c r="A15" s="43"/>
      <c r="B15" s="44"/>
      <c r="C15" s="44"/>
      <c r="D15" s="45"/>
      <c r="E15" s="46"/>
      <c r="F15" s="117"/>
      <c r="G15" s="119"/>
      <c r="H15" s="45"/>
      <c r="I15" s="46"/>
      <c r="J15" s="50"/>
      <c r="K15" s="52"/>
      <c r="L15" s="53"/>
      <c r="M15" s="46"/>
      <c r="N15" s="50"/>
      <c r="O15" s="52"/>
      <c r="P15" s="53"/>
      <c r="Q15" s="46"/>
      <c r="R15" s="50"/>
      <c r="S15" s="52"/>
      <c r="T15" s="53"/>
      <c r="U15" s="56"/>
      <c r="V15" s="50"/>
      <c r="W15" s="52"/>
      <c r="X15" s="53"/>
      <c r="Y15" s="56"/>
      <c r="Z15" s="50"/>
      <c r="AA15" s="52"/>
      <c r="AB15" s="53"/>
      <c r="AC15" s="56"/>
      <c r="AD15" s="50"/>
      <c r="AE15" s="52"/>
      <c r="AF15" s="53"/>
      <c r="AG15" s="46"/>
      <c r="AH15" s="47"/>
      <c r="AI15" s="48"/>
      <c r="AJ15" s="49"/>
      <c r="AK15" s="46"/>
      <c r="AL15" s="50"/>
      <c r="AM15" s="53"/>
      <c r="AN15" s="53"/>
      <c r="AO15" s="46"/>
      <c r="AP15" s="50"/>
      <c r="AQ15" s="52"/>
      <c r="AR15" s="53"/>
      <c r="AS15" s="46"/>
      <c r="AT15" s="50"/>
      <c r="AU15" s="52"/>
      <c r="AV15" s="53"/>
      <c r="AW15" s="46"/>
      <c r="AX15" s="50"/>
      <c r="AY15" s="52"/>
      <c r="AZ15" s="53"/>
      <c r="BA15" s="46"/>
      <c r="BB15" s="50"/>
      <c r="BC15" s="52"/>
      <c r="BD15" s="53"/>
      <c r="BE15" s="46"/>
      <c r="BF15" s="50"/>
      <c r="BG15" s="52"/>
      <c r="BH15" s="53"/>
      <c r="BI15" s="46"/>
      <c r="BJ15" s="50"/>
      <c r="BK15" s="52"/>
      <c r="BL15" s="53"/>
      <c r="BM15" s="46"/>
      <c r="BN15" s="50"/>
      <c r="BO15" s="52"/>
      <c r="BP15" s="53"/>
      <c r="BQ15" s="46"/>
      <c r="BR15" s="50"/>
      <c r="BS15" s="52"/>
      <c r="BT15" s="53"/>
      <c r="BU15" s="46"/>
      <c r="BV15" s="50"/>
      <c r="BW15" s="52"/>
      <c r="BX15" s="53"/>
      <c r="BY15" s="46"/>
      <c r="BZ15" s="50"/>
      <c r="CA15" s="52"/>
      <c r="CB15" s="111"/>
      <c r="CC15" s="60"/>
      <c r="CD15" s="62"/>
      <c r="CE15" s="64"/>
      <c r="CF15" s="64"/>
      <c r="CG15" s="64"/>
      <c r="CH15" s="68"/>
      <c r="CI15" s="68"/>
      <c r="CJ15" s="68"/>
      <c r="CK15" s="72"/>
      <c r="CL15" s="68"/>
      <c r="CM15" s="68"/>
      <c r="CN15" s="68"/>
      <c r="CO15" s="68"/>
      <c r="CP15" s="74"/>
      <c r="CQ15" s="115"/>
      <c r="CR15" s="68"/>
      <c r="CS15" s="68"/>
      <c r="CT15" s="60"/>
      <c r="CU15" s="60"/>
      <c r="CV15" s="60"/>
      <c r="CW15" s="60"/>
      <c r="CX15" s="60"/>
      <c r="CY15" s="60"/>
      <c r="CZ15" s="60"/>
      <c r="DA15" s="60"/>
    </row>
    <row r="16" ht="31.5" customHeight="1">
      <c r="A16" s="43"/>
      <c r="B16" s="44"/>
      <c r="C16" s="44"/>
      <c r="D16" s="45"/>
      <c r="E16" s="46"/>
      <c r="F16" s="125"/>
      <c r="G16" s="126"/>
      <c r="H16" s="127"/>
      <c r="I16" s="46"/>
      <c r="J16" s="50"/>
      <c r="K16" s="52"/>
      <c r="L16" s="53"/>
      <c r="M16" s="46"/>
      <c r="N16" s="50"/>
      <c r="O16" s="52"/>
      <c r="P16" s="53"/>
      <c r="Q16" s="46"/>
      <c r="R16" s="50"/>
      <c r="S16" s="52"/>
      <c r="T16" s="53"/>
      <c r="U16" s="56"/>
      <c r="V16" s="50"/>
      <c r="W16" s="52"/>
      <c r="X16" s="53"/>
      <c r="Y16" s="56"/>
      <c r="Z16" s="50"/>
      <c r="AA16" s="52"/>
      <c r="AB16" s="53"/>
      <c r="AC16" s="56"/>
      <c r="AD16" s="50"/>
      <c r="AE16" s="52"/>
      <c r="AF16" s="53"/>
      <c r="AG16" s="46"/>
      <c r="AH16" s="47"/>
      <c r="AI16" s="48"/>
      <c r="AJ16" s="49"/>
      <c r="AK16" s="46"/>
      <c r="AL16" s="50"/>
      <c r="AM16" s="53"/>
      <c r="AN16" s="53"/>
      <c r="AO16" s="46"/>
      <c r="AP16" s="50"/>
      <c r="AQ16" s="52"/>
      <c r="AR16" s="53"/>
      <c r="AS16" s="46"/>
      <c r="AT16" s="50"/>
      <c r="AU16" s="52"/>
      <c r="AV16" s="53"/>
      <c r="AW16" s="46"/>
      <c r="AX16" s="50"/>
      <c r="AY16" s="52"/>
      <c r="AZ16" s="53"/>
      <c r="BA16" s="46"/>
      <c r="BB16" s="50"/>
      <c r="BC16" s="52"/>
      <c r="BD16" s="53"/>
      <c r="BE16" s="46"/>
      <c r="BF16" s="50"/>
      <c r="BG16" s="52"/>
      <c r="BH16" s="53"/>
      <c r="BI16" s="46"/>
      <c r="BJ16" s="50"/>
      <c r="BK16" s="52"/>
      <c r="BL16" s="53"/>
      <c r="BM16" s="46"/>
      <c r="BN16" s="50"/>
      <c r="BO16" s="52"/>
      <c r="BP16" s="53"/>
      <c r="BQ16" s="46"/>
      <c r="BR16" s="50"/>
      <c r="BS16" s="52"/>
      <c r="BT16" s="53"/>
      <c r="BU16" s="46"/>
      <c r="BV16" s="50"/>
      <c r="BW16" s="52"/>
      <c r="BX16" s="53"/>
      <c r="BY16" s="46"/>
      <c r="BZ16" s="50"/>
      <c r="CA16" s="52"/>
      <c r="CB16" s="111"/>
      <c r="CC16" s="60"/>
      <c r="CD16" s="62"/>
      <c r="CE16" s="64"/>
      <c r="CF16" s="64"/>
      <c r="CG16" s="64"/>
      <c r="CH16" s="68"/>
      <c r="CI16" s="68"/>
      <c r="CJ16" s="68"/>
      <c r="CK16" s="72"/>
      <c r="CL16" s="68"/>
      <c r="CM16" s="68"/>
      <c r="CN16" s="68"/>
      <c r="CO16" s="68"/>
      <c r="CP16" s="74"/>
      <c r="CQ16" s="115"/>
      <c r="CR16" s="68"/>
      <c r="CS16" s="68"/>
      <c r="CT16" s="60"/>
      <c r="CU16" s="60"/>
      <c r="CV16" s="60"/>
      <c r="CW16" s="60"/>
      <c r="CX16" s="60"/>
      <c r="CY16" s="60"/>
      <c r="CZ16" s="60"/>
      <c r="DA16" s="60"/>
    </row>
    <row r="17" ht="31.5" customHeight="1">
      <c r="A17" s="43"/>
      <c r="B17" s="44"/>
      <c r="C17" s="44"/>
      <c r="D17" s="45"/>
      <c r="E17" s="46"/>
      <c r="F17" s="117"/>
      <c r="G17" s="119"/>
      <c r="H17" s="45"/>
      <c r="I17" s="46"/>
      <c r="J17" s="50"/>
      <c r="K17" s="52"/>
      <c r="L17" s="53"/>
      <c r="M17" s="46"/>
      <c r="N17" s="50"/>
      <c r="O17" s="52"/>
      <c r="P17" s="53"/>
      <c r="Q17" s="46"/>
      <c r="R17" s="50"/>
      <c r="S17" s="52"/>
      <c r="T17" s="53"/>
      <c r="U17" s="56"/>
      <c r="V17" s="50"/>
      <c r="W17" s="52"/>
      <c r="X17" s="53"/>
      <c r="Y17" s="56"/>
      <c r="Z17" s="50"/>
      <c r="AA17" s="52"/>
      <c r="AB17" s="53"/>
      <c r="AC17" s="56"/>
      <c r="AD17" s="50"/>
      <c r="AE17" s="52"/>
      <c r="AF17" s="53"/>
      <c r="AG17" s="46"/>
      <c r="AH17" s="47"/>
      <c r="AI17" s="48"/>
      <c r="AJ17" s="49"/>
      <c r="AK17" s="46"/>
      <c r="AL17" s="50"/>
      <c r="AM17" s="53"/>
      <c r="AN17" s="53"/>
      <c r="AO17" s="46"/>
      <c r="AP17" s="50"/>
      <c r="AQ17" s="52"/>
      <c r="AR17" s="53"/>
      <c r="AS17" s="46"/>
      <c r="AT17" s="50"/>
      <c r="AU17" s="52"/>
      <c r="AV17" s="53"/>
      <c r="AW17" s="46"/>
      <c r="AX17" s="50"/>
      <c r="AY17" s="52"/>
      <c r="AZ17" s="53"/>
      <c r="BA17" s="46"/>
      <c r="BB17" s="50"/>
      <c r="BC17" s="52"/>
      <c r="BD17" s="53"/>
      <c r="BE17" s="46"/>
      <c r="BF17" s="50"/>
      <c r="BG17" s="52"/>
      <c r="BH17" s="53"/>
      <c r="BI17" s="46"/>
      <c r="BJ17" s="50"/>
      <c r="BK17" s="52"/>
      <c r="BL17" s="53"/>
      <c r="BM17" s="46"/>
      <c r="BN17" s="50"/>
      <c r="BO17" s="52"/>
      <c r="BP17" s="53"/>
      <c r="BQ17" s="46"/>
      <c r="BR17" s="50"/>
      <c r="BS17" s="52"/>
      <c r="BT17" s="53"/>
      <c r="BU17" s="46"/>
      <c r="BV17" s="50"/>
      <c r="BW17" s="52"/>
      <c r="BX17" s="53"/>
      <c r="BY17" s="46"/>
      <c r="BZ17" s="50"/>
      <c r="CA17" s="52"/>
      <c r="CB17" s="111"/>
      <c r="CC17" s="60"/>
      <c r="CD17" s="62"/>
      <c r="CE17" s="64"/>
      <c r="CF17" s="64"/>
      <c r="CG17" s="64"/>
      <c r="CH17" s="68"/>
      <c r="CI17" s="68"/>
      <c r="CJ17" s="68"/>
      <c r="CK17" s="72"/>
      <c r="CL17" s="68"/>
      <c r="CM17" s="68"/>
      <c r="CN17" s="68"/>
      <c r="CO17" s="68"/>
      <c r="CP17" s="74"/>
      <c r="CQ17" s="115"/>
      <c r="CR17" s="68"/>
      <c r="CS17" s="68"/>
      <c r="CT17" s="60"/>
      <c r="CU17" s="60"/>
      <c r="CV17" s="60"/>
      <c r="CW17" s="60"/>
      <c r="CX17" s="60"/>
      <c r="CY17" s="60"/>
      <c r="CZ17" s="60"/>
      <c r="DA17" s="60"/>
    </row>
    <row r="18" ht="31.5" hidden="1" customHeight="1">
      <c r="A18" s="43"/>
      <c r="B18" s="44"/>
      <c r="C18" s="44"/>
      <c r="D18" s="45"/>
      <c r="E18" s="46"/>
      <c r="F18" s="125"/>
      <c r="G18" s="126"/>
      <c r="H18" s="127"/>
      <c r="I18" s="46"/>
      <c r="J18" s="50"/>
      <c r="K18" s="52"/>
      <c r="L18" s="53"/>
      <c r="M18" s="46"/>
      <c r="N18" s="50"/>
      <c r="O18" s="52"/>
      <c r="P18" s="53"/>
      <c r="Q18" s="46"/>
      <c r="R18" s="50"/>
      <c r="S18" s="52"/>
      <c r="T18" s="53"/>
      <c r="U18" s="56"/>
      <c r="V18" s="50"/>
      <c r="W18" s="52"/>
      <c r="X18" s="53"/>
      <c r="Y18" s="56"/>
      <c r="Z18" s="50"/>
      <c r="AA18" s="52"/>
      <c r="AB18" s="53"/>
      <c r="AC18" s="56"/>
      <c r="AD18" s="50"/>
      <c r="AE18" s="52"/>
      <c r="AF18" s="53"/>
      <c r="AG18" s="46"/>
      <c r="AH18" s="47"/>
      <c r="AI18" s="48"/>
      <c r="AJ18" s="49"/>
      <c r="AK18" s="46"/>
      <c r="AL18" s="50"/>
      <c r="AM18" s="53"/>
      <c r="AN18" s="53"/>
      <c r="AO18" s="46"/>
      <c r="AP18" s="50"/>
      <c r="AQ18" s="52"/>
      <c r="AR18" s="53"/>
      <c r="AS18" s="46"/>
      <c r="AT18" s="50"/>
      <c r="AU18" s="52"/>
      <c r="AV18" s="53"/>
      <c r="AW18" s="46"/>
      <c r="AX18" s="50"/>
      <c r="AY18" s="52"/>
      <c r="AZ18" s="53"/>
      <c r="BA18" s="46"/>
      <c r="BB18" s="50"/>
      <c r="BC18" s="52"/>
      <c r="BD18" s="53"/>
      <c r="BE18" s="46"/>
      <c r="BF18" s="50"/>
      <c r="BG18" s="52"/>
      <c r="BH18" s="53"/>
      <c r="BI18" s="46"/>
      <c r="BJ18" s="50"/>
      <c r="BK18" s="52"/>
      <c r="BL18" s="53"/>
      <c r="BM18" s="46"/>
      <c r="BN18" s="50"/>
      <c r="BO18" s="52"/>
      <c r="BP18" s="53"/>
      <c r="BQ18" s="46"/>
      <c r="BR18" s="50"/>
      <c r="BS18" s="52"/>
      <c r="BT18" s="53"/>
      <c r="BU18" s="46"/>
      <c r="BV18" s="50"/>
      <c r="BW18" s="52"/>
      <c r="BX18" s="53"/>
      <c r="BY18" s="46"/>
      <c r="BZ18" s="50"/>
      <c r="CA18" s="52"/>
      <c r="CB18" s="111"/>
      <c r="CC18" s="60"/>
      <c r="CD18" s="62"/>
      <c r="CE18" s="64"/>
      <c r="CF18" s="64"/>
      <c r="CG18" s="64"/>
      <c r="CH18" s="68"/>
      <c r="CI18" s="68"/>
      <c r="CJ18" s="68"/>
      <c r="CK18" s="72"/>
      <c r="CL18" s="68"/>
      <c r="CM18" s="68"/>
      <c r="CN18" s="68"/>
      <c r="CO18" s="68"/>
      <c r="CP18" s="74"/>
      <c r="CQ18" s="115"/>
      <c r="CR18" s="68"/>
      <c r="CS18" s="68"/>
      <c r="CT18" s="60"/>
      <c r="CU18" s="60"/>
      <c r="CV18" s="60"/>
      <c r="CW18" s="60"/>
      <c r="CX18" s="60"/>
      <c r="CY18" s="60"/>
      <c r="CZ18" s="60"/>
      <c r="DA18" s="60"/>
    </row>
    <row r="19" ht="31.5" hidden="1" customHeight="1">
      <c r="A19" s="43"/>
      <c r="B19" s="44"/>
      <c r="C19" s="44"/>
      <c r="D19" s="45"/>
      <c r="E19" s="46"/>
      <c r="F19" s="117"/>
      <c r="G19" s="119"/>
      <c r="H19" s="45"/>
      <c r="I19" s="46"/>
      <c r="J19" s="50"/>
      <c r="K19" s="52"/>
      <c r="L19" s="53"/>
      <c r="M19" s="46"/>
      <c r="N19" s="50"/>
      <c r="O19" s="52"/>
      <c r="P19" s="53"/>
      <c r="Q19" s="46"/>
      <c r="R19" s="50"/>
      <c r="S19" s="52"/>
      <c r="T19" s="53"/>
      <c r="U19" s="56"/>
      <c r="V19" s="50"/>
      <c r="W19" s="52"/>
      <c r="X19" s="53"/>
      <c r="Y19" s="56"/>
      <c r="Z19" s="50"/>
      <c r="AA19" s="52"/>
      <c r="AB19" s="53"/>
      <c r="AC19" s="56"/>
      <c r="AD19" s="50"/>
      <c r="AE19" s="52"/>
      <c r="AF19" s="53"/>
      <c r="AG19" s="46"/>
      <c r="AH19" s="47"/>
      <c r="AI19" s="48"/>
      <c r="AJ19" s="49"/>
      <c r="AK19" s="46"/>
      <c r="AL19" s="50"/>
      <c r="AM19" s="53"/>
      <c r="AN19" s="53"/>
      <c r="AO19" s="46"/>
      <c r="AP19" s="50"/>
      <c r="AQ19" s="52"/>
      <c r="AR19" s="53"/>
      <c r="AS19" s="46"/>
      <c r="AT19" s="50"/>
      <c r="AU19" s="52"/>
      <c r="AV19" s="53"/>
      <c r="AW19" s="46"/>
      <c r="AX19" s="50"/>
      <c r="AY19" s="52"/>
      <c r="AZ19" s="53"/>
      <c r="BA19" s="46"/>
      <c r="BB19" s="50"/>
      <c r="BC19" s="52"/>
      <c r="BD19" s="53"/>
      <c r="BE19" s="46"/>
      <c r="BF19" s="50"/>
      <c r="BG19" s="52"/>
      <c r="BH19" s="53"/>
      <c r="BI19" s="46"/>
      <c r="BJ19" s="50"/>
      <c r="BK19" s="52"/>
      <c r="BL19" s="53"/>
      <c r="BM19" s="46"/>
      <c r="BN19" s="50"/>
      <c r="BO19" s="52"/>
      <c r="BP19" s="53"/>
      <c r="BQ19" s="46"/>
      <c r="BR19" s="50"/>
      <c r="BS19" s="52"/>
      <c r="BT19" s="53"/>
      <c r="BU19" s="46"/>
      <c r="BV19" s="50"/>
      <c r="BW19" s="52"/>
      <c r="BX19" s="53"/>
      <c r="BY19" s="46"/>
      <c r="BZ19" s="50"/>
      <c r="CA19" s="52"/>
      <c r="CB19" s="111"/>
      <c r="CC19" s="60"/>
      <c r="CD19" s="62"/>
      <c r="CE19" s="64"/>
      <c r="CF19" s="64"/>
      <c r="CG19" s="64"/>
      <c r="CH19" s="68"/>
      <c r="CI19" s="68"/>
      <c r="CJ19" s="68"/>
      <c r="CK19" s="72"/>
      <c r="CL19" s="68"/>
      <c r="CM19" s="68"/>
      <c r="CN19" s="68"/>
      <c r="CO19" s="68"/>
      <c r="CP19" s="74"/>
      <c r="CQ19" s="115"/>
      <c r="CR19" s="68"/>
      <c r="CS19" s="68"/>
      <c r="CT19" s="60"/>
      <c r="CU19" s="60"/>
      <c r="CV19" s="60"/>
      <c r="CW19" s="60"/>
      <c r="CX19" s="60"/>
      <c r="CY19" s="60"/>
      <c r="CZ19" s="60"/>
      <c r="DA19" s="60"/>
    </row>
    <row r="20" ht="31.5" hidden="1" customHeight="1">
      <c r="A20" s="43"/>
      <c r="B20" s="44"/>
      <c r="C20" s="44"/>
      <c r="D20" s="45"/>
      <c r="E20" s="46"/>
      <c r="F20" s="125"/>
      <c r="G20" s="126"/>
      <c r="H20" s="127"/>
      <c r="I20" s="46"/>
      <c r="J20" s="50"/>
      <c r="K20" s="52"/>
      <c r="L20" s="53"/>
      <c r="M20" s="46"/>
      <c r="N20" s="50"/>
      <c r="O20" s="52"/>
      <c r="P20" s="53"/>
      <c r="Q20" s="46"/>
      <c r="R20" s="50"/>
      <c r="S20" s="52"/>
      <c r="T20" s="53"/>
      <c r="U20" s="56"/>
      <c r="V20" s="50"/>
      <c r="W20" s="52"/>
      <c r="X20" s="53"/>
      <c r="Y20" s="56"/>
      <c r="Z20" s="50"/>
      <c r="AA20" s="52"/>
      <c r="AB20" s="53"/>
      <c r="AC20" s="56"/>
      <c r="AD20" s="50"/>
      <c r="AE20" s="52"/>
      <c r="AF20" s="53"/>
      <c r="AG20" s="46"/>
      <c r="AH20" s="47"/>
      <c r="AI20" s="48"/>
      <c r="AJ20" s="49"/>
      <c r="AK20" s="46"/>
      <c r="AL20" s="50"/>
      <c r="AM20" s="53"/>
      <c r="AN20" s="53"/>
      <c r="AO20" s="46"/>
      <c r="AP20" s="50"/>
      <c r="AQ20" s="52"/>
      <c r="AR20" s="53"/>
      <c r="AS20" s="46"/>
      <c r="AT20" s="50"/>
      <c r="AU20" s="52"/>
      <c r="AV20" s="53"/>
      <c r="AW20" s="46"/>
      <c r="AX20" s="50"/>
      <c r="AY20" s="52"/>
      <c r="AZ20" s="53"/>
      <c r="BA20" s="46"/>
      <c r="BB20" s="50"/>
      <c r="BC20" s="52"/>
      <c r="BD20" s="53"/>
      <c r="BE20" s="46"/>
      <c r="BF20" s="50"/>
      <c r="BG20" s="52"/>
      <c r="BH20" s="53"/>
      <c r="BI20" s="46"/>
      <c r="BJ20" s="50"/>
      <c r="BK20" s="52"/>
      <c r="BL20" s="53"/>
      <c r="BM20" s="46"/>
      <c r="BN20" s="50"/>
      <c r="BO20" s="52"/>
      <c r="BP20" s="53"/>
      <c r="BQ20" s="46"/>
      <c r="BR20" s="50"/>
      <c r="BS20" s="52"/>
      <c r="BT20" s="53"/>
      <c r="BU20" s="46"/>
      <c r="BV20" s="50"/>
      <c r="BW20" s="52"/>
      <c r="BX20" s="53"/>
      <c r="BY20" s="46"/>
      <c r="BZ20" s="50"/>
      <c r="CA20" s="52"/>
      <c r="CB20" s="111"/>
      <c r="CC20" s="60"/>
      <c r="CD20" s="62"/>
      <c r="CE20" s="64"/>
      <c r="CF20" s="64"/>
      <c r="CG20" s="64"/>
      <c r="CH20" s="68"/>
      <c r="CI20" s="68"/>
      <c r="CJ20" s="68"/>
      <c r="CK20" s="72"/>
      <c r="CL20" s="68"/>
      <c r="CM20" s="68"/>
      <c r="CN20" s="68"/>
      <c r="CO20" s="68"/>
      <c r="CP20" s="74"/>
      <c r="CQ20" s="115"/>
      <c r="CR20" s="68"/>
      <c r="CS20" s="68"/>
      <c r="CT20" s="60"/>
      <c r="CU20" s="60"/>
      <c r="CV20" s="60"/>
      <c r="CW20" s="60"/>
      <c r="CX20" s="60"/>
      <c r="CY20" s="60"/>
      <c r="CZ20" s="60"/>
      <c r="DA20" s="60"/>
    </row>
    <row r="21" ht="31.5" hidden="1" customHeight="1">
      <c r="A21" s="43"/>
      <c r="B21" s="44"/>
      <c r="C21" s="44"/>
      <c r="D21" s="45"/>
      <c r="E21" s="46"/>
      <c r="F21" s="117"/>
      <c r="G21" s="119"/>
      <c r="H21" s="45"/>
      <c r="I21" s="46"/>
      <c r="J21" s="50"/>
      <c r="K21" s="52"/>
      <c r="L21" s="53"/>
      <c r="M21" s="46"/>
      <c r="N21" s="50"/>
      <c r="O21" s="52"/>
      <c r="P21" s="53"/>
      <c r="Q21" s="46"/>
      <c r="R21" s="50"/>
      <c r="S21" s="52"/>
      <c r="T21" s="53"/>
      <c r="U21" s="56"/>
      <c r="V21" s="50"/>
      <c r="W21" s="52"/>
      <c r="X21" s="53"/>
      <c r="Y21" s="56"/>
      <c r="Z21" s="50"/>
      <c r="AA21" s="52"/>
      <c r="AB21" s="53"/>
      <c r="AC21" s="56"/>
      <c r="AD21" s="50"/>
      <c r="AE21" s="52"/>
      <c r="AF21" s="53"/>
      <c r="AG21" s="46"/>
      <c r="AH21" s="47"/>
      <c r="AI21" s="48"/>
      <c r="AJ21" s="49"/>
      <c r="AK21" s="46"/>
      <c r="AL21" s="50"/>
      <c r="AM21" s="53"/>
      <c r="AN21" s="53"/>
      <c r="AO21" s="46"/>
      <c r="AP21" s="50"/>
      <c r="AQ21" s="52"/>
      <c r="AR21" s="53"/>
      <c r="AS21" s="46"/>
      <c r="AT21" s="50"/>
      <c r="AU21" s="52"/>
      <c r="AV21" s="53"/>
      <c r="AW21" s="46"/>
      <c r="AX21" s="50"/>
      <c r="AY21" s="52"/>
      <c r="AZ21" s="53"/>
      <c r="BA21" s="46"/>
      <c r="BB21" s="50"/>
      <c r="BC21" s="52"/>
      <c r="BD21" s="53"/>
      <c r="BE21" s="46"/>
      <c r="BF21" s="50"/>
      <c r="BG21" s="52"/>
      <c r="BH21" s="53"/>
      <c r="BI21" s="46"/>
      <c r="BJ21" s="50"/>
      <c r="BK21" s="52"/>
      <c r="BL21" s="53"/>
      <c r="BM21" s="46"/>
      <c r="BN21" s="50"/>
      <c r="BO21" s="52"/>
      <c r="BP21" s="53"/>
      <c r="BQ21" s="46"/>
      <c r="BR21" s="50"/>
      <c r="BS21" s="52"/>
      <c r="BT21" s="53"/>
      <c r="BU21" s="46"/>
      <c r="BV21" s="50"/>
      <c r="BW21" s="52"/>
      <c r="BX21" s="53"/>
      <c r="BY21" s="46"/>
      <c r="BZ21" s="50"/>
      <c r="CA21" s="52"/>
      <c r="CB21" s="111"/>
      <c r="CC21" s="60"/>
      <c r="CD21" s="62"/>
      <c r="CE21" s="64"/>
      <c r="CF21" s="64"/>
      <c r="CG21" s="64"/>
      <c r="CH21" s="68"/>
      <c r="CI21" s="68"/>
      <c r="CJ21" s="68"/>
      <c r="CK21" s="72"/>
      <c r="CL21" s="68"/>
      <c r="CM21" s="68"/>
      <c r="CN21" s="68"/>
      <c r="CO21" s="68"/>
      <c r="CP21" s="74"/>
      <c r="CQ21" s="115"/>
      <c r="CR21" s="68"/>
      <c r="CS21" s="68"/>
      <c r="CT21" s="60"/>
      <c r="CU21" s="60"/>
      <c r="CV21" s="60"/>
      <c r="CW21" s="60"/>
      <c r="CX21" s="60"/>
      <c r="CY21" s="60"/>
      <c r="CZ21" s="60"/>
      <c r="DA21" s="60"/>
    </row>
    <row r="22" ht="31.5" hidden="1" customHeight="1">
      <c r="A22" s="43"/>
      <c r="B22" s="44"/>
      <c r="C22" s="44"/>
      <c r="D22" s="45"/>
      <c r="E22" s="46"/>
      <c r="F22" s="125"/>
      <c r="G22" s="126"/>
      <c r="H22" s="127"/>
      <c r="I22" s="46"/>
      <c r="J22" s="50"/>
      <c r="K22" s="52"/>
      <c r="L22" s="53"/>
      <c r="M22" s="46"/>
      <c r="N22" s="50"/>
      <c r="O22" s="52"/>
      <c r="P22" s="53"/>
      <c r="Q22" s="46"/>
      <c r="R22" s="50"/>
      <c r="S22" s="52"/>
      <c r="T22" s="53"/>
      <c r="U22" s="56"/>
      <c r="V22" s="50"/>
      <c r="W22" s="52"/>
      <c r="X22" s="53"/>
      <c r="Y22" s="56"/>
      <c r="Z22" s="50"/>
      <c r="AA22" s="52"/>
      <c r="AB22" s="53"/>
      <c r="AC22" s="56"/>
      <c r="AD22" s="50"/>
      <c r="AE22" s="52"/>
      <c r="AF22" s="53"/>
      <c r="AG22" s="46"/>
      <c r="AH22" s="47"/>
      <c r="AI22" s="48"/>
      <c r="AJ22" s="49"/>
      <c r="AK22" s="46"/>
      <c r="AL22" s="50"/>
      <c r="AM22" s="53"/>
      <c r="AN22" s="53"/>
      <c r="AO22" s="46"/>
      <c r="AP22" s="50"/>
      <c r="AQ22" s="52"/>
      <c r="AR22" s="53"/>
      <c r="AS22" s="46"/>
      <c r="AT22" s="50"/>
      <c r="AU22" s="52"/>
      <c r="AV22" s="53"/>
      <c r="AW22" s="46"/>
      <c r="AX22" s="50"/>
      <c r="AY22" s="52"/>
      <c r="AZ22" s="53"/>
      <c r="BA22" s="46"/>
      <c r="BB22" s="50"/>
      <c r="BC22" s="52"/>
      <c r="BD22" s="53"/>
      <c r="BE22" s="46"/>
      <c r="BF22" s="50"/>
      <c r="BG22" s="52"/>
      <c r="BH22" s="53"/>
      <c r="BI22" s="46"/>
      <c r="BJ22" s="50"/>
      <c r="BK22" s="52"/>
      <c r="BL22" s="53"/>
      <c r="BM22" s="46"/>
      <c r="BN22" s="50"/>
      <c r="BO22" s="52"/>
      <c r="BP22" s="53"/>
      <c r="BQ22" s="46"/>
      <c r="BR22" s="50"/>
      <c r="BS22" s="52"/>
      <c r="BT22" s="53"/>
      <c r="BU22" s="46"/>
      <c r="BV22" s="50"/>
      <c r="BW22" s="52"/>
      <c r="BX22" s="53"/>
      <c r="BY22" s="46"/>
      <c r="BZ22" s="50"/>
      <c r="CA22" s="52"/>
      <c r="CB22" s="111"/>
      <c r="CC22" s="60"/>
      <c r="CD22" s="62"/>
      <c r="CE22" s="64"/>
      <c r="CF22" s="64"/>
      <c r="CG22" s="64"/>
      <c r="CH22" s="68"/>
      <c r="CI22" s="68"/>
      <c r="CJ22" s="68"/>
      <c r="CK22" s="72"/>
      <c r="CL22" s="68"/>
      <c r="CM22" s="68"/>
      <c r="CN22" s="68"/>
      <c r="CO22" s="68"/>
      <c r="CP22" s="74"/>
      <c r="CQ22" s="115"/>
      <c r="CR22" s="68"/>
      <c r="CS22" s="68"/>
      <c r="CT22" s="60"/>
      <c r="CU22" s="60"/>
      <c r="CV22" s="60"/>
      <c r="CW22" s="60"/>
      <c r="CX22" s="60"/>
      <c r="CY22" s="60"/>
      <c r="CZ22" s="60"/>
      <c r="DA22" s="60"/>
    </row>
    <row r="23" ht="31.5" hidden="1" customHeight="1">
      <c r="A23" s="43"/>
      <c r="B23" s="44"/>
      <c r="C23" s="44"/>
      <c r="D23" s="45"/>
      <c r="E23" s="46"/>
      <c r="F23" s="117"/>
      <c r="G23" s="119"/>
      <c r="H23" s="45"/>
      <c r="I23" s="46"/>
      <c r="J23" s="50"/>
      <c r="K23" s="52"/>
      <c r="L23" s="53"/>
      <c r="M23" s="46"/>
      <c r="N23" s="50"/>
      <c r="O23" s="52"/>
      <c r="P23" s="53"/>
      <c r="Q23" s="46"/>
      <c r="R23" s="50"/>
      <c r="S23" s="52"/>
      <c r="T23" s="53"/>
      <c r="U23" s="56"/>
      <c r="V23" s="50"/>
      <c r="W23" s="52"/>
      <c r="X23" s="53"/>
      <c r="Y23" s="56"/>
      <c r="Z23" s="50"/>
      <c r="AA23" s="52"/>
      <c r="AB23" s="53"/>
      <c r="AC23" s="56"/>
      <c r="AD23" s="50"/>
      <c r="AE23" s="52"/>
      <c r="AF23" s="53"/>
      <c r="AG23" s="46"/>
      <c r="AH23" s="47"/>
      <c r="AI23" s="48"/>
      <c r="AJ23" s="49"/>
      <c r="AK23" s="46"/>
      <c r="AL23" s="50"/>
      <c r="AM23" s="53"/>
      <c r="AN23" s="53"/>
      <c r="AO23" s="46"/>
      <c r="AP23" s="50"/>
      <c r="AQ23" s="52"/>
      <c r="AR23" s="53"/>
      <c r="AS23" s="46"/>
      <c r="AT23" s="50"/>
      <c r="AU23" s="52"/>
      <c r="AV23" s="53"/>
      <c r="AW23" s="46"/>
      <c r="AX23" s="50"/>
      <c r="AY23" s="52"/>
      <c r="AZ23" s="53"/>
      <c r="BA23" s="46"/>
      <c r="BB23" s="50"/>
      <c r="BC23" s="52"/>
      <c r="BD23" s="53"/>
      <c r="BE23" s="46"/>
      <c r="BF23" s="50"/>
      <c r="BG23" s="52"/>
      <c r="BH23" s="53"/>
      <c r="BI23" s="46"/>
      <c r="BJ23" s="50"/>
      <c r="BK23" s="52"/>
      <c r="BL23" s="53"/>
      <c r="BM23" s="46"/>
      <c r="BN23" s="50"/>
      <c r="BO23" s="52"/>
      <c r="BP23" s="53"/>
      <c r="BQ23" s="46"/>
      <c r="BR23" s="50"/>
      <c r="BS23" s="52"/>
      <c r="BT23" s="53"/>
      <c r="BU23" s="46"/>
      <c r="BV23" s="50"/>
      <c r="BW23" s="52"/>
      <c r="BX23" s="53"/>
      <c r="BY23" s="46"/>
      <c r="BZ23" s="50"/>
      <c r="CA23" s="52"/>
      <c r="CB23" s="111"/>
      <c r="CC23" s="60"/>
      <c r="CD23" s="62"/>
      <c r="CE23" s="64"/>
      <c r="CF23" s="64"/>
      <c r="CG23" s="64"/>
      <c r="CH23" s="68"/>
      <c r="CI23" s="68"/>
      <c r="CJ23" s="68"/>
      <c r="CK23" s="72"/>
      <c r="CL23" s="68"/>
      <c r="CM23" s="68"/>
      <c r="CN23" s="68"/>
      <c r="CO23" s="68"/>
      <c r="CP23" s="74"/>
      <c r="CQ23" s="115"/>
      <c r="CR23" s="68"/>
      <c r="CS23" s="68"/>
      <c r="CT23" s="60"/>
      <c r="CU23" s="60"/>
      <c r="CV23" s="60"/>
      <c r="CW23" s="60"/>
      <c r="CX23" s="60"/>
      <c r="CY23" s="60"/>
      <c r="CZ23" s="60"/>
      <c r="DA23" s="60"/>
    </row>
    <row r="24" ht="31.5" hidden="1" customHeight="1">
      <c r="A24" s="43"/>
      <c r="B24" s="44"/>
      <c r="C24" s="44"/>
      <c r="D24" s="45"/>
      <c r="E24" s="46"/>
      <c r="F24" s="125"/>
      <c r="G24" s="126"/>
      <c r="H24" s="127"/>
      <c r="I24" s="46"/>
      <c r="J24" s="50"/>
      <c r="K24" s="52"/>
      <c r="L24" s="53"/>
      <c r="M24" s="46"/>
      <c r="N24" s="50"/>
      <c r="O24" s="52"/>
      <c r="P24" s="53"/>
      <c r="Q24" s="46"/>
      <c r="R24" s="50"/>
      <c r="S24" s="52"/>
      <c r="T24" s="53"/>
      <c r="U24" s="56"/>
      <c r="V24" s="50"/>
      <c r="W24" s="52"/>
      <c r="X24" s="53"/>
      <c r="Y24" s="56"/>
      <c r="Z24" s="50"/>
      <c r="AA24" s="52"/>
      <c r="AB24" s="53"/>
      <c r="AC24" s="56"/>
      <c r="AD24" s="50"/>
      <c r="AE24" s="52"/>
      <c r="AF24" s="53"/>
      <c r="AG24" s="46"/>
      <c r="AH24" s="47"/>
      <c r="AI24" s="48"/>
      <c r="AJ24" s="49"/>
      <c r="AK24" s="46"/>
      <c r="AL24" s="50"/>
      <c r="AM24" s="53"/>
      <c r="AN24" s="53"/>
      <c r="AO24" s="46"/>
      <c r="AP24" s="50"/>
      <c r="AQ24" s="52"/>
      <c r="AR24" s="53"/>
      <c r="AS24" s="46"/>
      <c r="AT24" s="50"/>
      <c r="AU24" s="52"/>
      <c r="AV24" s="53"/>
      <c r="AW24" s="46"/>
      <c r="AX24" s="50"/>
      <c r="AY24" s="52"/>
      <c r="AZ24" s="53"/>
      <c r="BA24" s="46"/>
      <c r="BB24" s="50"/>
      <c r="BC24" s="52"/>
      <c r="BD24" s="53"/>
      <c r="BE24" s="46"/>
      <c r="BF24" s="50"/>
      <c r="BG24" s="52"/>
      <c r="BH24" s="53"/>
      <c r="BI24" s="46"/>
      <c r="BJ24" s="50"/>
      <c r="BK24" s="52"/>
      <c r="BL24" s="53"/>
      <c r="BM24" s="46"/>
      <c r="BN24" s="50"/>
      <c r="BO24" s="52"/>
      <c r="BP24" s="53"/>
      <c r="BQ24" s="46"/>
      <c r="BR24" s="50"/>
      <c r="BS24" s="52"/>
      <c r="BT24" s="53"/>
      <c r="BU24" s="46"/>
      <c r="BV24" s="50"/>
      <c r="BW24" s="52"/>
      <c r="BX24" s="53"/>
      <c r="BY24" s="46"/>
      <c r="BZ24" s="50"/>
      <c r="CA24" s="52"/>
      <c r="CB24" s="111"/>
      <c r="CC24" s="60"/>
      <c r="CD24" s="62"/>
      <c r="CE24" s="64"/>
      <c r="CF24" s="64"/>
      <c r="CG24" s="64"/>
      <c r="CH24" s="68"/>
      <c r="CI24" s="68"/>
      <c r="CJ24" s="68"/>
      <c r="CK24" s="72"/>
      <c r="CL24" s="68"/>
      <c r="CM24" s="68"/>
      <c r="CN24" s="68"/>
      <c r="CO24" s="68"/>
      <c r="CP24" s="74"/>
      <c r="CQ24" s="115"/>
      <c r="CR24" s="68"/>
      <c r="CS24" s="68"/>
      <c r="CT24" s="60"/>
      <c r="CU24" s="60"/>
      <c r="CV24" s="60"/>
      <c r="CW24" s="60"/>
      <c r="CX24" s="60"/>
      <c r="CY24" s="60"/>
      <c r="CZ24" s="60"/>
      <c r="DA24" s="60"/>
    </row>
    <row r="25" ht="31.5" hidden="1" customHeight="1">
      <c r="A25" s="43"/>
      <c r="B25" s="44"/>
      <c r="C25" s="44"/>
      <c r="D25" s="45"/>
      <c r="E25" s="46"/>
      <c r="F25" s="117"/>
      <c r="G25" s="119"/>
      <c r="H25" s="45"/>
      <c r="I25" s="46"/>
      <c r="J25" s="50"/>
      <c r="K25" s="52"/>
      <c r="L25" s="53"/>
      <c r="M25" s="46"/>
      <c r="N25" s="50"/>
      <c r="O25" s="52"/>
      <c r="P25" s="53"/>
      <c r="Q25" s="46"/>
      <c r="R25" s="50"/>
      <c r="S25" s="52"/>
      <c r="T25" s="53"/>
      <c r="U25" s="56"/>
      <c r="V25" s="50"/>
      <c r="W25" s="52"/>
      <c r="X25" s="53"/>
      <c r="Y25" s="56"/>
      <c r="Z25" s="50"/>
      <c r="AA25" s="52"/>
      <c r="AB25" s="53"/>
      <c r="AC25" s="56"/>
      <c r="AD25" s="50"/>
      <c r="AE25" s="52"/>
      <c r="AF25" s="53"/>
      <c r="AG25" s="46"/>
      <c r="AH25" s="47"/>
      <c r="AI25" s="48"/>
      <c r="AJ25" s="49"/>
      <c r="AK25" s="46"/>
      <c r="AL25" s="50"/>
      <c r="AM25" s="53"/>
      <c r="AN25" s="53"/>
      <c r="AO25" s="46"/>
      <c r="AP25" s="50"/>
      <c r="AQ25" s="52"/>
      <c r="AR25" s="53"/>
      <c r="AS25" s="46"/>
      <c r="AT25" s="50"/>
      <c r="AU25" s="52"/>
      <c r="AV25" s="53"/>
      <c r="AW25" s="46"/>
      <c r="AX25" s="50"/>
      <c r="AY25" s="52"/>
      <c r="AZ25" s="53"/>
      <c r="BA25" s="46"/>
      <c r="BB25" s="50"/>
      <c r="BC25" s="52"/>
      <c r="BD25" s="53"/>
      <c r="BE25" s="46"/>
      <c r="BF25" s="50"/>
      <c r="BG25" s="52"/>
      <c r="BH25" s="53"/>
      <c r="BI25" s="46"/>
      <c r="BJ25" s="50"/>
      <c r="BK25" s="52"/>
      <c r="BL25" s="53"/>
      <c r="BM25" s="46"/>
      <c r="BN25" s="50"/>
      <c r="BO25" s="52"/>
      <c r="BP25" s="53"/>
      <c r="BQ25" s="46"/>
      <c r="BR25" s="50"/>
      <c r="BS25" s="52"/>
      <c r="BT25" s="53"/>
      <c r="BU25" s="46"/>
      <c r="BV25" s="50"/>
      <c r="BW25" s="52"/>
      <c r="BX25" s="53"/>
      <c r="BY25" s="46"/>
      <c r="BZ25" s="50"/>
      <c r="CA25" s="52"/>
      <c r="CB25" s="111"/>
      <c r="CC25" s="60"/>
      <c r="CD25" s="62"/>
      <c r="CE25" s="64"/>
      <c r="CF25" s="64"/>
      <c r="CG25" s="64"/>
      <c r="CH25" s="68"/>
      <c r="CI25" s="68"/>
      <c r="CJ25" s="68"/>
      <c r="CK25" s="164"/>
      <c r="CL25" s="68"/>
      <c r="CM25" s="68"/>
      <c r="CN25" s="68"/>
      <c r="CO25" s="68"/>
      <c r="CP25" s="165"/>
      <c r="CQ25" s="115"/>
      <c r="CR25" s="68"/>
      <c r="CS25" s="68"/>
      <c r="CT25" s="60"/>
      <c r="CU25" s="60"/>
      <c r="CV25" s="60"/>
      <c r="CW25" s="60"/>
      <c r="CX25" s="60"/>
      <c r="CY25" s="60"/>
      <c r="CZ25" s="60"/>
      <c r="DA25" s="60"/>
    </row>
    <row r="26" ht="30.75" hidden="1" customHeight="1">
      <c r="A26" s="43"/>
      <c r="B26" s="44"/>
      <c r="C26" s="44"/>
      <c r="D26" s="45"/>
      <c r="E26" s="46"/>
      <c r="F26" s="125"/>
      <c r="G26" s="126"/>
      <c r="H26" s="127"/>
      <c r="I26" s="46"/>
      <c r="J26" s="50"/>
      <c r="K26" s="52"/>
      <c r="L26" s="53"/>
      <c r="M26" s="46"/>
      <c r="N26" s="50"/>
      <c r="O26" s="52"/>
      <c r="P26" s="53"/>
      <c r="Q26" s="46"/>
      <c r="R26" s="50"/>
      <c r="S26" s="52"/>
      <c r="T26" s="53"/>
      <c r="U26" s="56"/>
      <c r="V26" s="50"/>
      <c r="W26" s="52"/>
      <c r="X26" s="53"/>
      <c r="Y26" s="56"/>
      <c r="Z26" s="50"/>
      <c r="AA26" s="52"/>
      <c r="AB26" s="53"/>
      <c r="AC26" s="56"/>
      <c r="AD26" s="50"/>
      <c r="AE26" s="52"/>
      <c r="AF26" s="53"/>
      <c r="AG26" s="46"/>
      <c r="AH26" s="47"/>
      <c r="AI26" s="48"/>
      <c r="AJ26" s="49"/>
      <c r="AK26" s="46"/>
      <c r="AL26" s="50"/>
      <c r="AM26" s="53"/>
      <c r="AN26" s="53"/>
      <c r="AO26" s="46"/>
      <c r="AP26" s="50"/>
      <c r="AQ26" s="52"/>
      <c r="AR26" s="53"/>
      <c r="AS26" s="46"/>
      <c r="AT26" s="50"/>
      <c r="AU26" s="52"/>
      <c r="AV26" s="53"/>
      <c r="AW26" s="46"/>
      <c r="AX26" s="50"/>
      <c r="AY26" s="52"/>
      <c r="AZ26" s="53"/>
      <c r="BA26" s="46"/>
      <c r="BB26" s="50"/>
      <c r="BC26" s="52"/>
      <c r="BD26" s="53"/>
      <c r="BE26" s="46"/>
      <c r="BF26" s="50"/>
      <c r="BG26" s="52"/>
      <c r="BH26" s="53"/>
      <c r="BI26" s="46"/>
      <c r="BJ26" s="50"/>
      <c r="BK26" s="52"/>
      <c r="BL26" s="53"/>
      <c r="BM26" s="46"/>
      <c r="BN26" s="50"/>
      <c r="BO26" s="52"/>
      <c r="BP26" s="53"/>
      <c r="BQ26" s="46"/>
      <c r="BR26" s="50"/>
      <c r="BS26" s="52"/>
      <c r="BT26" s="53"/>
      <c r="BU26" s="46"/>
      <c r="BV26" s="50"/>
      <c r="BW26" s="52"/>
      <c r="BX26" s="53"/>
      <c r="BY26" s="46"/>
      <c r="BZ26" s="50"/>
      <c r="CA26" s="52"/>
      <c r="CB26" s="111"/>
      <c r="CC26" s="60"/>
      <c r="CD26" s="62"/>
      <c r="CE26" s="64"/>
      <c r="CF26" s="64"/>
      <c r="CG26" s="64"/>
      <c r="CH26" s="68"/>
      <c r="CI26" s="68"/>
      <c r="CJ26" s="68"/>
      <c r="CK26" s="164"/>
      <c r="CL26" s="68"/>
      <c r="CM26" s="68"/>
      <c r="CN26" s="68"/>
      <c r="CO26" s="68"/>
      <c r="CP26" s="165"/>
      <c r="CQ26" s="115"/>
      <c r="CR26" s="68"/>
      <c r="CS26" s="68"/>
      <c r="CT26" s="60"/>
      <c r="CU26" s="60"/>
      <c r="CV26" s="60"/>
      <c r="CW26" s="60"/>
      <c r="CX26" s="60"/>
      <c r="CY26" s="60"/>
      <c r="CZ26" s="60"/>
      <c r="DA26" s="60"/>
    </row>
    <row r="27" ht="31.5" hidden="1" customHeight="1">
      <c r="A27" s="43"/>
      <c r="B27" s="44"/>
      <c r="C27" s="44"/>
      <c r="D27" s="45"/>
      <c r="E27" s="46"/>
      <c r="F27" s="117"/>
      <c r="G27" s="119"/>
      <c r="H27" s="45"/>
      <c r="I27" s="46"/>
      <c r="J27" s="50"/>
      <c r="K27" s="52"/>
      <c r="L27" s="53"/>
      <c r="M27" s="46"/>
      <c r="N27" s="50"/>
      <c r="O27" s="52"/>
      <c r="P27" s="53"/>
      <c r="Q27" s="46"/>
      <c r="R27" s="50"/>
      <c r="S27" s="52"/>
      <c r="T27" s="53"/>
      <c r="U27" s="56"/>
      <c r="V27" s="50"/>
      <c r="W27" s="52"/>
      <c r="X27" s="53"/>
      <c r="Y27" s="56"/>
      <c r="Z27" s="50"/>
      <c r="AA27" s="52"/>
      <c r="AB27" s="53"/>
      <c r="AC27" s="56"/>
      <c r="AD27" s="50"/>
      <c r="AE27" s="52"/>
      <c r="AF27" s="53"/>
      <c r="AG27" s="46"/>
      <c r="AH27" s="47"/>
      <c r="AI27" s="48"/>
      <c r="AJ27" s="49"/>
      <c r="AK27" s="46"/>
      <c r="AL27" s="50"/>
      <c r="AM27" s="53"/>
      <c r="AN27" s="53"/>
      <c r="AO27" s="46"/>
      <c r="AP27" s="50"/>
      <c r="AQ27" s="52"/>
      <c r="AR27" s="53"/>
      <c r="AS27" s="46"/>
      <c r="AT27" s="50"/>
      <c r="AU27" s="52"/>
      <c r="AV27" s="53"/>
      <c r="AW27" s="46"/>
      <c r="AX27" s="50"/>
      <c r="AY27" s="52"/>
      <c r="AZ27" s="53"/>
      <c r="BA27" s="46"/>
      <c r="BB27" s="50"/>
      <c r="BC27" s="52"/>
      <c r="BD27" s="53"/>
      <c r="BE27" s="46"/>
      <c r="BF27" s="50"/>
      <c r="BG27" s="52"/>
      <c r="BH27" s="53"/>
      <c r="BI27" s="46"/>
      <c r="BJ27" s="50"/>
      <c r="BK27" s="52"/>
      <c r="BL27" s="53"/>
      <c r="BM27" s="46"/>
      <c r="BN27" s="50"/>
      <c r="BO27" s="52"/>
      <c r="BP27" s="53"/>
      <c r="BQ27" s="46"/>
      <c r="BR27" s="50"/>
      <c r="BS27" s="52"/>
      <c r="BT27" s="53"/>
      <c r="BU27" s="46"/>
      <c r="BV27" s="50"/>
      <c r="BW27" s="52"/>
      <c r="BX27" s="53"/>
      <c r="BY27" s="46"/>
      <c r="BZ27" s="50"/>
      <c r="CA27" s="52"/>
      <c r="CB27" s="111"/>
      <c r="CC27" s="60"/>
      <c r="CD27" s="62"/>
      <c r="CE27" s="64"/>
      <c r="CF27" s="64"/>
      <c r="CG27" s="64"/>
      <c r="CH27" s="68"/>
      <c r="CI27" s="68"/>
      <c r="CJ27" s="68"/>
      <c r="CK27" s="164"/>
      <c r="CL27" s="68"/>
      <c r="CM27" s="68"/>
      <c r="CN27" s="68"/>
      <c r="CO27" s="68"/>
      <c r="CP27" s="165"/>
      <c r="CQ27" s="115"/>
      <c r="CR27" s="68"/>
      <c r="CS27" s="68"/>
      <c r="CT27" s="60"/>
      <c r="CU27" s="60"/>
      <c r="CV27" s="60"/>
      <c r="CW27" s="60"/>
      <c r="CX27" s="60"/>
      <c r="CY27" s="60"/>
      <c r="CZ27" s="60"/>
      <c r="DA27" s="60"/>
    </row>
    <row r="28" ht="31.5" hidden="1" customHeight="1">
      <c r="A28" s="43"/>
      <c r="B28" s="44"/>
      <c r="C28" s="44"/>
      <c r="D28" s="45"/>
      <c r="E28" s="46"/>
      <c r="F28" s="125"/>
      <c r="G28" s="126"/>
      <c r="H28" s="127"/>
      <c r="I28" s="46"/>
      <c r="J28" s="50"/>
      <c r="K28" s="52"/>
      <c r="L28" s="53"/>
      <c r="M28" s="46"/>
      <c r="N28" s="50"/>
      <c r="O28" s="52"/>
      <c r="P28" s="53"/>
      <c r="Q28" s="46"/>
      <c r="R28" s="50"/>
      <c r="S28" s="52"/>
      <c r="T28" s="53"/>
      <c r="U28" s="56"/>
      <c r="V28" s="50"/>
      <c r="W28" s="52"/>
      <c r="X28" s="53"/>
      <c r="Y28" s="56"/>
      <c r="Z28" s="50"/>
      <c r="AA28" s="52"/>
      <c r="AB28" s="53"/>
      <c r="AC28" s="56"/>
      <c r="AD28" s="50"/>
      <c r="AE28" s="52"/>
      <c r="AF28" s="53"/>
      <c r="AG28" s="46"/>
      <c r="AH28" s="47"/>
      <c r="AI28" s="48"/>
      <c r="AJ28" s="49"/>
      <c r="AK28" s="46"/>
      <c r="AL28" s="50"/>
      <c r="AM28" s="53"/>
      <c r="AN28" s="53"/>
      <c r="AO28" s="46"/>
      <c r="AP28" s="50"/>
      <c r="AQ28" s="52"/>
      <c r="AR28" s="53"/>
      <c r="AS28" s="46"/>
      <c r="AT28" s="50"/>
      <c r="AU28" s="52"/>
      <c r="AV28" s="53"/>
      <c r="AW28" s="46"/>
      <c r="AX28" s="50"/>
      <c r="AY28" s="52"/>
      <c r="AZ28" s="53"/>
      <c r="BA28" s="46"/>
      <c r="BB28" s="50"/>
      <c r="BC28" s="52"/>
      <c r="BD28" s="53"/>
      <c r="BE28" s="46"/>
      <c r="BF28" s="50"/>
      <c r="BG28" s="52"/>
      <c r="BH28" s="53"/>
      <c r="BI28" s="46"/>
      <c r="BJ28" s="50"/>
      <c r="BK28" s="52"/>
      <c r="BL28" s="53"/>
      <c r="BM28" s="46"/>
      <c r="BN28" s="50"/>
      <c r="BO28" s="52"/>
      <c r="BP28" s="53"/>
      <c r="BQ28" s="46"/>
      <c r="BR28" s="50"/>
      <c r="BS28" s="52"/>
      <c r="BT28" s="53"/>
      <c r="BU28" s="46"/>
      <c r="BV28" s="50"/>
      <c r="BW28" s="52"/>
      <c r="BX28" s="53"/>
      <c r="BY28" s="46"/>
      <c r="BZ28" s="50"/>
      <c r="CA28" s="52"/>
      <c r="CB28" s="111"/>
      <c r="CC28" s="60"/>
      <c r="CD28" s="62"/>
      <c r="CE28" s="64"/>
      <c r="CF28" s="64"/>
      <c r="CG28" s="64"/>
      <c r="CH28" s="68"/>
      <c r="CI28" s="68"/>
      <c r="CJ28" s="68"/>
      <c r="CK28" s="164"/>
      <c r="CL28" s="68"/>
      <c r="CM28" s="68"/>
      <c r="CN28" s="68"/>
      <c r="CO28" s="68"/>
      <c r="CP28" s="165"/>
      <c r="CQ28" s="115"/>
      <c r="CR28" s="68"/>
      <c r="CS28" s="68"/>
      <c r="CT28" s="60"/>
      <c r="CU28" s="60"/>
      <c r="CV28" s="60"/>
      <c r="CW28" s="60"/>
      <c r="CX28" s="60"/>
      <c r="CY28" s="60"/>
      <c r="CZ28" s="60"/>
      <c r="DA28" s="60"/>
    </row>
    <row r="29" ht="31.5" hidden="1" customHeight="1">
      <c r="A29" s="43"/>
      <c r="B29" s="44"/>
      <c r="C29" s="44"/>
      <c r="D29" s="45"/>
      <c r="E29" s="46"/>
      <c r="F29" s="117"/>
      <c r="G29" s="119"/>
      <c r="H29" s="45"/>
      <c r="I29" s="46"/>
      <c r="J29" s="50"/>
      <c r="K29" s="52"/>
      <c r="L29" s="53"/>
      <c r="M29" s="46"/>
      <c r="N29" s="50"/>
      <c r="O29" s="52"/>
      <c r="P29" s="53"/>
      <c r="Q29" s="46"/>
      <c r="R29" s="50"/>
      <c r="S29" s="52"/>
      <c r="T29" s="53"/>
      <c r="U29" s="56"/>
      <c r="V29" s="50"/>
      <c r="W29" s="52"/>
      <c r="X29" s="53"/>
      <c r="Y29" s="56"/>
      <c r="Z29" s="50"/>
      <c r="AA29" s="52"/>
      <c r="AB29" s="53"/>
      <c r="AC29" s="56"/>
      <c r="AD29" s="50"/>
      <c r="AE29" s="52"/>
      <c r="AF29" s="53"/>
      <c r="AG29" s="46"/>
      <c r="AH29" s="47"/>
      <c r="AI29" s="48"/>
      <c r="AJ29" s="49"/>
      <c r="AK29" s="46"/>
      <c r="AL29" s="50"/>
      <c r="AM29" s="53"/>
      <c r="AN29" s="53"/>
      <c r="AO29" s="46"/>
      <c r="AP29" s="50"/>
      <c r="AQ29" s="52"/>
      <c r="AR29" s="53"/>
      <c r="AS29" s="46"/>
      <c r="AT29" s="50"/>
      <c r="AU29" s="52"/>
      <c r="AV29" s="53"/>
      <c r="AW29" s="46"/>
      <c r="AX29" s="50"/>
      <c r="AY29" s="52"/>
      <c r="AZ29" s="53"/>
      <c r="BA29" s="46"/>
      <c r="BB29" s="50"/>
      <c r="BC29" s="52"/>
      <c r="BD29" s="53"/>
      <c r="BE29" s="46"/>
      <c r="BF29" s="50"/>
      <c r="BG29" s="52"/>
      <c r="BH29" s="53"/>
      <c r="BI29" s="46"/>
      <c r="BJ29" s="50"/>
      <c r="BK29" s="52"/>
      <c r="BL29" s="53"/>
      <c r="BM29" s="46"/>
      <c r="BN29" s="50"/>
      <c r="BO29" s="52"/>
      <c r="BP29" s="53"/>
      <c r="BQ29" s="46"/>
      <c r="BR29" s="50"/>
      <c r="BS29" s="52"/>
      <c r="BT29" s="53"/>
      <c r="BU29" s="46"/>
      <c r="BV29" s="50"/>
      <c r="BW29" s="52"/>
      <c r="BX29" s="53"/>
      <c r="BY29" s="46"/>
      <c r="BZ29" s="50"/>
      <c r="CA29" s="52"/>
      <c r="CB29" s="111"/>
      <c r="CC29" s="60"/>
      <c r="CD29" s="62"/>
      <c r="CE29" s="64"/>
      <c r="CF29" s="64"/>
      <c r="CG29" s="64"/>
      <c r="CH29" s="68"/>
      <c r="CI29" s="68"/>
      <c r="CJ29" s="68"/>
      <c r="CK29" s="164"/>
      <c r="CL29" s="68"/>
      <c r="CM29" s="68"/>
      <c r="CN29" s="68"/>
      <c r="CO29" s="68"/>
      <c r="CP29" s="165"/>
      <c r="CQ29" s="115"/>
      <c r="CR29" s="68"/>
      <c r="CS29" s="68"/>
      <c r="CT29" s="60"/>
      <c r="CU29" s="60"/>
      <c r="CV29" s="60"/>
      <c r="CW29" s="60"/>
      <c r="CX29" s="60"/>
      <c r="CY29" s="60"/>
      <c r="CZ29" s="60"/>
      <c r="DA29" s="60"/>
    </row>
    <row r="30" ht="31.5" hidden="1" customHeight="1">
      <c r="A30" s="43"/>
      <c r="B30" s="44"/>
      <c r="C30" s="44"/>
      <c r="D30" s="45"/>
      <c r="E30" s="46"/>
      <c r="F30" s="125"/>
      <c r="G30" s="126"/>
      <c r="H30" s="127"/>
      <c r="I30" s="46"/>
      <c r="J30" s="50"/>
      <c r="K30" s="52"/>
      <c r="L30" s="53"/>
      <c r="M30" s="46"/>
      <c r="N30" s="50"/>
      <c r="O30" s="52"/>
      <c r="P30" s="53"/>
      <c r="Q30" s="46"/>
      <c r="R30" s="50"/>
      <c r="S30" s="52"/>
      <c r="T30" s="53"/>
      <c r="U30" s="56"/>
      <c r="V30" s="50"/>
      <c r="W30" s="52"/>
      <c r="X30" s="53"/>
      <c r="Y30" s="56"/>
      <c r="Z30" s="50"/>
      <c r="AA30" s="52"/>
      <c r="AB30" s="53"/>
      <c r="AC30" s="56"/>
      <c r="AD30" s="50"/>
      <c r="AE30" s="52"/>
      <c r="AF30" s="53"/>
      <c r="AG30" s="46"/>
      <c r="AH30" s="47"/>
      <c r="AI30" s="48"/>
      <c r="AJ30" s="49"/>
      <c r="AK30" s="46"/>
      <c r="AL30" s="50"/>
      <c r="AM30" s="53"/>
      <c r="AN30" s="53"/>
      <c r="AO30" s="46"/>
      <c r="AP30" s="50"/>
      <c r="AQ30" s="52"/>
      <c r="AR30" s="53"/>
      <c r="AS30" s="46"/>
      <c r="AT30" s="50"/>
      <c r="AU30" s="52"/>
      <c r="AV30" s="53"/>
      <c r="AW30" s="46"/>
      <c r="AX30" s="50"/>
      <c r="AY30" s="52"/>
      <c r="AZ30" s="53"/>
      <c r="BA30" s="46"/>
      <c r="BB30" s="50"/>
      <c r="BC30" s="52"/>
      <c r="BD30" s="53"/>
      <c r="BE30" s="46"/>
      <c r="BF30" s="50"/>
      <c r="BG30" s="52"/>
      <c r="BH30" s="53"/>
      <c r="BI30" s="46"/>
      <c r="BJ30" s="50"/>
      <c r="BK30" s="52"/>
      <c r="BL30" s="53"/>
      <c r="BM30" s="46"/>
      <c r="BN30" s="50"/>
      <c r="BO30" s="52"/>
      <c r="BP30" s="53"/>
      <c r="BQ30" s="46"/>
      <c r="BR30" s="50"/>
      <c r="BS30" s="52"/>
      <c r="BT30" s="53"/>
      <c r="BU30" s="46"/>
      <c r="BV30" s="50"/>
      <c r="BW30" s="52"/>
      <c r="BX30" s="53"/>
      <c r="BY30" s="46"/>
      <c r="BZ30" s="50"/>
      <c r="CA30" s="52"/>
      <c r="CB30" s="111"/>
      <c r="CC30" s="60"/>
      <c r="CD30" s="62"/>
      <c r="CE30" s="64"/>
      <c r="CF30" s="64"/>
      <c r="CG30" s="64"/>
      <c r="CH30" s="68"/>
      <c r="CI30" s="68"/>
      <c r="CJ30" s="68"/>
      <c r="CK30" s="164"/>
      <c r="CL30" s="68"/>
      <c r="CM30" s="68"/>
      <c r="CN30" s="68"/>
      <c r="CO30" s="68"/>
      <c r="CP30" s="165"/>
      <c r="CQ30" s="115"/>
      <c r="CR30" s="68"/>
      <c r="CS30" s="68"/>
      <c r="CT30" s="60"/>
      <c r="CU30" s="60"/>
      <c r="CV30" s="60"/>
      <c r="CW30" s="60"/>
      <c r="CX30" s="60"/>
      <c r="CY30" s="60"/>
      <c r="CZ30" s="60"/>
      <c r="DA30" s="60"/>
    </row>
    <row r="31" ht="31.5" hidden="1" customHeight="1">
      <c r="A31" s="43"/>
      <c r="B31" s="44"/>
      <c r="C31" s="44"/>
      <c r="D31" s="45"/>
      <c r="E31" s="46"/>
      <c r="F31" s="117"/>
      <c r="G31" s="119"/>
      <c r="H31" s="45"/>
      <c r="I31" s="46"/>
      <c r="J31" s="50"/>
      <c r="K31" s="52"/>
      <c r="L31" s="53"/>
      <c r="M31" s="46"/>
      <c r="N31" s="50"/>
      <c r="O31" s="52"/>
      <c r="P31" s="53"/>
      <c r="Q31" s="46"/>
      <c r="R31" s="50"/>
      <c r="S31" s="52"/>
      <c r="T31" s="53"/>
      <c r="U31" s="56"/>
      <c r="V31" s="50"/>
      <c r="W31" s="52"/>
      <c r="X31" s="53"/>
      <c r="Y31" s="56"/>
      <c r="Z31" s="50"/>
      <c r="AA31" s="52"/>
      <c r="AB31" s="53"/>
      <c r="AC31" s="56"/>
      <c r="AD31" s="50"/>
      <c r="AE31" s="52"/>
      <c r="AF31" s="53"/>
      <c r="AG31" s="46"/>
      <c r="AH31" s="47"/>
      <c r="AI31" s="48"/>
      <c r="AJ31" s="49"/>
      <c r="AK31" s="46"/>
      <c r="AL31" s="50"/>
      <c r="AM31" s="53"/>
      <c r="AN31" s="53"/>
      <c r="AO31" s="46"/>
      <c r="AP31" s="50"/>
      <c r="AQ31" s="52"/>
      <c r="AR31" s="53"/>
      <c r="AS31" s="46"/>
      <c r="AT31" s="50"/>
      <c r="AU31" s="52"/>
      <c r="AV31" s="53"/>
      <c r="AW31" s="46"/>
      <c r="AX31" s="50"/>
      <c r="AY31" s="52"/>
      <c r="AZ31" s="53"/>
      <c r="BA31" s="46"/>
      <c r="BB31" s="50"/>
      <c r="BC31" s="52"/>
      <c r="BD31" s="53"/>
      <c r="BE31" s="46"/>
      <c r="BF31" s="50"/>
      <c r="BG31" s="52"/>
      <c r="BH31" s="53"/>
      <c r="BI31" s="46"/>
      <c r="BJ31" s="50"/>
      <c r="BK31" s="52"/>
      <c r="BL31" s="53"/>
      <c r="BM31" s="46"/>
      <c r="BN31" s="50"/>
      <c r="BO31" s="52"/>
      <c r="BP31" s="53"/>
      <c r="BQ31" s="46"/>
      <c r="BR31" s="50"/>
      <c r="BS31" s="52"/>
      <c r="BT31" s="53"/>
      <c r="BU31" s="46"/>
      <c r="BV31" s="50"/>
      <c r="BW31" s="52"/>
      <c r="BX31" s="53"/>
      <c r="BY31" s="46"/>
      <c r="BZ31" s="50"/>
      <c r="CA31" s="52"/>
      <c r="CB31" s="111"/>
      <c r="CC31" s="60"/>
      <c r="CD31" s="62"/>
      <c r="CE31" s="64"/>
      <c r="CF31" s="64"/>
      <c r="CG31" s="64"/>
      <c r="CH31" s="68"/>
      <c r="CI31" s="68"/>
      <c r="CJ31" s="68"/>
      <c r="CK31" s="164"/>
      <c r="CL31" s="68"/>
      <c r="CM31" s="68"/>
      <c r="CN31" s="68"/>
      <c r="CO31" s="68"/>
      <c r="CP31" s="165"/>
      <c r="CQ31" s="115"/>
      <c r="CR31" s="68"/>
      <c r="CS31" s="68"/>
      <c r="CT31" s="60"/>
      <c r="CU31" s="60"/>
      <c r="CV31" s="60"/>
      <c r="CW31" s="60"/>
      <c r="CX31" s="60"/>
      <c r="CY31" s="60"/>
      <c r="CZ31" s="60"/>
      <c r="DA31" s="60"/>
    </row>
    <row r="32" ht="31.5" hidden="1" customHeight="1">
      <c r="A32" s="43"/>
      <c r="B32" s="44"/>
      <c r="C32" s="44"/>
      <c r="D32" s="45"/>
      <c r="E32" s="46"/>
      <c r="F32" s="125"/>
      <c r="G32" s="126"/>
      <c r="H32" s="127"/>
      <c r="I32" s="46"/>
      <c r="J32" s="50"/>
      <c r="K32" s="52"/>
      <c r="L32" s="53"/>
      <c r="M32" s="46"/>
      <c r="N32" s="50"/>
      <c r="O32" s="52"/>
      <c r="P32" s="53"/>
      <c r="Q32" s="46"/>
      <c r="R32" s="50"/>
      <c r="S32" s="52"/>
      <c r="T32" s="53"/>
      <c r="U32" s="56"/>
      <c r="V32" s="50"/>
      <c r="W32" s="52"/>
      <c r="X32" s="53"/>
      <c r="Y32" s="56"/>
      <c r="Z32" s="50"/>
      <c r="AA32" s="52"/>
      <c r="AB32" s="53"/>
      <c r="AC32" s="56"/>
      <c r="AD32" s="50"/>
      <c r="AE32" s="52"/>
      <c r="AF32" s="53"/>
      <c r="AG32" s="46"/>
      <c r="AH32" s="47"/>
      <c r="AI32" s="48"/>
      <c r="AJ32" s="49"/>
      <c r="AK32" s="46"/>
      <c r="AL32" s="50"/>
      <c r="AM32" s="53"/>
      <c r="AN32" s="53"/>
      <c r="AO32" s="46"/>
      <c r="AP32" s="50"/>
      <c r="AQ32" s="52"/>
      <c r="AR32" s="53"/>
      <c r="AS32" s="46"/>
      <c r="AT32" s="50"/>
      <c r="AU32" s="52"/>
      <c r="AV32" s="53"/>
      <c r="AW32" s="46"/>
      <c r="AX32" s="50"/>
      <c r="AY32" s="52"/>
      <c r="AZ32" s="53"/>
      <c r="BA32" s="46"/>
      <c r="BB32" s="50"/>
      <c r="BC32" s="52"/>
      <c r="BD32" s="53"/>
      <c r="BE32" s="46"/>
      <c r="BF32" s="50"/>
      <c r="BG32" s="52"/>
      <c r="BH32" s="53"/>
      <c r="BI32" s="46"/>
      <c r="BJ32" s="50"/>
      <c r="BK32" s="52"/>
      <c r="BL32" s="53"/>
      <c r="BM32" s="46"/>
      <c r="BN32" s="50"/>
      <c r="BO32" s="52"/>
      <c r="BP32" s="53"/>
      <c r="BQ32" s="46"/>
      <c r="BR32" s="50"/>
      <c r="BS32" s="52"/>
      <c r="BT32" s="53"/>
      <c r="BU32" s="46"/>
      <c r="BV32" s="50"/>
      <c r="BW32" s="52"/>
      <c r="BX32" s="53"/>
      <c r="BY32" s="46"/>
      <c r="BZ32" s="50"/>
      <c r="CA32" s="52"/>
      <c r="CB32" s="111"/>
      <c r="CC32" s="60"/>
      <c r="CD32" s="62"/>
      <c r="CE32" s="64"/>
      <c r="CF32" s="64"/>
      <c r="CG32" s="64"/>
      <c r="CH32" s="68"/>
      <c r="CI32" s="68"/>
      <c r="CJ32" s="68"/>
      <c r="CK32" s="164"/>
      <c r="CL32" s="68"/>
      <c r="CM32" s="68"/>
      <c r="CN32" s="68"/>
      <c r="CO32" s="68"/>
      <c r="CP32" s="165"/>
      <c r="CQ32" s="115"/>
      <c r="CR32" s="68"/>
      <c r="CS32" s="68"/>
      <c r="CT32" s="60"/>
      <c r="CU32" s="60"/>
      <c r="CV32" s="60"/>
      <c r="CW32" s="60"/>
      <c r="CX32" s="60"/>
      <c r="CY32" s="60"/>
      <c r="CZ32" s="60"/>
      <c r="DA32" s="60"/>
    </row>
    <row r="33" ht="31.5" hidden="1" customHeight="1">
      <c r="A33" s="43"/>
      <c r="B33" s="44"/>
      <c r="C33" s="44"/>
      <c r="D33" s="45"/>
      <c r="E33" s="46"/>
      <c r="F33" s="117"/>
      <c r="G33" s="119"/>
      <c r="H33" s="45"/>
      <c r="I33" s="46"/>
      <c r="J33" s="50"/>
      <c r="K33" s="52"/>
      <c r="L33" s="53"/>
      <c r="M33" s="46"/>
      <c r="N33" s="50"/>
      <c r="O33" s="52"/>
      <c r="P33" s="53"/>
      <c r="Q33" s="46"/>
      <c r="R33" s="50"/>
      <c r="S33" s="52"/>
      <c r="T33" s="53"/>
      <c r="U33" s="56"/>
      <c r="V33" s="50"/>
      <c r="W33" s="52"/>
      <c r="X33" s="53"/>
      <c r="Y33" s="56"/>
      <c r="Z33" s="50"/>
      <c r="AA33" s="52"/>
      <c r="AB33" s="53"/>
      <c r="AC33" s="56"/>
      <c r="AD33" s="50"/>
      <c r="AE33" s="52"/>
      <c r="AF33" s="53"/>
      <c r="AG33" s="46"/>
      <c r="AH33" s="47"/>
      <c r="AI33" s="48"/>
      <c r="AJ33" s="49"/>
      <c r="AK33" s="46"/>
      <c r="AL33" s="50"/>
      <c r="AM33" s="53"/>
      <c r="AN33" s="53"/>
      <c r="AO33" s="46"/>
      <c r="AP33" s="50"/>
      <c r="AQ33" s="52"/>
      <c r="AR33" s="53"/>
      <c r="AS33" s="46"/>
      <c r="AT33" s="50"/>
      <c r="AU33" s="52"/>
      <c r="AV33" s="53"/>
      <c r="AW33" s="46"/>
      <c r="AX33" s="50"/>
      <c r="AY33" s="52"/>
      <c r="AZ33" s="53"/>
      <c r="BA33" s="46"/>
      <c r="BB33" s="50"/>
      <c r="BC33" s="52"/>
      <c r="BD33" s="53"/>
      <c r="BE33" s="46"/>
      <c r="BF33" s="50"/>
      <c r="BG33" s="52"/>
      <c r="BH33" s="53"/>
      <c r="BI33" s="46"/>
      <c r="BJ33" s="50"/>
      <c r="BK33" s="52"/>
      <c r="BL33" s="53"/>
      <c r="BM33" s="46"/>
      <c r="BN33" s="50"/>
      <c r="BO33" s="52"/>
      <c r="BP33" s="53"/>
      <c r="BQ33" s="46"/>
      <c r="BR33" s="50"/>
      <c r="BS33" s="52"/>
      <c r="BT33" s="53"/>
      <c r="BU33" s="46"/>
      <c r="BV33" s="50"/>
      <c r="BW33" s="52"/>
      <c r="BX33" s="53"/>
      <c r="BY33" s="46"/>
      <c r="BZ33" s="50"/>
      <c r="CA33" s="52"/>
      <c r="CB33" s="111"/>
      <c r="CC33" s="60"/>
      <c r="CD33" s="62"/>
      <c r="CE33" s="64"/>
      <c r="CF33" s="64"/>
      <c r="CG33" s="64"/>
      <c r="CH33" s="68"/>
      <c r="CI33" s="68"/>
      <c r="CJ33" s="68"/>
      <c r="CK33" s="164"/>
      <c r="CL33" s="68"/>
      <c r="CM33" s="68"/>
      <c r="CN33" s="68"/>
      <c r="CO33" s="68"/>
      <c r="CP33" s="165"/>
      <c r="CQ33" s="115"/>
      <c r="CR33" s="68"/>
      <c r="CS33" s="68"/>
      <c r="CT33" s="60"/>
      <c r="CU33" s="60"/>
      <c r="CV33" s="60"/>
      <c r="CW33" s="60"/>
      <c r="CX33" s="60"/>
      <c r="CY33" s="60"/>
      <c r="CZ33" s="60"/>
      <c r="DA33" s="60"/>
    </row>
    <row r="34" ht="31.5" hidden="1" customHeight="1">
      <c r="A34" s="43"/>
      <c r="B34" s="44"/>
      <c r="C34" s="44"/>
      <c r="D34" s="45"/>
      <c r="E34" s="46"/>
      <c r="F34" s="125"/>
      <c r="G34" s="126"/>
      <c r="H34" s="127"/>
      <c r="I34" s="46"/>
      <c r="J34" s="50"/>
      <c r="K34" s="52"/>
      <c r="L34" s="53"/>
      <c r="M34" s="46"/>
      <c r="N34" s="50"/>
      <c r="O34" s="52"/>
      <c r="P34" s="53"/>
      <c r="Q34" s="46"/>
      <c r="R34" s="50"/>
      <c r="S34" s="52"/>
      <c r="T34" s="53"/>
      <c r="U34" s="56"/>
      <c r="V34" s="50"/>
      <c r="W34" s="52"/>
      <c r="X34" s="53"/>
      <c r="Y34" s="56"/>
      <c r="Z34" s="50"/>
      <c r="AA34" s="52"/>
      <c r="AB34" s="53"/>
      <c r="AC34" s="56"/>
      <c r="AD34" s="50"/>
      <c r="AE34" s="52"/>
      <c r="AF34" s="53"/>
      <c r="AG34" s="46"/>
      <c r="AH34" s="47"/>
      <c r="AI34" s="48"/>
      <c r="AJ34" s="49"/>
      <c r="AK34" s="46"/>
      <c r="AL34" s="50"/>
      <c r="AM34" s="53"/>
      <c r="AN34" s="53"/>
      <c r="AO34" s="46"/>
      <c r="AP34" s="50"/>
      <c r="AQ34" s="52"/>
      <c r="AR34" s="53"/>
      <c r="AS34" s="46"/>
      <c r="AT34" s="50"/>
      <c r="AU34" s="52"/>
      <c r="AV34" s="53"/>
      <c r="AW34" s="46"/>
      <c r="AX34" s="50"/>
      <c r="AY34" s="52"/>
      <c r="AZ34" s="53"/>
      <c r="BA34" s="46"/>
      <c r="BB34" s="50"/>
      <c r="BC34" s="52"/>
      <c r="BD34" s="53"/>
      <c r="BE34" s="46"/>
      <c r="BF34" s="50"/>
      <c r="BG34" s="52"/>
      <c r="BH34" s="53"/>
      <c r="BI34" s="46"/>
      <c r="BJ34" s="50"/>
      <c r="BK34" s="52"/>
      <c r="BL34" s="53"/>
      <c r="BM34" s="46"/>
      <c r="BN34" s="50"/>
      <c r="BO34" s="52"/>
      <c r="BP34" s="53"/>
      <c r="BQ34" s="46"/>
      <c r="BR34" s="50"/>
      <c r="BS34" s="52"/>
      <c r="BT34" s="53"/>
      <c r="BU34" s="46"/>
      <c r="BV34" s="50"/>
      <c r="BW34" s="52"/>
      <c r="BX34" s="53"/>
      <c r="BY34" s="46"/>
      <c r="BZ34" s="50"/>
      <c r="CA34" s="52"/>
      <c r="CB34" s="111"/>
      <c r="CC34" s="60"/>
      <c r="CD34" s="62"/>
      <c r="CE34" s="64"/>
      <c r="CF34" s="64"/>
      <c r="CG34" s="64"/>
      <c r="CH34" s="68"/>
      <c r="CI34" s="68"/>
      <c r="CJ34" s="68"/>
      <c r="CK34" s="164"/>
      <c r="CL34" s="68"/>
      <c r="CM34" s="68"/>
      <c r="CN34" s="68"/>
      <c r="CO34" s="68"/>
      <c r="CP34" s="165"/>
      <c r="CQ34" s="115"/>
      <c r="CR34" s="68"/>
      <c r="CS34" s="68"/>
      <c r="CT34" s="60"/>
      <c r="CU34" s="60"/>
      <c r="CV34" s="60"/>
      <c r="CW34" s="60"/>
      <c r="CX34" s="60"/>
      <c r="CY34" s="60"/>
      <c r="CZ34" s="60"/>
      <c r="DA34" s="60"/>
    </row>
    <row r="35" ht="31.5" hidden="1" customHeight="1">
      <c r="A35" s="43"/>
      <c r="B35" s="44"/>
      <c r="C35" s="44"/>
      <c r="D35" s="45"/>
      <c r="E35" s="46"/>
      <c r="F35" s="117"/>
      <c r="G35" s="119"/>
      <c r="H35" s="45"/>
      <c r="I35" s="46"/>
      <c r="J35" s="50"/>
      <c r="K35" s="52"/>
      <c r="L35" s="53"/>
      <c r="M35" s="46"/>
      <c r="N35" s="50"/>
      <c r="O35" s="52"/>
      <c r="P35" s="53"/>
      <c r="Q35" s="46"/>
      <c r="R35" s="50"/>
      <c r="S35" s="52"/>
      <c r="T35" s="53"/>
      <c r="U35" s="56"/>
      <c r="V35" s="50"/>
      <c r="W35" s="52"/>
      <c r="X35" s="53"/>
      <c r="Y35" s="56"/>
      <c r="Z35" s="50"/>
      <c r="AA35" s="52"/>
      <c r="AB35" s="53"/>
      <c r="AC35" s="56"/>
      <c r="AD35" s="50"/>
      <c r="AE35" s="52"/>
      <c r="AF35" s="53"/>
      <c r="AG35" s="46"/>
      <c r="AH35" s="47"/>
      <c r="AI35" s="48"/>
      <c r="AJ35" s="49"/>
      <c r="AK35" s="46"/>
      <c r="AL35" s="50"/>
      <c r="AM35" s="53"/>
      <c r="AN35" s="53"/>
      <c r="AO35" s="46"/>
      <c r="AP35" s="50"/>
      <c r="AQ35" s="52"/>
      <c r="AR35" s="53"/>
      <c r="AS35" s="46"/>
      <c r="AT35" s="50"/>
      <c r="AU35" s="52"/>
      <c r="AV35" s="53"/>
      <c r="AW35" s="46"/>
      <c r="AX35" s="50"/>
      <c r="AY35" s="52"/>
      <c r="AZ35" s="53"/>
      <c r="BA35" s="46"/>
      <c r="BB35" s="50"/>
      <c r="BC35" s="52"/>
      <c r="BD35" s="53"/>
      <c r="BE35" s="46"/>
      <c r="BF35" s="50"/>
      <c r="BG35" s="52"/>
      <c r="BH35" s="53"/>
      <c r="BI35" s="46"/>
      <c r="BJ35" s="50"/>
      <c r="BK35" s="52"/>
      <c r="BL35" s="53"/>
      <c r="BM35" s="46"/>
      <c r="BN35" s="50"/>
      <c r="BO35" s="52"/>
      <c r="BP35" s="53"/>
      <c r="BQ35" s="46"/>
      <c r="BR35" s="50"/>
      <c r="BS35" s="52"/>
      <c r="BT35" s="53"/>
      <c r="BU35" s="46"/>
      <c r="BV35" s="50"/>
      <c r="BW35" s="52"/>
      <c r="BX35" s="53"/>
      <c r="BY35" s="46"/>
      <c r="BZ35" s="50"/>
      <c r="CA35" s="52"/>
      <c r="CB35" s="111"/>
      <c r="CC35" s="60"/>
      <c r="CD35" s="186"/>
      <c r="CE35" s="64"/>
      <c r="CF35" s="64"/>
      <c r="CG35" s="64"/>
      <c r="CH35" s="68"/>
      <c r="CI35" s="68"/>
      <c r="CJ35" s="68"/>
      <c r="CK35" s="164"/>
      <c r="CL35" s="68"/>
      <c r="CM35" s="68"/>
      <c r="CN35" s="68"/>
      <c r="CO35" s="68"/>
      <c r="CP35" s="165"/>
      <c r="CQ35" s="115"/>
      <c r="CR35" s="68"/>
      <c r="CS35" s="68"/>
      <c r="CT35" s="60"/>
      <c r="CU35" s="60"/>
      <c r="CV35" s="60"/>
      <c r="CW35" s="60"/>
      <c r="CX35" s="60"/>
      <c r="CY35" s="60"/>
      <c r="CZ35" s="60"/>
      <c r="DA35" s="60"/>
    </row>
    <row r="36" ht="31.5" hidden="1" customHeight="1">
      <c r="A36" s="43"/>
      <c r="B36" s="44"/>
      <c r="C36" s="44"/>
      <c r="D36" s="45"/>
      <c r="E36" s="46"/>
      <c r="F36" s="125"/>
      <c r="G36" s="126"/>
      <c r="H36" s="127"/>
      <c r="I36" s="46"/>
      <c r="J36" s="50"/>
      <c r="K36" s="52"/>
      <c r="L36" s="53"/>
      <c r="M36" s="46"/>
      <c r="N36" s="50"/>
      <c r="O36" s="52"/>
      <c r="P36" s="53"/>
      <c r="Q36" s="46"/>
      <c r="R36" s="50"/>
      <c r="S36" s="52"/>
      <c r="T36" s="53"/>
      <c r="U36" s="56"/>
      <c r="V36" s="50"/>
      <c r="W36" s="52"/>
      <c r="X36" s="53"/>
      <c r="Y36" s="56"/>
      <c r="Z36" s="50"/>
      <c r="AA36" s="52"/>
      <c r="AB36" s="53"/>
      <c r="AC36" s="56"/>
      <c r="AD36" s="50"/>
      <c r="AE36" s="52"/>
      <c r="AF36" s="53"/>
      <c r="AG36" s="46"/>
      <c r="AH36" s="47"/>
      <c r="AI36" s="48"/>
      <c r="AJ36" s="49"/>
      <c r="AK36" s="46"/>
      <c r="AL36" s="50"/>
      <c r="AM36" s="53"/>
      <c r="AN36" s="53"/>
      <c r="AO36" s="46"/>
      <c r="AP36" s="50"/>
      <c r="AQ36" s="52"/>
      <c r="AR36" s="53"/>
      <c r="AS36" s="46"/>
      <c r="AT36" s="50"/>
      <c r="AU36" s="52"/>
      <c r="AV36" s="53"/>
      <c r="AW36" s="46"/>
      <c r="AX36" s="50"/>
      <c r="AY36" s="52"/>
      <c r="AZ36" s="53"/>
      <c r="BA36" s="46"/>
      <c r="BB36" s="50"/>
      <c r="BC36" s="52"/>
      <c r="BD36" s="53"/>
      <c r="BE36" s="46"/>
      <c r="BF36" s="50"/>
      <c r="BG36" s="52"/>
      <c r="BH36" s="53"/>
      <c r="BI36" s="46"/>
      <c r="BJ36" s="50"/>
      <c r="BK36" s="52"/>
      <c r="BL36" s="53"/>
      <c r="BM36" s="46"/>
      <c r="BN36" s="50"/>
      <c r="BO36" s="52"/>
      <c r="BP36" s="53"/>
      <c r="BQ36" s="46"/>
      <c r="BR36" s="50"/>
      <c r="BS36" s="52"/>
      <c r="BT36" s="53"/>
      <c r="BU36" s="46"/>
      <c r="BV36" s="50"/>
      <c r="BW36" s="52"/>
      <c r="BX36" s="53"/>
      <c r="BY36" s="46"/>
      <c r="BZ36" s="50"/>
      <c r="CA36" s="52"/>
      <c r="CB36" s="111"/>
      <c r="CC36" s="60"/>
      <c r="CD36" s="186"/>
      <c r="CE36" s="64"/>
      <c r="CF36" s="64"/>
      <c r="CG36" s="64"/>
      <c r="CH36" s="68"/>
      <c r="CI36" s="68"/>
      <c r="CJ36" s="68"/>
      <c r="CK36" s="164"/>
      <c r="CL36" s="68"/>
      <c r="CM36" s="68"/>
      <c r="CN36" s="68"/>
      <c r="CO36" s="68"/>
      <c r="CP36" s="165"/>
      <c r="CQ36" s="115"/>
      <c r="CR36" s="68"/>
      <c r="CS36" s="68"/>
      <c r="CT36" s="60"/>
      <c r="CU36" s="60"/>
      <c r="CV36" s="60"/>
      <c r="CW36" s="60"/>
      <c r="CX36" s="60"/>
      <c r="CY36" s="60"/>
      <c r="CZ36" s="60"/>
      <c r="DA36" s="60"/>
    </row>
    <row r="37" ht="31.5" hidden="1" customHeight="1">
      <c r="A37" s="43"/>
      <c r="B37" s="44"/>
      <c r="C37" s="44"/>
      <c r="D37" s="45"/>
      <c r="E37" s="46"/>
      <c r="F37" s="117"/>
      <c r="G37" s="119"/>
      <c r="H37" s="45"/>
      <c r="I37" s="46"/>
      <c r="J37" s="50"/>
      <c r="K37" s="52"/>
      <c r="L37" s="53"/>
      <c r="M37" s="46"/>
      <c r="N37" s="50"/>
      <c r="O37" s="52"/>
      <c r="P37" s="53"/>
      <c r="Q37" s="46"/>
      <c r="R37" s="50"/>
      <c r="S37" s="52"/>
      <c r="T37" s="53"/>
      <c r="U37" s="56"/>
      <c r="V37" s="50"/>
      <c r="W37" s="52"/>
      <c r="X37" s="53"/>
      <c r="Y37" s="56"/>
      <c r="Z37" s="50"/>
      <c r="AA37" s="52"/>
      <c r="AB37" s="53"/>
      <c r="AC37" s="56"/>
      <c r="AD37" s="50"/>
      <c r="AE37" s="52"/>
      <c r="AF37" s="53"/>
      <c r="AG37" s="46"/>
      <c r="AH37" s="47"/>
      <c r="AI37" s="48"/>
      <c r="AJ37" s="49"/>
      <c r="AK37" s="46"/>
      <c r="AL37" s="50"/>
      <c r="AM37" s="53"/>
      <c r="AN37" s="53"/>
      <c r="AO37" s="46"/>
      <c r="AP37" s="50"/>
      <c r="AQ37" s="52"/>
      <c r="AR37" s="53"/>
      <c r="AS37" s="46"/>
      <c r="AT37" s="50"/>
      <c r="AU37" s="52"/>
      <c r="AV37" s="53"/>
      <c r="AW37" s="46"/>
      <c r="AX37" s="50"/>
      <c r="AY37" s="52"/>
      <c r="AZ37" s="53"/>
      <c r="BA37" s="46"/>
      <c r="BB37" s="50"/>
      <c r="BC37" s="52"/>
      <c r="BD37" s="53"/>
      <c r="BE37" s="46"/>
      <c r="BF37" s="50"/>
      <c r="BG37" s="52"/>
      <c r="BH37" s="53"/>
      <c r="BI37" s="46"/>
      <c r="BJ37" s="50"/>
      <c r="BK37" s="52"/>
      <c r="BL37" s="53"/>
      <c r="BM37" s="46"/>
      <c r="BN37" s="50"/>
      <c r="BO37" s="52"/>
      <c r="BP37" s="53"/>
      <c r="BQ37" s="46"/>
      <c r="BR37" s="50"/>
      <c r="BS37" s="52"/>
      <c r="BT37" s="53"/>
      <c r="BU37" s="46"/>
      <c r="BV37" s="50"/>
      <c r="BW37" s="52"/>
      <c r="BX37" s="53"/>
      <c r="BY37" s="46"/>
      <c r="BZ37" s="50"/>
      <c r="CA37" s="52"/>
      <c r="CB37" s="111"/>
      <c r="CC37" s="60"/>
      <c r="CD37" s="186"/>
      <c r="CE37" s="64"/>
      <c r="CF37" s="64"/>
      <c r="CG37" s="64"/>
      <c r="CH37" s="68"/>
      <c r="CI37" s="68"/>
      <c r="CJ37" s="68"/>
      <c r="CK37" s="164"/>
      <c r="CL37" s="68"/>
      <c r="CM37" s="68"/>
      <c r="CN37" s="68"/>
      <c r="CO37" s="68"/>
      <c r="CP37" s="165"/>
      <c r="CQ37" s="115"/>
      <c r="CR37" s="68"/>
      <c r="CS37" s="68"/>
      <c r="CT37" s="60"/>
      <c r="CU37" s="60"/>
      <c r="CV37" s="60"/>
      <c r="CW37" s="60"/>
      <c r="CX37" s="60"/>
      <c r="CY37" s="60"/>
      <c r="CZ37" s="60"/>
      <c r="DA37" s="60"/>
    </row>
    <row r="38" ht="31.5" hidden="1" customHeight="1">
      <c r="A38" s="43"/>
      <c r="B38" s="44"/>
      <c r="C38" s="44"/>
      <c r="D38" s="45"/>
      <c r="E38" s="46"/>
      <c r="F38" s="125"/>
      <c r="G38" s="126"/>
      <c r="H38" s="127"/>
      <c r="I38" s="46"/>
      <c r="J38" s="50"/>
      <c r="K38" s="52"/>
      <c r="L38" s="53"/>
      <c r="M38" s="46"/>
      <c r="N38" s="50"/>
      <c r="O38" s="52"/>
      <c r="P38" s="53"/>
      <c r="Q38" s="46"/>
      <c r="R38" s="50"/>
      <c r="S38" s="52"/>
      <c r="T38" s="53"/>
      <c r="U38" s="56"/>
      <c r="V38" s="50"/>
      <c r="W38" s="52"/>
      <c r="X38" s="53"/>
      <c r="Y38" s="56"/>
      <c r="Z38" s="50"/>
      <c r="AA38" s="52"/>
      <c r="AB38" s="53"/>
      <c r="AC38" s="56"/>
      <c r="AD38" s="50"/>
      <c r="AE38" s="52"/>
      <c r="AF38" s="53"/>
      <c r="AG38" s="46"/>
      <c r="AH38" s="47"/>
      <c r="AI38" s="48"/>
      <c r="AJ38" s="49"/>
      <c r="AK38" s="46"/>
      <c r="AL38" s="50"/>
      <c r="AM38" s="53"/>
      <c r="AN38" s="53"/>
      <c r="AO38" s="46"/>
      <c r="AP38" s="50"/>
      <c r="AQ38" s="52"/>
      <c r="AR38" s="53"/>
      <c r="AS38" s="46"/>
      <c r="AT38" s="50"/>
      <c r="AU38" s="52"/>
      <c r="AV38" s="53"/>
      <c r="AW38" s="46"/>
      <c r="AX38" s="50"/>
      <c r="AY38" s="52"/>
      <c r="AZ38" s="53"/>
      <c r="BA38" s="46"/>
      <c r="BB38" s="50"/>
      <c r="BC38" s="52"/>
      <c r="BD38" s="53"/>
      <c r="BE38" s="46"/>
      <c r="BF38" s="50"/>
      <c r="BG38" s="52"/>
      <c r="BH38" s="53"/>
      <c r="BI38" s="46"/>
      <c r="BJ38" s="50"/>
      <c r="BK38" s="52"/>
      <c r="BL38" s="53"/>
      <c r="BM38" s="46"/>
      <c r="BN38" s="50"/>
      <c r="BO38" s="52"/>
      <c r="BP38" s="53"/>
      <c r="BQ38" s="46"/>
      <c r="BR38" s="50"/>
      <c r="BS38" s="52"/>
      <c r="BT38" s="53"/>
      <c r="BU38" s="46"/>
      <c r="BV38" s="50"/>
      <c r="BW38" s="52"/>
      <c r="BX38" s="53"/>
      <c r="BY38" s="46"/>
      <c r="BZ38" s="50"/>
      <c r="CA38" s="52"/>
      <c r="CB38" s="111"/>
      <c r="CC38" s="60"/>
      <c r="CD38" s="186"/>
      <c r="CE38" s="64"/>
      <c r="CF38" s="64"/>
      <c r="CG38" s="64"/>
      <c r="CH38" s="68"/>
      <c r="CI38" s="68"/>
      <c r="CJ38" s="68"/>
      <c r="CK38" s="164"/>
      <c r="CL38" s="68"/>
      <c r="CM38" s="68"/>
      <c r="CN38" s="68"/>
      <c r="CO38" s="68"/>
      <c r="CP38" s="165"/>
      <c r="CQ38" s="115"/>
      <c r="CR38" s="68"/>
      <c r="CS38" s="68"/>
      <c r="CT38" s="60"/>
      <c r="CU38" s="60"/>
      <c r="CV38" s="60"/>
      <c r="CW38" s="60"/>
      <c r="CX38" s="60"/>
      <c r="CY38" s="60"/>
      <c r="CZ38" s="60"/>
      <c r="DA38" s="60"/>
    </row>
    <row r="39" ht="31.5" hidden="1" customHeight="1">
      <c r="A39" s="43"/>
      <c r="B39" s="44"/>
      <c r="C39" s="44"/>
      <c r="D39" s="45"/>
      <c r="E39" s="46"/>
      <c r="F39" s="117"/>
      <c r="G39" s="119"/>
      <c r="H39" s="45"/>
      <c r="I39" s="46"/>
      <c r="J39" s="50"/>
      <c r="K39" s="52"/>
      <c r="L39" s="53"/>
      <c r="M39" s="46"/>
      <c r="N39" s="50"/>
      <c r="O39" s="52"/>
      <c r="P39" s="53"/>
      <c r="Q39" s="46"/>
      <c r="R39" s="50"/>
      <c r="S39" s="52"/>
      <c r="T39" s="53"/>
      <c r="U39" s="56"/>
      <c r="V39" s="50"/>
      <c r="W39" s="52"/>
      <c r="X39" s="53"/>
      <c r="Y39" s="56"/>
      <c r="Z39" s="50"/>
      <c r="AA39" s="52"/>
      <c r="AB39" s="53"/>
      <c r="AC39" s="56"/>
      <c r="AD39" s="50"/>
      <c r="AE39" s="52"/>
      <c r="AF39" s="53"/>
      <c r="AG39" s="46"/>
      <c r="AH39" s="47"/>
      <c r="AI39" s="48"/>
      <c r="AJ39" s="49"/>
      <c r="AK39" s="46"/>
      <c r="AL39" s="50"/>
      <c r="AM39" s="53"/>
      <c r="AN39" s="53"/>
      <c r="AO39" s="46"/>
      <c r="AP39" s="50"/>
      <c r="AQ39" s="52"/>
      <c r="AR39" s="53"/>
      <c r="AS39" s="46"/>
      <c r="AT39" s="50"/>
      <c r="AU39" s="52"/>
      <c r="AV39" s="53"/>
      <c r="AW39" s="46"/>
      <c r="AX39" s="50"/>
      <c r="AY39" s="52"/>
      <c r="AZ39" s="53"/>
      <c r="BA39" s="46"/>
      <c r="BB39" s="50"/>
      <c r="BC39" s="52"/>
      <c r="BD39" s="53"/>
      <c r="BE39" s="46"/>
      <c r="BF39" s="50"/>
      <c r="BG39" s="52"/>
      <c r="BH39" s="53"/>
      <c r="BI39" s="46"/>
      <c r="BJ39" s="50"/>
      <c r="BK39" s="52"/>
      <c r="BL39" s="53"/>
      <c r="BM39" s="46"/>
      <c r="BN39" s="50"/>
      <c r="BO39" s="52"/>
      <c r="BP39" s="53"/>
      <c r="BQ39" s="46"/>
      <c r="BR39" s="50"/>
      <c r="BS39" s="52"/>
      <c r="BT39" s="53"/>
      <c r="BU39" s="46"/>
      <c r="BV39" s="50"/>
      <c r="BW39" s="52"/>
      <c r="BX39" s="53"/>
      <c r="BY39" s="46"/>
      <c r="BZ39" s="50"/>
      <c r="CA39" s="52"/>
      <c r="CB39" s="111"/>
      <c r="CC39" s="60"/>
      <c r="CD39" s="186"/>
      <c r="CE39" s="64"/>
      <c r="CF39" s="64"/>
      <c r="CG39" s="64"/>
      <c r="CH39" s="68"/>
      <c r="CI39" s="68"/>
      <c r="CJ39" s="68"/>
      <c r="CK39" s="164"/>
      <c r="CL39" s="68"/>
      <c r="CM39" s="68"/>
      <c r="CN39" s="68"/>
      <c r="CO39" s="68"/>
      <c r="CP39" s="165"/>
      <c r="CQ39" s="115"/>
      <c r="CR39" s="68"/>
      <c r="CS39" s="68"/>
      <c r="CT39" s="60"/>
      <c r="CU39" s="60"/>
      <c r="CV39" s="60"/>
      <c r="CW39" s="60"/>
      <c r="CX39" s="60"/>
      <c r="CY39" s="60"/>
      <c r="CZ39" s="60"/>
      <c r="DA39" s="60"/>
    </row>
    <row r="40" ht="31.5" hidden="1" customHeight="1">
      <c r="A40" s="43"/>
      <c r="B40" s="44"/>
      <c r="C40" s="44"/>
      <c r="D40" s="45"/>
      <c r="E40" s="46"/>
      <c r="F40" s="125"/>
      <c r="G40" s="126"/>
      <c r="H40" s="127"/>
      <c r="I40" s="46"/>
      <c r="J40" s="50"/>
      <c r="K40" s="52"/>
      <c r="L40" s="53"/>
      <c r="M40" s="46"/>
      <c r="N40" s="50"/>
      <c r="O40" s="52"/>
      <c r="P40" s="53"/>
      <c r="Q40" s="46"/>
      <c r="R40" s="50"/>
      <c r="S40" s="52"/>
      <c r="T40" s="53"/>
      <c r="U40" s="56"/>
      <c r="V40" s="50"/>
      <c r="W40" s="52"/>
      <c r="X40" s="53"/>
      <c r="Y40" s="56"/>
      <c r="Z40" s="50"/>
      <c r="AA40" s="52"/>
      <c r="AB40" s="53"/>
      <c r="AC40" s="56"/>
      <c r="AD40" s="50"/>
      <c r="AE40" s="52"/>
      <c r="AF40" s="53"/>
      <c r="AG40" s="46"/>
      <c r="AH40" s="47"/>
      <c r="AI40" s="48"/>
      <c r="AJ40" s="49"/>
      <c r="AK40" s="46"/>
      <c r="AL40" s="50"/>
      <c r="AM40" s="53"/>
      <c r="AN40" s="53"/>
      <c r="AO40" s="46"/>
      <c r="AP40" s="50"/>
      <c r="AQ40" s="52"/>
      <c r="AR40" s="53"/>
      <c r="AS40" s="46"/>
      <c r="AT40" s="50"/>
      <c r="AU40" s="52"/>
      <c r="AV40" s="53"/>
      <c r="AW40" s="46"/>
      <c r="AX40" s="50"/>
      <c r="AY40" s="52"/>
      <c r="AZ40" s="53"/>
      <c r="BA40" s="46"/>
      <c r="BB40" s="50"/>
      <c r="BC40" s="52"/>
      <c r="BD40" s="53"/>
      <c r="BE40" s="46"/>
      <c r="BF40" s="50"/>
      <c r="BG40" s="52"/>
      <c r="BH40" s="53"/>
      <c r="BI40" s="46"/>
      <c r="BJ40" s="50"/>
      <c r="BK40" s="52"/>
      <c r="BL40" s="53"/>
      <c r="BM40" s="46"/>
      <c r="BN40" s="50"/>
      <c r="BO40" s="52"/>
      <c r="BP40" s="53"/>
      <c r="BQ40" s="46"/>
      <c r="BR40" s="50"/>
      <c r="BS40" s="52"/>
      <c r="BT40" s="53"/>
      <c r="BU40" s="46"/>
      <c r="BV40" s="50"/>
      <c r="BW40" s="52"/>
      <c r="BX40" s="53"/>
      <c r="BY40" s="46"/>
      <c r="BZ40" s="50"/>
      <c r="CA40" s="52"/>
      <c r="CB40" s="111"/>
      <c r="CC40" s="60"/>
      <c r="CD40" s="186"/>
      <c r="CE40" s="64"/>
      <c r="CF40" s="64"/>
      <c r="CG40" s="64"/>
      <c r="CH40" s="68"/>
      <c r="CI40" s="68"/>
      <c r="CJ40" s="68"/>
      <c r="CK40" s="164"/>
      <c r="CL40" s="68"/>
      <c r="CM40" s="68"/>
      <c r="CN40" s="68"/>
      <c r="CO40" s="68"/>
      <c r="CP40" s="165"/>
      <c r="CQ40" s="115"/>
      <c r="CR40" s="68"/>
      <c r="CS40" s="68"/>
      <c r="CT40" s="60"/>
      <c r="CU40" s="60"/>
      <c r="CV40" s="60"/>
      <c r="CW40" s="60"/>
      <c r="CX40" s="60"/>
      <c r="CY40" s="60"/>
      <c r="CZ40" s="60"/>
      <c r="DA40" s="60"/>
    </row>
    <row r="41" ht="31.5" hidden="1" customHeight="1">
      <c r="A41" s="43"/>
      <c r="B41" s="44"/>
      <c r="C41" s="44"/>
      <c r="D41" s="45"/>
      <c r="E41" s="46"/>
      <c r="F41" s="117"/>
      <c r="G41" s="119"/>
      <c r="H41" s="45"/>
      <c r="I41" s="46"/>
      <c r="J41" s="50"/>
      <c r="K41" s="52"/>
      <c r="L41" s="53"/>
      <c r="M41" s="46"/>
      <c r="N41" s="50"/>
      <c r="O41" s="52"/>
      <c r="P41" s="53"/>
      <c r="Q41" s="46"/>
      <c r="R41" s="50"/>
      <c r="S41" s="52"/>
      <c r="T41" s="53"/>
      <c r="U41" s="56"/>
      <c r="V41" s="50"/>
      <c r="W41" s="52"/>
      <c r="X41" s="53"/>
      <c r="Y41" s="56"/>
      <c r="Z41" s="50"/>
      <c r="AA41" s="52"/>
      <c r="AB41" s="53"/>
      <c r="AC41" s="56"/>
      <c r="AD41" s="50"/>
      <c r="AE41" s="52"/>
      <c r="AF41" s="53"/>
      <c r="AG41" s="46"/>
      <c r="AH41" s="47"/>
      <c r="AI41" s="48"/>
      <c r="AJ41" s="49"/>
      <c r="AK41" s="46"/>
      <c r="AL41" s="50"/>
      <c r="AM41" s="53"/>
      <c r="AN41" s="53"/>
      <c r="AO41" s="46"/>
      <c r="AP41" s="50"/>
      <c r="AQ41" s="52"/>
      <c r="AR41" s="53"/>
      <c r="AS41" s="46"/>
      <c r="AT41" s="50"/>
      <c r="AU41" s="52"/>
      <c r="AV41" s="53"/>
      <c r="AW41" s="46"/>
      <c r="AX41" s="50"/>
      <c r="AY41" s="52"/>
      <c r="AZ41" s="53"/>
      <c r="BA41" s="46"/>
      <c r="BB41" s="50"/>
      <c r="BC41" s="52"/>
      <c r="BD41" s="53"/>
      <c r="BE41" s="46"/>
      <c r="BF41" s="50"/>
      <c r="BG41" s="52"/>
      <c r="BH41" s="53"/>
      <c r="BI41" s="46"/>
      <c r="BJ41" s="50"/>
      <c r="BK41" s="52"/>
      <c r="BL41" s="53"/>
      <c r="BM41" s="46"/>
      <c r="BN41" s="50"/>
      <c r="BO41" s="52"/>
      <c r="BP41" s="53"/>
      <c r="BQ41" s="46"/>
      <c r="BR41" s="50"/>
      <c r="BS41" s="52"/>
      <c r="BT41" s="53"/>
      <c r="BU41" s="46"/>
      <c r="BV41" s="50"/>
      <c r="BW41" s="52"/>
      <c r="BX41" s="53"/>
      <c r="BY41" s="46"/>
      <c r="BZ41" s="50"/>
      <c r="CA41" s="52"/>
      <c r="CB41" s="111"/>
      <c r="CC41" s="60"/>
      <c r="CD41" s="186"/>
      <c r="CE41" s="64"/>
      <c r="CF41" s="64"/>
      <c r="CG41" s="64"/>
      <c r="CH41" s="68"/>
      <c r="CI41" s="68"/>
      <c r="CJ41" s="68"/>
      <c r="CK41" s="164"/>
      <c r="CL41" s="68"/>
      <c r="CM41" s="68"/>
      <c r="CN41" s="68"/>
      <c r="CO41" s="68"/>
      <c r="CP41" s="165"/>
      <c r="CQ41" s="115"/>
      <c r="CR41" s="68"/>
      <c r="CS41" s="68"/>
      <c r="CT41" s="60"/>
      <c r="CU41" s="60"/>
      <c r="CV41" s="60"/>
      <c r="CW41" s="60"/>
      <c r="CX41" s="60"/>
      <c r="CY41" s="60"/>
      <c r="CZ41" s="60"/>
      <c r="DA41" s="60"/>
    </row>
    <row r="42" ht="31.5" hidden="1" customHeight="1">
      <c r="A42" s="43"/>
      <c r="B42" s="44"/>
      <c r="C42" s="44"/>
      <c r="D42" s="45"/>
      <c r="E42" s="46"/>
      <c r="F42" s="125"/>
      <c r="G42" s="126"/>
      <c r="H42" s="127"/>
      <c r="I42" s="46"/>
      <c r="J42" s="50"/>
      <c r="K42" s="52"/>
      <c r="L42" s="53"/>
      <c r="M42" s="46"/>
      <c r="N42" s="50"/>
      <c r="O42" s="52"/>
      <c r="P42" s="53"/>
      <c r="Q42" s="46"/>
      <c r="R42" s="50"/>
      <c r="S42" s="52"/>
      <c r="T42" s="53"/>
      <c r="U42" s="56"/>
      <c r="V42" s="50"/>
      <c r="W42" s="52"/>
      <c r="X42" s="53"/>
      <c r="Y42" s="56"/>
      <c r="Z42" s="50"/>
      <c r="AA42" s="52"/>
      <c r="AB42" s="53"/>
      <c r="AC42" s="56"/>
      <c r="AD42" s="50"/>
      <c r="AE42" s="52"/>
      <c r="AF42" s="53"/>
      <c r="AG42" s="46"/>
      <c r="AH42" s="47"/>
      <c r="AI42" s="48"/>
      <c r="AJ42" s="49"/>
      <c r="AK42" s="46"/>
      <c r="AL42" s="50"/>
      <c r="AM42" s="53"/>
      <c r="AN42" s="53"/>
      <c r="AO42" s="46"/>
      <c r="AP42" s="50"/>
      <c r="AQ42" s="52"/>
      <c r="AR42" s="53"/>
      <c r="AS42" s="46"/>
      <c r="AT42" s="50"/>
      <c r="AU42" s="52"/>
      <c r="AV42" s="53"/>
      <c r="AW42" s="46"/>
      <c r="AX42" s="50"/>
      <c r="AY42" s="52"/>
      <c r="AZ42" s="53"/>
      <c r="BA42" s="46"/>
      <c r="BB42" s="50"/>
      <c r="BC42" s="52"/>
      <c r="BD42" s="53"/>
      <c r="BE42" s="46"/>
      <c r="BF42" s="50"/>
      <c r="BG42" s="52"/>
      <c r="BH42" s="53"/>
      <c r="BI42" s="46"/>
      <c r="BJ42" s="50"/>
      <c r="BK42" s="52"/>
      <c r="BL42" s="53"/>
      <c r="BM42" s="46"/>
      <c r="BN42" s="50"/>
      <c r="BO42" s="52"/>
      <c r="BP42" s="53"/>
      <c r="BQ42" s="46"/>
      <c r="BR42" s="50"/>
      <c r="BS42" s="52"/>
      <c r="BT42" s="53"/>
      <c r="BU42" s="46"/>
      <c r="BV42" s="50"/>
      <c r="BW42" s="52"/>
      <c r="BX42" s="53"/>
      <c r="BY42" s="46"/>
      <c r="BZ42" s="50"/>
      <c r="CA42" s="52"/>
      <c r="CB42" s="111"/>
      <c r="CC42" s="60"/>
      <c r="CD42" s="186"/>
      <c r="CE42" s="64"/>
      <c r="CF42" s="64"/>
      <c r="CG42" s="64"/>
      <c r="CH42" s="68"/>
      <c r="CI42" s="68"/>
      <c r="CJ42" s="68"/>
      <c r="CK42" s="164"/>
      <c r="CL42" s="68"/>
      <c r="CM42" s="68"/>
      <c r="CN42" s="68"/>
      <c r="CO42" s="68"/>
      <c r="CP42" s="165"/>
      <c r="CQ42" s="115"/>
      <c r="CR42" s="68"/>
      <c r="CS42" s="68"/>
      <c r="CT42" s="60"/>
      <c r="CU42" s="60"/>
      <c r="CV42" s="60"/>
      <c r="CW42" s="60"/>
      <c r="CX42" s="60"/>
      <c r="CY42" s="60"/>
      <c r="CZ42" s="60"/>
      <c r="DA42" s="60"/>
    </row>
    <row r="43" ht="31.5" hidden="1" customHeight="1">
      <c r="A43" s="43"/>
      <c r="B43" s="44"/>
      <c r="C43" s="44"/>
      <c r="D43" s="45"/>
      <c r="E43" s="46"/>
      <c r="F43" s="117"/>
      <c r="G43" s="119"/>
      <c r="H43" s="45"/>
      <c r="I43" s="46"/>
      <c r="J43" s="50"/>
      <c r="K43" s="52"/>
      <c r="L43" s="53"/>
      <c r="M43" s="46"/>
      <c r="N43" s="50"/>
      <c r="O43" s="52"/>
      <c r="P43" s="53"/>
      <c r="Q43" s="46"/>
      <c r="R43" s="50"/>
      <c r="S43" s="52"/>
      <c r="T43" s="53"/>
      <c r="U43" s="56"/>
      <c r="V43" s="50"/>
      <c r="W43" s="52"/>
      <c r="X43" s="53"/>
      <c r="Y43" s="56"/>
      <c r="Z43" s="50"/>
      <c r="AA43" s="52"/>
      <c r="AB43" s="53"/>
      <c r="AC43" s="56"/>
      <c r="AD43" s="50"/>
      <c r="AE43" s="52"/>
      <c r="AF43" s="53"/>
      <c r="AG43" s="46"/>
      <c r="AH43" s="47"/>
      <c r="AI43" s="48"/>
      <c r="AJ43" s="49"/>
      <c r="AK43" s="46"/>
      <c r="AL43" s="50"/>
      <c r="AM43" s="53"/>
      <c r="AN43" s="53"/>
      <c r="AO43" s="46"/>
      <c r="AP43" s="50"/>
      <c r="AQ43" s="52"/>
      <c r="AR43" s="53"/>
      <c r="AS43" s="46"/>
      <c r="AT43" s="50"/>
      <c r="AU43" s="52"/>
      <c r="AV43" s="53"/>
      <c r="AW43" s="46"/>
      <c r="AX43" s="50"/>
      <c r="AY43" s="52"/>
      <c r="AZ43" s="53"/>
      <c r="BA43" s="46"/>
      <c r="BB43" s="50"/>
      <c r="BC43" s="52"/>
      <c r="BD43" s="53"/>
      <c r="BE43" s="46"/>
      <c r="BF43" s="50"/>
      <c r="BG43" s="52"/>
      <c r="BH43" s="53"/>
      <c r="BI43" s="46"/>
      <c r="BJ43" s="50"/>
      <c r="BK43" s="52"/>
      <c r="BL43" s="53"/>
      <c r="BM43" s="46"/>
      <c r="BN43" s="50"/>
      <c r="BO43" s="52"/>
      <c r="BP43" s="53"/>
      <c r="BQ43" s="46"/>
      <c r="BR43" s="50"/>
      <c r="BS43" s="52"/>
      <c r="BT43" s="53"/>
      <c r="BU43" s="46"/>
      <c r="BV43" s="50"/>
      <c r="BW43" s="52"/>
      <c r="BX43" s="53"/>
      <c r="BY43" s="46"/>
      <c r="BZ43" s="50"/>
      <c r="CA43" s="52"/>
      <c r="CB43" s="111"/>
      <c r="CC43" s="60"/>
      <c r="CD43" s="186"/>
      <c r="CE43" s="64"/>
      <c r="CF43" s="64"/>
      <c r="CG43" s="64"/>
      <c r="CH43" s="68"/>
      <c r="CI43" s="68"/>
      <c r="CJ43" s="68"/>
      <c r="CK43" s="164"/>
      <c r="CL43" s="68"/>
      <c r="CM43" s="68"/>
      <c r="CN43" s="68"/>
      <c r="CO43" s="68"/>
      <c r="CP43" s="165"/>
      <c r="CQ43" s="115"/>
      <c r="CR43" s="68"/>
      <c r="CS43" s="68"/>
      <c r="CT43" s="60"/>
      <c r="CU43" s="60"/>
      <c r="CV43" s="60"/>
      <c r="CW43" s="60"/>
      <c r="CX43" s="60"/>
      <c r="CY43" s="60"/>
      <c r="CZ43" s="60"/>
      <c r="DA43" s="60"/>
    </row>
    <row r="44" ht="31.5" hidden="1" customHeight="1">
      <c r="A44" s="43"/>
      <c r="B44" s="44"/>
      <c r="C44" s="44"/>
      <c r="D44" s="45"/>
      <c r="E44" s="46"/>
      <c r="F44" s="125"/>
      <c r="G44" s="126"/>
      <c r="H44" s="127"/>
      <c r="I44" s="46"/>
      <c r="J44" s="50"/>
      <c r="K44" s="52"/>
      <c r="L44" s="53"/>
      <c r="M44" s="46"/>
      <c r="N44" s="50"/>
      <c r="O44" s="52"/>
      <c r="P44" s="53"/>
      <c r="Q44" s="46"/>
      <c r="R44" s="50"/>
      <c r="S44" s="52"/>
      <c r="T44" s="53"/>
      <c r="U44" s="56"/>
      <c r="V44" s="50"/>
      <c r="W44" s="52"/>
      <c r="X44" s="53"/>
      <c r="Y44" s="56"/>
      <c r="Z44" s="50"/>
      <c r="AA44" s="52"/>
      <c r="AB44" s="53"/>
      <c r="AC44" s="56"/>
      <c r="AD44" s="50"/>
      <c r="AE44" s="52"/>
      <c r="AF44" s="53"/>
      <c r="AG44" s="46"/>
      <c r="AH44" s="47"/>
      <c r="AI44" s="48"/>
      <c r="AJ44" s="49"/>
      <c r="AK44" s="46"/>
      <c r="AL44" s="50"/>
      <c r="AM44" s="53"/>
      <c r="AN44" s="53"/>
      <c r="AO44" s="46"/>
      <c r="AP44" s="50"/>
      <c r="AQ44" s="52"/>
      <c r="AR44" s="53"/>
      <c r="AS44" s="46"/>
      <c r="AT44" s="50"/>
      <c r="AU44" s="52"/>
      <c r="AV44" s="53"/>
      <c r="AW44" s="46"/>
      <c r="AX44" s="50"/>
      <c r="AY44" s="52"/>
      <c r="AZ44" s="53"/>
      <c r="BA44" s="46"/>
      <c r="BB44" s="50"/>
      <c r="BC44" s="52"/>
      <c r="BD44" s="53"/>
      <c r="BE44" s="46"/>
      <c r="BF44" s="50"/>
      <c r="BG44" s="52"/>
      <c r="BH44" s="53"/>
      <c r="BI44" s="46"/>
      <c r="BJ44" s="50"/>
      <c r="BK44" s="52"/>
      <c r="BL44" s="53"/>
      <c r="BM44" s="46"/>
      <c r="BN44" s="50"/>
      <c r="BO44" s="52"/>
      <c r="BP44" s="53"/>
      <c r="BQ44" s="46"/>
      <c r="BR44" s="50"/>
      <c r="BS44" s="52"/>
      <c r="BT44" s="53"/>
      <c r="BU44" s="46"/>
      <c r="BV44" s="50"/>
      <c r="BW44" s="52"/>
      <c r="BX44" s="53"/>
      <c r="BY44" s="46"/>
      <c r="BZ44" s="50"/>
      <c r="CA44" s="52"/>
      <c r="CB44" s="111"/>
      <c r="CC44" s="60"/>
      <c r="CD44" s="186"/>
      <c r="CE44" s="64"/>
      <c r="CF44" s="64"/>
      <c r="CG44" s="64"/>
      <c r="CH44" s="68"/>
      <c r="CI44" s="68"/>
      <c r="CJ44" s="68"/>
      <c r="CK44" s="164"/>
      <c r="CL44" s="68"/>
      <c r="CM44" s="68"/>
      <c r="CN44" s="68"/>
      <c r="CO44" s="68"/>
      <c r="CP44" s="165"/>
      <c r="CQ44" s="115"/>
      <c r="CR44" s="68"/>
      <c r="CS44" s="68"/>
      <c r="CT44" s="60"/>
      <c r="CU44" s="60"/>
      <c r="CV44" s="60"/>
      <c r="CW44" s="60"/>
      <c r="CX44" s="60"/>
      <c r="CY44" s="60"/>
      <c r="CZ44" s="60"/>
      <c r="DA44" s="60"/>
    </row>
    <row r="45" ht="31.5" hidden="1" customHeight="1">
      <c r="A45" s="43"/>
      <c r="B45" s="44"/>
      <c r="C45" s="44"/>
      <c r="D45" s="45"/>
      <c r="E45" s="46"/>
      <c r="F45" s="117"/>
      <c r="G45" s="119"/>
      <c r="H45" s="45"/>
      <c r="I45" s="46"/>
      <c r="J45" s="50"/>
      <c r="K45" s="52"/>
      <c r="L45" s="53"/>
      <c r="M45" s="46"/>
      <c r="N45" s="50"/>
      <c r="O45" s="52"/>
      <c r="P45" s="53"/>
      <c r="Q45" s="46"/>
      <c r="R45" s="50"/>
      <c r="S45" s="52"/>
      <c r="T45" s="53"/>
      <c r="U45" s="56"/>
      <c r="V45" s="50"/>
      <c r="W45" s="52"/>
      <c r="X45" s="53"/>
      <c r="Y45" s="56"/>
      <c r="Z45" s="50"/>
      <c r="AA45" s="52"/>
      <c r="AB45" s="53"/>
      <c r="AC45" s="56"/>
      <c r="AD45" s="50"/>
      <c r="AE45" s="52"/>
      <c r="AF45" s="53"/>
      <c r="AG45" s="46"/>
      <c r="AH45" s="47"/>
      <c r="AI45" s="48"/>
      <c r="AJ45" s="49"/>
      <c r="AK45" s="46"/>
      <c r="AL45" s="50"/>
      <c r="AM45" s="53"/>
      <c r="AN45" s="53"/>
      <c r="AO45" s="46"/>
      <c r="AP45" s="50"/>
      <c r="AQ45" s="52"/>
      <c r="AR45" s="53"/>
      <c r="AS45" s="46"/>
      <c r="AT45" s="50"/>
      <c r="AU45" s="52"/>
      <c r="AV45" s="53"/>
      <c r="AW45" s="46"/>
      <c r="AX45" s="50"/>
      <c r="AY45" s="52"/>
      <c r="AZ45" s="53"/>
      <c r="BA45" s="46"/>
      <c r="BB45" s="50"/>
      <c r="BC45" s="52"/>
      <c r="BD45" s="53"/>
      <c r="BE45" s="46"/>
      <c r="BF45" s="50"/>
      <c r="BG45" s="52"/>
      <c r="BH45" s="53"/>
      <c r="BI45" s="46"/>
      <c r="BJ45" s="50"/>
      <c r="BK45" s="52"/>
      <c r="BL45" s="53"/>
      <c r="BM45" s="46"/>
      <c r="BN45" s="50"/>
      <c r="BO45" s="52"/>
      <c r="BP45" s="53"/>
      <c r="BQ45" s="46"/>
      <c r="BR45" s="50"/>
      <c r="BS45" s="52"/>
      <c r="BT45" s="53"/>
      <c r="BU45" s="46"/>
      <c r="BV45" s="50"/>
      <c r="BW45" s="52"/>
      <c r="BX45" s="53"/>
      <c r="BY45" s="46"/>
      <c r="BZ45" s="50"/>
      <c r="CA45" s="52"/>
      <c r="CB45" s="111"/>
      <c r="CC45" s="60"/>
      <c r="CD45" s="186"/>
      <c r="CE45" s="64"/>
      <c r="CF45" s="64"/>
      <c r="CG45" s="64"/>
      <c r="CH45" s="68"/>
      <c r="CI45" s="68"/>
      <c r="CJ45" s="68"/>
      <c r="CK45" s="164"/>
      <c r="CL45" s="68"/>
      <c r="CM45" s="68"/>
      <c r="CN45" s="68"/>
      <c r="CO45" s="68"/>
      <c r="CP45" s="165"/>
      <c r="CQ45" s="115"/>
      <c r="CR45" s="68"/>
      <c r="CS45" s="68"/>
      <c r="CT45" s="60"/>
      <c r="CU45" s="60"/>
      <c r="CV45" s="60"/>
      <c r="CW45" s="60"/>
      <c r="CX45" s="60"/>
      <c r="CY45" s="60"/>
      <c r="CZ45" s="60"/>
      <c r="DA45" s="60"/>
    </row>
    <row r="46" ht="31.5" hidden="1" customHeight="1">
      <c r="A46" s="43"/>
      <c r="B46" s="44"/>
      <c r="C46" s="44"/>
      <c r="D46" s="45"/>
      <c r="E46" s="46"/>
      <c r="F46" s="125"/>
      <c r="G46" s="126"/>
      <c r="H46" s="127"/>
      <c r="I46" s="46"/>
      <c r="J46" s="50"/>
      <c r="K46" s="52"/>
      <c r="L46" s="53"/>
      <c r="M46" s="46"/>
      <c r="N46" s="50"/>
      <c r="O46" s="52"/>
      <c r="P46" s="53"/>
      <c r="Q46" s="46"/>
      <c r="R46" s="50"/>
      <c r="S46" s="52"/>
      <c r="T46" s="53"/>
      <c r="U46" s="56"/>
      <c r="V46" s="50"/>
      <c r="W46" s="52"/>
      <c r="X46" s="53"/>
      <c r="Y46" s="56"/>
      <c r="Z46" s="50"/>
      <c r="AA46" s="52"/>
      <c r="AB46" s="53"/>
      <c r="AC46" s="56"/>
      <c r="AD46" s="50"/>
      <c r="AE46" s="52"/>
      <c r="AF46" s="53"/>
      <c r="AG46" s="46"/>
      <c r="AH46" s="47"/>
      <c r="AI46" s="48"/>
      <c r="AJ46" s="49"/>
      <c r="AK46" s="46"/>
      <c r="AL46" s="50"/>
      <c r="AM46" s="53"/>
      <c r="AN46" s="53"/>
      <c r="AO46" s="46"/>
      <c r="AP46" s="50"/>
      <c r="AQ46" s="52"/>
      <c r="AR46" s="53"/>
      <c r="AS46" s="46"/>
      <c r="AT46" s="50"/>
      <c r="AU46" s="52"/>
      <c r="AV46" s="53"/>
      <c r="AW46" s="46"/>
      <c r="AX46" s="50"/>
      <c r="AY46" s="52"/>
      <c r="AZ46" s="53"/>
      <c r="BA46" s="46"/>
      <c r="BB46" s="50"/>
      <c r="BC46" s="52"/>
      <c r="BD46" s="53"/>
      <c r="BE46" s="46"/>
      <c r="BF46" s="50"/>
      <c r="BG46" s="52"/>
      <c r="BH46" s="53"/>
      <c r="BI46" s="46"/>
      <c r="BJ46" s="50"/>
      <c r="BK46" s="52"/>
      <c r="BL46" s="53"/>
      <c r="BM46" s="46"/>
      <c r="BN46" s="50"/>
      <c r="BO46" s="52"/>
      <c r="BP46" s="53"/>
      <c r="BQ46" s="46"/>
      <c r="BR46" s="50"/>
      <c r="BS46" s="52"/>
      <c r="BT46" s="53"/>
      <c r="BU46" s="46"/>
      <c r="BV46" s="50"/>
      <c r="BW46" s="52"/>
      <c r="BX46" s="53"/>
      <c r="BY46" s="46"/>
      <c r="BZ46" s="50"/>
      <c r="CA46" s="52"/>
      <c r="CB46" s="111"/>
      <c r="CC46" s="60"/>
      <c r="CD46" s="186"/>
      <c r="CE46" s="64"/>
      <c r="CF46" s="64"/>
      <c r="CG46" s="64"/>
      <c r="CH46" s="68"/>
      <c r="CI46" s="68"/>
      <c r="CJ46" s="68"/>
      <c r="CK46" s="164"/>
      <c r="CL46" s="68"/>
      <c r="CM46" s="68"/>
      <c r="CN46" s="68"/>
      <c r="CO46" s="68"/>
      <c r="CP46" s="165"/>
      <c r="CQ46" s="115"/>
      <c r="CR46" s="68"/>
      <c r="CS46" s="68"/>
      <c r="CT46" s="60"/>
      <c r="CU46" s="60"/>
      <c r="CV46" s="60"/>
      <c r="CW46" s="60"/>
      <c r="CX46" s="60"/>
      <c r="CY46" s="60"/>
      <c r="CZ46" s="60"/>
      <c r="DA46" s="60"/>
    </row>
    <row r="47" ht="31.5" hidden="1" customHeight="1">
      <c r="A47" s="43"/>
      <c r="B47" s="44"/>
      <c r="C47" s="44"/>
      <c r="D47" s="45"/>
      <c r="E47" s="46"/>
      <c r="F47" s="117"/>
      <c r="G47" s="119"/>
      <c r="H47" s="45"/>
      <c r="I47" s="46"/>
      <c r="J47" s="50"/>
      <c r="K47" s="52"/>
      <c r="L47" s="53"/>
      <c r="M47" s="46"/>
      <c r="N47" s="50"/>
      <c r="O47" s="52"/>
      <c r="P47" s="53"/>
      <c r="Q47" s="46"/>
      <c r="R47" s="50"/>
      <c r="S47" s="52"/>
      <c r="T47" s="53"/>
      <c r="U47" s="56"/>
      <c r="V47" s="50"/>
      <c r="W47" s="52"/>
      <c r="X47" s="53"/>
      <c r="Y47" s="56"/>
      <c r="Z47" s="50"/>
      <c r="AA47" s="52"/>
      <c r="AB47" s="53"/>
      <c r="AC47" s="56"/>
      <c r="AD47" s="50"/>
      <c r="AE47" s="52"/>
      <c r="AF47" s="53"/>
      <c r="AG47" s="46"/>
      <c r="AH47" s="47"/>
      <c r="AI47" s="48"/>
      <c r="AJ47" s="49"/>
      <c r="AK47" s="46"/>
      <c r="AL47" s="50"/>
      <c r="AM47" s="53"/>
      <c r="AN47" s="53"/>
      <c r="AO47" s="46"/>
      <c r="AP47" s="50"/>
      <c r="AQ47" s="52"/>
      <c r="AR47" s="53"/>
      <c r="AS47" s="46"/>
      <c r="AT47" s="50"/>
      <c r="AU47" s="52"/>
      <c r="AV47" s="53"/>
      <c r="AW47" s="46"/>
      <c r="AX47" s="50"/>
      <c r="AY47" s="52"/>
      <c r="AZ47" s="53"/>
      <c r="BA47" s="46"/>
      <c r="BB47" s="50"/>
      <c r="BC47" s="52"/>
      <c r="BD47" s="53"/>
      <c r="BE47" s="46"/>
      <c r="BF47" s="50"/>
      <c r="BG47" s="52"/>
      <c r="BH47" s="53"/>
      <c r="BI47" s="46"/>
      <c r="BJ47" s="50"/>
      <c r="BK47" s="52"/>
      <c r="BL47" s="53"/>
      <c r="BM47" s="46"/>
      <c r="BN47" s="50"/>
      <c r="BO47" s="52"/>
      <c r="BP47" s="53"/>
      <c r="BQ47" s="46"/>
      <c r="BR47" s="50"/>
      <c r="BS47" s="52"/>
      <c r="BT47" s="53"/>
      <c r="BU47" s="46"/>
      <c r="BV47" s="50"/>
      <c r="BW47" s="52"/>
      <c r="BX47" s="53"/>
      <c r="BY47" s="46"/>
      <c r="BZ47" s="50"/>
      <c r="CA47" s="52"/>
      <c r="CB47" s="111"/>
      <c r="CC47" s="60"/>
      <c r="CD47" s="186"/>
      <c r="CE47" s="64"/>
      <c r="CF47" s="64"/>
      <c r="CG47" s="64"/>
      <c r="CH47" s="68"/>
      <c r="CI47" s="68"/>
      <c r="CJ47" s="68"/>
      <c r="CK47" s="164"/>
      <c r="CL47" s="68"/>
      <c r="CM47" s="68"/>
      <c r="CN47" s="68"/>
      <c r="CO47" s="68"/>
      <c r="CP47" s="165"/>
      <c r="CQ47" s="115"/>
      <c r="CR47" s="68"/>
      <c r="CS47" s="68"/>
      <c r="CT47" s="60"/>
      <c r="CU47" s="60"/>
      <c r="CV47" s="60"/>
      <c r="CW47" s="60"/>
      <c r="CX47" s="60"/>
      <c r="CY47" s="60"/>
      <c r="CZ47" s="60"/>
      <c r="DA47" s="60"/>
    </row>
    <row r="48" ht="31.5" hidden="1" customHeight="1">
      <c r="A48" s="43"/>
      <c r="B48" s="44"/>
      <c r="C48" s="44"/>
      <c r="D48" s="45"/>
      <c r="E48" s="46"/>
      <c r="F48" s="125"/>
      <c r="G48" s="126"/>
      <c r="H48" s="127"/>
      <c r="I48" s="46"/>
      <c r="J48" s="50"/>
      <c r="K48" s="52"/>
      <c r="L48" s="53"/>
      <c r="M48" s="46"/>
      <c r="N48" s="50"/>
      <c r="O48" s="52"/>
      <c r="P48" s="53"/>
      <c r="Q48" s="46"/>
      <c r="R48" s="50"/>
      <c r="S48" s="52"/>
      <c r="T48" s="53"/>
      <c r="U48" s="56"/>
      <c r="V48" s="50"/>
      <c r="W48" s="52"/>
      <c r="X48" s="53"/>
      <c r="Y48" s="56"/>
      <c r="Z48" s="50"/>
      <c r="AA48" s="52"/>
      <c r="AB48" s="53"/>
      <c r="AC48" s="56"/>
      <c r="AD48" s="50"/>
      <c r="AE48" s="52"/>
      <c r="AF48" s="53"/>
      <c r="AG48" s="46"/>
      <c r="AH48" s="47"/>
      <c r="AI48" s="48"/>
      <c r="AJ48" s="49"/>
      <c r="AK48" s="46"/>
      <c r="AL48" s="50"/>
      <c r="AM48" s="53"/>
      <c r="AN48" s="53"/>
      <c r="AO48" s="46"/>
      <c r="AP48" s="50"/>
      <c r="AQ48" s="52"/>
      <c r="AR48" s="53"/>
      <c r="AS48" s="46"/>
      <c r="AT48" s="50"/>
      <c r="AU48" s="52"/>
      <c r="AV48" s="53"/>
      <c r="AW48" s="46"/>
      <c r="AX48" s="50"/>
      <c r="AY48" s="52"/>
      <c r="AZ48" s="53"/>
      <c r="BA48" s="46"/>
      <c r="BB48" s="50"/>
      <c r="BC48" s="52"/>
      <c r="BD48" s="53"/>
      <c r="BE48" s="46"/>
      <c r="BF48" s="50"/>
      <c r="BG48" s="52"/>
      <c r="BH48" s="53"/>
      <c r="BI48" s="46"/>
      <c r="BJ48" s="50"/>
      <c r="BK48" s="52"/>
      <c r="BL48" s="53"/>
      <c r="BM48" s="46"/>
      <c r="BN48" s="50"/>
      <c r="BO48" s="52"/>
      <c r="BP48" s="53"/>
      <c r="BQ48" s="46"/>
      <c r="BR48" s="50"/>
      <c r="BS48" s="52"/>
      <c r="BT48" s="53"/>
      <c r="BU48" s="46"/>
      <c r="BV48" s="50"/>
      <c r="BW48" s="52"/>
      <c r="BX48" s="53"/>
      <c r="BY48" s="46"/>
      <c r="BZ48" s="50"/>
      <c r="CA48" s="52"/>
      <c r="CB48" s="111"/>
      <c r="CC48" s="60"/>
      <c r="CD48" s="186"/>
      <c r="CE48" s="64"/>
      <c r="CF48" s="64"/>
      <c r="CG48" s="64"/>
      <c r="CH48" s="68"/>
      <c r="CI48" s="68"/>
      <c r="CJ48" s="68"/>
      <c r="CK48" s="164"/>
      <c r="CL48" s="68"/>
      <c r="CM48" s="68"/>
      <c r="CN48" s="68"/>
      <c r="CO48" s="68"/>
      <c r="CP48" s="165"/>
      <c r="CQ48" s="115"/>
      <c r="CR48" s="68"/>
      <c r="CS48" s="68"/>
      <c r="CT48" s="60"/>
      <c r="CU48" s="60"/>
      <c r="CV48" s="60"/>
      <c r="CW48" s="60"/>
      <c r="CX48" s="60"/>
      <c r="CY48" s="60"/>
      <c r="CZ48" s="60"/>
      <c r="DA48" s="60"/>
    </row>
    <row r="49" ht="31.5" hidden="1" customHeight="1">
      <c r="A49" s="43"/>
      <c r="B49" s="44"/>
      <c r="C49" s="44"/>
      <c r="D49" s="45"/>
      <c r="E49" s="46"/>
      <c r="F49" s="117"/>
      <c r="G49" s="119"/>
      <c r="H49" s="45"/>
      <c r="I49" s="46"/>
      <c r="J49" s="50"/>
      <c r="K49" s="52"/>
      <c r="L49" s="53"/>
      <c r="M49" s="46"/>
      <c r="N49" s="50"/>
      <c r="O49" s="52"/>
      <c r="P49" s="53"/>
      <c r="Q49" s="46"/>
      <c r="R49" s="50"/>
      <c r="S49" s="52"/>
      <c r="T49" s="53"/>
      <c r="U49" s="56"/>
      <c r="V49" s="50"/>
      <c r="W49" s="52"/>
      <c r="X49" s="53"/>
      <c r="Y49" s="56"/>
      <c r="Z49" s="50"/>
      <c r="AA49" s="52"/>
      <c r="AB49" s="53"/>
      <c r="AC49" s="56"/>
      <c r="AD49" s="50"/>
      <c r="AE49" s="52"/>
      <c r="AF49" s="53"/>
      <c r="AG49" s="46"/>
      <c r="AH49" s="47"/>
      <c r="AI49" s="48"/>
      <c r="AJ49" s="49"/>
      <c r="AK49" s="46"/>
      <c r="AL49" s="50"/>
      <c r="AM49" s="53"/>
      <c r="AN49" s="53"/>
      <c r="AO49" s="46"/>
      <c r="AP49" s="50"/>
      <c r="AQ49" s="52"/>
      <c r="AR49" s="53"/>
      <c r="AS49" s="46"/>
      <c r="AT49" s="50"/>
      <c r="AU49" s="52"/>
      <c r="AV49" s="53"/>
      <c r="AW49" s="46"/>
      <c r="AX49" s="50"/>
      <c r="AY49" s="52"/>
      <c r="AZ49" s="53"/>
      <c r="BA49" s="46"/>
      <c r="BB49" s="50"/>
      <c r="BC49" s="52"/>
      <c r="BD49" s="53"/>
      <c r="BE49" s="46"/>
      <c r="BF49" s="50"/>
      <c r="BG49" s="52"/>
      <c r="BH49" s="53"/>
      <c r="BI49" s="46"/>
      <c r="BJ49" s="50"/>
      <c r="BK49" s="52"/>
      <c r="BL49" s="53"/>
      <c r="BM49" s="46"/>
      <c r="BN49" s="50"/>
      <c r="BO49" s="52"/>
      <c r="BP49" s="53"/>
      <c r="BQ49" s="46"/>
      <c r="BR49" s="50"/>
      <c r="BS49" s="52"/>
      <c r="BT49" s="53"/>
      <c r="BU49" s="46"/>
      <c r="BV49" s="50"/>
      <c r="BW49" s="52"/>
      <c r="BX49" s="53"/>
      <c r="BY49" s="46"/>
      <c r="BZ49" s="50"/>
      <c r="CA49" s="52"/>
      <c r="CB49" s="111"/>
      <c r="CC49" s="60"/>
      <c r="CD49" s="186"/>
      <c r="CE49" s="64"/>
      <c r="CF49" s="64"/>
      <c r="CG49" s="64"/>
      <c r="CH49" s="68"/>
      <c r="CI49" s="68"/>
      <c r="CJ49" s="68"/>
      <c r="CK49" s="164"/>
      <c r="CL49" s="68"/>
      <c r="CM49" s="68"/>
      <c r="CN49" s="68"/>
      <c r="CO49" s="68"/>
      <c r="CP49" s="165"/>
      <c r="CQ49" s="115"/>
      <c r="CR49" s="68"/>
      <c r="CS49" s="68"/>
      <c r="CT49" s="60"/>
      <c r="CU49" s="60"/>
      <c r="CV49" s="60"/>
      <c r="CW49" s="60"/>
      <c r="CX49" s="60"/>
      <c r="CY49" s="60"/>
      <c r="CZ49" s="60"/>
      <c r="DA49" s="60"/>
    </row>
    <row r="50" ht="31.5" hidden="1" customHeight="1">
      <c r="A50" s="43"/>
      <c r="B50" s="44"/>
      <c r="C50" s="44"/>
      <c r="D50" s="45"/>
      <c r="E50" s="46"/>
      <c r="F50" s="125"/>
      <c r="G50" s="126"/>
      <c r="H50" s="127"/>
      <c r="I50" s="46"/>
      <c r="J50" s="50"/>
      <c r="K50" s="52"/>
      <c r="L50" s="53"/>
      <c r="M50" s="46"/>
      <c r="N50" s="50"/>
      <c r="O50" s="52"/>
      <c r="P50" s="53"/>
      <c r="Q50" s="46"/>
      <c r="R50" s="50"/>
      <c r="S50" s="52"/>
      <c r="T50" s="53"/>
      <c r="U50" s="56"/>
      <c r="V50" s="50"/>
      <c r="W50" s="52"/>
      <c r="X50" s="53"/>
      <c r="Y50" s="56"/>
      <c r="Z50" s="50"/>
      <c r="AA50" s="52"/>
      <c r="AB50" s="53"/>
      <c r="AC50" s="56"/>
      <c r="AD50" s="50"/>
      <c r="AE50" s="52"/>
      <c r="AF50" s="53"/>
      <c r="AG50" s="46"/>
      <c r="AH50" s="47"/>
      <c r="AI50" s="48"/>
      <c r="AJ50" s="49"/>
      <c r="AK50" s="46"/>
      <c r="AL50" s="50"/>
      <c r="AM50" s="53"/>
      <c r="AN50" s="53"/>
      <c r="AO50" s="46"/>
      <c r="AP50" s="50"/>
      <c r="AQ50" s="52"/>
      <c r="AR50" s="53"/>
      <c r="AS50" s="46"/>
      <c r="AT50" s="50"/>
      <c r="AU50" s="52"/>
      <c r="AV50" s="53"/>
      <c r="AW50" s="46"/>
      <c r="AX50" s="50"/>
      <c r="AY50" s="52"/>
      <c r="AZ50" s="53"/>
      <c r="BA50" s="46"/>
      <c r="BB50" s="50"/>
      <c r="BC50" s="52"/>
      <c r="BD50" s="53"/>
      <c r="BE50" s="46"/>
      <c r="BF50" s="50"/>
      <c r="BG50" s="52"/>
      <c r="BH50" s="53"/>
      <c r="BI50" s="46"/>
      <c r="BJ50" s="50"/>
      <c r="BK50" s="52"/>
      <c r="BL50" s="53"/>
      <c r="BM50" s="46"/>
      <c r="BN50" s="50"/>
      <c r="BO50" s="52"/>
      <c r="BP50" s="53"/>
      <c r="BQ50" s="46"/>
      <c r="BR50" s="50"/>
      <c r="BS50" s="52"/>
      <c r="BT50" s="53"/>
      <c r="BU50" s="46"/>
      <c r="BV50" s="50"/>
      <c r="BW50" s="52"/>
      <c r="BX50" s="53"/>
      <c r="BY50" s="46"/>
      <c r="BZ50" s="50"/>
      <c r="CA50" s="52"/>
      <c r="CB50" s="111"/>
      <c r="CC50" s="60"/>
      <c r="CD50" s="186"/>
      <c r="CE50" s="64"/>
      <c r="CF50" s="64"/>
      <c r="CG50" s="64"/>
      <c r="CH50" s="68"/>
      <c r="CI50" s="68"/>
      <c r="CJ50" s="68"/>
      <c r="CK50" s="164"/>
      <c r="CL50" s="68"/>
      <c r="CM50" s="68"/>
      <c r="CN50" s="68"/>
      <c r="CO50" s="68"/>
      <c r="CP50" s="165"/>
      <c r="CQ50" s="115"/>
      <c r="CR50" s="68"/>
      <c r="CS50" s="68"/>
      <c r="CT50" s="60"/>
      <c r="CU50" s="60"/>
      <c r="CV50" s="60"/>
      <c r="CW50" s="60"/>
      <c r="CX50" s="60"/>
      <c r="CY50" s="60"/>
      <c r="CZ50" s="60"/>
      <c r="DA50" s="60"/>
    </row>
    <row r="51" ht="31.5" hidden="1" customHeight="1">
      <c r="A51" s="43"/>
      <c r="B51" s="44"/>
      <c r="C51" s="44"/>
      <c r="D51" s="45"/>
      <c r="E51" s="46"/>
      <c r="F51" s="117"/>
      <c r="G51" s="119"/>
      <c r="H51" s="45"/>
      <c r="I51" s="46"/>
      <c r="J51" s="50"/>
      <c r="K51" s="52"/>
      <c r="L51" s="53"/>
      <c r="M51" s="46"/>
      <c r="N51" s="50"/>
      <c r="O51" s="52"/>
      <c r="P51" s="53"/>
      <c r="Q51" s="46"/>
      <c r="R51" s="50"/>
      <c r="S51" s="52"/>
      <c r="T51" s="53"/>
      <c r="U51" s="56"/>
      <c r="V51" s="50"/>
      <c r="W51" s="52"/>
      <c r="X51" s="53"/>
      <c r="Y51" s="56"/>
      <c r="Z51" s="50"/>
      <c r="AA51" s="52"/>
      <c r="AB51" s="53"/>
      <c r="AC51" s="56"/>
      <c r="AD51" s="50"/>
      <c r="AE51" s="52"/>
      <c r="AF51" s="53"/>
      <c r="AG51" s="46"/>
      <c r="AH51" s="47"/>
      <c r="AI51" s="48"/>
      <c r="AJ51" s="49"/>
      <c r="AK51" s="46"/>
      <c r="AL51" s="50"/>
      <c r="AM51" s="53"/>
      <c r="AN51" s="53"/>
      <c r="AO51" s="46"/>
      <c r="AP51" s="50"/>
      <c r="AQ51" s="52"/>
      <c r="AR51" s="53"/>
      <c r="AS51" s="46"/>
      <c r="AT51" s="50"/>
      <c r="AU51" s="52"/>
      <c r="AV51" s="53"/>
      <c r="AW51" s="46"/>
      <c r="AX51" s="50"/>
      <c r="AY51" s="52"/>
      <c r="AZ51" s="53"/>
      <c r="BA51" s="46"/>
      <c r="BB51" s="50"/>
      <c r="BC51" s="52"/>
      <c r="BD51" s="53"/>
      <c r="BE51" s="46"/>
      <c r="BF51" s="50"/>
      <c r="BG51" s="52"/>
      <c r="BH51" s="53"/>
      <c r="BI51" s="46"/>
      <c r="BJ51" s="50"/>
      <c r="BK51" s="52"/>
      <c r="BL51" s="53"/>
      <c r="BM51" s="46"/>
      <c r="BN51" s="50"/>
      <c r="BO51" s="52"/>
      <c r="BP51" s="53"/>
      <c r="BQ51" s="46"/>
      <c r="BR51" s="50"/>
      <c r="BS51" s="52"/>
      <c r="BT51" s="53"/>
      <c r="BU51" s="46"/>
      <c r="BV51" s="50"/>
      <c r="BW51" s="52"/>
      <c r="BX51" s="53"/>
      <c r="BY51" s="46"/>
      <c r="BZ51" s="50"/>
      <c r="CA51" s="52"/>
      <c r="CB51" s="111"/>
      <c r="CC51" s="60"/>
      <c r="CD51" s="186"/>
      <c r="CE51" s="64"/>
      <c r="CF51" s="64"/>
      <c r="CG51" s="64"/>
      <c r="CH51" s="68"/>
      <c r="CI51" s="68"/>
      <c r="CJ51" s="68"/>
      <c r="CK51" s="164"/>
      <c r="CL51" s="68"/>
      <c r="CM51" s="68"/>
      <c r="CN51" s="68"/>
      <c r="CO51" s="68"/>
      <c r="CP51" s="165"/>
      <c r="CQ51" s="115"/>
      <c r="CR51" s="68"/>
      <c r="CS51" s="68"/>
      <c r="CT51" s="60"/>
      <c r="CU51" s="60"/>
      <c r="CV51" s="60"/>
      <c r="CW51" s="60"/>
      <c r="CX51" s="60"/>
      <c r="CY51" s="60"/>
      <c r="CZ51" s="60"/>
      <c r="DA51" s="60"/>
    </row>
    <row r="52" ht="31.5" hidden="1" customHeight="1">
      <c r="A52" s="43"/>
      <c r="B52" s="44"/>
      <c r="C52" s="44"/>
      <c r="D52" s="45"/>
      <c r="E52" s="46"/>
      <c r="F52" s="125"/>
      <c r="G52" s="126"/>
      <c r="H52" s="127"/>
      <c r="I52" s="46"/>
      <c r="J52" s="50"/>
      <c r="K52" s="52"/>
      <c r="L52" s="53"/>
      <c r="M52" s="46"/>
      <c r="N52" s="50"/>
      <c r="O52" s="52"/>
      <c r="P52" s="53"/>
      <c r="Q52" s="46"/>
      <c r="R52" s="50"/>
      <c r="S52" s="52"/>
      <c r="T52" s="53"/>
      <c r="U52" s="56"/>
      <c r="V52" s="50"/>
      <c r="W52" s="52"/>
      <c r="X52" s="53"/>
      <c r="Y52" s="56"/>
      <c r="Z52" s="50"/>
      <c r="AA52" s="52"/>
      <c r="AB52" s="53"/>
      <c r="AC52" s="56"/>
      <c r="AD52" s="50"/>
      <c r="AE52" s="52"/>
      <c r="AF52" s="53"/>
      <c r="AG52" s="46"/>
      <c r="AH52" s="47"/>
      <c r="AI52" s="48"/>
      <c r="AJ52" s="49"/>
      <c r="AK52" s="46"/>
      <c r="AL52" s="50"/>
      <c r="AM52" s="53"/>
      <c r="AN52" s="53"/>
      <c r="AO52" s="46"/>
      <c r="AP52" s="50"/>
      <c r="AQ52" s="52"/>
      <c r="AR52" s="53"/>
      <c r="AS52" s="46"/>
      <c r="AT52" s="50"/>
      <c r="AU52" s="52"/>
      <c r="AV52" s="53"/>
      <c r="AW52" s="46"/>
      <c r="AX52" s="50"/>
      <c r="AY52" s="52"/>
      <c r="AZ52" s="53"/>
      <c r="BA52" s="46"/>
      <c r="BB52" s="50"/>
      <c r="BC52" s="52"/>
      <c r="BD52" s="53"/>
      <c r="BE52" s="46"/>
      <c r="BF52" s="50"/>
      <c r="BG52" s="52"/>
      <c r="BH52" s="53"/>
      <c r="BI52" s="46"/>
      <c r="BJ52" s="50"/>
      <c r="BK52" s="52"/>
      <c r="BL52" s="53"/>
      <c r="BM52" s="46"/>
      <c r="BN52" s="50"/>
      <c r="BO52" s="52"/>
      <c r="BP52" s="53"/>
      <c r="BQ52" s="46"/>
      <c r="BR52" s="50"/>
      <c r="BS52" s="52"/>
      <c r="BT52" s="53"/>
      <c r="BU52" s="46"/>
      <c r="BV52" s="50"/>
      <c r="BW52" s="52"/>
      <c r="BX52" s="53"/>
      <c r="BY52" s="46"/>
      <c r="BZ52" s="50"/>
      <c r="CA52" s="52"/>
      <c r="CB52" s="111"/>
      <c r="CC52" s="60"/>
      <c r="CD52" s="186"/>
      <c r="CE52" s="64"/>
      <c r="CF52" s="64"/>
      <c r="CG52" s="64"/>
      <c r="CH52" s="68"/>
      <c r="CI52" s="68"/>
      <c r="CJ52" s="68"/>
      <c r="CK52" s="164"/>
      <c r="CL52" s="68"/>
      <c r="CM52" s="68"/>
      <c r="CN52" s="68"/>
      <c r="CO52" s="68"/>
      <c r="CP52" s="165"/>
      <c r="CQ52" s="115"/>
      <c r="CR52" s="68"/>
      <c r="CS52" s="68"/>
      <c r="CT52" s="60"/>
      <c r="CU52" s="60"/>
      <c r="CV52" s="60"/>
      <c r="CW52" s="60"/>
      <c r="CX52" s="60"/>
      <c r="CY52" s="60"/>
      <c r="CZ52" s="60"/>
      <c r="DA52" s="60"/>
    </row>
    <row r="53" ht="31.5" hidden="1" customHeight="1">
      <c r="A53" s="43"/>
      <c r="B53" s="44"/>
      <c r="C53" s="44"/>
      <c r="D53" s="45"/>
      <c r="E53" s="46"/>
      <c r="F53" s="117"/>
      <c r="G53" s="119"/>
      <c r="H53" s="45"/>
      <c r="I53" s="46"/>
      <c r="J53" s="50"/>
      <c r="K53" s="52"/>
      <c r="L53" s="53"/>
      <c r="M53" s="46"/>
      <c r="N53" s="50"/>
      <c r="O53" s="52"/>
      <c r="P53" s="53"/>
      <c r="Q53" s="46"/>
      <c r="R53" s="50"/>
      <c r="S53" s="52"/>
      <c r="T53" s="53"/>
      <c r="U53" s="56"/>
      <c r="V53" s="50"/>
      <c r="W53" s="52"/>
      <c r="X53" s="53"/>
      <c r="Y53" s="56"/>
      <c r="Z53" s="50"/>
      <c r="AA53" s="52"/>
      <c r="AB53" s="53"/>
      <c r="AC53" s="56"/>
      <c r="AD53" s="50"/>
      <c r="AE53" s="52"/>
      <c r="AF53" s="53"/>
      <c r="AG53" s="46"/>
      <c r="AH53" s="47"/>
      <c r="AI53" s="48"/>
      <c r="AJ53" s="49"/>
      <c r="AK53" s="46"/>
      <c r="AL53" s="50"/>
      <c r="AM53" s="53"/>
      <c r="AN53" s="53"/>
      <c r="AO53" s="46"/>
      <c r="AP53" s="50"/>
      <c r="AQ53" s="52"/>
      <c r="AR53" s="53"/>
      <c r="AS53" s="46"/>
      <c r="AT53" s="50"/>
      <c r="AU53" s="52"/>
      <c r="AV53" s="53"/>
      <c r="AW53" s="46"/>
      <c r="AX53" s="50"/>
      <c r="AY53" s="52"/>
      <c r="AZ53" s="53"/>
      <c r="BA53" s="46"/>
      <c r="BB53" s="50"/>
      <c r="BC53" s="52"/>
      <c r="BD53" s="53"/>
      <c r="BE53" s="46"/>
      <c r="BF53" s="50"/>
      <c r="BG53" s="52"/>
      <c r="BH53" s="53"/>
      <c r="BI53" s="46"/>
      <c r="BJ53" s="50"/>
      <c r="BK53" s="52"/>
      <c r="BL53" s="53"/>
      <c r="BM53" s="46"/>
      <c r="BN53" s="50"/>
      <c r="BO53" s="52"/>
      <c r="BP53" s="53"/>
      <c r="BQ53" s="46"/>
      <c r="BR53" s="50"/>
      <c r="BS53" s="52"/>
      <c r="BT53" s="53"/>
      <c r="BU53" s="46"/>
      <c r="BV53" s="50"/>
      <c r="BW53" s="52"/>
      <c r="BX53" s="53"/>
      <c r="BY53" s="46"/>
      <c r="BZ53" s="50"/>
      <c r="CA53" s="52"/>
      <c r="CB53" s="111"/>
      <c r="CC53" s="60"/>
      <c r="CD53" s="186"/>
      <c r="CE53" s="64"/>
      <c r="CF53" s="64"/>
      <c r="CG53" s="64"/>
      <c r="CH53" s="68"/>
      <c r="CI53" s="68"/>
      <c r="CJ53" s="68"/>
      <c r="CK53" s="164"/>
      <c r="CL53" s="68"/>
      <c r="CM53" s="68"/>
      <c r="CN53" s="68"/>
      <c r="CO53" s="68"/>
      <c r="CP53" s="165"/>
      <c r="CQ53" s="115"/>
      <c r="CR53" s="68"/>
      <c r="CS53" s="68"/>
      <c r="CT53" s="60"/>
      <c r="CU53" s="60"/>
      <c r="CV53" s="60"/>
      <c r="CW53" s="60"/>
      <c r="CX53" s="60"/>
      <c r="CY53" s="60"/>
      <c r="CZ53" s="60"/>
      <c r="DA53" s="60"/>
    </row>
    <row r="54" ht="31.5" hidden="1" customHeight="1">
      <c r="A54" s="43"/>
      <c r="B54" s="44"/>
      <c r="C54" s="44"/>
      <c r="D54" s="45"/>
      <c r="E54" s="46"/>
      <c r="F54" s="125"/>
      <c r="G54" s="126"/>
      <c r="H54" s="127"/>
      <c r="I54" s="46"/>
      <c r="J54" s="50"/>
      <c r="K54" s="52"/>
      <c r="L54" s="53"/>
      <c r="M54" s="46"/>
      <c r="N54" s="50"/>
      <c r="O54" s="52"/>
      <c r="P54" s="53"/>
      <c r="Q54" s="46"/>
      <c r="R54" s="50"/>
      <c r="S54" s="52"/>
      <c r="T54" s="53"/>
      <c r="U54" s="56"/>
      <c r="V54" s="50"/>
      <c r="W54" s="52"/>
      <c r="X54" s="53"/>
      <c r="Y54" s="56"/>
      <c r="Z54" s="50"/>
      <c r="AA54" s="52"/>
      <c r="AB54" s="53"/>
      <c r="AC54" s="56"/>
      <c r="AD54" s="50"/>
      <c r="AE54" s="52"/>
      <c r="AF54" s="53"/>
      <c r="AG54" s="46"/>
      <c r="AH54" s="47"/>
      <c r="AI54" s="48"/>
      <c r="AJ54" s="49"/>
      <c r="AK54" s="46"/>
      <c r="AL54" s="50"/>
      <c r="AM54" s="53"/>
      <c r="AN54" s="53"/>
      <c r="AO54" s="46"/>
      <c r="AP54" s="50"/>
      <c r="AQ54" s="52"/>
      <c r="AR54" s="53"/>
      <c r="AS54" s="46"/>
      <c r="AT54" s="50"/>
      <c r="AU54" s="52"/>
      <c r="AV54" s="53"/>
      <c r="AW54" s="46"/>
      <c r="AX54" s="50"/>
      <c r="AY54" s="52"/>
      <c r="AZ54" s="53"/>
      <c r="BA54" s="46"/>
      <c r="BB54" s="50"/>
      <c r="BC54" s="52"/>
      <c r="BD54" s="53"/>
      <c r="BE54" s="46"/>
      <c r="BF54" s="50"/>
      <c r="BG54" s="52"/>
      <c r="BH54" s="53"/>
      <c r="BI54" s="46"/>
      <c r="BJ54" s="50"/>
      <c r="BK54" s="52"/>
      <c r="BL54" s="53"/>
      <c r="BM54" s="46"/>
      <c r="BN54" s="50"/>
      <c r="BO54" s="52"/>
      <c r="BP54" s="53"/>
      <c r="BQ54" s="46"/>
      <c r="BR54" s="50"/>
      <c r="BS54" s="52"/>
      <c r="BT54" s="53"/>
      <c r="BU54" s="46"/>
      <c r="BV54" s="50"/>
      <c r="BW54" s="52"/>
      <c r="BX54" s="53"/>
      <c r="BY54" s="46"/>
      <c r="BZ54" s="50"/>
      <c r="CA54" s="52"/>
      <c r="CB54" s="111"/>
      <c r="CC54" s="60"/>
      <c r="CD54" s="186"/>
      <c r="CE54" s="64"/>
      <c r="CF54" s="64"/>
      <c r="CG54" s="64"/>
      <c r="CH54" s="68"/>
      <c r="CI54" s="68"/>
      <c r="CJ54" s="68"/>
      <c r="CK54" s="164"/>
      <c r="CL54" s="68"/>
      <c r="CM54" s="68"/>
      <c r="CN54" s="68"/>
      <c r="CO54" s="68"/>
      <c r="CP54" s="165"/>
      <c r="CQ54" s="115"/>
      <c r="CR54" s="68"/>
      <c r="CS54" s="68"/>
      <c r="CT54" s="60"/>
      <c r="CU54" s="60"/>
      <c r="CV54" s="60"/>
      <c r="CW54" s="60"/>
      <c r="CX54" s="60"/>
      <c r="CY54" s="60"/>
      <c r="CZ54" s="60"/>
      <c r="DA54" s="60"/>
    </row>
    <row r="55" ht="31.5" hidden="1" customHeight="1">
      <c r="A55" s="43"/>
      <c r="B55" s="44"/>
      <c r="C55" s="44"/>
      <c r="D55" s="45"/>
      <c r="E55" s="46"/>
      <c r="F55" s="117"/>
      <c r="G55" s="119"/>
      <c r="H55" s="45"/>
      <c r="I55" s="46"/>
      <c r="J55" s="50"/>
      <c r="K55" s="52"/>
      <c r="L55" s="53"/>
      <c r="M55" s="46"/>
      <c r="N55" s="50"/>
      <c r="O55" s="52"/>
      <c r="P55" s="53"/>
      <c r="Q55" s="46"/>
      <c r="R55" s="50"/>
      <c r="S55" s="52"/>
      <c r="T55" s="53"/>
      <c r="U55" s="56"/>
      <c r="V55" s="50"/>
      <c r="W55" s="52"/>
      <c r="X55" s="53"/>
      <c r="Y55" s="56"/>
      <c r="Z55" s="50"/>
      <c r="AA55" s="52"/>
      <c r="AB55" s="53"/>
      <c r="AC55" s="56"/>
      <c r="AD55" s="50"/>
      <c r="AE55" s="52"/>
      <c r="AF55" s="53"/>
      <c r="AG55" s="46"/>
      <c r="AH55" s="47"/>
      <c r="AI55" s="48"/>
      <c r="AJ55" s="49"/>
      <c r="AK55" s="46"/>
      <c r="AL55" s="50"/>
      <c r="AM55" s="53"/>
      <c r="AN55" s="53"/>
      <c r="AO55" s="46"/>
      <c r="AP55" s="50"/>
      <c r="AQ55" s="52"/>
      <c r="AR55" s="53"/>
      <c r="AS55" s="46"/>
      <c r="AT55" s="50"/>
      <c r="AU55" s="52"/>
      <c r="AV55" s="53"/>
      <c r="AW55" s="46"/>
      <c r="AX55" s="50"/>
      <c r="AY55" s="52"/>
      <c r="AZ55" s="53"/>
      <c r="BA55" s="46"/>
      <c r="BB55" s="50"/>
      <c r="BC55" s="52"/>
      <c r="BD55" s="53"/>
      <c r="BE55" s="46"/>
      <c r="BF55" s="50"/>
      <c r="BG55" s="52"/>
      <c r="BH55" s="53"/>
      <c r="BI55" s="46"/>
      <c r="BJ55" s="50"/>
      <c r="BK55" s="52"/>
      <c r="BL55" s="53"/>
      <c r="BM55" s="46"/>
      <c r="BN55" s="50"/>
      <c r="BO55" s="52"/>
      <c r="BP55" s="53"/>
      <c r="BQ55" s="46"/>
      <c r="BR55" s="50"/>
      <c r="BS55" s="52"/>
      <c r="BT55" s="53"/>
      <c r="BU55" s="46"/>
      <c r="BV55" s="50"/>
      <c r="BW55" s="52"/>
      <c r="BX55" s="53"/>
      <c r="BY55" s="46"/>
      <c r="BZ55" s="50"/>
      <c r="CA55" s="52"/>
      <c r="CB55" s="111"/>
      <c r="CC55" s="60"/>
      <c r="CD55" s="186"/>
      <c r="CE55" s="64"/>
      <c r="CF55" s="64"/>
      <c r="CG55" s="64"/>
      <c r="CH55" s="68"/>
      <c r="CI55" s="68"/>
      <c r="CJ55" s="68"/>
      <c r="CK55" s="164"/>
      <c r="CL55" s="68"/>
      <c r="CM55" s="68"/>
      <c r="CN55" s="68"/>
      <c r="CO55" s="68"/>
      <c r="CP55" s="165"/>
      <c r="CQ55" s="115"/>
      <c r="CR55" s="68"/>
      <c r="CS55" s="68"/>
      <c r="CT55" s="60"/>
      <c r="CU55" s="60"/>
      <c r="CV55" s="60"/>
      <c r="CW55" s="60"/>
      <c r="CX55" s="60"/>
      <c r="CY55" s="60"/>
      <c r="CZ55" s="60"/>
      <c r="DA55" s="60"/>
    </row>
    <row r="56" ht="31.5" hidden="1" customHeight="1">
      <c r="A56" s="43"/>
      <c r="B56" s="44"/>
      <c r="C56" s="44"/>
      <c r="D56" s="45"/>
      <c r="E56" s="46"/>
      <c r="F56" s="125"/>
      <c r="G56" s="126"/>
      <c r="H56" s="127"/>
      <c r="I56" s="46"/>
      <c r="J56" s="50"/>
      <c r="K56" s="52"/>
      <c r="L56" s="53"/>
      <c r="M56" s="46"/>
      <c r="N56" s="50"/>
      <c r="O56" s="52"/>
      <c r="P56" s="53"/>
      <c r="Q56" s="46"/>
      <c r="R56" s="50"/>
      <c r="S56" s="52"/>
      <c r="T56" s="53"/>
      <c r="U56" s="56"/>
      <c r="V56" s="50"/>
      <c r="W56" s="52"/>
      <c r="X56" s="53"/>
      <c r="Y56" s="56"/>
      <c r="Z56" s="50"/>
      <c r="AA56" s="52"/>
      <c r="AB56" s="53"/>
      <c r="AC56" s="56"/>
      <c r="AD56" s="50"/>
      <c r="AE56" s="52"/>
      <c r="AF56" s="53"/>
      <c r="AG56" s="46"/>
      <c r="AH56" s="47"/>
      <c r="AI56" s="48"/>
      <c r="AJ56" s="49"/>
      <c r="AK56" s="46"/>
      <c r="AL56" s="50"/>
      <c r="AM56" s="53"/>
      <c r="AN56" s="53"/>
      <c r="AO56" s="46"/>
      <c r="AP56" s="50"/>
      <c r="AQ56" s="52"/>
      <c r="AR56" s="53"/>
      <c r="AS56" s="46"/>
      <c r="AT56" s="50"/>
      <c r="AU56" s="52"/>
      <c r="AV56" s="53"/>
      <c r="AW56" s="46"/>
      <c r="AX56" s="50"/>
      <c r="AY56" s="52"/>
      <c r="AZ56" s="53"/>
      <c r="BA56" s="46"/>
      <c r="BB56" s="50"/>
      <c r="BC56" s="52"/>
      <c r="BD56" s="53"/>
      <c r="BE56" s="46"/>
      <c r="BF56" s="50"/>
      <c r="BG56" s="52"/>
      <c r="BH56" s="53"/>
      <c r="BI56" s="46"/>
      <c r="BJ56" s="50"/>
      <c r="BK56" s="52"/>
      <c r="BL56" s="53"/>
      <c r="BM56" s="46"/>
      <c r="BN56" s="50"/>
      <c r="BO56" s="52"/>
      <c r="BP56" s="53"/>
      <c r="BQ56" s="46"/>
      <c r="BR56" s="50"/>
      <c r="BS56" s="52"/>
      <c r="BT56" s="53"/>
      <c r="BU56" s="46"/>
      <c r="BV56" s="50"/>
      <c r="BW56" s="52"/>
      <c r="BX56" s="53"/>
      <c r="BY56" s="46"/>
      <c r="BZ56" s="50"/>
      <c r="CA56" s="52"/>
      <c r="CB56" s="111"/>
      <c r="CC56" s="60"/>
      <c r="CD56" s="186"/>
      <c r="CE56" s="64"/>
      <c r="CF56" s="64"/>
      <c r="CG56" s="64"/>
      <c r="CH56" s="68"/>
      <c r="CI56" s="68"/>
      <c r="CJ56" s="68"/>
      <c r="CK56" s="164"/>
      <c r="CL56" s="68"/>
      <c r="CM56" s="68"/>
      <c r="CN56" s="68"/>
      <c r="CO56" s="68"/>
      <c r="CP56" s="165"/>
      <c r="CQ56" s="115"/>
      <c r="CR56" s="68"/>
      <c r="CS56" s="68"/>
      <c r="CT56" s="60"/>
      <c r="CU56" s="60"/>
      <c r="CV56" s="60"/>
      <c r="CW56" s="60"/>
      <c r="CX56" s="60"/>
      <c r="CY56" s="60"/>
      <c r="CZ56" s="60"/>
      <c r="DA56" s="60"/>
    </row>
    <row r="57" ht="31.5" hidden="1" customHeight="1">
      <c r="A57" s="43"/>
      <c r="B57" s="44"/>
      <c r="C57" s="44"/>
      <c r="D57" s="45"/>
      <c r="E57" s="46"/>
      <c r="F57" s="117"/>
      <c r="G57" s="119"/>
      <c r="H57" s="45"/>
      <c r="I57" s="46"/>
      <c r="J57" s="50"/>
      <c r="K57" s="52"/>
      <c r="L57" s="53"/>
      <c r="M57" s="46"/>
      <c r="N57" s="50"/>
      <c r="O57" s="52"/>
      <c r="P57" s="53"/>
      <c r="Q57" s="46"/>
      <c r="R57" s="50"/>
      <c r="S57" s="52"/>
      <c r="T57" s="53"/>
      <c r="U57" s="56"/>
      <c r="V57" s="50"/>
      <c r="W57" s="52"/>
      <c r="X57" s="53"/>
      <c r="Y57" s="56"/>
      <c r="Z57" s="50"/>
      <c r="AA57" s="52"/>
      <c r="AB57" s="53"/>
      <c r="AC57" s="56"/>
      <c r="AD57" s="50"/>
      <c r="AE57" s="52"/>
      <c r="AF57" s="53"/>
      <c r="AG57" s="46"/>
      <c r="AH57" s="47"/>
      <c r="AI57" s="48"/>
      <c r="AJ57" s="49"/>
      <c r="AK57" s="46"/>
      <c r="AL57" s="50"/>
      <c r="AM57" s="53"/>
      <c r="AN57" s="53"/>
      <c r="AO57" s="46"/>
      <c r="AP57" s="50"/>
      <c r="AQ57" s="52"/>
      <c r="AR57" s="53"/>
      <c r="AS57" s="46"/>
      <c r="AT57" s="50"/>
      <c r="AU57" s="52"/>
      <c r="AV57" s="53"/>
      <c r="AW57" s="46"/>
      <c r="AX57" s="50"/>
      <c r="AY57" s="52"/>
      <c r="AZ57" s="53"/>
      <c r="BA57" s="46"/>
      <c r="BB57" s="50"/>
      <c r="BC57" s="52"/>
      <c r="BD57" s="53"/>
      <c r="BE57" s="46"/>
      <c r="BF57" s="50"/>
      <c r="BG57" s="52"/>
      <c r="BH57" s="53"/>
      <c r="BI57" s="46"/>
      <c r="BJ57" s="50"/>
      <c r="BK57" s="52"/>
      <c r="BL57" s="53"/>
      <c r="BM57" s="46"/>
      <c r="BN57" s="50"/>
      <c r="BO57" s="52"/>
      <c r="BP57" s="53"/>
      <c r="BQ57" s="46"/>
      <c r="BR57" s="50"/>
      <c r="BS57" s="52"/>
      <c r="BT57" s="53"/>
      <c r="BU57" s="46"/>
      <c r="BV57" s="50"/>
      <c r="BW57" s="52"/>
      <c r="BX57" s="53"/>
      <c r="BY57" s="46"/>
      <c r="BZ57" s="50"/>
      <c r="CA57" s="52"/>
      <c r="CB57" s="111"/>
      <c r="CC57" s="60"/>
      <c r="CD57" s="186"/>
      <c r="CE57" s="64"/>
      <c r="CF57" s="64"/>
      <c r="CG57" s="64"/>
      <c r="CH57" s="68"/>
      <c r="CI57" s="68"/>
      <c r="CJ57" s="68"/>
      <c r="CK57" s="164"/>
      <c r="CL57" s="68"/>
      <c r="CM57" s="68"/>
      <c r="CN57" s="68"/>
      <c r="CO57" s="68"/>
      <c r="CP57" s="165"/>
      <c r="CQ57" s="115"/>
      <c r="CR57" s="68"/>
      <c r="CS57" s="68"/>
      <c r="CT57" s="60"/>
      <c r="CU57" s="60"/>
      <c r="CV57" s="60"/>
      <c r="CW57" s="60"/>
      <c r="CX57" s="60"/>
      <c r="CY57" s="60"/>
      <c r="CZ57" s="60"/>
      <c r="DA57" s="60"/>
    </row>
    <row r="58" ht="31.5" hidden="1" customHeight="1">
      <c r="A58" s="43"/>
      <c r="B58" s="44"/>
      <c r="C58" s="44"/>
      <c r="D58" s="45"/>
      <c r="E58" s="46"/>
      <c r="F58" s="125"/>
      <c r="G58" s="126"/>
      <c r="H58" s="127"/>
      <c r="I58" s="46"/>
      <c r="J58" s="50"/>
      <c r="K58" s="52"/>
      <c r="L58" s="53"/>
      <c r="M58" s="46"/>
      <c r="N58" s="50"/>
      <c r="O58" s="52"/>
      <c r="P58" s="53"/>
      <c r="Q58" s="46"/>
      <c r="R58" s="50"/>
      <c r="S58" s="52"/>
      <c r="T58" s="53"/>
      <c r="U58" s="56"/>
      <c r="V58" s="50"/>
      <c r="W58" s="52"/>
      <c r="X58" s="53"/>
      <c r="Y58" s="56"/>
      <c r="Z58" s="50"/>
      <c r="AA58" s="52"/>
      <c r="AB58" s="53"/>
      <c r="AC58" s="56"/>
      <c r="AD58" s="50"/>
      <c r="AE58" s="52"/>
      <c r="AF58" s="53"/>
      <c r="AG58" s="46"/>
      <c r="AH58" s="47"/>
      <c r="AI58" s="48"/>
      <c r="AJ58" s="49"/>
      <c r="AK58" s="46"/>
      <c r="AL58" s="50"/>
      <c r="AM58" s="53"/>
      <c r="AN58" s="53"/>
      <c r="AO58" s="46"/>
      <c r="AP58" s="50"/>
      <c r="AQ58" s="52"/>
      <c r="AR58" s="53"/>
      <c r="AS58" s="46"/>
      <c r="AT58" s="50"/>
      <c r="AU58" s="52"/>
      <c r="AV58" s="53"/>
      <c r="AW58" s="46"/>
      <c r="AX58" s="50"/>
      <c r="AY58" s="52"/>
      <c r="AZ58" s="53"/>
      <c r="BA58" s="46"/>
      <c r="BB58" s="50"/>
      <c r="BC58" s="52"/>
      <c r="BD58" s="53"/>
      <c r="BE58" s="46"/>
      <c r="BF58" s="50"/>
      <c r="BG58" s="52"/>
      <c r="BH58" s="53"/>
      <c r="BI58" s="46"/>
      <c r="BJ58" s="50"/>
      <c r="BK58" s="52"/>
      <c r="BL58" s="53"/>
      <c r="BM58" s="46"/>
      <c r="BN58" s="50"/>
      <c r="BO58" s="52"/>
      <c r="BP58" s="53"/>
      <c r="BQ58" s="46"/>
      <c r="BR58" s="50"/>
      <c r="BS58" s="52"/>
      <c r="BT58" s="53"/>
      <c r="BU58" s="46"/>
      <c r="BV58" s="50"/>
      <c r="BW58" s="52"/>
      <c r="BX58" s="53"/>
      <c r="BY58" s="46"/>
      <c r="BZ58" s="50"/>
      <c r="CA58" s="52"/>
      <c r="CB58" s="111"/>
      <c r="CC58" s="60"/>
      <c r="CD58" s="186"/>
      <c r="CE58" s="64"/>
      <c r="CF58" s="64"/>
      <c r="CG58" s="64"/>
      <c r="CH58" s="68"/>
      <c r="CI58" s="68"/>
      <c r="CJ58" s="68"/>
      <c r="CK58" s="164"/>
      <c r="CL58" s="68"/>
      <c r="CM58" s="68"/>
      <c r="CN58" s="68"/>
      <c r="CO58" s="68"/>
      <c r="CP58" s="165"/>
      <c r="CQ58" s="115"/>
      <c r="CR58" s="68"/>
      <c r="CS58" s="68"/>
      <c r="CT58" s="60"/>
      <c r="CU58" s="60"/>
      <c r="CV58" s="60"/>
      <c r="CW58" s="60"/>
      <c r="CX58" s="60"/>
      <c r="CY58" s="60"/>
      <c r="CZ58" s="60"/>
      <c r="DA58" s="60"/>
    </row>
    <row r="59" ht="31.5" hidden="1" customHeight="1">
      <c r="A59" s="43"/>
      <c r="B59" s="44"/>
      <c r="C59" s="44"/>
      <c r="D59" s="45"/>
      <c r="E59" s="46"/>
      <c r="F59" s="117"/>
      <c r="G59" s="119"/>
      <c r="H59" s="45"/>
      <c r="I59" s="46"/>
      <c r="J59" s="50"/>
      <c r="K59" s="52"/>
      <c r="L59" s="53"/>
      <c r="M59" s="46"/>
      <c r="N59" s="50"/>
      <c r="O59" s="52"/>
      <c r="P59" s="53"/>
      <c r="Q59" s="46"/>
      <c r="R59" s="50"/>
      <c r="S59" s="52"/>
      <c r="T59" s="53"/>
      <c r="U59" s="56"/>
      <c r="V59" s="50"/>
      <c r="W59" s="52"/>
      <c r="X59" s="53"/>
      <c r="Y59" s="56"/>
      <c r="Z59" s="50"/>
      <c r="AA59" s="52"/>
      <c r="AB59" s="53"/>
      <c r="AC59" s="56"/>
      <c r="AD59" s="50"/>
      <c r="AE59" s="52"/>
      <c r="AF59" s="53"/>
      <c r="AG59" s="46"/>
      <c r="AH59" s="47"/>
      <c r="AI59" s="48"/>
      <c r="AJ59" s="49"/>
      <c r="AK59" s="46"/>
      <c r="AL59" s="50"/>
      <c r="AM59" s="53"/>
      <c r="AN59" s="53"/>
      <c r="AO59" s="46"/>
      <c r="AP59" s="50"/>
      <c r="AQ59" s="52"/>
      <c r="AR59" s="53"/>
      <c r="AS59" s="46"/>
      <c r="AT59" s="50"/>
      <c r="AU59" s="52"/>
      <c r="AV59" s="53"/>
      <c r="AW59" s="46"/>
      <c r="AX59" s="50"/>
      <c r="AY59" s="52"/>
      <c r="AZ59" s="53"/>
      <c r="BA59" s="46"/>
      <c r="BB59" s="50"/>
      <c r="BC59" s="52"/>
      <c r="BD59" s="53"/>
      <c r="BE59" s="46"/>
      <c r="BF59" s="50"/>
      <c r="BG59" s="52"/>
      <c r="BH59" s="53"/>
      <c r="BI59" s="46"/>
      <c r="BJ59" s="50"/>
      <c r="BK59" s="52"/>
      <c r="BL59" s="53"/>
      <c r="BM59" s="46"/>
      <c r="BN59" s="50"/>
      <c r="BO59" s="52"/>
      <c r="BP59" s="53"/>
      <c r="BQ59" s="46"/>
      <c r="BR59" s="50"/>
      <c r="BS59" s="52"/>
      <c r="BT59" s="53"/>
      <c r="BU59" s="46"/>
      <c r="BV59" s="50"/>
      <c r="BW59" s="52"/>
      <c r="BX59" s="53"/>
      <c r="BY59" s="46"/>
      <c r="BZ59" s="50"/>
      <c r="CA59" s="52"/>
      <c r="CB59" s="111"/>
      <c r="CC59" s="60"/>
      <c r="CD59" s="186"/>
      <c r="CE59" s="64"/>
      <c r="CF59" s="64"/>
      <c r="CG59" s="64"/>
      <c r="CH59" s="68"/>
      <c r="CI59" s="68"/>
      <c r="CJ59" s="68"/>
      <c r="CK59" s="164"/>
      <c r="CL59" s="68"/>
      <c r="CM59" s="68"/>
      <c r="CN59" s="68"/>
      <c r="CO59" s="68"/>
      <c r="CP59" s="165"/>
      <c r="CQ59" s="115"/>
      <c r="CR59" s="68"/>
      <c r="CS59" s="68"/>
      <c r="CT59" s="60"/>
      <c r="CU59" s="60"/>
      <c r="CV59" s="60"/>
      <c r="CW59" s="60"/>
      <c r="CX59" s="60"/>
      <c r="CY59" s="60"/>
      <c r="CZ59" s="60"/>
      <c r="DA59" s="60"/>
    </row>
    <row r="60" ht="31.5" hidden="1" customHeight="1">
      <c r="A60" s="43"/>
      <c r="B60" s="44"/>
      <c r="C60" s="44"/>
      <c r="D60" s="45"/>
      <c r="E60" s="46"/>
      <c r="F60" s="125"/>
      <c r="G60" s="126"/>
      <c r="H60" s="127"/>
      <c r="I60" s="46"/>
      <c r="J60" s="50"/>
      <c r="K60" s="52"/>
      <c r="L60" s="53"/>
      <c r="M60" s="46"/>
      <c r="N60" s="50"/>
      <c r="O60" s="52"/>
      <c r="P60" s="53"/>
      <c r="Q60" s="46"/>
      <c r="R60" s="50"/>
      <c r="S60" s="52"/>
      <c r="T60" s="53"/>
      <c r="U60" s="56"/>
      <c r="V60" s="50"/>
      <c r="W60" s="52"/>
      <c r="X60" s="53"/>
      <c r="Y60" s="56"/>
      <c r="Z60" s="50"/>
      <c r="AA60" s="52"/>
      <c r="AB60" s="53"/>
      <c r="AC60" s="56"/>
      <c r="AD60" s="50"/>
      <c r="AE60" s="52"/>
      <c r="AF60" s="53"/>
      <c r="AG60" s="46"/>
      <c r="AH60" s="47"/>
      <c r="AI60" s="48"/>
      <c r="AJ60" s="49"/>
      <c r="AK60" s="46"/>
      <c r="AL60" s="50"/>
      <c r="AM60" s="53"/>
      <c r="AN60" s="53"/>
      <c r="AO60" s="46"/>
      <c r="AP60" s="50"/>
      <c r="AQ60" s="52"/>
      <c r="AR60" s="53"/>
      <c r="AS60" s="46"/>
      <c r="AT60" s="50"/>
      <c r="AU60" s="52"/>
      <c r="AV60" s="53"/>
      <c r="AW60" s="46"/>
      <c r="AX60" s="50"/>
      <c r="AY60" s="52"/>
      <c r="AZ60" s="53"/>
      <c r="BA60" s="46"/>
      <c r="BB60" s="50"/>
      <c r="BC60" s="52"/>
      <c r="BD60" s="53"/>
      <c r="BE60" s="46"/>
      <c r="BF60" s="50"/>
      <c r="BG60" s="52"/>
      <c r="BH60" s="53"/>
      <c r="BI60" s="46"/>
      <c r="BJ60" s="50"/>
      <c r="BK60" s="52"/>
      <c r="BL60" s="53"/>
      <c r="BM60" s="46"/>
      <c r="BN60" s="50"/>
      <c r="BO60" s="52"/>
      <c r="BP60" s="53"/>
      <c r="BQ60" s="46"/>
      <c r="BR60" s="50"/>
      <c r="BS60" s="52"/>
      <c r="BT60" s="53"/>
      <c r="BU60" s="46"/>
      <c r="BV60" s="50"/>
      <c r="BW60" s="52"/>
      <c r="BX60" s="53"/>
      <c r="BY60" s="46"/>
      <c r="BZ60" s="50"/>
      <c r="CA60" s="52"/>
      <c r="CB60" s="111"/>
      <c r="CC60" s="60"/>
      <c r="CD60" s="186"/>
      <c r="CE60" s="64"/>
      <c r="CF60" s="64"/>
      <c r="CG60" s="64"/>
      <c r="CH60" s="68"/>
      <c r="CI60" s="68"/>
      <c r="CJ60" s="68"/>
      <c r="CK60" s="164"/>
      <c r="CL60" s="68"/>
      <c r="CM60" s="68"/>
      <c r="CN60" s="68"/>
      <c r="CO60" s="68"/>
      <c r="CP60" s="165"/>
      <c r="CQ60" s="115"/>
      <c r="CR60" s="68"/>
      <c r="CS60" s="68"/>
      <c r="CT60" s="60"/>
      <c r="CU60" s="60"/>
      <c r="CV60" s="60"/>
      <c r="CW60" s="60"/>
      <c r="CX60" s="60"/>
      <c r="CY60" s="60"/>
      <c r="CZ60" s="60"/>
      <c r="DA60" s="60"/>
    </row>
    <row r="61" ht="31.5" hidden="1" customHeight="1">
      <c r="A61" s="43"/>
      <c r="B61" s="44"/>
      <c r="C61" s="44"/>
      <c r="D61" s="45"/>
      <c r="E61" s="46"/>
      <c r="F61" s="117"/>
      <c r="G61" s="119"/>
      <c r="H61" s="45"/>
      <c r="I61" s="46"/>
      <c r="J61" s="50"/>
      <c r="K61" s="52"/>
      <c r="L61" s="53"/>
      <c r="M61" s="46"/>
      <c r="N61" s="50"/>
      <c r="O61" s="52"/>
      <c r="P61" s="53"/>
      <c r="Q61" s="46"/>
      <c r="R61" s="50"/>
      <c r="S61" s="52"/>
      <c r="T61" s="53"/>
      <c r="U61" s="56"/>
      <c r="V61" s="50"/>
      <c r="W61" s="52"/>
      <c r="X61" s="53"/>
      <c r="Y61" s="56"/>
      <c r="Z61" s="50"/>
      <c r="AA61" s="52"/>
      <c r="AB61" s="53"/>
      <c r="AC61" s="56"/>
      <c r="AD61" s="50"/>
      <c r="AE61" s="52"/>
      <c r="AF61" s="53"/>
      <c r="AG61" s="46"/>
      <c r="AH61" s="47"/>
      <c r="AI61" s="48"/>
      <c r="AJ61" s="49"/>
      <c r="AK61" s="46"/>
      <c r="AL61" s="50"/>
      <c r="AM61" s="53"/>
      <c r="AN61" s="53"/>
      <c r="AO61" s="46"/>
      <c r="AP61" s="50"/>
      <c r="AQ61" s="52"/>
      <c r="AR61" s="53"/>
      <c r="AS61" s="46"/>
      <c r="AT61" s="50"/>
      <c r="AU61" s="52"/>
      <c r="AV61" s="53"/>
      <c r="AW61" s="46"/>
      <c r="AX61" s="50"/>
      <c r="AY61" s="52"/>
      <c r="AZ61" s="53"/>
      <c r="BA61" s="46"/>
      <c r="BB61" s="50"/>
      <c r="BC61" s="52"/>
      <c r="BD61" s="53"/>
      <c r="BE61" s="46"/>
      <c r="BF61" s="50"/>
      <c r="BG61" s="52"/>
      <c r="BH61" s="53"/>
      <c r="BI61" s="46"/>
      <c r="BJ61" s="50"/>
      <c r="BK61" s="52"/>
      <c r="BL61" s="53"/>
      <c r="BM61" s="46"/>
      <c r="BN61" s="50"/>
      <c r="BO61" s="52"/>
      <c r="BP61" s="53"/>
      <c r="BQ61" s="46"/>
      <c r="BR61" s="50"/>
      <c r="BS61" s="52"/>
      <c r="BT61" s="53"/>
      <c r="BU61" s="46"/>
      <c r="BV61" s="50"/>
      <c r="BW61" s="52"/>
      <c r="BX61" s="53"/>
      <c r="BY61" s="46"/>
      <c r="BZ61" s="50"/>
      <c r="CA61" s="52"/>
      <c r="CB61" s="111"/>
      <c r="CC61" s="60"/>
      <c r="CD61" s="186"/>
      <c r="CE61" s="64"/>
      <c r="CF61" s="64"/>
      <c r="CG61" s="64"/>
      <c r="CH61" s="68"/>
      <c r="CI61" s="68"/>
      <c r="CJ61" s="68"/>
      <c r="CK61" s="164"/>
      <c r="CL61" s="68"/>
      <c r="CM61" s="68"/>
      <c r="CN61" s="68"/>
      <c r="CO61" s="68"/>
      <c r="CP61" s="165"/>
      <c r="CQ61" s="115"/>
      <c r="CR61" s="68"/>
      <c r="CS61" s="68"/>
      <c r="CT61" s="60"/>
      <c r="CU61" s="60"/>
      <c r="CV61" s="60"/>
      <c r="CW61" s="60"/>
      <c r="CX61" s="60"/>
      <c r="CY61" s="60"/>
      <c r="CZ61" s="60"/>
      <c r="DA61" s="60"/>
    </row>
    <row r="62" ht="31.5" hidden="1" customHeight="1">
      <c r="A62" s="43"/>
      <c r="B62" s="44"/>
      <c r="C62" s="44"/>
      <c r="D62" s="45"/>
      <c r="E62" s="46"/>
      <c r="F62" s="125"/>
      <c r="G62" s="126"/>
      <c r="H62" s="127"/>
      <c r="I62" s="46"/>
      <c r="J62" s="50"/>
      <c r="K62" s="52"/>
      <c r="L62" s="53"/>
      <c r="M62" s="46"/>
      <c r="N62" s="50"/>
      <c r="O62" s="52"/>
      <c r="P62" s="53"/>
      <c r="Q62" s="46"/>
      <c r="R62" s="50"/>
      <c r="S62" s="52"/>
      <c r="T62" s="53"/>
      <c r="U62" s="56"/>
      <c r="V62" s="50"/>
      <c r="W62" s="52"/>
      <c r="X62" s="53"/>
      <c r="Y62" s="56"/>
      <c r="Z62" s="50"/>
      <c r="AA62" s="52"/>
      <c r="AB62" s="53"/>
      <c r="AC62" s="56"/>
      <c r="AD62" s="50"/>
      <c r="AE62" s="52"/>
      <c r="AF62" s="53"/>
      <c r="AG62" s="46"/>
      <c r="AH62" s="47"/>
      <c r="AI62" s="48"/>
      <c r="AJ62" s="49"/>
      <c r="AK62" s="46"/>
      <c r="AL62" s="50"/>
      <c r="AM62" s="53"/>
      <c r="AN62" s="53"/>
      <c r="AO62" s="46"/>
      <c r="AP62" s="50"/>
      <c r="AQ62" s="52"/>
      <c r="AR62" s="53"/>
      <c r="AS62" s="46"/>
      <c r="AT62" s="50"/>
      <c r="AU62" s="52"/>
      <c r="AV62" s="53"/>
      <c r="AW62" s="46"/>
      <c r="AX62" s="50"/>
      <c r="AY62" s="52"/>
      <c r="AZ62" s="53"/>
      <c r="BA62" s="46"/>
      <c r="BB62" s="50"/>
      <c r="BC62" s="52"/>
      <c r="BD62" s="53"/>
      <c r="BE62" s="46"/>
      <c r="BF62" s="50"/>
      <c r="BG62" s="52"/>
      <c r="BH62" s="53"/>
      <c r="BI62" s="46"/>
      <c r="BJ62" s="50"/>
      <c r="BK62" s="52"/>
      <c r="BL62" s="53"/>
      <c r="BM62" s="46"/>
      <c r="BN62" s="50"/>
      <c r="BO62" s="52"/>
      <c r="BP62" s="53"/>
      <c r="BQ62" s="46"/>
      <c r="BR62" s="50"/>
      <c r="BS62" s="52"/>
      <c r="BT62" s="53"/>
      <c r="BU62" s="46"/>
      <c r="BV62" s="50"/>
      <c r="BW62" s="52"/>
      <c r="BX62" s="53"/>
      <c r="BY62" s="46"/>
      <c r="BZ62" s="50"/>
      <c r="CA62" s="52"/>
      <c r="CB62" s="111"/>
      <c r="CC62" s="60"/>
      <c r="CD62" s="186"/>
      <c r="CE62" s="64"/>
      <c r="CF62" s="64"/>
      <c r="CG62" s="64"/>
      <c r="CH62" s="68"/>
      <c r="CI62" s="68"/>
      <c r="CJ62" s="68"/>
      <c r="CK62" s="164"/>
      <c r="CL62" s="68"/>
      <c r="CM62" s="68"/>
      <c r="CN62" s="68"/>
      <c r="CO62" s="68"/>
      <c r="CP62" s="165"/>
      <c r="CQ62" s="115"/>
      <c r="CR62" s="68"/>
      <c r="CS62" s="68"/>
      <c r="CT62" s="60"/>
      <c r="CU62" s="60"/>
      <c r="CV62" s="60"/>
      <c r="CW62" s="60"/>
      <c r="CX62" s="60"/>
      <c r="CY62" s="60"/>
      <c r="CZ62" s="60"/>
      <c r="DA62" s="60"/>
    </row>
    <row r="63" ht="31.5" hidden="1" customHeight="1">
      <c r="A63" s="43"/>
      <c r="B63" s="44"/>
      <c r="C63" s="44"/>
      <c r="D63" s="45"/>
      <c r="E63" s="46"/>
      <c r="F63" s="117"/>
      <c r="G63" s="119"/>
      <c r="H63" s="45"/>
      <c r="I63" s="46"/>
      <c r="J63" s="50"/>
      <c r="K63" s="52"/>
      <c r="L63" s="53"/>
      <c r="M63" s="46"/>
      <c r="N63" s="50"/>
      <c r="O63" s="52"/>
      <c r="P63" s="53"/>
      <c r="Q63" s="46"/>
      <c r="R63" s="50"/>
      <c r="S63" s="52"/>
      <c r="T63" s="53"/>
      <c r="U63" s="56"/>
      <c r="V63" s="50"/>
      <c r="W63" s="52"/>
      <c r="X63" s="53"/>
      <c r="Y63" s="56"/>
      <c r="Z63" s="50"/>
      <c r="AA63" s="52"/>
      <c r="AB63" s="53"/>
      <c r="AC63" s="56"/>
      <c r="AD63" s="50"/>
      <c r="AE63" s="52"/>
      <c r="AF63" s="53"/>
      <c r="AG63" s="46"/>
      <c r="AH63" s="47"/>
      <c r="AI63" s="48"/>
      <c r="AJ63" s="49"/>
      <c r="AK63" s="46"/>
      <c r="AL63" s="50"/>
      <c r="AM63" s="53"/>
      <c r="AN63" s="53"/>
      <c r="AO63" s="46"/>
      <c r="AP63" s="50"/>
      <c r="AQ63" s="52"/>
      <c r="AR63" s="53"/>
      <c r="AS63" s="46"/>
      <c r="AT63" s="50"/>
      <c r="AU63" s="52"/>
      <c r="AV63" s="53"/>
      <c r="AW63" s="46"/>
      <c r="AX63" s="50"/>
      <c r="AY63" s="52"/>
      <c r="AZ63" s="53"/>
      <c r="BA63" s="46"/>
      <c r="BB63" s="50"/>
      <c r="BC63" s="52"/>
      <c r="BD63" s="53"/>
      <c r="BE63" s="46"/>
      <c r="BF63" s="50"/>
      <c r="BG63" s="52"/>
      <c r="BH63" s="53"/>
      <c r="BI63" s="46"/>
      <c r="BJ63" s="50"/>
      <c r="BK63" s="52"/>
      <c r="BL63" s="53"/>
      <c r="BM63" s="46"/>
      <c r="BN63" s="50"/>
      <c r="BO63" s="52"/>
      <c r="BP63" s="53"/>
      <c r="BQ63" s="46"/>
      <c r="BR63" s="50"/>
      <c r="BS63" s="52"/>
      <c r="BT63" s="53"/>
      <c r="BU63" s="46"/>
      <c r="BV63" s="50"/>
      <c r="BW63" s="52"/>
      <c r="BX63" s="53"/>
      <c r="BY63" s="46"/>
      <c r="BZ63" s="50"/>
      <c r="CA63" s="52"/>
      <c r="CB63" s="111"/>
      <c r="CC63" s="60"/>
      <c r="CD63" s="186"/>
      <c r="CE63" s="64"/>
      <c r="CF63" s="64"/>
      <c r="CG63" s="64"/>
      <c r="CH63" s="68"/>
      <c r="CI63" s="68"/>
      <c r="CJ63" s="68"/>
      <c r="CK63" s="164"/>
      <c r="CL63" s="68"/>
      <c r="CM63" s="68"/>
      <c r="CN63" s="68"/>
      <c r="CO63" s="68"/>
      <c r="CP63" s="165"/>
      <c r="CQ63" s="115"/>
      <c r="CR63" s="68"/>
      <c r="CS63" s="68"/>
      <c r="CT63" s="60"/>
      <c r="CU63" s="60"/>
      <c r="CV63" s="60"/>
      <c r="CW63" s="60"/>
      <c r="CX63" s="60"/>
      <c r="CY63" s="60"/>
      <c r="CZ63" s="60"/>
      <c r="DA63" s="60"/>
    </row>
    <row r="64" ht="31.5" hidden="1" customHeight="1">
      <c r="A64" s="43"/>
      <c r="B64" s="44"/>
      <c r="C64" s="44"/>
      <c r="D64" s="45"/>
      <c r="E64" s="46"/>
      <c r="F64" s="125"/>
      <c r="G64" s="126"/>
      <c r="H64" s="127"/>
      <c r="I64" s="46"/>
      <c r="J64" s="50"/>
      <c r="K64" s="52"/>
      <c r="L64" s="53"/>
      <c r="M64" s="46"/>
      <c r="N64" s="50"/>
      <c r="O64" s="52"/>
      <c r="P64" s="53"/>
      <c r="Q64" s="46"/>
      <c r="R64" s="50"/>
      <c r="S64" s="52"/>
      <c r="T64" s="53"/>
      <c r="U64" s="56"/>
      <c r="V64" s="50"/>
      <c r="W64" s="52"/>
      <c r="X64" s="53"/>
      <c r="Y64" s="56"/>
      <c r="Z64" s="50"/>
      <c r="AA64" s="52"/>
      <c r="AB64" s="53"/>
      <c r="AC64" s="56"/>
      <c r="AD64" s="50"/>
      <c r="AE64" s="52"/>
      <c r="AF64" s="53"/>
      <c r="AG64" s="46"/>
      <c r="AH64" s="47"/>
      <c r="AI64" s="48"/>
      <c r="AJ64" s="49"/>
      <c r="AK64" s="46"/>
      <c r="AL64" s="50"/>
      <c r="AM64" s="53"/>
      <c r="AN64" s="53"/>
      <c r="AO64" s="46"/>
      <c r="AP64" s="50"/>
      <c r="AQ64" s="52"/>
      <c r="AR64" s="53"/>
      <c r="AS64" s="46"/>
      <c r="AT64" s="50"/>
      <c r="AU64" s="52"/>
      <c r="AV64" s="53"/>
      <c r="AW64" s="46"/>
      <c r="AX64" s="50"/>
      <c r="AY64" s="52"/>
      <c r="AZ64" s="53"/>
      <c r="BA64" s="46"/>
      <c r="BB64" s="50"/>
      <c r="BC64" s="52"/>
      <c r="BD64" s="53"/>
      <c r="BE64" s="46"/>
      <c r="BF64" s="50"/>
      <c r="BG64" s="52"/>
      <c r="BH64" s="53"/>
      <c r="BI64" s="46"/>
      <c r="BJ64" s="50"/>
      <c r="BK64" s="52"/>
      <c r="BL64" s="53"/>
      <c r="BM64" s="46"/>
      <c r="BN64" s="50"/>
      <c r="BO64" s="52"/>
      <c r="BP64" s="53"/>
      <c r="BQ64" s="46"/>
      <c r="BR64" s="50"/>
      <c r="BS64" s="52"/>
      <c r="BT64" s="53"/>
      <c r="BU64" s="46"/>
      <c r="BV64" s="50"/>
      <c r="BW64" s="52"/>
      <c r="BX64" s="53"/>
      <c r="BY64" s="46"/>
      <c r="BZ64" s="50"/>
      <c r="CA64" s="52"/>
      <c r="CB64" s="111"/>
      <c r="CC64" s="60"/>
      <c r="CD64" s="186"/>
      <c r="CE64" s="64"/>
      <c r="CF64" s="64"/>
      <c r="CG64" s="64"/>
      <c r="CH64" s="68"/>
      <c r="CI64" s="68"/>
      <c r="CJ64" s="68"/>
      <c r="CK64" s="164"/>
      <c r="CL64" s="68"/>
      <c r="CM64" s="68"/>
      <c r="CN64" s="68"/>
      <c r="CO64" s="68"/>
      <c r="CP64" s="165"/>
      <c r="CQ64" s="115"/>
      <c r="CR64" s="68"/>
      <c r="CS64" s="68"/>
      <c r="CT64" s="60"/>
      <c r="CU64" s="60"/>
      <c r="CV64" s="60"/>
      <c r="CW64" s="60"/>
      <c r="CX64" s="60"/>
      <c r="CY64" s="60"/>
      <c r="CZ64" s="60"/>
      <c r="DA64" s="60"/>
    </row>
    <row r="65" ht="31.5" hidden="1" customHeight="1">
      <c r="A65" s="43"/>
      <c r="B65" s="44"/>
      <c r="C65" s="44"/>
      <c r="D65" s="45"/>
      <c r="E65" s="46"/>
      <c r="F65" s="117"/>
      <c r="G65" s="119"/>
      <c r="H65" s="45"/>
      <c r="I65" s="46"/>
      <c r="J65" s="50"/>
      <c r="K65" s="52"/>
      <c r="L65" s="53"/>
      <c r="M65" s="46"/>
      <c r="N65" s="50"/>
      <c r="O65" s="52"/>
      <c r="P65" s="53"/>
      <c r="Q65" s="46"/>
      <c r="R65" s="50"/>
      <c r="S65" s="52"/>
      <c r="T65" s="53"/>
      <c r="U65" s="56"/>
      <c r="V65" s="50"/>
      <c r="W65" s="52"/>
      <c r="X65" s="53"/>
      <c r="Y65" s="56"/>
      <c r="Z65" s="50"/>
      <c r="AA65" s="52"/>
      <c r="AB65" s="53"/>
      <c r="AC65" s="56"/>
      <c r="AD65" s="50"/>
      <c r="AE65" s="52"/>
      <c r="AF65" s="53"/>
      <c r="AG65" s="46"/>
      <c r="AH65" s="47"/>
      <c r="AI65" s="48"/>
      <c r="AJ65" s="49"/>
      <c r="AK65" s="46"/>
      <c r="AL65" s="50"/>
      <c r="AM65" s="53"/>
      <c r="AN65" s="53"/>
      <c r="AO65" s="46"/>
      <c r="AP65" s="50"/>
      <c r="AQ65" s="52"/>
      <c r="AR65" s="53"/>
      <c r="AS65" s="46"/>
      <c r="AT65" s="50"/>
      <c r="AU65" s="52"/>
      <c r="AV65" s="53"/>
      <c r="AW65" s="46"/>
      <c r="AX65" s="50"/>
      <c r="AY65" s="52"/>
      <c r="AZ65" s="53"/>
      <c r="BA65" s="46"/>
      <c r="BB65" s="50"/>
      <c r="BC65" s="52"/>
      <c r="BD65" s="53"/>
      <c r="BE65" s="46"/>
      <c r="BF65" s="50"/>
      <c r="BG65" s="52"/>
      <c r="BH65" s="53"/>
      <c r="BI65" s="46"/>
      <c r="BJ65" s="50"/>
      <c r="BK65" s="52"/>
      <c r="BL65" s="53"/>
      <c r="BM65" s="46"/>
      <c r="BN65" s="50"/>
      <c r="BO65" s="52"/>
      <c r="BP65" s="53"/>
      <c r="BQ65" s="46"/>
      <c r="BR65" s="50"/>
      <c r="BS65" s="52"/>
      <c r="BT65" s="53"/>
      <c r="BU65" s="46"/>
      <c r="BV65" s="50"/>
      <c r="BW65" s="52"/>
      <c r="BX65" s="53"/>
      <c r="BY65" s="46"/>
      <c r="BZ65" s="50"/>
      <c r="CA65" s="52"/>
      <c r="CB65" s="111"/>
      <c r="CC65" s="60"/>
      <c r="CD65" s="186"/>
      <c r="CE65" s="64"/>
      <c r="CF65" s="64"/>
      <c r="CG65" s="64"/>
      <c r="CH65" s="68"/>
      <c r="CI65" s="68"/>
      <c r="CJ65" s="68"/>
      <c r="CK65" s="164"/>
      <c r="CL65" s="68"/>
      <c r="CM65" s="68"/>
      <c r="CN65" s="68"/>
      <c r="CO65" s="68"/>
      <c r="CP65" s="165"/>
      <c r="CQ65" s="115"/>
      <c r="CR65" s="68"/>
      <c r="CS65" s="68"/>
      <c r="CT65" s="60"/>
      <c r="CU65" s="60"/>
      <c r="CV65" s="60"/>
      <c r="CW65" s="60"/>
      <c r="CX65" s="60"/>
      <c r="CY65" s="60"/>
      <c r="CZ65" s="60"/>
      <c r="DA65" s="60"/>
    </row>
    <row r="66" ht="31.5" hidden="1" customHeight="1">
      <c r="A66" s="43"/>
      <c r="B66" s="44"/>
      <c r="C66" s="44"/>
      <c r="D66" s="45"/>
      <c r="E66" s="46"/>
      <c r="F66" s="125"/>
      <c r="G66" s="126"/>
      <c r="H66" s="127"/>
      <c r="I66" s="46"/>
      <c r="J66" s="50"/>
      <c r="K66" s="52"/>
      <c r="L66" s="53"/>
      <c r="M66" s="46"/>
      <c r="N66" s="50"/>
      <c r="O66" s="52"/>
      <c r="P66" s="53"/>
      <c r="Q66" s="46"/>
      <c r="R66" s="50"/>
      <c r="S66" s="52"/>
      <c r="T66" s="53"/>
      <c r="U66" s="56"/>
      <c r="V66" s="50"/>
      <c r="W66" s="52"/>
      <c r="X66" s="53"/>
      <c r="Y66" s="56"/>
      <c r="Z66" s="50"/>
      <c r="AA66" s="52"/>
      <c r="AB66" s="53"/>
      <c r="AC66" s="56"/>
      <c r="AD66" s="50"/>
      <c r="AE66" s="52"/>
      <c r="AF66" s="53"/>
      <c r="AG66" s="46"/>
      <c r="AH66" s="47"/>
      <c r="AI66" s="48"/>
      <c r="AJ66" s="49"/>
      <c r="AK66" s="46"/>
      <c r="AL66" s="50"/>
      <c r="AM66" s="53"/>
      <c r="AN66" s="53"/>
      <c r="AO66" s="46"/>
      <c r="AP66" s="50"/>
      <c r="AQ66" s="52"/>
      <c r="AR66" s="53"/>
      <c r="AS66" s="46"/>
      <c r="AT66" s="50"/>
      <c r="AU66" s="52"/>
      <c r="AV66" s="53"/>
      <c r="AW66" s="46"/>
      <c r="AX66" s="50"/>
      <c r="AY66" s="52"/>
      <c r="AZ66" s="53"/>
      <c r="BA66" s="46"/>
      <c r="BB66" s="50"/>
      <c r="BC66" s="52"/>
      <c r="BD66" s="53"/>
      <c r="BE66" s="46"/>
      <c r="BF66" s="50"/>
      <c r="BG66" s="52"/>
      <c r="BH66" s="53"/>
      <c r="BI66" s="46"/>
      <c r="BJ66" s="50"/>
      <c r="BK66" s="52"/>
      <c r="BL66" s="53"/>
      <c r="BM66" s="46"/>
      <c r="BN66" s="50"/>
      <c r="BO66" s="52"/>
      <c r="BP66" s="53"/>
      <c r="BQ66" s="46"/>
      <c r="BR66" s="50"/>
      <c r="BS66" s="52"/>
      <c r="BT66" s="53"/>
      <c r="BU66" s="46"/>
      <c r="BV66" s="50"/>
      <c r="BW66" s="52"/>
      <c r="BX66" s="53"/>
      <c r="BY66" s="46"/>
      <c r="BZ66" s="50"/>
      <c r="CA66" s="52"/>
      <c r="CB66" s="111"/>
      <c r="CC66" s="60"/>
      <c r="CD66" s="186"/>
      <c r="CE66" s="64"/>
      <c r="CF66" s="64"/>
      <c r="CG66" s="64"/>
      <c r="CH66" s="68"/>
      <c r="CI66" s="68"/>
      <c r="CJ66" s="68"/>
      <c r="CK66" s="164"/>
      <c r="CL66" s="68"/>
      <c r="CM66" s="68"/>
      <c r="CN66" s="68"/>
      <c r="CO66" s="68"/>
      <c r="CP66" s="165"/>
      <c r="CQ66" s="115"/>
      <c r="CR66" s="68"/>
      <c r="CS66" s="68"/>
      <c r="CT66" s="60"/>
      <c r="CU66" s="60"/>
      <c r="CV66" s="60"/>
      <c r="CW66" s="60"/>
      <c r="CX66" s="60"/>
      <c r="CY66" s="60"/>
      <c r="CZ66" s="60"/>
      <c r="DA66" s="60"/>
    </row>
    <row r="67" ht="31.5" hidden="1" customHeight="1">
      <c r="A67" s="43"/>
      <c r="B67" s="44"/>
      <c r="C67" s="44"/>
      <c r="D67" s="45"/>
      <c r="E67" s="46"/>
      <c r="F67" s="117"/>
      <c r="G67" s="119"/>
      <c r="H67" s="45"/>
      <c r="I67" s="46"/>
      <c r="J67" s="50"/>
      <c r="K67" s="52"/>
      <c r="L67" s="53"/>
      <c r="M67" s="46"/>
      <c r="N67" s="50"/>
      <c r="O67" s="52"/>
      <c r="P67" s="53"/>
      <c r="Q67" s="46"/>
      <c r="R67" s="50"/>
      <c r="S67" s="52"/>
      <c r="T67" s="53"/>
      <c r="U67" s="56"/>
      <c r="V67" s="50"/>
      <c r="W67" s="52"/>
      <c r="X67" s="53"/>
      <c r="Y67" s="56"/>
      <c r="Z67" s="50"/>
      <c r="AA67" s="52"/>
      <c r="AB67" s="53"/>
      <c r="AC67" s="56"/>
      <c r="AD67" s="50"/>
      <c r="AE67" s="52"/>
      <c r="AF67" s="53"/>
      <c r="AG67" s="46"/>
      <c r="AH67" s="47"/>
      <c r="AI67" s="48"/>
      <c r="AJ67" s="49"/>
      <c r="AK67" s="46"/>
      <c r="AL67" s="50"/>
      <c r="AM67" s="53"/>
      <c r="AN67" s="53"/>
      <c r="AO67" s="46"/>
      <c r="AP67" s="50"/>
      <c r="AQ67" s="52"/>
      <c r="AR67" s="53"/>
      <c r="AS67" s="46"/>
      <c r="AT67" s="50"/>
      <c r="AU67" s="52"/>
      <c r="AV67" s="53"/>
      <c r="AW67" s="46"/>
      <c r="AX67" s="50"/>
      <c r="AY67" s="52"/>
      <c r="AZ67" s="53"/>
      <c r="BA67" s="46"/>
      <c r="BB67" s="50"/>
      <c r="BC67" s="52"/>
      <c r="BD67" s="53"/>
      <c r="BE67" s="46"/>
      <c r="BF67" s="50"/>
      <c r="BG67" s="52"/>
      <c r="BH67" s="53"/>
      <c r="BI67" s="46"/>
      <c r="BJ67" s="50"/>
      <c r="BK67" s="52"/>
      <c r="BL67" s="53"/>
      <c r="BM67" s="46"/>
      <c r="BN67" s="50"/>
      <c r="BO67" s="52"/>
      <c r="BP67" s="53"/>
      <c r="BQ67" s="46"/>
      <c r="BR67" s="50"/>
      <c r="BS67" s="52"/>
      <c r="BT67" s="53"/>
      <c r="BU67" s="46"/>
      <c r="BV67" s="50"/>
      <c r="BW67" s="52"/>
      <c r="BX67" s="53"/>
      <c r="BY67" s="46"/>
      <c r="BZ67" s="50"/>
      <c r="CA67" s="52"/>
      <c r="CB67" s="111"/>
      <c r="CC67" s="60"/>
      <c r="CD67" s="186"/>
      <c r="CE67" s="64"/>
      <c r="CF67" s="64"/>
      <c r="CG67" s="64"/>
      <c r="CH67" s="68"/>
      <c r="CI67" s="68"/>
      <c r="CJ67" s="68"/>
      <c r="CK67" s="164"/>
      <c r="CL67" s="68"/>
      <c r="CM67" s="68"/>
      <c r="CN67" s="68"/>
      <c r="CO67" s="68"/>
      <c r="CP67" s="165"/>
      <c r="CQ67" s="115"/>
      <c r="CR67" s="68"/>
      <c r="CS67" s="68"/>
      <c r="CT67" s="60"/>
      <c r="CU67" s="60"/>
      <c r="CV67" s="60"/>
      <c r="CW67" s="60"/>
      <c r="CX67" s="60"/>
      <c r="CY67" s="60"/>
      <c r="CZ67" s="60"/>
      <c r="DA67" s="60"/>
    </row>
    <row r="68" ht="31.5" hidden="1" customHeight="1">
      <c r="A68" s="43"/>
      <c r="B68" s="44"/>
      <c r="C68" s="44"/>
      <c r="D68" s="45"/>
      <c r="E68" s="46"/>
      <c r="F68" s="125"/>
      <c r="G68" s="126"/>
      <c r="H68" s="127"/>
      <c r="I68" s="46"/>
      <c r="J68" s="50"/>
      <c r="K68" s="52"/>
      <c r="L68" s="53"/>
      <c r="M68" s="46"/>
      <c r="N68" s="50"/>
      <c r="O68" s="52"/>
      <c r="P68" s="53"/>
      <c r="Q68" s="46"/>
      <c r="R68" s="50"/>
      <c r="S68" s="52"/>
      <c r="T68" s="53"/>
      <c r="U68" s="56"/>
      <c r="V68" s="50"/>
      <c r="W68" s="52"/>
      <c r="X68" s="53"/>
      <c r="Y68" s="56"/>
      <c r="Z68" s="50"/>
      <c r="AA68" s="52"/>
      <c r="AB68" s="53"/>
      <c r="AC68" s="56"/>
      <c r="AD68" s="50"/>
      <c r="AE68" s="52"/>
      <c r="AF68" s="53"/>
      <c r="AG68" s="46"/>
      <c r="AH68" s="47"/>
      <c r="AI68" s="48"/>
      <c r="AJ68" s="49"/>
      <c r="AK68" s="46"/>
      <c r="AL68" s="50"/>
      <c r="AM68" s="53"/>
      <c r="AN68" s="53"/>
      <c r="AO68" s="46"/>
      <c r="AP68" s="50"/>
      <c r="AQ68" s="52"/>
      <c r="AR68" s="53"/>
      <c r="AS68" s="46"/>
      <c r="AT68" s="50"/>
      <c r="AU68" s="52"/>
      <c r="AV68" s="53"/>
      <c r="AW68" s="46"/>
      <c r="AX68" s="50"/>
      <c r="AY68" s="52"/>
      <c r="AZ68" s="53"/>
      <c r="BA68" s="46"/>
      <c r="BB68" s="50"/>
      <c r="BC68" s="52"/>
      <c r="BD68" s="53"/>
      <c r="BE68" s="46"/>
      <c r="BF68" s="50"/>
      <c r="BG68" s="52"/>
      <c r="BH68" s="53"/>
      <c r="BI68" s="46"/>
      <c r="BJ68" s="50"/>
      <c r="BK68" s="52"/>
      <c r="BL68" s="53"/>
      <c r="BM68" s="46"/>
      <c r="BN68" s="50"/>
      <c r="BO68" s="52"/>
      <c r="BP68" s="53"/>
      <c r="BQ68" s="46"/>
      <c r="BR68" s="50"/>
      <c r="BS68" s="52"/>
      <c r="BT68" s="53"/>
      <c r="BU68" s="46"/>
      <c r="BV68" s="50"/>
      <c r="BW68" s="52"/>
      <c r="BX68" s="53"/>
      <c r="BY68" s="46"/>
      <c r="BZ68" s="50"/>
      <c r="CA68" s="52"/>
      <c r="CB68" s="111"/>
      <c r="CC68" s="60"/>
      <c r="CD68" s="186"/>
      <c r="CE68" s="64"/>
      <c r="CF68" s="64"/>
      <c r="CG68" s="64"/>
      <c r="CH68" s="68"/>
      <c r="CI68" s="68"/>
      <c r="CJ68" s="68"/>
      <c r="CK68" s="164"/>
      <c r="CL68" s="68"/>
      <c r="CM68" s="68"/>
      <c r="CN68" s="68"/>
      <c r="CO68" s="68"/>
      <c r="CP68" s="165"/>
      <c r="CQ68" s="115"/>
      <c r="CR68" s="68"/>
      <c r="CS68" s="68"/>
      <c r="CT68" s="60"/>
      <c r="CU68" s="60"/>
      <c r="CV68" s="60"/>
      <c r="CW68" s="60"/>
      <c r="CX68" s="60"/>
      <c r="CY68" s="60"/>
      <c r="CZ68" s="60"/>
      <c r="DA68" s="60"/>
    </row>
    <row r="69" ht="31.5" hidden="1" customHeight="1">
      <c r="A69" s="43"/>
      <c r="B69" s="44"/>
      <c r="C69" s="44"/>
      <c r="D69" s="45"/>
      <c r="E69" s="46"/>
      <c r="F69" s="117"/>
      <c r="G69" s="119"/>
      <c r="H69" s="45"/>
      <c r="I69" s="46"/>
      <c r="J69" s="50"/>
      <c r="K69" s="52"/>
      <c r="L69" s="53"/>
      <c r="M69" s="46"/>
      <c r="N69" s="50"/>
      <c r="O69" s="52"/>
      <c r="P69" s="53"/>
      <c r="Q69" s="46"/>
      <c r="R69" s="50"/>
      <c r="S69" s="52"/>
      <c r="T69" s="53"/>
      <c r="U69" s="56"/>
      <c r="V69" s="50"/>
      <c r="W69" s="52"/>
      <c r="X69" s="53"/>
      <c r="Y69" s="56"/>
      <c r="Z69" s="50"/>
      <c r="AA69" s="52"/>
      <c r="AB69" s="53"/>
      <c r="AC69" s="56"/>
      <c r="AD69" s="50"/>
      <c r="AE69" s="52"/>
      <c r="AF69" s="53"/>
      <c r="AG69" s="46"/>
      <c r="AH69" s="47"/>
      <c r="AI69" s="48"/>
      <c r="AJ69" s="49"/>
      <c r="AK69" s="46"/>
      <c r="AL69" s="50"/>
      <c r="AM69" s="53"/>
      <c r="AN69" s="53"/>
      <c r="AO69" s="46"/>
      <c r="AP69" s="50"/>
      <c r="AQ69" s="52"/>
      <c r="AR69" s="53"/>
      <c r="AS69" s="46"/>
      <c r="AT69" s="50"/>
      <c r="AU69" s="52"/>
      <c r="AV69" s="53"/>
      <c r="AW69" s="46"/>
      <c r="AX69" s="50"/>
      <c r="AY69" s="52"/>
      <c r="AZ69" s="53"/>
      <c r="BA69" s="46"/>
      <c r="BB69" s="50"/>
      <c r="BC69" s="52"/>
      <c r="BD69" s="53"/>
      <c r="BE69" s="46"/>
      <c r="BF69" s="50"/>
      <c r="BG69" s="52"/>
      <c r="BH69" s="53"/>
      <c r="BI69" s="46"/>
      <c r="BJ69" s="50"/>
      <c r="BK69" s="52"/>
      <c r="BL69" s="53"/>
      <c r="BM69" s="46"/>
      <c r="BN69" s="50"/>
      <c r="BO69" s="52"/>
      <c r="BP69" s="53"/>
      <c r="BQ69" s="46"/>
      <c r="BR69" s="50"/>
      <c r="BS69" s="52"/>
      <c r="BT69" s="53"/>
      <c r="BU69" s="46"/>
      <c r="BV69" s="50"/>
      <c r="BW69" s="52"/>
      <c r="BX69" s="53"/>
      <c r="BY69" s="46"/>
      <c r="BZ69" s="50"/>
      <c r="CA69" s="52"/>
      <c r="CB69" s="111"/>
      <c r="CC69" s="60"/>
      <c r="CD69" s="186"/>
      <c r="CE69" s="64"/>
      <c r="CF69" s="64"/>
      <c r="CG69" s="64"/>
      <c r="CH69" s="68"/>
      <c r="CI69" s="68"/>
      <c r="CJ69" s="68"/>
      <c r="CK69" s="164"/>
      <c r="CL69" s="68"/>
      <c r="CM69" s="68"/>
      <c r="CN69" s="68"/>
      <c r="CO69" s="68"/>
      <c r="CP69" s="165"/>
      <c r="CQ69" s="115"/>
      <c r="CR69" s="68"/>
      <c r="CS69" s="68"/>
      <c r="CT69" s="60"/>
      <c r="CU69" s="60"/>
      <c r="CV69" s="60"/>
      <c r="CW69" s="60"/>
      <c r="CX69" s="60"/>
      <c r="CY69" s="60"/>
      <c r="CZ69" s="60"/>
      <c r="DA69" s="60"/>
    </row>
    <row r="70" ht="31.5" hidden="1" customHeight="1">
      <c r="A70" s="43"/>
      <c r="B70" s="44"/>
      <c r="C70" s="44"/>
      <c r="D70" s="45"/>
      <c r="E70" s="46"/>
      <c r="F70" s="125"/>
      <c r="G70" s="126"/>
      <c r="H70" s="127"/>
      <c r="I70" s="46"/>
      <c r="J70" s="50"/>
      <c r="K70" s="52"/>
      <c r="L70" s="53"/>
      <c r="M70" s="46"/>
      <c r="N70" s="50"/>
      <c r="O70" s="52"/>
      <c r="P70" s="53"/>
      <c r="Q70" s="46"/>
      <c r="R70" s="50"/>
      <c r="S70" s="52"/>
      <c r="T70" s="53"/>
      <c r="U70" s="56"/>
      <c r="V70" s="50"/>
      <c r="W70" s="52"/>
      <c r="X70" s="53"/>
      <c r="Y70" s="56"/>
      <c r="Z70" s="50"/>
      <c r="AA70" s="52"/>
      <c r="AB70" s="53"/>
      <c r="AC70" s="56"/>
      <c r="AD70" s="50"/>
      <c r="AE70" s="52"/>
      <c r="AF70" s="53"/>
      <c r="AG70" s="46"/>
      <c r="AH70" s="47"/>
      <c r="AI70" s="48"/>
      <c r="AJ70" s="49"/>
      <c r="AK70" s="46"/>
      <c r="AL70" s="50"/>
      <c r="AM70" s="53"/>
      <c r="AN70" s="53"/>
      <c r="AO70" s="46"/>
      <c r="AP70" s="50"/>
      <c r="AQ70" s="52"/>
      <c r="AR70" s="53"/>
      <c r="AS70" s="46"/>
      <c r="AT70" s="50"/>
      <c r="AU70" s="52"/>
      <c r="AV70" s="53"/>
      <c r="AW70" s="46"/>
      <c r="AX70" s="50"/>
      <c r="AY70" s="52"/>
      <c r="AZ70" s="53"/>
      <c r="BA70" s="46"/>
      <c r="BB70" s="50"/>
      <c r="BC70" s="52"/>
      <c r="BD70" s="53"/>
      <c r="BE70" s="46"/>
      <c r="BF70" s="50"/>
      <c r="BG70" s="52"/>
      <c r="BH70" s="53"/>
      <c r="BI70" s="46"/>
      <c r="BJ70" s="50"/>
      <c r="BK70" s="52"/>
      <c r="BL70" s="53"/>
      <c r="BM70" s="46"/>
      <c r="BN70" s="50"/>
      <c r="BO70" s="52"/>
      <c r="BP70" s="53"/>
      <c r="BQ70" s="46"/>
      <c r="BR70" s="50"/>
      <c r="BS70" s="52"/>
      <c r="BT70" s="53"/>
      <c r="BU70" s="46"/>
      <c r="BV70" s="50"/>
      <c r="BW70" s="52"/>
      <c r="BX70" s="53"/>
      <c r="BY70" s="46"/>
      <c r="BZ70" s="50"/>
      <c r="CA70" s="52"/>
      <c r="CB70" s="111"/>
      <c r="CC70" s="60"/>
      <c r="CD70" s="186"/>
      <c r="CE70" s="64"/>
      <c r="CF70" s="64"/>
      <c r="CG70" s="64"/>
      <c r="CH70" s="68"/>
      <c r="CI70" s="68"/>
      <c r="CJ70" s="68"/>
      <c r="CK70" s="164"/>
      <c r="CL70" s="68"/>
      <c r="CM70" s="68"/>
      <c r="CN70" s="68"/>
      <c r="CO70" s="68"/>
      <c r="CP70" s="165"/>
      <c r="CQ70" s="115"/>
      <c r="CR70" s="68"/>
      <c r="CS70" s="68"/>
      <c r="CT70" s="60"/>
      <c r="CU70" s="60"/>
      <c r="CV70" s="60"/>
      <c r="CW70" s="60"/>
      <c r="CX70" s="60"/>
      <c r="CY70" s="60"/>
      <c r="CZ70" s="60"/>
      <c r="DA70" s="60"/>
    </row>
    <row r="71" ht="31.5" hidden="1" customHeight="1">
      <c r="A71" s="43"/>
      <c r="B71" s="44"/>
      <c r="C71" s="44"/>
      <c r="D71" s="45"/>
      <c r="E71" s="46"/>
      <c r="F71" s="117"/>
      <c r="G71" s="119"/>
      <c r="H71" s="45"/>
      <c r="I71" s="46"/>
      <c r="J71" s="50"/>
      <c r="K71" s="52"/>
      <c r="L71" s="53"/>
      <c r="M71" s="46"/>
      <c r="N71" s="50"/>
      <c r="O71" s="52"/>
      <c r="P71" s="53"/>
      <c r="Q71" s="46"/>
      <c r="R71" s="50"/>
      <c r="S71" s="52"/>
      <c r="T71" s="53"/>
      <c r="U71" s="56"/>
      <c r="V71" s="50"/>
      <c r="W71" s="52"/>
      <c r="X71" s="53"/>
      <c r="Y71" s="56"/>
      <c r="Z71" s="50"/>
      <c r="AA71" s="52"/>
      <c r="AB71" s="53"/>
      <c r="AC71" s="56"/>
      <c r="AD71" s="50"/>
      <c r="AE71" s="52"/>
      <c r="AF71" s="53"/>
      <c r="AG71" s="46"/>
      <c r="AH71" s="47"/>
      <c r="AI71" s="48"/>
      <c r="AJ71" s="49"/>
      <c r="AK71" s="46"/>
      <c r="AL71" s="50"/>
      <c r="AM71" s="53"/>
      <c r="AN71" s="53"/>
      <c r="AO71" s="46"/>
      <c r="AP71" s="50"/>
      <c r="AQ71" s="52"/>
      <c r="AR71" s="53"/>
      <c r="AS71" s="46"/>
      <c r="AT71" s="50"/>
      <c r="AU71" s="52"/>
      <c r="AV71" s="53"/>
      <c r="AW71" s="46"/>
      <c r="AX71" s="50"/>
      <c r="AY71" s="52"/>
      <c r="AZ71" s="53"/>
      <c r="BA71" s="46"/>
      <c r="BB71" s="50"/>
      <c r="BC71" s="52"/>
      <c r="BD71" s="53"/>
      <c r="BE71" s="46"/>
      <c r="BF71" s="50"/>
      <c r="BG71" s="52"/>
      <c r="BH71" s="53"/>
      <c r="BI71" s="46"/>
      <c r="BJ71" s="50"/>
      <c r="BK71" s="52"/>
      <c r="BL71" s="53"/>
      <c r="BM71" s="46"/>
      <c r="BN71" s="50"/>
      <c r="BO71" s="52"/>
      <c r="BP71" s="53"/>
      <c r="BQ71" s="46"/>
      <c r="BR71" s="50"/>
      <c r="BS71" s="52"/>
      <c r="BT71" s="53"/>
      <c r="BU71" s="46"/>
      <c r="BV71" s="50"/>
      <c r="BW71" s="52"/>
      <c r="BX71" s="53"/>
      <c r="BY71" s="46"/>
      <c r="BZ71" s="50"/>
      <c r="CA71" s="52"/>
      <c r="CB71" s="111"/>
      <c r="CC71" s="60"/>
      <c r="CD71" s="186"/>
      <c r="CE71" s="64"/>
      <c r="CF71" s="64"/>
      <c r="CG71" s="64"/>
      <c r="CH71" s="68"/>
      <c r="CI71" s="68"/>
      <c r="CJ71" s="68"/>
      <c r="CK71" s="164"/>
      <c r="CL71" s="68"/>
      <c r="CM71" s="68"/>
      <c r="CN71" s="68"/>
      <c r="CO71" s="68"/>
      <c r="CP71" s="165"/>
      <c r="CQ71" s="115"/>
      <c r="CR71" s="68"/>
      <c r="CS71" s="68"/>
      <c r="CT71" s="60"/>
      <c r="CU71" s="60"/>
      <c r="CV71" s="60"/>
      <c r="CW71" s="60"/>
      <c r="CX71" s="60"/>
      <c r="CY71" s="60"/>
      <c r="CZ71" s="60"/>
      <c r="DA71" s="60"/>
    </row>
    <row r="72" ht="31.5" hidden="1" customHeight="1">
      <c r="A72" s="43"/>
      <c r="B72" s="44"/>
      <c r="C72" s="44"/>
      <c r="D72" s="45"/>
      <c r="E72" s="46"/>
      <c r="F72" s="125"/>
      <c r="G72" s="126"/>
      <c r="H72" s="127"/>
      <c r="I72" s="46"/>
      <c r="J72" s="50"/>
      <c r="K72" s="52"/>
      <c r="L72" s="53"/>
      <c r="M72" s="46"/>
      <c r="N72" s="50"/>
      <c r="O72" s="52"/>
      <c r="P72" s="53"/>
      <c r="Q72" s="46"/>
      <c r="R72" s="50"/>
      <c r="S72" s="52"/>
      <c r="T72" s="53"/>
      <c r="U72" s="56"/>
      <c r="V72" s="50"/>
      <c r="W72" s="52"/>
      <c r="X72" s="53"/>
      <c r="Y72" s="56"/>
      <c r="Z72" s="50"/>
      <c r="AA72" s="52"/>
      <c r="AB72" s="53"/>
      <c r="AC72" s="56"/>
      <c r="AD72" s="50"/>
      <c r="AE72" s="52"/>
      <c r="AF72" s="53"/>
      <c r="AG72" s="46"/>
      <c r="AH72" s="47"/>
      <c r="AI72" s="48"/>
      <c r="AJ72" s="49"/>
      <c r="AK72" s="46"/>
      <c r="AL72" s="50"/>
      <c r="AM72" s="53"/>
      <c r="AN72" s="53"/>
      <c r="AO72" s="46"/>
      <c r="AP72" s="50"/>
      <c r="AQ72" s="52"/>
      <c r="AR72" s="53"/>
      <c r="AS72" s="46"/>
      <c r="AT72" s="50"/>
      <c r="AU72" s="52"/>
      <c r="AV72" s="53"/>
      <c r="AW72" s="46"/>
      <c r="AX72" s="50"/>
      <c r="AY72" s="52"/>
      <c r="AZ72" s="53"/>
      <c r="BA72" s="46"/>
      <c r="BB72" s="50"/>
      <c r="BC72" s="52"/>
      <c r="BD72" s="53"/>
      <c r="BE72" s="46"/>
      <c r="BF72" s="50"/>
      <c r="BG72" s="52"/>
      <c r="BH72" s="53"/>
      <c r="BI72" s="46"/>
      <c r="BJ72" s="50"/>
      <c r="BK72" s="52"/>
      <c r="BL72" s="53"/>
      <c r="BM72" s="46"/>
      <c r="BN72" s="50"/>
      <c r="BO72" s="52"/>
      <c r="BP72" s="53"/>
      <c r="BQ72" s="46"/>
      <c r="BR72" s="50"/>
      <c r="BS72" s="52"/>
      <c r="BT72" s="53"/>
      <c r="BU72" s="46"/>
      <c r="BV72" s="50"/>
      <c r="BW72" s="52"/>
      <c r="BX72" s="53"/>
      <c r="BY72" s="46"/>
      <c r="BZ72" s="50"/>
      <c r="CA72" s="52"/>
      <c r="CB72" s="111"/>
      <c r="CC72" s="60"/>
      <c r="CD72" s="186"/>
      <c r="CE72" s="64"/>
      <c r="CF72" s="64"/>
      <c r="CG72" s="64"/>
      <c r="CH72" s="68"/>
      <c r="CI72" s="68"/>
      <c r="CJ72" s="68"/>
      <c r="CK72" s="164"/>
      <c r="CL72" s="68"/>
      <c r="CM72" s="68"/>
      <c r="CN72" s="68"/>
      <c r="CO72" s="68"/>
      <c r="CP72" s="165"/>
      <c r="CQ72" s="115"/>
      <c r="CR72" s="68"/>
      <c r="CS72" s="68"/>
      <c r="CT72" s="60"/>
      <c r="CU72" s="60"/>
      <c r="CV72" s="60"/>
      <c r="CW72" s="60"/>
      <c r="CX72" s="60"/>
      <c r="CY72" s="60"/>
      <c r="CZ72" s="60"/>
      <c r="DA72" s="60"/>
    </row>
    <row r="73" ht="31.5" hidden="1" customHeight="1">
      <c r="A73" s="43"/>
      <c r="B73" s="44"/>
      <c r="C73" s="44"/>
      <c r="D73" s="45"/>
      <c r="E73" s="46"/>
      <c r="F73" s="117"/>
      <c r="G73" s="119"/>
      <c r="H73" s="45"/>
      <c r="I73" s="46"/>
      <c r="J73" s="50"/>
      <c r="K73" s="52"/>
      <c r="L73" s="53"/>
      <c r="M73" s="46"/>
      <c r="N73" s="50"/>
      <c r="O73" s="52"/>
      <c r="P73" s="53"/>
      <c r="Q73" s="46"/>
      <c r="R73" s="50"/>
      <c r="S73" s="52"/>
      <c r="T73" s="53"/>
      <c r="U73" s="56"/>
      <c r="V73" s="50"/>
      <c r="W73" s="52"/>
      <c r="X73" s="53"/>
      <c r="Y73" s="56"/>
      <c r="Z73" s="50"/>
      <c r="AA73" s="52"/>
      <c r="AB73" s="53"/>
      <c r="AC73" s="56"/>
      <c r="AD73" s="50"/>
      <c r="AE73" s="52"/>
      <c r="AF73" s="53"/>
      <c r="AG73" s="46"/>
      <c r="AH73" s="47"/>
      <c r="AI73" s="48"/>
      <c r="AJ73" s="49"/>
      <c r="AK73" s="46"/>
      <c r="AL73" s="50"/>
      <c r="AM73" s="53"/>
      <c r="AN73" s="53"/>
      <c r="AO73" s="46"/>
      <c r="AP73" s="50"/>
      <c r="AQ73" s="52"/>
      <c r="AR73" s="53"/>
      <c r="AS73" s="46"/>
      <c r="AT73" s="50"/>
      <c r="AU73" s="52"/>
      <c r="AV73" s="53"/>
      <c r="AW73" s="46"/>
      <c r="AX73" s="50"/>
      <c r="AY73" s="52"/>
      <c r="AZ73" s="53"/>
      <c r="BA73" s="46"/>
      <c r="BB73" s="50"/>
      <c r="BC73" s="52"/>
      <c r="BD73" s="53"/>
      <c r="BE73" s="46"/>
      <c r="BF73" s="50"/>
      <c r="BG73" s="52"/>
      <c r="BH73" s="53"/>
      <c r="BI73" s="46"/>
      <c r="BJ73" s="50"/>
      <c r="BK73" s="52"/>
      <c r="BL73" s="53"/>
      <c r="BM73" s="46"/>
      <c r="BN73" s="50"/>
      <c r="BO73" s="52"/>
      <c r="BP73" s="53"/>
      <c r="BQ73" s="46"/>
      <c r="BR73" s="50"/>
      <c r="BS73" s="52"/>
      <c r="BT73" s="53"/>
      <c r="BU73" s="46"/>
      <c r="BV73" s="50"/>
      <c r="BW73" s="52"/>
      <c r="BX73" s="53"/>
      <c r="BY73" s="46"/>
      <c r="BZ73" s="50"/>
      <c r="CA73" s="52"/>
      <c r="CB73" s="111"/>
      <c r="CC73" s="60"/>
      <c r="CD73" s="186"/>
      <c r="CE73" s="64"/>
      <c r="CF73" s="64"/>
      <c r="CG73" s="64"/>
      <c r="CH73" s="68"/>
      <c r="CI73" s="68"/>
      <c r="CJ73" s="68"/>
      <c r="CK73" s="164"/>
      <c r="CL73" s="68"/>
      <c r="CM73" s="68"/>
      <c r="CN73" s="68"/>
      <c r="CO73" s="68"/>
      <c r="CP73" s="165"/>
      <c r="CQ73" s="115"/>
      <c r="CR73" s="68"/>
      <c r="CS73" s="68"/>
      <c r="CT73" s="60"/>
      <c r="CU73" s="60"/>
      <c r="CV73" s="60"/>
      <c r="CW73" s="60"/>
      <c r="CX73" s="60"/>
      <c r="CY73" s="60"/>
      <c r="CZ73" s="60"/>
      <c r="DA73" s="60"/>
    </row>
    <row r="74" ht="31.5" hidden="1" customHeight="1">
      <c r="A74" s="43"/>
      <c r="B74" s="44"/>
      <c r="C74" s="44"/>
      <c r="D74" s="45"/>
      <c r="E74" s="46"/>
      <c r="F74" s="125"/>
      <c r="G74" s="126"/>
      <c r="H74" s="127"/>
      <c r="I74" s="46"/>
      <c r="J74" s="50"/>
      <c r="K74" s="52"/>
      <c r="L74" s="53"/>
      <c r="M74" s="46"/>
      <c r="N74" s="50"/>
      <c r="O74" s="52"/>
      <c r="P74" s="53"/>
      <c r="Q74" s="46"/>
      <c r="R74" s="50"/>
      <c r="S74" s="52"/>
      <c r="T74" s="53"/>
      <c r="U74" s="56"/>
      <c r="V74" s="50"/>
      <c r="W74" s="52"/>
      <c r="X74" s="53"/>
      <c r="Y74" s="56"/>
      <c r="Z74" s="50"/>
      <c r="AA74" s="52"/>
      <c r="AB74" s="53"/>
      <c r="AC74" s="56"/>
      <c r="AD74" s="50"/>
      <c r="AE74" s="52"/>
      <c r="AF74" s="53"/>
      <c r="AG74" s="46"/>
      <c r="AH74" s="47"/>
      <c r="AI74" s="48"/>
      <c r="AJ74" s="49"/>
      <c r="AK74" s="46"/>
      <c r="AL74" s="50"/>
      <c r="AM74" s="53"/>
      <c r="AN74" s="53"/>
      <c r="AO74" s="46"/>
      <c r="AP74" s="50"/>
      <c r="AQ74" s="52"/>
      <c r="AR74" s="53"/>
      <c r="AS74" s="46"/>
      <c r="AT74" s="50"/>
      <c r="AU74" s="52"/>
      <c r="AV74" s="53"/>
      <c r="AW74" s="46"/>
      <c r="AX74" s="50"/>
      <c r="AY74" s="52"/>
      <c r="AZ74" s="53"/>
      <c r="BA74" s="46"/>
      <c r="BB74" s="50"/>
      <c r="BC74" s="52"/>
      <c r="BD74" s="53"/>
      <c r="BE74" s="46"/>
      <c r="BF74" s="50"/>
      <c r="BG74" s="52"/>
      <c r="BH74" s="53"/>
      <c r="BI74" s="46"/>
      <c r="BJ74" s="50"/>
      <c r="BK74" s="52"/>
      <c r="BL74" s="53"/>
      <c r="BM74" s="46"/>
      <c r="BN74" s="50"/>
      <c r="BO74" s="52"/>
      <c r="BP74" s="53"/>
      <c r="BQ74" s="46"/>
      <c r="BR74" s="50"/>
      <c r="BS74" s="52"/>
      <c r="BT74" s="53"/>
      <c r="BU74" s="46"/>
      <c r="BV74" s="50"/>
      <c r="BW74" s="52"/>
      <c r="BX74" s="53"/>
      <c r="BY74" s="46"/>
      <c r="BZ74" s="50"/>
      <c r="CA74" s="52"/>
      <c r="CB74" s="111"/>
      <c r="CC74" s="60"/>
      <c r="CD74" s="186"/>
      <c r="CE74" s="64"/>
      <c r="CF74" s="64"/>
      <c r="CG74" s="64"/>
      <c r="CH74" s="68"/>
      <c r="CI74" s="68"/>
      <c r="CJ74" s="68"/>
      <c r="CK74" s="164"/>
      <c r="CL74" s="68"/>
      <c r="CM74" s="68"/>
      <c r="CN74" s="68"/>
      <c r="CO74" s="68"/>
      <c r="CP74" s="165"/>
      <c r="CQ74" s="115"/>
      <c r="CR74" s="68"/>
      <c r="CS74" s="68"/>
      <c r="CT74" s="60"/>
      <c r="CU74" s="60"/>
      <c r="CV74" s="60"/>
      <c r="CW74" s="60"/>
      <c r="CX74" s="60"/>
      <c r="CY74" s="60"/>
      <c r="CZ74" s="60"/>
      <c r="DA74" s="60"/>
    </row>
    <row r="75" ht="31.5" hidden="1" customHeight="1">
      <c r="A75" s="43"/>
      <c r="B75" s="44"/>
      <c r="C75" s="44"/>
      <c r="D75" s="45"/>
      <c r="E75" s="46"/>
      <c r="F75" s="117"/>
      <c r="G75" s="119"/>
      <c r="H75" s="45"/>
      <c r="I75" s="46"/>
      <c r="J75" s="50"/>
      <c r="K75" s="52"/>
      <c r="L75" s="53"/>
      <c r="M75" s="46"/>
      <c r="N75" s="50"/>
      <c r="O75" s="52"/>
      <c r="P75" s="53"/>
      <c r="Q75" s="46"/>
      <c r="R75" s="50"/>
      <c r="S75" s="52"/>
      <c r="T75" s="53"/>
      <c r="U75" s="56"/>
      <c r="V75" s="50"/>
      <c r="W75" s="52"/>
      <c r="X75" s="53"/>
      <c r="Y75" s="56"/>
      <c r="Z75" s="50"/>
      <c r="AA75" s="52"/>
      <c r="AB75" s="53"/>
      <c r="AC75" s="56"/>
      <c r="AD75" s="50"/>
      <c r="AE75" s="52"/>
      <c r="AF75" s="53"/>
      <c r="AG75" s="46"/>
      <c r="AH75" s="47"/>
      <c r="AI75" s="48"/>
      <c r="AJ75" s="49"/>
      <c r="AK75" s="46"/>
      <c r="AL75" s="50"/>
      <c r="AM75" s="53"/>
      <c r="AN75" s="53"/>
      <c r="AO75" s="46"/>
      <c r="AP75" s="50"/>
      <c r="AQ75" s="52"/>
      <c r="AR75" s="53"/>
      <c r="AS75" s="46"/>
      <c r="AT75" s="50"/>
      <c r="AU75" s="52"/>
      <c r="AV75" s="53"/>
      <c r="AW75" s="46"/>
      <c r="AX75" s="50"/>
      <c r="AY75" s="52"/>
      <c r="AZ75" s="53"/>
      <c r="BA75" s="46"/>
      <c r="BB75" s="50"/>
      <c r="BC75" s="52"/>
      <c r="BD75" s="53"/>
      <c r="BE75" s="46"/>
      <c r="BF75" s="50"/>
      <c r="BG75" s="52"/>
      <c r="BH75" s="53"/>
      <c r="BI75" s="46"/>
      <c r="BJ75" s="50"/>
      <c r="BK75" s="52"/>
      <c r="BL75" s="53"/>
      <c r="BM75" s="46"/>
      <c r="BN75" s="50"/>
      <c r="BO75" s="52"/>
      <c r="BP75" s="53"/>
      <c r="BQ75" s="46"/>
      <c r="BR75" s="50"/>
      <c r="BS75" s="52"/>
      <c r="BT75" s="53"/>
      <c r="BU75" s="46"/>
      <c r="BV75" s="50"/>
      <c r="BW75" s="52"/>
      <c r="BX75" s="53"/>
      <c r="BY75" s="46"/>
      <c r="BZ75" s="50"/>
      <c r="CA75" s="52"/>
      <c r="CB75" s="111"/>
      <c r="CC75" s="60"/>
      <c r="CD75" s="186"/>
      <c r="CE75" s="64"/>
      <c r="CF75" s="64"/>
      <c r="CG75" s="64"/>
      <c r="CH75" s="68"/>
      <c r="CI75" s="68"/>
      <c r="CJ75" s="68"/>
      <c r="CK75" s="164"/>
      <c r="CL75" s="68"/>
      <c r="CM75" s="68"/>
      <c r="CN75" s="68"/>
      <c r="CO75" s="68"/>
      <c r="CP75" s="165"/>
      <c r="CQ75" s="115"/>
      <c r="CR75" s="68"/>
      <c r="CS75" s="68"/>
      <c r="CT75" s="60"/>
      <c r="CU75" s="60"/>
      <c r="CV75" s="60"/>
      <c r="CW75" s="60"/>
      <c r="CX75" s="60"/>
      <c r="CY75" s="60"/>
      <c r="CZ75" s="60"/>
      <c r="DA75" s="60"/>
    </row>
    <row r="76" ht="31.5" hidden="1" customHeight="1">
      <c r="A76" s="43"/>
      <c r="B76" s="44"/>
      <c r="C76" s="44"/>
      <c r="D76" s="45"/>
      <c r="E76" s="46"/>
      <c r="F76" s="125"/>
      <c r="G76" s="126"/>
      <c r="H76" s="127"/>
      <c r="I76" s="46"/>
      <c r="J76" s="50"/>
      <c r="K76" s="52"/>
      <c r="L76" s="53"/>
      <c r="M76" s="46"/>
      <c r="N76" s="50"/>
      <c r="O76" s="52"/>
      <c r="P76" s="53"/>
      <c r="Q76" s="46"/>
      <c r="R76" s="50"/>
      <c r="S76" s="52"/>
      <c r="T76" s="53"/>
      <c r="U76" s="56"/>
      <c r="V76" s="50"/>
      <c r="W76" s="52"/>
      <c r="X76" s="53"/>
      <c r="Y76" s="56"/>
      <c r="Z76" s="50"/>
      <c r="AA76" s="52"/>
      <c r="AB76" s="53"/>
      <c r="AC76" s="56"/>
      <c r="AD76" s="50"/>
      <c r="AE76" s="52"/>
      <c r="AF76" s="53"/>
      <c r="AG76" s="46"/>
      <c r="AH76" s="47"/>
      <c r="AI76" s="48"/>
      <c r="AJ76" s="49"/>
      <c r="AK76" s="46"/>
      <c r="AL76" s="50"/>
      <c r="AM76" s="53"/>
      <c r="AN76" s="53"/>
      <c r="AO76" s="46"/>
      <c r="AP76" s="50"/>
      <c r="AQ76" s="52"/>
      <c r="AR76" s="53"/>
      <c r="AS76" s="46"/>
      <c r="AT76" s="50"/>
      <c r="AU76" s="52"/>
      <c r="AV76" s="53"/>
      <c r="AW76" s="46"/>
      <c r="AX76" s="50"/>
      <c r="AY76" s="52"/>
      <c r="AZ76" s="53"/>
      <c r="BA76" s="46"/>
      <c r="BB76" s="50"/>
      <c r="BC76" s="52"/>
      <c r="BD76" s="53"/>
      <c r="BE76" s="46"/>
      <c r="BF76" s="50"/>
      <c r="BG76" s="52"/>
      <c r="BH76" s="53"/>
      <c r="BI76" s="46"/>
      <c r="BJ76" s="50"/>
      <c r="BK76" s="52"/>
      <c r="BL76" s="53"/>
      <c r="BM76" s="46"/>
      <c r="BN76" s="50"/>
      <c r="BO76" s="52"/>
      <c r="BP76" s="53"/>
      <c r="BQ76" s="46"/>
      <c r="BR76" s="50"/>
      <c r="BS76" s="52"/>
      <c r="BT76" s="53"/>
      <c r="BU76" s="46"/>
      <c r="BV76" s="50"/>
      <c r="BW76" s="52"/>
      <c r="BX76" s="53"/>
      <c r="BY76" s="46"/>
      <c r="BZ76" s="50"/>
      <c r="CA76" s="52"/>
      <c r="CB76" s="111"/>
      <c r="CC76" s="60"/>
      <c r="CD76" s="186"/>
      <c r="CE76" s="64"/>
      <c r="CF76" s="64"/>
      <c r="CG76" s="64"/>
      <c r="CH76" s="68"/>
      <c r="CI76" s="68"/>
      <c r="CJ76" s="68"/>
      <c r="CK76" s="164"/>
      <c r="CL76" s="68"/>
      <c r="CM76" s="68"/>
      <c r="CN76" s="68"/>
      <c r="CO76" s="68"/>
      <c r="CP76" s="165"/>
      <c r="CQ76" s="115"/>
      <c r="CR76" s="68"/>
      <c r="CS76" s="68"/>
      <c r="CT76" s="60"/>
      <c r="CU76" s="60"/>
      <c r="CV76" s="60"/>
      <c r="CW76" s="60"/>
      <c r="CX76" s="60"/>
      <c r="CY76" s="60"/>
      <c r="CZ76" s="60"/>
      <c r="DA76" s="60"/>
    </row>
    <row r="77" ht="31.5" hidden="1" customHeight="1">
      <c r="A77" s="43"/>
      <c r="B77" s="44"/>
      <c r="C77" s="44"/>
      <c r="D77" s="45"/>
      <c r="E77" s="46"/>
      <c r="F77" s="117"/>
      <c r="G77" s="119"/>
      <c r="H77" s="45"/>
      <c r="I77" s="46"/>
      <c r="J77" s="50"/>
      <c r="K77" s="52"/>
      <c r="L77" s="53"/>
      <c r="M77" s="46"/>
      <c r="N77" s="50"/>
      <c r="O77" s="52"/>
      <c r="P77" s="53"/>
      <c r="Q77" s="46"/>
      <c r="R77" s="50"/>
      <c r="S77" s="52"/>
      <c r="T77" s="53"/>
      <c r="U77" s="56"/>
      <c r="V77" s="50"/>
      <c r="W77" s="52"/>
      <c r="X77" s="53"/>
      <c r="Y77" s="56"/>
      <c r="Z77" s="50"/>
      <c r="AA77" s="52"/>
      <c r="AB77" s="53"/>
      <c r="AC77" s="56"/>
      <c r="AD77" s="50"/>
      <c r="AE77" s="52"/>
      <c r="AF77" s="53"/>
      <c r="AG77" s="46"/>
      <c r="AH77" s="47"/>
      <c r="AI77" s="48"/>
      <c r="AJ77" s="49"/>
      <c r="AK77" s="46"/>
      <c r="AL77" s="50"/>
      <c r="AM77" s="53"/>
      <c r="AN77" s="53"/>
      <c r="AO77" s="46"/>
      <c r="AP77" s="50"/>
      <c r="AQ77" s="52"/>
      <c r="AR77" s="53"/>
      <c r="AS77" s="46"/>
      <c r="AT77" s="50"/>
      <c r="AU77" s="52"/>
      <c r="AV77" s="53"/>
      <c r="AW77" s="46"/>
      <c r="AX77" s="50"/>
      <c r="AY77" s="52"/>
      <c r="AZ77" s="53"/>
      <c r="BA77" s="46"/>
      <c r="BB77" s="50"/>
      <c r="BC77" s="52"/>
      <c r="BD77" s="53"/>
      <c r="BE77" s="46"/>
      <c r="BF77" s="50"/>
      <c r="BG77" s="52"/>
      <c r="BH77" s="53"/>
      <c r="BI77" s="46"/>
      <c r="BJ77" s="50"/>
      <c r="BK77" s="52"/>
      <c r="BL77" s="53"/>
      <c r="BM77" s="46"/>
      <c r="BN77" s="50"/>
      <c r="BO77" s="52"/>
      <c r="BP77" s="53"/>
      <c r="BQ77" s="46"/>
      <c r="BR77" s="50"/>
      <c r="BS77" s="52"/>
      <c r="BT77" s="53"/>
      <c r="BU77" s="46"/>
      <c r="BV77" s="50"/>
      <c r="BW77" s="52"/>
      <c r="BX77" s="53"/>
      <c r="BY77" s="46"/>
      <c r="BZ77" s="50"/>
      <c r="CA77" s="52"/>
      <c r="CB77" s="111"/>
      <c r="CC77" s="60"/>
      <c r="CD77" s="186"/>
      <c r="CE77" s="64"/>
      <c r="CF77" s="64"/>
      <c r="CG77" s="64"/>
      <c r="CH77" s="68"/>
      <c r="CI77" s="68"/>
      <c r="CJ77" s="68"/>
      <c r="CK77" s="164"/>
      <c r="CL77" s="68"/>
      <c r="CM77" s="68"/>
      <c r="CN77" s="68"/>
      <c r="CO77" s="68"/>
      <c r="CP77" s="165"/>
      <c r="CQ77" s="115"/>
      <c r="CR77" s="68"/>
      <c r="CS77" s="68"/>
      <c r="CT77" s="60"/>
      <c r="CU77" s="60"/>
      <c r="CV77" s="60"/>
      <c r="CW77" s="60"/>
      <c r="CX77" s="60"/>
      <c r="CY77" s="60"/>
      <c r="CZ77" s="60"/>
      <c r="DA77" s="60"/>
    </row>
    <row r="78" ht="31.5" hidden="1" customHeight="1">
      <c r="A78" s="43"/>
      <c r="B78" s="44"/>
      <c r="C78" s="44"/>
      <c r="D78" s="45"/>
      <c r="E78" s="46"/>
      <c r="F78" s="125"/>
      <c r="G78" s="126"/>
      <c r="H78" s="127"/>
      <c r="I78" s="46"/>
      <c r="J78" s="50"/>
      <c r="K78" s="52"/>
      <c r="L78" s="53"/>
      <c r="M78" s="46"/>
      <c r="N78" s="50"/>
      <c r="O78" s="52"/>
      <c r="P78" s="53"/>
      <c r="Q78" s="46"/>
      <c r="R78" s="50"/>
      <c r="S78" s="52"/>
      <c r="T78" s="53"/>
      <c r="U78" s="56"/>
      <c r="V78" s="50"/>
      <c r="W78" s="52"/>
      <c r="X78" s="53"/>
      <c r="Y78" s="56"/>
      <c r="Z78" s="50"/>
      <c r="AA78" s="52"/>
      <c r="AB78" s="53"/>
      <c r="AC78" s="56"/>
      <c r="AD78" s="50"/>
      <c r="AE78" s="52"/>
      <c r="AF78" s="53"/>
      <c r="AG78" s="46"/>
      <c r="AH78" s="47"/>
      <c r="AI78" s="48"/>
      <c r="AJ78" s="49"/>
      <c r="AK78" s="46"/>
      <c r="AL78" s="50"/>
      <c r="AM78" s="53"/>
      <c r="AN78" s="53"/>
      <c r="AO78" s="46"/>
      <c r="AP78" s="50"/>
      <c r="AQ78" s="52"/>
      <c r="AR78" s="53"/>
      <c r="AS78" s="46"/>
      <c r="AT78" s="50"/>
      <c r="AU78" s="52"/>
      <c r="AV78" s="53"/>
      <c r="AW78" s="46"/>
      <c r="AX78" s="50"/>
      <c r="AY78" s="52"/>
      <c r="AZ78" s="53"/>
      <c r="BA78" s="46"/>
      <c r="BB78" s="50"/>
      <c r="BC78" s="52"/>
      <c r="BD78" s="53"/>
      <c r="BE78" s="46"/>
      <c r="BF78" s="50"/>
      <c r="BG78" s="52"/>
      <c r="BH78" s="53"/>
      <c r="BI78" s="46"/>
      <c r="BJ78" s="50"/>
      <c r="BK78" s="52"/>
      <c r="BL78" s="53"/>
      <c r="BM78" s="46"/>
      <c r="BN78" s="50"/>
      <c r="BO78" s="52"/>
      <c r="BP78" s="53"/>
      <c r="BQ78" s="46"/>
      <c r="BR78" s="50"/>
      <c r="BS78" s="52"/>
      <c r="BT78" s="53"/>
      <c r="BU78" s="46"/>
      <c r="BV78" s="50"/>
      <c r="BW78" s="52"/>
      <c r="BX78" s="53"/>
      <c r="BY78" s="46"/>
      <c r="BZ78" s="50"/>
      <c r="CA78" s="52"/>
      <c r="CB78" s="111"/>
      <c r="CC78" s="60"/>
      <c r="CD78" s="186"/>
      <c r="CE78" s="64"/>
      <c r="CF78" s="64"/>
      <c r="CG78" s="64"/>
      <c r="CH78" s="68"/>
      <c r="CI78" s="68"/>
      <c r="CJ78" s="68"/>
      <c r="CK78" s="164"/>
      <c r="CL78" s="68"/>
      <c r="CM78" s="68"/>
      <c r="CN78" s="68"/>
      <c r="CO78" s="68"/>
      <c r="CP78" s="165"/>
      <c r="CQ78" s="115"/>
      <c r="CR78" s="68"/>
      <c r="CS78" s="68"/>
      <c r="CT78" s="60"/>
      <c r="CU78" s="60"/>
      <c r="CV78" s="60"/>
      <c r="CW78" s="60"/>
      <c r="CX78" s="60"/>
      <c r="CY78" s="60"/>
      <c r="CZ78" s="60"/>
      <c r="DA78" s="60"/>
    </row>
    <row r="79" ht="31.5" hidden="1" customHeight="1">
      <c r="A79" s="43"/>
      <c r="B79" s="44"/>
      <c r="C79" s="44"/>
      <c r="D79" s="45"/>
      <c r="E79" s="46"/>
      <c r="F79" s="117"/>
      <c r="G79" s="119"/>
      <c r="H79" s="45"/>
      <c r="I79" s="46"/>
      <c r="J79" s="50"/>
      <c r="K79" s="52"/>
      <c r="L79" s="53"/>
      <c r="M79" s="46"/>
      <c r="N79" s="50"/>
      <c r="O79" s="52"/>
      <c r="P79" s="53"/>
      <c r="Q79" s="46"/>
      <c r="R79" s="50"/>
      <c r="S79" s="52"/>
      <c r="T79" s="53"/>
      <c r="U79" s="56"/>
      <c r="V79" s="50"/>
      <c r="W79" s="52"/>
      <c r="X79" s="53"/>
      <c r="Y79" s="56"/>
      <c r="Z79" s="50"/>
      <c r="AA79" s="52"/>
      <c r="AB79" s="53"/>
      <c r="AC79" s="56"/>
      <c r="AD79" s="50"/>
      <c r="AE79" s="52"/>
      <c r="AF79" s="53"/>
      <c r="AG79" s="46"/>
      <c r="AH79" s="47"/>
      <c r="AI79" s="48"/>
      <c r="AJ79" s="49"/>
      <c r="AK79" s="46"/>
      <c r="AL79" s="50"/>
      <c r="AM79" s="53"/>
      <c r="AN79" s="53"/>
      <c r="AO79" s="46"/>
      <c r="AP79" s="50"/>
      <c r="AQ79" s="52"/>
      <c r="AR79" s="53"/>
      <c r="AS79" s="46"/>
      <c r="AT79" s="50"/>
      <c r="AU79" s="52"/>
      <c r="AV79" s="53"/>
      <c r="AW79" s="46"/>
      <c r="AX79" s="50"/>
      <c r="AY79" s="52"/>
      <c r="AZ79" s="53"/>
      <c r="BA79" s="46"/>
      <c r="BB79" s="50"/>
      <c r="BC79" s="52"/>
      <c r="BD79" s="53"/>
      <c r="BE79" s="46"/>
      <c r="BF79" s="50"/>
      <c r="BG79" s="52"/>
      <c r="BH79" s="53"/>
      <c r="BI79" s="46"/>
      <c r="BJ79" s="50"/>
      <c r="BK79" s="52"/>
      <c r="BL79" s="53"/>
      <c r="BM79" s="46"/>
      <c r="BN79" s="50"/>
      <c r="BO79" s="52"/>
      <c r="BP79" s="53"/>
      <c r="BQ79" s="46"/>
      <c r="BR79" s="50"/>
      <c r="BS79" s="52"/>
      <c r="BT79" s="53"/>
      <c r="BU79" s="46"/>
      <c r="BV79" s="50"/>
      <c r="BW79" s="52"/>
      <c r="BX79" s="53"/>
      <c r="BY79" s="46"/>
      <c r="BZ79" s="50"/>
      <c r="CA79" s="52"/>
      <c r="CB79" s="111"/>
      <c r="CC79" s="60"/>
      <c r="CD79" s="186"/>
      <c r="CE79" s="64"/>
      <c r="CF79" s="64"/>
      <c r="CG79" s="64"/>
      <c r="CH79" s="68"/>
      <c r="CI79" s="68"/>
      <c r="CJ79" s="68"/>
      <c r="CK79" s="164"/>
      <c r="CL79" s="68"/>
      <c r="CM79" s="68"/>
      <c r="CN79" s="68"/>
      <c r="CO79" s="68"/>
      <c r="CP79" s="165"/>
      <c r="CQ79" s="115"/>
      <c r="CR79" s="68"/>
      <c r="CS79" s="68"/>
      <c r="CT79" s="60"/>
      <c r="CU79" s="60"/>
      <c r="CV79" s="60"/>
      <c r="CW79" s="60"/>
      <c r="CX79" s="60"/>
      <c r="CY79" s="60"/>
      <c r="CZ79" s="60"/>
      <c r="DA79" s="60"/>
    </row>
    <row r="80" ht="31.5" hidden="1" customHeight="1">
      <c r="A80" s="43"/>
      <c r="B80" s="44"/>
      <c r="C80" s="44"/>
      <c r="D80" s="45"/>
      <c r="E80" s="46"/>
      <c r="F80" s="125"/>
      <c r="G80" s="126"/>
      <c r="H80" s="127"/>
      <c r="I80" s="46"/>
      <c r="J80" s="50"/>
      <c r="K80" s="52"/>
      <c r="L80" s="53"/>
      <c r="M80" s="46"/>
      <c r="N80" s="50"/>
      <c r="O80" s="52"/>
      <c r="P80" s="53"/>
      <c r="Q80" s="46"/>
      <c r="R80" s="50"/>
      <c r="S80" s="52"/>
      <c r="T80" s="53"/>
      <c r="U80" s="56"/>
      <c r="V80" s="50"/>
      <c r="W80" s="52"/>
      <c r="X80" s="53"/>
      <c r="Y80" s="56"/>
      <c r="Z80" s="50"/>
      <c r="AA80" s="52"/>
      <c r="AB80" s="53"/>
      <c r="AC80" s="56"/>
      <c r="AD80" s="50"/>
      <c r="AE80" s="52"/>
      <c r="AF80" s="53"/>
      <c r="AG80" s="46"/>
      <c r="AH80" s="47"/>
      <c r="AI80" s="48"/>
      <c r="AJ80" s="49"/>
      <c r="AK80" s="46"/>
      <c r="AL80" s="50"/>
      <c r="AM80" s="53"/>
      <c r="AN80" s="53"/>
      <c r="AO80" s="46"/>
      <c r="AP80" s="50"/>
      <c r="AQ80" s="52"/>
      <c r="AR80" s="53"/>
      <c r="AS80" s="46"/>
      <c r="AT80" s="50"/>
      <c r="AU80" s="52"/>
      <c r="AV80" s="53"/>
      <c r="AW80" s="46"/>
      <c r="AX80" s="50"/>
      <c r="AY80" s="52"/>
      <c r="AZ80" s="53"/>
      <c r="BA80" s="46"/>
      <c r="BB80" s="50"/>
      <c r="BC80" s="52"/>
      <c r="BD80" s="53"/>
      <c r="BE80" s="46"/>
      <c r="BF80" s="50"/>
      <c r="BG80" s="52"/>
      <c r="BH80" s="53"/>
      <c r="BI80" s="46"/>
      <c r="BJ80" s="50"/>
      <c r="BK80" s="52"/>
      <c r="BL80" s="53"/>
      <c r="BM80" s="46"/>
      <c r="BN80" s="50"/>
      <c r="BO80" s="52"/>
      <c r="BP80" s="53"/>
      <c r="BQ80" s="46"/>
      <c r="BR80" s="50"/>
      <c r="BS80" s="52"/>
      <c r="BT80" s="53"/>
      <c r="BU80" s="46"/>
      <c r="BV80" s="50"/>
      <c r="BW80" s="52"/>
      <c r="BX80" s="53"/>
      <c r="BY80" s="46"/>
      <c r="BZ80" s="50"/>
      <c r="CA80" s="52"/>
      <c r="CB80" s="111"/>
      <c r="CC80" s="60"/>
      <c r="CD80" s="186"/>
      <c r="CE80" s="64"/>
      <c r="CF80" s="64"/>
      <c r="CG80" s="64"/>
      <c r="CH80" s="68"/>
      <c r="CI80" s="68"/>
      <c r="CJ80" s="68"/>
      <c r="CK80" s="164"/>
      <c r="CL80" s="68"/>
      <c r="CM80" s="68"/>
      <c r="CN80" s="68"/>
      <c r="CO80" s="68"/>
      <c r="CP80" s="165"/>
      <c r="CQ80" s="115"/>
      <c r="CR80" s="68"/>
      <c r="CS80" s="68"/>
      <c r="CT80" s="60"/>
      <c r="CU80" s="60"/>
      <c r="CV80" s="60"/>
      <c r="CW80" s="60"/>
      <c r="CX80" s="60"/>
      <c r="CY80" s="60"/>
      <c r="CZ80" s="60"/>
      <c r="DA80" s="60"/>
    </row>
    <row r="81" ht="31.5" hidden="1" customHeight="1">
      <c r="A81" s="43"/>
      <c r="B81" s="44"/>
      <c r="C81" s="44"/>
      <c r="D81" s="45"/>
      <c r="E81" s="46"/>
      <c r="F81" s="117"/>
      <c r="G81" s="119"/>
      <c r="H81" s="45"/>
      <c r="I81" s="46"/>
      <c r="J81" s="50"/>
      <c r="K81" s="52"/>
      <c r="L81" s="53"/>
      <c r="M81" s="46"/>
      <c r="N81" s="50"/>
      <c r="O81" s="52"/>
      <c r="P81" s="53"/>
      <c r="Q81" s="46"/>
      <c r="R81" s="50"/>
      <c r="S81" s="52"/>
      <c r="T81" s="53"/>
      <c r="U81" s="56"/>
      <c r="V81" s="50"/>
      <c r="W81" s="52"/>
      <c r="X81" s="53"/>
      <c r="Y81" s="56"/>
      <c r="Z81" s="50"/>
      <c r="AA81" s="52"/>
      <c r="AB81" s="53"/>
      <c r="AC81" s="56"/>
      <c r="AD81" s="50"/>
      <c r="AE81" s="52"/>
      <c r="AF81" s="53"/>
      <c r="AG81" s="46"/>
      <c r="AH81" s="47"/>
      <c r="AI81" s="48"/>
      <c r="AJ81" s="49"/>
      <c r="AK81" s="46"/>
      <c r="AL81" s="50"/>
      <c r="AM81" s="53"/>
      <c r="AN81" s="53"/>
      <c r="AO81" s="46"/>
      <c r="AP81" s="50"/>
      <c r="AQ81" s="52"/>
      <c r="AR81" s="53"/>
      <c r="AS81" s="46"/>
      <c r="AT81" s="50"/>
      <c r="AU81" s="52"/>
      <c r="AV81" s="53"/>
      <c r="AW81" s="46"/>
      <c r="AX81" s="50"/>
      <c r="AY81" s="52"/>
      <c r="AZ81" s="53"/>
      <c r="BA81" s="46"/>
      <c r="BB81" s="50"/>
      <c r="BC81" s="52"/>
      <c r="BD81" s="53"/>
      <c r="BE81" s="46"/>
      <c r="BF81" s="50"/>
      <c r="BG81" s="52"/>
      <c r="BH81" s="53"/>
      <c r="BI81" s="46"/>
      <c r="BJ81" s="50"/>
      <c r="BK81" s="52"/>
      <c r="BL81" s="53"/>
      <c r="BM81" s="46"/>
      <c r="BN81" s="50"/>
      <c r="BO81" s="52"/>
      <c r="BP81" s="53"/>
      <c r="BQ81" s="46"/>
      <c r="BR81" s="50"/>
      <c r="BS81" s="52"/>
      <c r="BT81" s="53"/>
      <c r="BU81" s="46"/>
      <c r="BV81" s="50"/>
      <c r="BW81" s="52"/>
      <c r="BX81" s="53"/>
      <c r="BY81" s="46"/>
      <c r="BZ81" s="50"/>
      <c r="CA81" s="52"/>
      <c r="CB81" s="111"/>
      <c r="CC81" s="60"/>
      <c r="CD81" s="186"/>
      <c r="CE81" s="64"/>
      <c r="CF81" s="64"/>
      <c r="CG81" s="64"/>
      <c r="CH81" s="68"/>
      <c r="CI81" s="68"/>
      <c r="CJ81" s="68"/>
      <c r="CK81" s="164"/>
      <c r="CL81" s="68"/>
      <c r="CM81" s="68"/>
      <c r="CN81" s="68"/>
      <c r="CO81" s="68"/>
      <c r="CP81" s="165"/>
      <c r="CQ81" s="115"/>
      <c r="CR81" s="68"/>
      <c r="CS81" s="68"/>
      <c r="CT81" s="60"/>
      <c r="CU81" s="60"/>
      <c r="CV81" s="60"/>
      <c r="CW81" s="60"/>
      <c r="CX81" s="60"/>
      <c r="CY81" s="60"/>
      <c r="CZ81" s="60"/>
      <c r="DA81" s="60"/>
    </row>
    <row r="82" ht="31.5" hidden="1" customHeight="1">
      <c r="A82" s="43"/>
      <c r="B82" s="44"/>
      <c r="C82" s="44"/>
      <c r="D82" s="45"/>
      <c r="E82" s="46"/>
      <c r="F82" s="125"/>
      <c r="G82" s="126"/>
      <c r="H82" s="127"/>
      <c r="I82" s="46"/>
      <c r="J82" s="50"/>
      <c r="K82" s="52"/>
      <c r="L82" s="53"/>
      <c r="M82" s="46"/>
      <c r="N82" s="50"/>
      <c r="O82" s="52"/>
      <c r="P82" s="53"/>
      <c r="Q82" s="46"/>
      <c r="R82" s="50"/>
      <c r="S82" s="52"/>
      <c r="T82" s="53"/>
      <c r="U82" s="56"/>
      <c r="V82" s="50"/>
      <c r="W82" s="52"/>
      <c r="X82" s="53"/>
      <c r="Y82" s="56"/>
      <c r="Z82" s="50"/>
      <c r="AA82" s="52"/>
      <c r="AB82" s="53"/>
      <c r="AC82" s="56"/>
      <c r="AD82" s="50"/>
      <c r="AE82" s="52"/>
      <c r="AF82" s="53"/>
      <c r="AG82" s="46"/>
      <c r="AH82" s="47"/>
      <c r="AI82" s="48"/>
      <c r="AJ82" s="49"/>
      <c r="AK82" s="46"/>
      <c r="AL82" s="50"/>
      <c r="AM82" s="53"/>
      <c r="AN82" s="53"/>
      <c r="AO82" s="46"/>
      <c r="AP82" s="50"/>
      <c r="AQ82" s="52"/>
      <c r="AR82" s="53"/>
      <c r="AS82" s="46"/>
      <c r="AT82" s="50"/>
      <c r="AU82" s="52"/>
      <c r="AV82" s="53"/>
      <c r="AW82" s="46"/>
      <c r="AX82" s="50"/>
      <c r="AY82" s="52"/>
      <c r="AZ82" s="53"/>
      <c r="BA82" s="46"/>
      <c r="BB82" s="50"/>
      <c r="BC82" s="52"/>
      <c r="BD82" s="53"/>
      <c r="BE82" s="46"/>
      <c r="BF82" s="50"/>
      <c r="BG82" s="52"/>
      <c r="BH82" s="53"/>
      <c r="BI82" s="46"/>
      <c r="BJ82" s="50"/>
      <c r="BK82" s="52"/>
      <c r="BL82" s="53"/>
      <c r="BM82" s="46"/>
      <c r="BN82" s="50"/>
      <c r="BO82" s="52"/>
      <c r="BP82" s="53"/>
      <c r="BQ82" s="46"/>
      <c r="BR82" s="50"/>
      <c r="BS82" s="52"/>
      <c r="BT82" s="53"/>
      <c r="BU82" s="46"/>
      <c r="BV82" s="50"/>
      <c r="BW82" s="52"/>
      <c r="BX82" s="53"/>
      <c r="BY82" s="46"/>
      <c r="BZ82" s="50"/>
      <c r="CA82" s="52"/>
      <c r="CB82" s="111"/>
      <c r="CC82" s="60"/>
      <c r="CD82" s="186"/>
      <c r="CE82" s="64"/>
      <c r="CF82" s="64"/>
      <c r="CG82" s="64"/>
      <c r="CH82" s="68"/>
      <c r="CI82" s="68"/>
      <c r="CJ82" s="68"/>
      <c r="CK82" s="164"/>
      <c r="CL82" s="68"/>
      <c r="CM82" s="68"/>
      <c r="CN82" s="68"/>
      <c r="CO82" s="68"/>
      <c r="CP82" s="165"/>
      <c r="CQ82" s="115"/>
      <c r="CR82" s="68"/>
      <c r="CS82" s="68"/>
      <c r="CT82" s="60"/>
      <c r="CU82" s="60"/>
      <c r="CV82" s="60"/>
      <c r="CW82" s="60"/>
      <c r="CX82" s="60"/>
      <c r="CY82" s="60"/>
      <c r="CZ82" s="60"/>
      <c r="DA82" s="60"/>
    </row>
    <row r="83" ht="31.5" hidden="1" customHeight="1">
      <c r="A83" s="43"/>
      <c r="B83" s="44"/>
      <c r="C83" s="44"/>
      <c r="D83" s="45"/>
      <c r="E83" s="46"/>
      <c r="F83" s="117"/>
      <c r="G83" s="119"/>
      <c r="H83" s="45"/>
      <c r="I83" s="46"/>
      <c r="J83" s="50"/>
      <c r="K83" s="52"/>
      <c r="L83" s="53"/>
      <c r="M83" s="46"/>
      <c r="N83" s="50"/>
      <c r="O83" s="52"/>
      <c r="P83" s="53"/>
      <c r="Q83" s="46"/>
      <c r="R83" s="50"/>
      <c r="S83" s="52"/>
      <c r="T83" s="53"/>
      <c r="U83" s="56"/>
      <c r="V83" s="50"/>
      <c r="W83" s="52"/>
      <c r="X83" s="53"/>
      <c r="Y83" s="56"/>
      <c r="Z83" s="50"/>
      <c r="AA83" s="52"/>
      <c r="AB83" s="53"/>
      <c r="AC83" s="56"/>
      <c r="AD83" s="50"/>
      <c r="AE83" s="52"/>
      <c r="AF83" s="53"/>
      <c r="AG83" s="46"/>
      <c r="AH83" s="47"/>
      <c r="AI83" s="48"/>
      <c r="AJ83" s="49"/>
      <c r="AK83" s="46"/>
      <c r="AL83" s="50"/>
      <c r="AM83" s="53"/>
      <c r="AN83" s="53"/>
      <c r="AO83" s="46"/>
      <c r="AP83" s="50"/>
      <c r="AQ83" s="52"/>
      <c r="AR83" s="53"/>
      <c r="AS83" s="46"/>
      <c r="AT83" s="50"/>
      <c r="AU83" s="52"/>
      <c r="AV83" s="53"/>
      <c r="AW83" s="46"/>
      <c r="AX83" s="50"/>
      <c r="AY83" s="52"/>
      <c r="AZ83" s="53"/>
      <c r="BA83" s="46"/>
      <c r="BB83" s="50"/>
      <c r="BC83" s="52"/>
      <c r="BD83" s="53"/>
      <c r="BE83" s="46"/>
      <c r="BF83" s="50"/>
      <c r="BG83" s="52"/>
      <c r="BH83" s="53"/>
      <c r="BI83" s="46"/>
      <c r="BJ83" s="50"/>
      <c r="BK83" s="52"/>
      <c r="BL83" s="53"/>
      <c r="BM83" s="46"/>
      <c r="BN83" s="50"/>
      <c r="BO83" s="52"/>
      <c r="BP83" s="53"/>
      <c r="BQ83" s="46"/>
      <c r="BR83" s="50"/>
      <c r="BS83" s="52"/>
      <c r="BT83" s="53"/>
      <c r="BU83" s="46"/>
      <c r="BV83" s="50"/>
      <c r="BW83" s="52"/>
      <c r="BX83" s="53"/>
      <c r="BY83" s="46"/>
      <c r="BZ83" s="50"/>
      <c r="CA83" s="52"/>
      <c r="CB83" s="111"/>
      <c r="CC83" s="60"/>
      <c r="CD83" s="186"/>
      <c r="CE83" s="64"/>
      <c r="CF83" s="64"/>
      <c r="CG83" s="64"/>
      <c r="CH83" s="68"/>
      <c r="CI83" s="68"/>
      <c r="CJ83" s="68"/>
      <c r="CK83" s="164"/>
      <c r="CL83" s="68"/>
      <c r="CM83" s="68"/>
      <c r="CN83" s="68"/>
      <c r="CO83" s="68"/>
      <c r="CP83" s="165"/>
      <c r="CQ83" s="115"/>
      <c r="CR83" s="68"/>
      <c r="CS83" s="68"/>
      <c r="CT83" s="60"/>
      <c r="CU83" s="60"/>
      <c r="CV83" s="60"/>
      <c r="CW83" s="60"/>
      <c r="CX83" s="60"/>
      <c r="CY83" s="60"/>
      <c r="CZ83" s="60"/>
      <c r="DA83" s="60"/>
    </row>
    <row r="84" ht="31.5" hidden="1" customHeight="1">
      <c r="A84" s="43"/>
      <c r="B84" s="44"/>
      <c r="C84" s="44"/>
      <c r="D84" s="45"/>
      <c r="E84" s="46"/>
      <c r="F84" s="125"/>
      <c r="G84" s="126"/>
      <c r="H84" s="127"/>
      <c r="I84" s="46"/>
      <c r="J84" s="50"/>
      <c r="K84" s="52"/>
      <c r="L84" s="53"/>
      <c r="M84" s="46"/>
      <c r="N84" s="50"/>
      <c r="O84" s="52"/>
      <c r="P84" s="53"/>
      <c r="Q84" s="46"/>
      <c r="R84" s="50"/>
      <c r="S84" s="52"/>
      <c r="T84" s="53"/>
      <c r="U84" s="56"/>
      <c r="V84" s="50"/>
      <c r="W84" s="52"/>
      <c r="X84" s="53"/>
      <c r="Y84" s="56"/>
      <c r="Z84" s="50"/>
      <c r="AA84" s="52"/>
      <c r="AB84" s="53"/>
      <c r="AC84" s="56"/>
      <c r="AD84" s="50"/>
      <c r="AE84" s="52"/>
      <c r="AF84" s="53"/>
      <c r="AG84" s="46"/>
      <c r="AH84" s="47"/>
      <c r="AI84" s="48"/>
      <c r="AJ84" s="49"/>
      <c r="AK84" s="46"/>
      <c r="AL84" s="50"/>
      <c r="AM84" s="53"/>
      <c r="AN84" s="53"/>
      <c r="AO84" s="46"/>
      <c r="AP84" s="50"/>
      <c r="AQ84" s="52"/>
      <c r="AR84" s="53"/>
      <c r="AS84" s="46"/>
      <c r="AT84" s="50"/>
      <c r="AU84" s="52"/>
      <c r="AV84" s="53"/>
      <c r="AW84" s="46"/>
      <c r="AX84" s="50"/>
      <c r="AY84" s="52"/>
      <c r="AZ84" s="53"/>
      <c r="BA84" s="46"/>
      <c r="BB84" s="50"/>
      <c r="BC84" s="52"/>
      <c r="BD84" s="53"/>
      <c r="BE84" s="46"/>
      <c r="BF84" s="50"/>
      <c r="BG84" s="52"/>
      <c r="BH84" s="53"/>
      <c r="BI84" s="46"/>
      <c r="BJ84" s="50"/>
      <c r="BK84" s="52"/>
      <c r="BL84" s="53"/>
      <c r="BM84" s="46"/>
      <c r="BN84" s="50"/>
      <c r="BO84" s="52"/>
      <c r="BP84" s="53"/>
      <c r="BQ84" s="46"/>
      <c r="BR84" s="50"/>
      <c r="BS84" s="52"/>
      <c r="BT84" s="53"/>
      <c r="BU84" s="46"/>
      <c r="BV84" s="50"/>
      <c r="BW84" s="52"/>
      <c r="BX84" s="53"/>
      <c r="BY84" s="46"/>
      <c r="BZ84" s="50"/>
      <c r="CA84" s="52"/>
      <c r="CB84" s="111"/>
      <c r="CC84" s="60"/>
      <c r="CD84" s="186"/>
      <c r="CE84" s="64"/>
      <c r="CF84" s="64"/>
      <c r="CG84" s="64"/>
      <c r="CH84" s="68"/>
      <c r="CI84" s="68"/>
      <c r="CJ84" s="68"/>
      <c r="CK84" s="164"/>
      <c r="CL84" s="68"/>
      <c r="CM84" s="68"/>
      <c r="CN84" s="68"/>
      <c r="CO84" s="68"/>
      <c r="CP84" s="165"/>
      <c r="CQ84" s="115"/>
      <c r="CR84" s="68"/>
      <c r="CS84" s="68"/>
      <c r="CT84" s="60"/>
      <c r="CU84" s="60"/>
      <c r="CV84" s="60"/>
      <c r="CW84" s="60"/>
      <c r="CX84" s="60"/>
      <c r="CY84" s="60"/>
      <c r="CZ84" s="60"/>
      <c r="DA84" s="60"/>
    </row>
    <row r="85" ht="31.5" hidden="1" customHeight="1">
      <c r="A85" s="43"/>
      <c r="B85" s="44"/>
      <c r="C85" s="44"/>
      <c r="D85" s="45"/>
      <c r="E85" s="46"/>
      <c r="F85" s="117"/>
      <c r="G85" s="119"/>
      <c r="H85" s="45"/>
      <c r="I85" s="46"/>
      <c r="J85" s="50"/>
      <c r="K85" s="52"/>
      <c r="L85" s="53"/>
      <c r="M85" s="46"/>
      <c r="N85" s="50"/>
      <c r="O85" s="52"/>
      <c r="P85" s="53"/>
      <c r="Q85" s="46"/>
      <c r="R85" s="50"/>
      <c r="S85" s="52"/>
      <c r="T85" s="53"/>
      <c r="U85" s="56"/>
      <c r="V85" s="50"/>
      <c r="W85" s="52"/>
      <c r="X85" s="53"/>
      <c r="Y85" s="56"/>
      <c r="Z85" s="50"/>
      <c r="AA85" s="52"/>
      <c r="AB85" s="53"/>
      <c r="AC85" s="56"/>
      <c r="AD85" s="50"/>
      <c r="AE85" s="52"/>
      <c r="AF85" s="53"/>
      <c r="AG85" s="46"/>
      <c r="AH85" s="47"/>
      <c r="AI85" s="48"/>
      <c r="AJ85" s="49"/>
      <c r="AK85" s="46"/>
      <c r="AL85" s="50"/>
      <c r="AM85" s="53"/>
      <c r="AN85" s="53"/>
      <c r="AO85" s="46"/>
      <c r="AP85" s="50"/>
      <c r="AQ85" s="52"/>
      <c r="AR85" s="53"/>
      <c r="AS85" s="46"/>
      <c r="AT85" s="50"/>
      <c r="AU85" s="52"/>
      <c r="AV85" s="53"/>
      <c r="AW85" s="46"/>
      <c r="AX85" s="50"/>
      <c r="AY85" s="52"/>
      <c r="AZ85" s="53"/>
      <c r="BA85" s="46"/>
      <c r="BB85" s="50"/>
      <c r="BC85" s="52"/>
      <c r="BD85" s="53"/>
      <c r="BE85" s="46"/>
      <c r="BF85" s="50"/>
      <c r="BG85" s="52"/>
      <c r="BH85" s="53"/>
      <c r="BI85" s="46"/>
      <c r="BJ85" s="50"/>
      <c r="BK85" s="52"/>
      <c r="BL85" s="53"/>
      <c r="BM85" s="46"/>
      <c r="BN85" s="50"/>
      <c r="BO85" s="52"/>
      <c r="BP85" s="53"/>
      <c r="BQ85" s="46"/>
      <c r="BR85" s="50"/>
      <c r="BS85" s="52"/>
      <c r="BT85" s="53"/>
      <c r="BU85" s="46"/>
      <c r="BV85" s="50"/>
      <c r="BW85" s="52"/>
      <c r="BX85" s="53"/>
      <c r="BY85" s="46"/>
      <c r="BZ85" s="50"/>
      <c r="CA85" s="52"/>
      <c r="CB85" s="111"/>
      <c r="CC85" s="60"/>
      <c r="CD85" s="186"/>
      <c r="CE85" s="64"/>
      <c r="CF85" s="64"/>
      <c r="CG85" s="64"/>
      <c r="CH85" s="68"/>
      <c r="CI85" s="68"/>
      <c r="CJ85" s="68"/>
      <c r="CK85" s="164"/>
      <c r="CL85" s="68"/>
      <c r="CM85" s="68"/>
      <c r="CN85" s="68"/>
      <c r="CO85" s="68"/>
      <c r="CP85" s="165"/>
      <c r="CQ85" s="115"/>
      <c r="CR85" s="68"/>
      <c r="CS85" s="68"/>
      <c r="CT85" s="60"/>
      <c r="CU85" s="60"/>
      <c r="CV85" s="60"/>
      <c r="CW85" s="60"/>
      <c r="CX85" s="60"/>
      <c r="CY85" s="60"/>
      <c r="CZ85" s="60"/>
      <c r="DA85" s="60"/>
    </row>
    <row r="86" ht="31.5" hidden="1" customHeight="1">
      <c r="A86" s="43"/>
      <c r="B86" s="44"/>
      <c r="C86" s="44"/>
      <c r="D86" s="45"/>
      <c r="E86" s="46"/>
      <c r="F86" s="125"/>
      <c r="G86" s="126"/>
      <c r="H86" s="127"/>
      <c r="I86" s="46"/>
      <c r="J86" s="50"/>
      <c r="K86" s="52"/>
      <c r="L86" s="53"/>
      <c r="M86" s="46"/>
      <c r="N86" s="50"/>
      <c r="O86" s="52"/>
      <c r="P86" s="53"/>
      <c r="Q86" s="46"/>
      <c r="R86" s="50"/>
      <c r="S86" s="52"/>
      <c r="T86" s="53"/>
      <c r="U86" s="56"/>
      <c r="V86" s="50"/>
      <c r="W86" s="52"/>
      <c r="X86" s="53"/>
      <c r="Y86" s="56"/>
      <c r="Z86" s="50"/>
      <c r="AA86" s="52"/>
      <c r="AB86" s="53"/>
      <c r="AC86" s="56"/>
      <c r="AD86" s="50"/>
      <c r="AE86" s="52"/>
      <c r="AF86" s="53"/>
      <c r="AG86" s="46"/>
      <c r="AH86" s="47"/>
      <c r="AI86" s="48"/>
      <c r="AJ86" s="49"/>
      <c r="AK86" s="46"/>
      <c r="AL86" s="50"/>
      <c r="AM86" s="53"/>
      <c r="AN86" s="53"/>
      <c r="AO86" s="46"/>
      <c r="AP86" s="50"/>
      <c r="AQ86" s="52"/>
      <c r="AR86" s="53"/>
      <c r="AS86" s="46"/>
      <c r="AT86" s="50"/>
      <c r="AU86" s="52"/>
      <c r="AV86" s="53"/>
      <c r="AW86" s="46"/>
      <c r="AX86" s="50"/>
      <c r="AY86" s="52"/>
      <c r="AZ86" s="53"/>
      <c r="BA86" s="46"/>
      <c r="BB86" s="50"/>
      <c r="BC86" s="52"/>
      <c r="BD86" s="53"/>
      <c r="BE86" s="46"/>
      <c r="BF86" s="50"/>
      <c r="BG86" s="52"/>
      <c r="BH86" s="53"/>
      <c r="BI86" s="46"/>
      <c r="BJ86" s="50"/>
      <c r="BK86" s="52"/>
      <c r="BL86" s="53"/>
      <c r="BM86" s="46"/>
      <c r="BN86" s="50"/>
      <c r="BO86" s="52"/>
      <c r="BP86" s="53"/>
      <c r="BQ86" s="46"/>
      <c r="BR86" s="50"/>
      <c r="BS86" s="52"/>
      <c r="BT86" s="53"/>
      <c r="BU86" s="46"/>
      <c r="BV86" s="50"/>
      <c r="BW86" s="52"/>
      <c r="BX86" s="53"/>
      <c r="BY86" s="46"/>
      <c r="BZ86" s="50"/>
      <c r="CA86" s="52"/>
      <c r="CB86" s="111"/>
      <c r="CC86" s="60"/>
      <c r="CD86" s="186"/>
      <c r="CE86" s="64"/>
      <c r="CF86" s="64"/>
      <c r="CG86" s="64"/>
      <c r="CH86" s="68"/>
      <c r="CI86" s="68"/>
      <c r="CJ86" s="68"/>
      <c r="CK86" s="164"/>
      <c r="CL86" s="68"/>
      <c r="CM86" s="68"/>
      <c r="CN86" s="68"/>
      <c r="CO86" s="68"/>
      <c r="CP86" s="165"/>
      <c r="CQ86" s="115"/>
      <c r="CR86" s="68"/>
      <c r="CS86" s="68"/>
      <c r="CT86" s="60"/>
      <c r="CU86" s="60"/>
      <c r="CV86" s="60"/>
      <c r="CW86" s="60"/>
      <c r="CX86" s="60"/>
      <c r="CY86" s="60"/>
      <c r="CZ86" s="60"/>
      <c r="DA86" s="60"/>
    </row>
    <row r="87" ht="31.5" hidden="1" customHeight="1">
      <c r="A87" s="43"/>
      <c r="B87" s="44"/>
      <c r="C87" s="44"/>
      <c r="D87" s="45"/>
      <c r="E87" s="46"/>
      <c r="F87" s="117"/>
      <c r="G87" s="119"/>
      <c r="H87" s="45"/>
      <c r="I87" s="46"/>
      <c r="J87" s="50"/>
      <c r="K87" s="52"/>
      <c r="L87" s="53"/>
      <c r="M87" s="46"/>
      <c r="N87" s="50"/>
      <c r="O87" s="52"/>
      <c r="P87" s="53"/>
      <c r="Q87" s="46"/>
      <c r="R87" s="50"/>
      <c r="S87" s="52"/>
      <c r="T87" s="53"/>
      <c r="U87" s="56"/>
      <c r="V87" s="50"/>
      <c r="W87" s="52"/>
      <c r="X87" s="53"/>
      <c r="Y87" s="56"/>
      <c r="Z87" s="50"/>
      <c r="AA87" s="52"/>
      <c r="AB87" s="53"/>
      <c r="AC87" s="56"/>
      <c r="AD87" s="50"/>
      <c r="AE87" s="52"/>
      <c r="AF87" s="53"/>
      <c r="AG87" s="46"/>
      <c r="AH87" s="47"/>
      <c r="AI87" s="48"/>
      <c r="AJ87" s="49"/>
      <c r="AK87" s="46"/>
      <c r="AL87" s="50"/>
      <c r="AM87" s="53"/>
      <c r="AN87" s="53"/>
      <c r="AO87" s="46"/>
      <c r="AP87" s="50"/>
      <c r="AQ87" s="52"/>
      <c r="AR87" s="53"/>
      <c r="AS87" s="46"/>
      <c r="AT87" s="50"/>
      <c r="AU87" s="52"/>
      <c r="AV87" s="53"/>
      <c r="AW87" s="46"/>
      <c r="AX87" s="50"/>
      <c r="AY87" s="52"/>
      <c r="AZ87" s="53"/>
      <c r="BA87" s="46"/>
      <c r="BB87" s="50"/>
      <c r="BC87" s="52"/>
      <c r="BD87" s="53"/>
      <c r="BE87" s="46"/>
      <c r="BF87" s="50"/>
      <c r="BG87" s="52"/>
      <c r="BH87" s="53"/>
      <c r="BI87" s="46"/>
      <c r="BJ87" s="50"/>
      <c r="BK87" s="52"/>
      <c r="BL87" s="53"/>
      <c r="BM87" s="46"/>
      <c r="BN87" s="50"/>
      <c r="BO87" s="52"/>
      <c r="BP87" s="53"/>
      <c r="BQ87" s="46"/>
      <c r="BR87" s="50"/>
      <c r="BS87" s="52"/>
      <c r="BT87" s="53"/>
      <c r="BU87" s="46"/>
      <c r="BV87" s="50"/>
      <c r="BW87" s="52"/>
      <c r="BX87" s="53"/>
      <c r="BY87" s="46"/>
      <c r="BZ87" s="50"/>
      <c r="CA87" s="52"/>
      <c r="CB87" s="111"/>
      <c r="CC87" s="60"/>
      <c r="CD87" s="186"/>
      <c r="CE87" s="64"/>
      <c r="CF87" s="64"/>
      <c r="CG87" s="64"/>
      <c r="CH87" s="68"/>
      <c r="CI87" s="68"/>
      <c r="CJ87" s="68"/>
      <c r="CK87" s="164"/>
      <c r="CL87" s="68"/>
      <c r="CM87" s="68"/>
      <c r="CN87" s="68"/>
      <c r="CO87" s="68"/>
      <c r="CP87" s="165"/>
      <c r="CQ87" s="115"/>
      <c r="CR87" s="68"/>
      <c r="CS87" s="68"/>
      <c r="CT87" s="60"/>
      <c r="CU87" s="60"/>
      <c r="CV87" s="60"/>
      <c r="CW87" s="60"/>
      <c r="CX87" s="60"/>
      <c r="CY87" s="60"/>
      <c r="CZ87" s="60"/>
      <c r="DA87" s="60"/>
    </row>
    <row r="88" ht="31.5" hidden="1" customHeight="1">
      <c r="A88" s="43"/>
      <c r="B88" s="44"/>
      <c r="C88" s="44"/>
      <c r="D88" s="45"/>
      <c r="E88" s="46"/>
      <c r="F88" s="125"/>
      <c r="G88" s="126"/>
      <c r="H88" s="127"/>
      <c r="I88" s="46"/>
      <c r="J88" s="50"/>
      <c r="K88" s="52"/>
      <c r="L88" s="53"/>
      <c r="M88" s="46"/>
      <c r="N88" s="50"/>
      <c r="O88" s="52"/>
      <c r="P88" s="53"/>
      <c r="Q88" s="46"/>
      <c r="R88" s="50"/>
      <c r="S88" s="52"/>
      <c r="T88" s="53"/>
      <c r="U88" s="56"/>
      <c r="V88" s="50"/>
      <c r="W88" s="52"/>
      <c r="X88" s="53"/>
      <c r="Y88" s="56"/>
      <c r="Z88" s="50"/>
      <c r="AA88" s="52"/>
      <c r="AB88" s="53"/>
      <c r="AC88" s="56"/>
      <c r="AD88" s="50"/>
      <c r="AE88" s="52"/>
      <c r="AF88" s="53"/>
      <c r="AG88" s="46"/>
      <c r="AH88" s="47"/>
      <c r="AI88" s="48"/>
      <c r="AJ88" s="49"/>
      <c r="AK88" s="46"/>
      <c r="AL88" s="50"/>
      <c r="AM88" s="53"/>
      <c r="AN88" s="53"/>
      <c r="AO88" s="46"/>
      <c r="AP88" s="50"/>
      <c r="AQ88" s="52"/>
      <c r="AR88" s="53"/>
      <c r="AS88" s="46"/>
      <c r="AT88" s="50"/>
      <c r="AU88" s="52"/>
      <c r="AV88" s="53"/>
      <c r="AW88" s="46"/>
      <c r="AX88" s="50"/>
      <c r="AY88" s="52"/>
      <c r="AZ88" s="53"/>
      <c r="BA88" s="46"/>
      <c r="BB88" s="50"/>
      <c r="BC88" s="52"/>
      <c r="BD88" s="53"/>
      <c r="BE88" s="46"/>
      <c r="BF88" s="50"/>
      <c r="BG88" s="52"/>
      <c r="BH88" s="53"/>
      <c r="BI88" s="46"/>
      <c r="BJ88" s="50"/>
      <c r="BK88" s="52"/>
      <c r="BL88" s="53"/>
      <c r="BM88" s="46"/>
      <c r="BN88" s="50"/>
      <c r="BO88" s="52"/>
      <c r="BP88" s="53"/>
      <c r="BQ88" s="46"/>
      <c r="BR88" s="50"/>
      <c r="BS88" s="52"/>
      <c r="BT88" s="53"/>
      <c r="BU88" s="46"/>
      <c r="BV88" s="50"/>
      <c r="BW88" s="52"/>
      <c r="BX88" s="53"/>
      <c r="BY88" s="46"/>
      <c r="BZ88" s="50"/>
      <c r="CA88" s="52"/>
      <c r="CB88" s="111"/>
      <c r="CC88" s="60"/>
      <c r="CD88" s="186"/>
      <c r="CE88" s="64"/>
      <c r="CF88" s="64"/>
      <c r="CG88" s="64"/>
      <c r="CH88" s="68"/>
      <c r="CI88" s="68"/>
      <c r="CJ88" s="68"/>
      <c r="CK88" s="164"/>
      <c r="CL88" s="68"/>
      <c r="CM88" s="68"/>
      <c r="CN88" s="68"/>
      <c r="CO88" s="68"/>
      <c r="CP88" s="165"/>
      <c r="CQ88" s="115"/>
      <c r="CR88" s="68"/>
      <c r="CS88" s="68"/>
      <c r="CT88" s="60"/>
      <c r="CU88" s="60"/>
      <c r="CV88" s="60"/>
      <c r="CW88" s="60"/>
      <c r="CX88" s="60"/>
      <c r="CY88" s="60"/>
      <c r="CZ88" s="60"/>
      <c r="DA88" s="60"/>
    </row>
    <row r="89" ht="31.5" hidden="1" customHeight="1">
      <c r="A89" s="43"/>
      <c r="B89" s="44"/>
      <c r="C89" s="44"/>
      <c r="D89" s="45"/>
      <c r="E89" s="46"/>
      <c r="F89" s="117"/>
      <c r="G89" s="119"/>
      <c r="H89" s="45"/>
      <c r="I89" s="46"/>
      <c r="J89" s="50"/>
      <c r="K89" s="52"/>
      <c r="L89" s="53"/>
      <c r="M89" s="46"/>
      <c r="N89" s="50"/>
      <c r="O89" s="52"/>
      <c r="P89" s="53"/>
      <c r="Q89" s="46"/>
      <c r="R89" s="50"/>
      <c r="S89" s="52"/>
      <c r="T89" s="53"/>
      <c r="U89" s="56"/>
      <c r="V89" s="50"/>
      <c r="W89" s="52"/>
      <c r="X89" s="53"/>
      <c r="Y89" s="56"/>
      <c r="Z89" s="50"/>
      <c r="AA89" s="52"/>
      <c r="AB89" s="53"/>
      <c r="AC89" s="56"/>
      <c r="AD89" s="50"/>
      <c r="AE89" s="52"/>
      <c r="AF89" s="53"/>
      <c r="AG89" s="46"/>
      <c r="AH89" s="47"/>
      <c r="AI89" s="48"/>
      <c r="AJ89" s="49"/>
      <c r="AK89" s="46"/>
      <c r="AL89" s="50"/>
      <c r="AM89" s="53"/>
      <c r="AN89" s="53"/>
      <c r="AO89" s="46"/>
      <c r="AP89" s="50"/>
      <c r="AQ89" s="52"/>
      <c r="AR89" s="53"/>
      <c r="AS89" s="46"/>
      <c r="AT89" s="50"/>
      <c r="AU89" s="52"/>
      <c r="AV89" s="53"/>
      <c r="AW89" s="46"/>
      <c r="AX89" s="50"/>
      <c r="AY89" s="52"/>
      <c r="AZ89" s="53"/>
      <c r="BA89" s="46"/>
      <c r="BB89" s="50"/>
      <c r="BC89" s="52"/>
      <c r="BD89" s="53"/>
      <c r="BE89" s="46"/>
      <c r="BF89" s="50"/>
      <c r="BG89" s="52"/>
      <c r="BH89" s="53"/>
      <c r="BI89" s="46"/>
      <c r="BJ89" s="50"/>
      <c r="BK89" s="52"/>
      <c r="BL89" s="53"/>
      <c r="BM89" s="46"/>
      <c r="BN89" s="50"/>
      <c r="BO89" s="52"/>
      <c r="BP89" s="53"/>
      <c r="BQ89" s="46"/>
      <c r="BR89" s="50"/>
      <c r="BS89" s="52"/>
      <c r="BT89" s="53"/>
      <c r="BU89" s="46"/>
      <c r="BV89" s="50"/>
      <c r="BW89" s="52"/>
      <c r="BX89" s="53"/>
      <c r="BY89" s="46"/>
      <c r="BZ89" s="50"/>
      <c r="CA89" s="52"/>
      <c r="CB89" s="111"/>
      <c r="CC89" s="60"/>
      <c r="CD89" s="186"/>
      <c r="CE89" s="64"/>
      <c r="CF89" s="64"/>
      <c r="CG89" s="64"/>
      <c r="CH89" s="68"/>
      <c r="CI89" s="68"/>
      <c r="CJ89" s="68"/>
      <c r="CK89" s="164"/>
      <c r="CL89" s="68"/>
      <c r="CM89" s="68"/>
      <c r="CN89" s="68"/>
      <c r="CO89" s="68"/>
      <c r="CP89" s="165"/>
      <c r="CQ89" s="115"/>
      <c r="CR89" s="68"/>
      <c r="CS89" s="68"/>
      <c r="CT89" s="60"/>
      <c r="CU89" s="60"/>
      <c r="CV89" s="60"/>
      <c r="CW89" s="60"/>
      <c r="CX89" s="60"/>
      <c r="CY89" s="60"/>
      <c r="CZ89" s="60"/>
      <c r="DA89" s="60"/>
    </row>
    <row r="90" ht="31.5" hidden="1" customHeight="1">
      <c r="A90" s="43"/>
      <c r="B90" s="44"/>
      <c r="C90" s="44"/>
      <c r="D90" s="45"/>
      <c r="E90" s="46"/>
      <c r="F90" s="125"/>
      <c r="G90" s="126"/>
      <c r="H90" s="127"/>
      <c r="I90" s="46"/>
      <c r="J90" s="50"/>
      <c r="K90" s="52"/>
      <c r="L90" s="53"/>
      <c r="M90" s="46"/>
      <c r="N90" s="50"/>
      <c r="O90" s="52"/>
      <c r="P90" s="53"/>
      <c r="Q90" s="46"/>
      <c r="R90" s="50"/>
      <c r="S90" s="52"/>
      <c r="T90" s="53"/>
      <c r="U90" s="56"/>
      <c r="V90" s="50"/>
      <c r="W90" s="52"/>
      <c r="X90" s="53"/>
      <c r="Y90" s="56"/>
      <c r="Z90" s="50"/>
      <c r="AA90" s="52"/>
      <c r="AB90" s="53"/>
      <c r="AC90" s="56"/>
      <c r="AD90" s="50"/>
      <c r="AE90" s="52"/>
      <c r="AF90" s="53"/>
      <c r="AG90" s="46"/>
      <c r="AH90" s="47"/>
      <c r="AI90" s="48"/>
      <c r="AJ90" s="49"/>
      <c r="AK90" s="46"/>
      <c r="AL90" s="50"/>
      <c r="AM90" s="53"/>
      <c r="AN90" s="53"/>
      <c r="AO90" s="46"/>
      <c r="AP90" s="50"/>
      <c r="AQ90" s="52"/>
      <c r="AR90" s="53"/>
      <c r="AS90" s="46"/>
      <c r="AT90" s="50"/>
      <c r="AU90" s="52"/>
      <c r="AV90" s="53"/>
      <c r="AW90" s="46"/>
      <c r="AX90" s="50"/>
      <c r="AY90" s="52"/>
      <c r="AZ90" s="53"/>
      <c r="BA90" s="46"/>
      <c r="BB90" s="50"/>
      <c r="BC90" s="52"/>
      <c r="BD90" s="53"/>
      <c r="BE90" s="46"/>
      <c r="BF90" s="50"/>
      <c r="BG90" s="52"/>
      <c r="BH90" s="53"/>
      <c r="BI90" s="46"/>
      <c r="BJ90" s="50"/>
      <c r="BK90" s="52"/>
      <c r="BL90" s="53"/>
      <c r="BM90" s="46"/>
      <c r="BN90" s="50"/>
      <c r="BO90" s="52"/>
      <c r="BP90" s="53"/>
      <c r="BQ90" s="46"/>
      <c r="BR90" s="50"/>
      <c r="BS90" s="52"/>
      <c r="BT90" s="53"/>
      <c r="BU90" s="46"/>
      <c r="BV90" s="50"/>
      <c r="BW90" s="52"/>
      <c r="BX90" s="53"/>
      <c r="BY90" s="46"/>
      <c r="BZ90" s="50"/>
      <c r="CA90" s="52"/>
      <c r="CB90" s="111"/>
      <c r="CC90" s="60"/>
      <c r="CD90" s="186"/>
      <c r="CE90" s="64"/>
      <c r="CF90" s="64"/>
      <c r="CG90" s="64"/>
      <c r="CH90" s="68"/>
      <c r="CI90" s="68"/>
      <c r="CJ90" s="68"/>
      <c r="CK90" s="164"/>
      <c r="CL90" s="68"/>
      <c r="CM90" s="68"/>
      <c r="CN90" s="68"/>
      <c r="CO90" s="68"/>
      <c r="CP90" s="165"/>
      <c r="CQ90" s="115"/>
      <c r="CR90" s="68"/>
      <c r="CS90" s="68"/>
      <c r="CT90" s="60"/>
      <c r="CU90" s="60"/>
      <c r="CV90" s="60"/>
      <c r="CW90" s="60"/>
      <c r="CX90" s="60"/>
      <c r="CY90" s="60"/>
      <c r="CZ90" s="60"/>
      <c r="DA90" s="60"/>
    </row>
    <row r="91" ht="31.5" hidden="1" customHeight="1">
      <c r="A91" s="43"/>
      <c r="B91" s="44"/>
      <c r="C91" s="44"/>
      <c r="D91" s="45"/>
      <c r="E91" s="46"/>
      <c r="F91" s="117"/>
      <c r="G91" s="119"/>
      <c r="H91" s="45"/>
      <c r="I91" s="46"/>
      <c r="J91" s="50"/>
      <c r="K91" s="52"/>
      <c r="L91" s="53"/>
      <c r="M91" s="46"/>
      <c r="N91" s="50"/>
      <c r="O91" s="52"/>
      <c r="P91" s="53"/>
      <c r="Q91" s="46"/>
      <c r="R91" s="50"/>
      <c r="S91" s="52"/>
      <c r="T91" s="53"/>
      <c r="U91" s="56"/>
      <c r="V91" s="50"/>
      <c r="W91" s="52"/>
      <c r="X91" s="53"/>
      <c r="Y91" s="56"/>
      <c r="Z91" s="50"/>
      <c r="AA91" s="52"/>
      <c r="AB91" s="53"/>
      <c r="AC91" s="56"/>
      <c r="AD91" s="50"/>
      <c r="AE91" s="52"/>
      <c r="AF91" s="53"/>
      <c r="AG91" s="46"/>
      <c r="AH91" s="47"/>
      <c r="AI91" s="48"/>
      <c r="AJ91" s="49"/>
      <c r="AK91" s="46"/>
      <c r="AL91" s="50"/>
      <c r="AM91" s="53"/>
      <c r="AN91" s="53"/>
      <c r="AO91" s="46"/>
      <c r="AP91" s="50"/>
      <c r="AQ91" s="52"/>
      <c r="AR91" s="53"/>
      <c r="AS91" s="46"/>
      <c r="AT91" s="50"/>
      <c r="AU91" s="52"/>
      <c r="AV91" s="53"/>
      <c r="AW91" s="46"/>
      <c r="AX91" s="50"/>
      <c r="AY91" s="52"/>
      <c r="AZ91" s="53"/>
      <c r="BA91" s="46"/>
      <c r="BB91" s="50"/>
      <c r="BC91" s="52"/>
      <c r="BD91" s="53"/>
      <c r="BE91" s="46"/>
      <c r="BF91" s="50"/>
      <c r="BG91" s="52"/>
      <c r="BH91" s="53"/>
      <c r="BI91" s="46"/>
      <c r="BJ91" s="50"/>
      <c r="BK91" s="52"/>
      <c r="BL91" s="53"/>
      <c r="BM91" s="46"/>
      <c r="BN91" s="50"/>
      <c r="BO91" s="52"/>
      <c r="BP91" s="53"/>
      <c r="BQ91" s="46"/>
      <c r="BR91" s="50"/>
      <c r="BS91" s="52"/>
      <c r="BT91" s="53"/>
      <c r="BU91" s="46"/>
      <c r="BV91" s="50"/>
      <c r="BW91" s="52"/>
      <c r="BX91" s="53"/>
      <c r="BY91" s="46"/>
      <c r="BZ91" s="50"/>
      <c r="CA91" s="52"/>
      <c r="CB91" s="111"/>
      <c r="CC91" s="60"/>
      <c r="CD91" s="186"/>
      <c r="CE91" s="64"/>
      <c r="CF91" s="64"/>
      <c r="CG91" s="64"/>
      <c r="CH91" s="68"/>
      <c r="CI91" s="68"/>
      <c r="CJ91" s="68"/>
      <c r="CK91" s="164"/>
      <c r="CL91" s="68"/>
      <c r="CM91" s="68"/>
      <c r="CN91" s="68"/>
      <c r="CO91" s="68"/>
      <c r="CP91" s="165"/>
      <c r="CQ91" s="115"/>
      <c r="CR91" s="68"/>
      <c r="CS91" s="68"/>
      <c r="CT91" s="60"/>
      <c r="CU91" s="60"/>
      <c r="CV91" s="60"/>
      <c r="CW91" s="60"/>
      <c r="CX91" s="60"/>
      <c r="CY91" s="60"/>
      <c r="CZ91" s="60"/>
      <c r="DA91" s="60"/>
    </row>
    <row r="92" ht="31.5" hidden="1" customHeight="1">
      <c r="A92" s="43"/>
      <c r="B92" s="44"/>
      <c r="C92" s="44"/>
      <c r="D92" s="45"/>
      <c r="E92" s="46"/>
      <c r="F92" s="125"/>
      <c r="G92" s="126"/>
      <c r="H92" s="127"/>
      <c r="I92" s="46"/>
      <c r="J92" s="50"/>
      <c r="K92" s="52"/>
      <c r="L92" s="53"/>
      <c r="M92" s="46"/>
      <c r="N92" s="50"/>
      <c r="O92" s="52"/>
      <c r="P92" s="53"/>
      <c r="Q92" s="46"/>
      <c r="R92" s="50"/>
      <c r="S92" s="52"/>
      <c r="T92" s="53"/>
      <c r="U92" s="56"/>
      <c r="V92" s="50"/>
      <c r="W92" s="52"/>
      <c r="X92" s="53"/>
      <c r="Y92" s="56"/>
      <c r="Z92" s="50"/>
      <c r="AA92" s="52"/>
      <c r="AB92" s="53"/>
      <c r="AC92" s="56"/>
      <c r="AD92" s="50"/>
      <c r="AE92" s="52"/>
      <c r="AF92" s="53"/>
      <c r="AG92" s="46"/>
      <c r="AH92" s="47"/>
      <c r="AI92" s="48"/>
      <c r="AJ92" s="49"/>
      <c r="AK92" s="46"/>
      <c r="AL92" s="50"/>
      <c r="AM92" s="53"/>
      <c r="AN92" s="53"/>
      <c r="AO92" s="46"/>
      <c r="AP92" s="50"/>
      <c r="AQ92" s="52"/>
      <c r="AR92" s="53"/>
      <c r="AS92" s="46"/>
      <c r="AT92" s="50"/>
      <c r="AU92" s="52"/>
      <c r="AV92" s="53"/>
      <c r="AW92" s="46"/>
      <c r="AX92" s="50"/>
      <c r="AY92" s="52"/>
      <c r="AZ92" s="53"/>
      <c r="BA92" s="46"/>
      <c r="BB92" s="50"/>
      <c r="BC92" s="52"/>
      <c r="BD92" s="53"/>
      <c r="BE92" s="46"/>
      <c r="BF92" s="50"/>
      <c r="BG92" s="52"/>
      <c r="BH92" s="53"/>
      <c r="BI92" s="46"/>
      <c r="BJ92" s="50"/>
      <c r="BK92" s="52"/>
      <c r="BL92" s="53"/>
      <c r="BM92" s="46"/>
      <c r="BN92" s="50"/>
      <c r="BO92" s="52"/>
      <c r="BP92" s="53"/>
      <c r="BQ92" s="46"/>
      <c r="BR92" s="50"/>
      <c r="BS92" s="52"/>
      <c r="BT92" s="53"/>
      <c r="BU92" s="46"/>
      <c r="BV92" s="50"/>
      <c r="BW92" s="52"/>
      <c r="BX92" s="53"/>
      <c r="BY92" s="46"/>
      <c r="BZ92" s="50"/>
      <c r="CA92" s="52"/>
      <c r="CB92" s="111"/>
      <c r="CC92" s="60"/>
      <c r="CD92" s="186"/>
      <c r="CE92" s="64"/>
      <c r="CF92" s="64"/>
      <c r="CG92" s="64"/>
      <c r="CH92" s="68"/>
      <c r="CI92" s="68"/>
      <c r="CJ92" s="68"/>
      <c r="CK92" s="164"/>
      <c r="CL92" s="68"/>
      <c r="CM92" s="68"/>
      <c r="CN92" s="68"/>
      <c r="CO92" s="68"/>
      <c r="CP92" s="165"/>
      <c r="CQ92" s="115"/>
      <c r="CR92" s="68"/>
      <c r="CS92" s="68"/>
      <c r="CT92" s="60"/>
      <c r="CU92" s="60"/>
      <c r="CV92" s="60"/>
      <c r="CW92" s="60"/>
      <c r="CX92" s="60"/>
      <c r="CY92" s="60"/>
      <c r="CZ92" s="60"/>
      <c r="DA92" s="60"/>
    </row>
    <row r="93" ht="31.5" hidden="1" customHeight="1">
      <c r="A93" s="43"/>
      <c r="B93" s="44"/>
      <c r="C93" s="44"/>
      <c r="D93" s="45"/>
      <c r="E93" s="46"/>
      <c r="F93" s="117"/>
      <c r="G93" s="119"/>
      <c r="H93" s="45"/>
      <c r="I93" s="46"/>
      <c r="J93" s="50"/>
      <c r="K93" s="52"/>
      <c r="L93" s="53"/>
      <c r="M93" s="46"/>
      <c r="N93" s="50"/>
      <c r="O93" s="52"/>
      <c r="P93" s="53"/>
      <c r="Q93" s="46"/>
      <c r="R93" s="50"/>
      <c r="S93" s="52"/>
      <c r="T93" s="53"/>
      <c r="U93" s="56"/>
      <c r="V93" s="50"/>
      <c r="W93" s="52"/>
      <c r="X93" s="53"/>
      <c r="Y93" s="56"/>
      <c r="Z93" s="50"/>
      <c r="AA93" s="52"/>
      <c r="AB93" s="53"/>
      <c r="AC93" s="56"/>
      <c r="AD93" s="50"/>
      <c r="AE93" s="52"/>
      <c r="AF93" s="53"/>
      <c r="AG93" s="46"/>
      <c r="AH93" s="47"/>
      <c r="AI93" s="48"/>
      <c r="AJ93" s="49"/>
      <c r="AK93" s="46"/>
      <c r="AL93" s="50"/>
      <c r="AM93" s="53"/>
      <c r="AN93" s="53"/>
      <c r="AO93" s="46"/>
      <c r="AP93" s="50"/>
      <c r="AQ93" s="52"/>
      <c r="AR93" s="53"/>
      <c r="AS93" s="46"/>
      <c r="AT93" s="50"/>
      <c r="AU93" s="52"/>
      <c r="AV93" s="53"/>
      <c r="AW93" s="46"/>
      <c r="AX93" s="50"/>
      <c r="AY93" s="52"/>
      <c r="AZ93" s="53"/>
      <c r="BA93" s="46"/>
      <c r="BB93" s="50"/>
      <c r="BC93" s="52"/>
      <c r="BD93" s="53"/>
      <c r="BE93" s="46"/>
      <c r="BF93" s="50"/>
      <c r="BG93" s="52"/>
      <c r="BH93" s="53"/>
      <c r="BI93" s="46"/>
      <c r="BJ93" s="50"/>
      <c r="BK93" s="52"/>
      <c r="BL93" s="53"/>
      <c r="BM93" s="46"/>
      <c r="BN93" s="50"/>
      <c r="BO93" s="52"/>
      <c r="BP93" s="53"/>
      <c r="BQ93" s="46"/>
      <c r="BR93" s="50"/>
      <c r="BS93" s="52"/>
      <c r="BT93" s="53"/>
      <c r="BU93" s="46"/>
      <c r="BV93" s="50"/>
      <c r="BW93" s="52"/>
      <c r="BX93" s="53"/>
      <c r="BY93" s="46"/>
      <c r="BZ93" s="50"/>
      <c r="CA93" s="52"/>
      <c r="CB93" s="111"/>
      <c r="CC93" s="60"/>
      <c r="CD93" s="186"/>
      <c r="CE93" s="64"/>
      <c r="CF93" s="64"/>
      <c r="CG93" s="64"/>
      <c r="CH93" s="68"/>
      <c r="CI93" s="68"/>
      <c r="CJ93" s="68"/>
      <c r="CK93" s="164"/>
      <c r="CL93" s="68"/>
      <c r="CM93" s="68"/>
      <c r="CN93" s="68"/>
      <c r="CO93" s="68"/>
      <c r="CP93" s="165"/>
      <c r="CQ93" s="115"/>
      <c r="CR93" s="68"/>
      <c r="CS93" s="68"/>
      <c r="CT93" s="60"/>
      <c r="CU93" s="60"/>
      <c r="CV93" s="60"/>
      <c r="CW93" s="60"/>
      <c r="CX93" s="60"/>
      <c r="CY93" s="60"/>
      <c r="CZ93" s="60"/>
      <c r="DA93" s="60"/>
    </row>
    <row r="94" ht="31.5" hidden="1" customHeight="1">
      <c r="A94" s="43"/>
      <c r="B94" s="44"/>
      <c r="C94" s="44"/>
      <c r="D94" s="45"/>
      <c r="E94" s="46"/>
      <c r="F94" s="125"/>
      <c r="G94" s="126"/>
      <c r="H94" s="127"/>
      <c r="I94" s="46"/>
      <c r="J94" s="50"/>
      <c r="K94" s="52"/>
      <c r="L94" s="53"/>
      <c r="M94" s="46"/>
      <c r="N94" s="50"/>
      <c r="O94" s="52"/>
      <c r="P94" s="53"/>
      <c r="Q94" s="46"/>
      <c r="R94" s="50"/>
      <c r="S94" s="52"/>
      <c r="T94" s="53"/>
      <c r="U94" s="56"/>
      <c r="V94" s="50"/>
      <c r="W94" s="52"/>
      <c r="X94" s="53"/>
      <c r="Y94" s="56"/>
      <c r="Z94" s="50"/>
      <c r="AA94" s="52"/>
      <c r="AB94" s="53"/>
      <c r="AC94" s="56"/>
      <c r="AD94" s="50"/>
      <c r="AE94" s="52"/>
      <c r="AF94" s="53"/>
      <c r="AG94" s="46"/>
      <c r="AH94" s="47"/>
      <c r="AI94" s="48"/>
      <c r="AJ94" s="49"/>
      <c r="AK94" s="46"/>
      <c r="AL94" s="50"/>
      <c r="AM94" s="53"/>
      <c r="AN94" s="53"/>
      <c r="AO94" s="46"/>
      <c r="AP94" s="50"/>
      <c r="AQ94" s="52"/>
      <c r="AR94" s="53"/>
      <c r="AS94" s="46"/>
      <c r="AT94" s="50"/>
      <c r="AU94" s="52"/>
      <c r="AV94" s="53"/>
      <c r="AW94" s="46"/>
      <c r="AX94" s="50"/>
      <c r="AY94" s="52"/>
      <c r="AZ94" s="53"/>
      <c r="BA94" s="46"/>
      <c r="BB94" s="50"/>
      <c r="BC94" s="52"/>
      <c r="BD94" s="53"/>
      <c r="BE94" s="46"/>
      <c r="BF94" s="50"/>
      <c r="BG94" s="52"/>
      <c r="BH94" s="53"/>
      <c r="BI94" s="46"/>
      <c r="BJ94" s="50"/>
      <c r="BK94" s="52"/>
      <c r="BL94" s="53"/>
      <c r="BM94" s="46"/>
      <c r="BN94" s="50"/>
      <c r="BO94" s="52"/>
      <c r="BP94" s="53"/>
      <c r="BQ94" s="46"/>
      <c r="BR94" s="50"/>
      <c r="BS94" s="52"/>
      <c r="BT94" s="53"/>
      <c r="BU94" s="46"/>
      <c r="BV94" s="50"/>
      <c r="BW94" s="52"/>
      <c r="BX94" s="53"/>
      <c r="BY94" s="46"/>
      <c r="BZ94" s="50"/>
      <c r="CA94" s="52"/>
      <c r="CB94" s="111"/>
      <c r="CC94" s="60"/>
      <c r="CD94" s="186"/>
      <c r="CE94" s="64"/>
      <c r="CF94" s="64"/>
      <c r="CG94" s="64"/>
      <c r="CH94" s="68"/>
      <c r="CI94" s="68"/>
      <c r="CJ94" s="68"/>
      <c r="CK94" s="164"/>
      <c r="CL94" s="68"/>
      <c r="CM94" s="68"/>
      <c r="CN94" s="68"/>
      <c r="CO94" s="68"/>
      <c r="CP94" s="165"/>
      <c r="CQ94" s="115"/>
      <c r="CR94" s="68"/>
      <c r="CS94" s="68"/>
      <c r="CT94" s="60"/>
      <c r="CU94" s="60"/>
      <c r="CV94" s="60"/>
      <c r="CW94" s="60"/>
      <c r="CX94" s="60"/>
      <c r="CY94" s="60"/>
      <c r="CZ94" s="60"/>
      <c r="DA94" s="60"/>
    </row>
    <row r="95" ht="31.5" hidden="1" customHeight="1">
      <c r="A95" s="270"/>
      <c r="B95" s="44"/>
      <c r="C95" s="44"/>
      <c r="D95" s="45"/>
      <c r="E95" s="46"/>
      <c r="F95" s="117"/>
      <c r="G95" s="119"/>
      <c r="H95" s="45"/>
      <c r="I95" s="46"/>
      <c r="J95" s="50"/>
      <c r="K95" s="52"/>
      <c r="L95" s="53"/>
      <c r="M95" s="46"/>
      <c r="N95" s="50"/>
      <c r="O95" s="52"/>
      <c r="P95" s="53"/>
      <c r="Q95" s="46"/>
      <c r="R95" s="50"/>
      <c r="S95" s="52"/>
      <c r="T95" s="53"/>
      <c r="U95" s="56"/>
      <c r="V95" s="50"/>
      <c r="W95" s="52"/>
      <c r="X95" s="53"/>
      <c r="Y95" s="56"/>
      <c r="Z95" s="50"/>
      <c r="AA95" s="52"/>
      <c r="AB95" s="53"/>
      <c r="AC95" s="56"/>
      <c r="AD95" s="50"/>
      <c r="AE95" s="52"/>
      <c r="AF95" s="53"/>
      <c r="AG95" s="46"/>
      <c r="AH95" s="47"/>
      <c r="AI95" s="48"/>
      <c r="AJ95" s="49"/>
      <c r="AK95" s="46"/>
      <c r="AL95" s="50"/>
      <c r="AM95" s="53"/>
      <c r="AN95" s="53"/>
      <c r="AO95" s="46"/>
      <c r="AP95" s="50"/>
      <c r="AQ95" s="52"/>
      <c r="AR95" s="53"/>
      <c r="AS95" s="46"/>
      <c r="AT95" s="50"/>
      <c r="AU95" s="52"/>
      <c r="AV95" s="53"/>
      <c r="AW95" s="46"/>
      <c r="AX95" s="50"/>
      <c r="AY95" s="52"/>
      <c r="AZ95" s="53"/>
      <c r="BA95" s="46"/>
      <c r="BB95" s="50"/>
      <c r="BC95" s="52"/>
      <c r="BD95" s="53"/>
      <c r="BE95" s="46"/>
      <c r="BF95" s="50"/>
      <c r="BG95" s="52"/>
      <c r="BH95" s="53"/>
      <c r="BI95" s="46"/>
      <c r="BJ95" s="50"/>
      <c r="BK95" s="52"/>
      <c r="BL95" s="53"/>
      <c r="BM95" s="46"/>
      <c r="BN95" s="50"/>
      <c r="BO95" s="52"/>
      <c r="BP95" s="53"/>
      <c r="BQ95" s="46"/>
      <c r="BR95" s="50"/>
      <c r="BS95" s="52"/>
      <c r="BT95" s="53"/>
      <c r="BU95" s="46"/>
      <c r="BV95" s="50"/>
      <c r="BW95" s="52"/>
      <c r="BX95" s="53"/>
      <c r="BY95" s="46"/>
      <c r="BZ95" s="50"/>
      <c r="CA95" s="52"/>
      <c r="CB95" s="111"/>
      <c r="CC95" s="60"/>
      <c r="CD95" s="186"/>
      <c r="CE95" s="64"/>
      <c r="CF95" s="64"/>
      <c r="CG95" s="64"/>
      <c r="CH95" s="68"/>
      <c r="CI95" s="68"/>
      <c r="CJ95" s="68"/>
      <c r="CK95" s="164"/>
      <c r="CL95" s="68"/>
      <c r="CM95" s="68"/>
      <c r="CN95" s="68"/>
      <c r="CO95" s="68"/>
      <c r="CP95" s="165"/>
      <c r="CQ95" s="115"/>
      <c r="CR95" s="68"/>
      <c r="CS95" s="68"/>
      <c r="CT95" s="60"/>
      <c r="CU95" s="60"/>
      <c r="CV95" s="60"/>
      <c r="CW95" s="60"/>
      <c r="CX95" s="60"/>
      <c r="CY95" s="60"/>
      <c r="CZ95" s="60"/>
      <c r="DA95" s="60"/>
    </row>
    <row r="96" ht="31.5" hidden="1" customHeight="1">
      <c r="A96" s="270"/>
      <c r="B96" s="44"/>
      <c r="C96" s="44"/>
      <c r="D96" s="45"/>
      <c r="E96" s="46"/>
      <c r="F96" s="125"/>
      <c r="G96" s="126"/>
      <c r="H96" s="127"/>
      <c r="I96" s="46"/>
      <c r="J96" s="50"/>
      <c r="K96" s="52"/>
      <c r="L96" s="53"/>
      <c r="M96" s="46"/>
      <c r="N96" s="50"/>
      <c r="O96" s="52"/>
      <c r="P96" s="53"/>
      <c r="Q96" s="46"/>
      <c r="R96" s="50"/>
      <c r="S96" s="52"/>
      <c r="T96" s="53"/>
      <c r="U96" s="56"/>
      <c r="V96" s="50"/>
      <c r="W96" s="52"/>
      <c r="X96" s="53"/>
      <c r="Y96" s="56"/>
      <c r="Z96" s="50"/>
      <c r="AA96" s="52"/>
      <c r="AB96" s="53"/>
      <c r="AC96" s="56"/>
      <c r="AD96" s="50"/>
      <c r="AE96" s="52"/>
      <c r="AF96" s="53"/>
      <c r="AG96" s="46"/>
      <c r="AH96" s="47"/>
      <c r="AI96" s="48"/>
      <c r="AJ96" s="49"/>
      <c r="AK96" s="46"/>
      <c r="AL96" s="50"/>
      <c r="AM96" s="53"/>
      <c r="AN96" s="53"/>
      <c r="AO96" s="46"/>
      <c r="AP96" s="50"/>
      <c r="AQ96" s="52"/>
      <c r="AR96" s="53"/>
      <c r="AS96" s="46"/>
      <c r="AT96" s="50"/>
      <c r="AU96" s="52"/>
      <c r="AV96" s="53"/>
      <c r="AW96" s="46"/>
      <c r="AX96" s="50"/>
      <c r="AY96" s="52"/>
      <c r="AZ96" s="53"/>
      <c r="BA96" s="46"/>
      <c r="BB96" s="50"/>
      <c r="BC96" s="52"/>
      <c r="BD96" s="53"/>
      <c r="BE96" s="46"/>
      <c r="BF96" s="50"/>
      <c r="BG96" s="52"/>
      <c r="BH96" s="53"/>
      <c r="BI96" s="46"/>
      <c r="BJ96" s="50"/>
      <c r="BK96" s="52"/>
      <c r="BL96" s="53"/>
      <c r="BM96" s="46"/>
      <c r="BN96" s="50"/>
      <c r="BO96" s="52"/>
      <c r="BP96" s="53"/>
      <c r="BQ96" s="46"/>
      <c r="BR96" s="50"/>
      <c r="BS96" s="52"/>
      <c r="BT96" s="53"/>
      <c r="BU96" s="46"/>
      <c r="BV96" s="50"/>
      <c r="BW96" s="52"/>
      <c r="BX96" s="53"/>
      <c r="BY96" s="46"/>
      <c r="BZ96" s="50"/>
      <c r="CA96" s="52"/>
      <c r="CB96" s="111"/>
      <c r="CC96" s="60"/>
      <c r="CD96" s="186"/>
      <c r="CE96" s="64"/>
      <c r="CF96" s="64"/>
      <c r="CG96" s="64"/>
      <c r="CH96" s="68"/>
      <c r="CI96" s="68"/>
      <c r="CJ96" s="68"/>
      <c r="CK96" s="164"/>
      <c r="CL96" s="68"/>
      <c r="CM96" s="68"/>
      <c r="CN96" s="68"/>
      <c r="CO96" s="68"/>
      <c r="CP96" s="165"/>
      <c r="CQ96" s="115"/>
      <c r="CR96" s="68"/>
      <c r="CS96" s="68"/>
      <c r="CT96" s="60"/>
      <c r="CU96" s="60"/>
      <c r="CV96" s="60"/>
      <c r="CW96" s="60"/>
      <c r="CX96" s="60"/>
      <c r="CY96" s="60"/>
      <c r="CZ96" s="60"/>
      <c r="DA96" s="60"/>
    </row>
    <row r="97" ht="31.5" hidden="1" customHeight="1">
      <c r="A97" s="270"/>
      <c r="B97" s="44"/>
      <c r="C97" s="44"/>
      <c r="D97" s="45"/>
      <c r="E97" s="46"/>
      <c r="F97" s="117"/>
      <c r="G97" s="119"/>
      <c r="H97" s="45"/>
      <c r="I97" s="46"/>
      <c r="J97" s="50"/>
      <c r="K97" s="52"/>
      <c r="L97" s="53"/>
      <c r="M97" s="46"/>
      <c r="N97" s="50"/>
      <c r="O97" s="52"/>
      <c r="P97" s="53"/>
      <c r="Q97" s="46"/>
      <c r="R97" s="50"/>
      <c r="S97" s="52"/>
      <c r="T97" s="53"/>
      <c r="U97" s="56"/>
      <c r="V97" s="50"/>
      <c r="W97" s="52"/>
      <c r="X97" s="53"/>
      <c r="Y97" s="56"/>
      <c r="Z97" s="50"/>
      <c r="AA97" s="52"/>
      <c r="AB97" s="53"/>
      <c r="AC97" s="56"/>
      <c r="AD97" s="50"/>
      <c r="AE97" s="52"/>
      <c r="AF97" s="53"/>
      <c r="AG97" s="46"/>
      <c r="AH97" s="47"/>
      <c r="AI97" s="48"/>
      <c r="AJ97" s="49"/>
      <c r="AK97" s="46"/>
      <c r="AL97" s="50"/>
      <c r="AM97" s="53"/>
      <c r="AN97" s="53"/>
      <c r="AO97" s="46"/>
      <c r="AP97" s="50"/>
      <c r="AQ97" s="52"/>
      <c r="AR97" s="53"/>
      <c r="AS97" s="46"/>
      <c r="AT97" s="50"/>
      <c r="AU97" s="52"/>
      <c r="AV97" s="53"/>
      <c r="AW97" s="46"/>
      <c r="AX97" s="50"/>
      <c r="AY97" s="52"/>
      <c r="AZ97" s="53"/>
      <c r="BA97" s="46"/>
      <c r="BB97" s="50"/>
      <c r="BC97" s="52"/>
      <c r="BD97" s="53"/>
      <c r="BE97" s="46"/>
      <c r="BF97" s="50"/>
      <c r="BG97" s="52"/>
      <c r="BH97" s="53"/>
      <c r="BI97" s="46"/>
      <c r="BJ97" s="50"/>
      <c r="BK97" s="52"/>
      <c r="BL97" s="53"/>
      <c r="BM97" s="46"/>
      <c r="BN97" s="50"/>
      <c r="BO97" s="52"/>
      <c r="BP97" s="53"/>
      <c r="BQ97" s="46"/>
      <c r="BR97" s="50"/>
      <c r="BS97" s="52"/>
      <c r="BT97" s="53"/>
      <c r="BU97" s="46"/>
      <c r="BV97" s="50"/>
      <c r="BW97" s="52"/>
      <c r="BX97" s="53"/>
      <c r="BY97" s="46"/>
      <c r="BZ97" s="50"/>
      <c r="CA97" s="52"/>
      <c r="CB97" s="111"/>
      <c r="CC97" s="60"/>
      <c r="CD97" s="186"/>
      <c r="CE97" s="64"/>
      <c r="CF97" s="64"/>
      <c r="CG97" s="64"/>
      <c r="CH97" s="68"/>
      <c r="CI97" s="68"/>
      <c r="CJ97" s="68"/>
      <c r="CK97" s="164"/>
      <c r="CL97" s="68"/>
      <c r="CM97" s="68"/>
      <c r="CN97" s="68"/>
      <c r="CO97" s="68"/>
      <c r="CP97" s="165"/>
      <c r="CQ97" s="115"/>
      <c r="CR97" s="68"/>
      <c r="CS97" s="68"/>
      <c r="CT97" s="60"/>
      <c r="CU97" s="60"/>
      <c r="CV97" s="60"/>
      <c r="CW97" s="60"/>
      <c r="CX97" s="60"/>
      <c r="CY97" s="60"/>
      <c r="CZ97" s="60"/>
      <c r="DA97" s="60"/>
    </row>
    <row r="98" ht="31.5" hidden="1" customHeight="1">
      <c r="A98" s="270"/>
      <c r="B98" s="44"/>
      <c r="C98" s="44"/>
      <c r="D98" s="45"/>
      <c r="E98" s="46"/>
      <c r="F98" s="125"/>
      <c r="G98" s="126"/>
      <c r="H98" s="127"/>
      <c r="I98" s="46"/>
      <c r="J98" s="50"/>
      <c r="K98" s="52"/>
      <c r="L98" s="53"/>
      <c r="M98" s="46"/>
      <c r="N98" s="50"/>
      <c r="O98" s="52"/>
      <c r="P98" s="53"/>
      <c r="Q98" s="46"/>
      <c r="R98" s="50"/>
      <c r="S98" s="52"/>
      <c r="T98" s="53"/>
      <c r="U98" s="56"/>
      <c r="V98" s="50"/>
      <c r="W98" s="52"/>
      <c r="X98" s="53"/>
      <c r="Y98" s="56"/>
      <c r="Z98" s="50"/>
      <c r="AA98" s="52"/>
      <c r="AB98" s="53"/>
      <c r="AC98" s="56"/>
      <c r="AD98" s="50"/>
      <c r="AE98" s="52"/>
      <c r="AF98" s="53"/>
      <c r="AG98" s="46"/>
      <c r="AH98" s="47"/>
      <c r="AI98" s="48"/>
      <c r="AJ98" s="49"/>
      <c r="AK98" s="46"/>
      <c r="AL98" s="50"/>
      <c r="AM98" s="53"/>
      <c r="AN98" s="53"/>
      <c r="AO98" s="46"/>
      <c r="AP98" s="50"/>
      <c r="AQ98" s="52"/>
      <c r="AR98" s="53"/>
      <c r="AS98" s="46"/>
      <c r="AT98" s="50"/>
      <c r="AU98" s="52"/>
      <c r="AV98" s="53"/>
      <c r="AW98" s="46"/>
      <c r="AX98" s="50"/>
      <c r="AY98" s="52"/>
      <c r="AZ98" s="53"/>
      <c r="BA98" s="46"/>
      <c r="BB98" s="50"/>
      <c r="BC98" s="52"/>
      <c r="BD98" s="53"/>
      <c r="BE98" s="46"/>
      <c r="BF98" s="50"/>
      <c r="BG98" s="52"/>
      <c r="BH98" s="53"/>
      <c r="BI98" s="46"/>
      <c r="BJ98" s="50"/>
      <c r="BK98" s="52"/>
      <c r="BL98" s="53"/>
      <c r="BM98" s="46"/>
      <c r="BN98" s="50"/>
      <c r="BO98" s="52"/>
      <c r="BP98" s="53"/>
      <c r="BQ98" s="46"/>
      <c r="BR98" s="50"/>
      <c r="BS98" s="52"/>
      <c r="BT98" s="53"/>
      <c r="BU98" s="46"/>
      <c r="BV98" s="50"/>
      <c r="BW98" s="52"/>
      <c r="BX98" s="53"/>
      <c r="BY98" s="46"/>
      <c r="BZ98" s="50"/>
      <c r="CA98" s="52"/>
      <c r="CB98" s="111"/>
      <c r="CC98" s="60"/>
      <c r="CD98" s="186"/>
      <c r="CE98" s="64"/>
      <c r="CF98" s="64"/>
      <c r="CG98" s="64"/>
      <c r="CH98" s="68"/>
      <c r="CI98" s="68"/>
      <c r="CJ98" s="68"/>
      <c r="CK98" s="164"/>
      <c r="CL98" s="68"/>
      <c r="CM98" s="68"/>
      <c r="CN98" s="68"/>
      <c r="CO98" s="68"/>
      <c r="CP98" s="165"/>
      <c r="CQ98" s="115"/>
      <c r="CR98" s="68"/>
      <c r="CS98" s="68"/>
      <c r="CT98" s="60"/>
      <c r="CU98" s="60"/>
      <c r="CV98" s="60"/>
      <c r="CW98" s="60"/>
      <c r="CX98" s="60"/>
      <c r="CY98" s="60"/>
      <c r="CZ98" s="60"/>
      <c r="DA98" s="60"/>
    </row>
    <row r="99" ht="31.5" hidden="1" customHeight="1">
      <c r="A99" s="270"/>
      <c r="B99" s="44"/>
      <c r="C99" s="44"/>
      <c r="D99" s="45"/>
      <c r="E99" s="46"/>
      <c r="F99" s="117"/>
      <c r="G99" s="119"/>
      <c r="H99" s="45"/>
      <c r="I99" s="46"/>
      <c r="J99" s="50"/>
      <c r="K99" s="52"/>
      <c r="L99" s="53"/>
      <c r="M99" s="46"/>
      <c r="N99" s="50"/>
      <c r="O99" s="52"/>
      <c r="P99" s="53"/>
      <c r="Q99" s="46"/>
      <c r="R99" s="50"/>
      <c r="S99" s="52"/>
      <c r="T99" s="53"/>
      <c r="U99" s="56"/>
      <c r="V99" s="50"/>
      <c r="W99" s="52"/>
      <c r="X99" s="53"/>
      <c r="Y99" s="56"/>
      <c r="Z99" s="50"/>
      <c r="AA99" s="52"/>
      <c r="AB99" s="53"/>
      <c r="AC99" s="56"/>
      <c r="AD99" s="50"/>
      <c r="AE99" s="52"/>
      <c r="AF99" s="53"/>
      <c r="AG99" s="46"/>
      <c r="AH99" s="47"/>
      <c r="AI99" s="48"/>
      <c r="AJ99" s="49"/>
      <c r="AK99" s="46"/>
      <c r="AL99" s="50"/>
      <c r="AM99" s="53"/>
      <c r="AN99" s="53"/>
      <c r="AO99" s="46"/>
      <c r="AP99" s="50"/>
      <c r="AQ99" s="52"/>
      <c r="AR99" s="53"/>
      <c r="AS99" s="46"/>
      <c r="AT99" s="50"/>
      <c r="AU99" s="52"/>
      <c r="AV99" s="53"/>
      <c r="AW99" s="46"/>
      <c r="AX99" s="50"/>
      <c r="AY99" s="52"/>
      <c r="AZ99" s="53"/>
      <c r="BA99" s="46"/>
      <c r="BB99" s="50"/>
      <c r="BC99" s="52"/>
      <c r="BD99" s="53"/>
      <c r="BE99" s="46"/>
      <c r="BF99" s="50"/>
      <c r="BG99" s="52"/>
      <c r="BH99" s="53"/>
      <c r="BI99" s="46"/>
      <c r="BJ99" s="50"/>
      <c r="BK99" s="52"/>
      <c r="BL99" s="53"/>
      <c r="BM99" s="46"/>
      <c r="BN99" s="50"/>
      <c r="BO99" s="52"/>
      <c r="BP99" s="53"/>
      <c r="BQ99" s="46"/>
      <c r="BR99" s="50"/>
      <c r="BS99" s="52"/>
      <c r="BT99" s="53"/>
      <c r="BU99" s="46"/>
      <c r="BV99" s="50"/>
      <c r="BW99" s="52"/>
      <c r="BX99" s="53"/>
      <c r="BY99" s="46"/>
      <c r="BZ99" s="50"/>
      <c r="CA99" s="52"/>
      <c r="CB99" s="111"/>
      <c r="CC99" s="60"/>
      <c r="CD99" s="186"/>
      <c r="CE99" s="64"/>
      <c r="CF99" s="64"/>
      <c r="CG99" s="64"/>
      <c r="CH99" s="68"/>
      <c r="CI99" s="68"/>
      <c r="CJ99" s="68"/>
      <c r="CK99" s="164"/>
      <c r="CL99" s="68"/>
      <c r="CM99" s="68"/>
      <c r="CN99" s="68"/>
      <c r="CO99" s="68"/>
      <c r="CP99" s="165"/>
      <c r="CQ99" s="115"/>
      <c r="CR99" s="68"/>
      <c r="CS99" s="68"/>
      <c r="CT99" s="60"/>
      <c r="CU99" s="60"/>
      <c r="CV99" s="60"/>
      <c r="CW99" s="60"/>
      <c r="CX99" s="60"/>
      <c r="CY99" s="60"/>
      <c r="CZ99" s="60"/>
      <c r="DA99" s="60"/>
    </row>
    <row r="100" ht="31.5" hidden="1" customHeight="1">
      <c r="A100" s="270"/>
      <c r="B100" s="44"/>
      <c r="C100" s="44"/>
      <c r="D100" s="45"/>
      <c r="E100" s="46"/>
      <c r="F100" s="125"/>
      <c r="G100" s="126"/>
      <c r="H100" s="127"/>
      <c r="I100" s="46"/>
      <c r="J100" s="50"/>
      <c r="K100" s="52"/>
      <c r="L100" s="53"/>
      <c r="M100" s="46"/>
      <c r="N100" s="50"/>
      <c r="O100" s="52"/>
      <c r="P100" s="53"/>
      <c r="Q100" s="46"/>
      <c r="R100" s="50"/>
      <c r="S100" s="52"/>
      <c r="T100" s="53"/>
      <c r="U100" s="56"/>
      <c r="V100" s="50"/>
      <c r="W100" s="52"/>
      <c r="X100" s="53"/>
      <c r="Y100" s="56"/>
      <c r="Z100" s="50"/>
      <c r="AA100" s="52"/>
      <c r="AB100" s="53"/>
      <c r="AC100" s="56"/>
      <c r="AD100" s="50"/>
      <c r="AE100" s="52"/>
      <c r="AF100" s="53"/>
      <c r="AG100" s="46"/>
      <c r="AH100" s="47"/>
      <c r="AI100" s="48"/>
      <c r="AJ100" s="49"/>
      <c r="AK100" s="46"/>
      <c r="AL100" s="50"/>
      <c r="AM100" s="53"/>
      <c r="AN100" s="53"/>
      <c r="AO100" s="46"/>
      <c r="AP100" s="50"/>
      <c r="AQ100" s="52"/>
      <c r="AR100" s="53"/>
      <c r="AS100" s="46"/>
      <c r="AT100" s="50"/>
      <c r="AU100" s="52"/>
      <c r="AV100" s="53"/>
      <c r="AW100" s="46"/>
      <c r="AX100" s="50"/>
      <c r="AY100" s="52"/>
      <c r="AZ100" s="53"/>
      <c r="BA100" s="46"/>
      <c r="BB100" s="50"/>
      <c r="BC100" s="52"/>
      <c r="BD100" s="53"/>
      <c r="BE100" s="46"/>
      <c r="BF100" s="50"/>
      <c r="BG100" s="52"/>
      <c r="BH100" s="53"/>
      <c r="BI100" s="46"/>
      <c r="BJ100" s="50"/>
      <c r="BK100" s="52"/>
      <c r="BL100" s="53"/>
      <c r="BM100" s="46"/>
      <c r="BN100" s="50"/>
      <c r="BO100" s="52"/>
      <c r="BP100" s="53"/>
      <c r="BQ100" s="46"/>
      <c r="BR100" s="50"/>
      <c r="BS100" s="52"/>
      <c r="BT100" s="53"/>
      <c r="BU100" s="46"/>
      <c r="BV100" s="50"/>
      <c r="BW100" s="52"/>
      <c r="BX100" s="53"/>
      <c r="BY100" s="46"/>
      <c r="BZ100" s="50"/>
      <c r="CA100" s="52"/>
      <c r="CB100" s="111"/>
      <c r="CC100" s="60"/>
      <c r="CD100" s="186"/>
      <c r="CE100" s="64"/>
      <c r="CF100" s="64"/>
      <c r="CG100" s="64"/>
      <c r="CH100" s="68"/>
      <c r="CI100" s="68"/>
      <c r="CJ100" s="68"/>
      <c r="CK100" s="164"/>
      <c r="CL100" s="68"/>
      <c r="CM100" s="68"/>
      <c r="CN100" s="68"/>
      <c r="CO100" s="68"/>
      <c r="CP100" s="165"/>
      <c r="CQ100" s="115"/>
      <c r="CR100" s="68"/>
      <c r="CS100" s="68"/>
      <c r="CT100" s="60"/>
      <c r="CU100" s="60"/>
      <c r="CV100" s="60"/>
      <c r="CW100" s="60"/>
      <c r="CX100" s="60"/>
      <c r="CY100" s="60"/>
      <c r="CZ100" s="60"/>
      <c r="DA100" s="60"/>
    </row>
    <row r="101" ht="31.5" hidden="1" customHeight="1">
      <c r="A101" s="270"/>
      <c r="B101" s="101"/>
      <c r="C101" s="101"/>
      <c r="D101" s="45"/>
      <c r="E101" s="46"/>
      <c r="F101" s="47"/>
      <c r="G101" s="48"/>
      <c r="H101" s="49"/>
      <c r="I101" s="271"/>
      <c r="J101" s="272"/>
      <c r="K101" s="273"/>
      <c r="L101" s="274"/>
      <c r="M101" s="46"/>
      <c r="N101" s="50"/>
      <c r="O101" s="52"/>
      <c r="P101" s="53"/>
      <c r="Q101" s="46"/>
      <c r="R101" s="50"/>
      <c r="S101" s="52"/>
      <c r="T101" s="53"/>
      <c r="U101" s="271"/>
      <c r="V101" s="272"/>
      <c r="W101" s="273"/>
      <c r="X101" s="274"/>
      <c r="Y101" s="56"/>
      <c r="Z101" s="50"/>
      <c r="AA101" s="52"/>
      <c r="AB101" s="53"/>
      <c r="AC101" s="56"/>
      <c r="AD101" s="50"/>
      <c r="AE101" s="52"/>
      <c r="AF101" s="53"/>
      <c r="AG101" s="271"/>
      <c r="AH101" s="275"/>
      <c r="AI101" s="276"/>
      <c r="AJ101" s="277"/>
      <c r="AK101" s="271"/>
      <c r="AL101" s="272"/>
      <c r="AM101" s="274"/>
      <c r="AN101" s="274"/>
      <c r="AO101" s="46"/>
      <c r="AP101" s="50"/>
      <c r="AQ101" s="52"/>
      <c r="AR101" s="53"/>
      <c r="AS101" s="46"/>
      <c r="AT101" s="272"/>
      <c r="AU101" s="273"/>
      <c r="AV101" s="274"/>
      <c r="AW101" s="46"/>
      <c r="AX101" s="272"/>
      <c r="AY101" s="273"/>
      <c r="AZ101" s="274"/>
      <c r="BA101" s="46"/>
      <c r="BB101" s="272"/>
      <c r="BC101" s="273"/>
      <c r="BD101" s="274"/>
      <c r="BE101" s="46"/>
      <c r="BF101" s="272"/>
      <c r="BG101" s="273"/>
      <c r="BH101" s="274"/>
      <c r="BI101" s="46"/>
      <c r="BJ101" s="272"/>
      <c r="BK101" s="273"/>
      <c r="BL101" s="274"/>
      <c r="BM101" s="46"/>
      <c r="BN101" s="272"/>
      <c r="BO101" s="273"/>
      <c r="BP101" s="274"/>
      <c r="BQ101" s="46"/>
      <c r="BR101" s="272"/>
      <c r="BS101" s="273"/>
      <c r="BT101" s="274"/>
      <c r="BU101" s="46"/>
      <c r="BV101" s="272"/>
      <c r="BW101" s="273"/>
      <c r="BX101" s="274"/>
      <c r="BY101" s="46"/>
      <c r="BZ101" s="272"/>
      <c r="CA101" s="273"/>
      <c r="CB101" s="278"/>
      <c r="CC101" s="279"/>
      <c r="CD101" s="186"/>
      <c r="CE101" s="64"/>
      <c r="CF101" s="64"/>
      <c r="CG101" s="64"/>
      <c r="CH101" s="68"/>
      <c r="CI101" s="68"/>
      <c r="CJ101" s="68"/>
      <c r="CK101" s="164"/>
      <c r="CL101" s="68"/>
      <c r="CM101" s="68"/>
      <c r="CN101" s="68"/>
      <c r="CO101" s="68"/>
      <c r="CP101" s="280"/>
      <c r="CQ101" s="115"/>
      <c r="CR101" s="68"/>
      <c r="CS101" s="68"/>
      <c r="CT101" s="60"/>
      <c r="CU101" s="60"/>
      <c r="CV101" s="60"/>
      <c r="CW101" s="60"/>
      <c r="CX101" s="60"/>
      <c r="CY101" s="60"/>
      <c r="CZ101" s="60"/>
      <c r="DA101" s="60"/>
    </row>
    <row r="102">
      <c r="A102" s="281"/>
      <c r="B102" s="281"/>
      <c r="C102" s="281"/>
      <c r="D102" s="281"/>
      <c r="E102" s="281"/>
      <c r="F102" s="281"/>
      <c r="G102" s="281"/>
      <c r="H102" s="281"/>
      <c r="I102" s="282"/>
      <c r="J102" s="281"/>
      <c r="K102" s="281"/>
      <c r="L102" s="281"/>
      <c r="M102" s="282"/>
      <c r="N102" s="281"/>
      <c r="O102" s="281"/>
      <c r="P102" s="281"/>
      <c r="Q102" s="282"/>
      <c r="R102" s="281"/>
      <c r="S102" s="281"/>
      <c r="T102" s="281"/>
      <c r="U102" s="282"/>
      <c r="V102" s="281"/>
      <c r="W102" s="281"/>
      <c r="X102" s="281"/>
      <c r="Y102" s="282"/>
      <c r="Z102" s="281"/>
      <c r="AA102" s="281"/>
      <c r="AB102" s="281"/>
      <c r="AC102" s="282"/>
      <c r="AD102" s="281"/>
      <c r="AE102" s="281"/>
      <c r="AF102" s="281"/>
      <c r="AG102" s="282"/>
      <c r="AH102" s="281"/>
      <c r="AI102" s="281"/>
      <c r="AJ102" s="281"/>
      <c r="AK102" s="282"/>
      <c r="AL102" s="281"/>
      <c r="AM102" s="281"/>
      <c r="AN102" s="281"/>
      <c r="AO102" s="282"/>
      <c r="AP102" s="281"/>
      <c r="AQ102" s="281"/>
      <c r="AR102" s="281"/>
      <c r="AS102" s="282"/>
      <c r="AT102" s="281"/>
      <c r="AU102" s="281"/>
      <c r="AV102" s="281"/>
      <c r="AW102" s="282"/>
      <c r="AX102" s="283"/>
      <c r="AY102" s="284"/>
      <c r="AZ102" s="281"/>
      <c r="BA102" s="282"/>
      <c r="BB102" s="283"/>
      <c r="BC102" s="284"/>
      <c r="BD102" s="281"/>
      <c r="BE102" s="282"/>
      <c r="BF102" s="283"/>
      <c r="BG102" s="284"/>
      <c r="BH102" s="281"/>
      <c r="BI102" s="282"/>
      <c r="BJ102" s="283"/>
      <c r="BK102" s="284"/>
      <c r="BL102" s="281"/>
      <c r="BM102" s="282"/>
      <c r="BN102" s="283"/>
      <c r="BO102" s="284"/>
      <c r="BP102" s="281"/>
      <c r="BQ102" s="282"/>
      <c r="BR102" s="283"/>
      <c r="BS102" s="284"/>
      <c r="BT102" s="281"/>
      <c r="BU102" s="282"/>
      <c r="BV102" s="283"/>
      <c r="BW102" s="284"/>
      <c r="BX102" s="281"/>
      <c r="BY102" s="282"/>
      <c r="BZ102" s="283"/>
      <c r="CA102" s="284"/>
      <c r="CB102" s="285"/>
      <c r="CC102" s="285"/>
      <c r="CD102" s="286"/>
      <c r="CE102" s="287"/>
      <c r="CF102" s="287"/>
      <c r="CG102" s="287"/>
      <c r="CH102" s="60"/>
      <c r="CI102" s="60"/>
      <c r="CJ102" s="60"/>
      <c r="CK102" s="288"/>
      <c r="CL102" s="60"/>
      <c r="CM102" s="60"/>
      <c r="CN102" s="60"/>
      <c r="CO102" s="60"/>
      <c r="CP102" s="288"/>
      <c r="CQ102" s="60"/>
      <c r="CR102" s="60"/>
      <c r="CS102" s="60"/>
      <c r="CT102" s="285"/>
      <c r="CU102" s="285"/>
      <c r="CV102" s="285"/>
      <c r="CW102" s="285"/>
      <c r="CX102" s="285"/>
      <c r="CY102" s="285"/>
      <c r="CZ102" s="281"/>
      <c r="DA102" s="281"/>
    </row>
    <row r="103">
      <c r="A103" s="289"/>
      <c r="B103" s="290"/>
      <c r="C103" s="290"/>
      <c r="D103" s="290"/>
      <c r="E103" s="291"/>
      <c r="F103" s="290"/>
      <c r="G103" s="290"/>
      <c r="H103" s="290"/>
      <c r="I103" s="292"/>
      <c r="J103" s="290"/>
      <c r="K103" s="290"/>
      <c r="L103" s="290"/>
      <c r="M103" s="292"/>
      <c r="N103" s="290"/>
      <c r="O103" s="290"/>
      <c r="P103" s="290"/>
      <c r="Q103" s="292"/>
      <c r="R103" s="281"/>
      <c r="S103" s="281"/>
      <c r="T103" s="281"/>
      <c r="U103" s="282"/>
      <c r="V103" s="281"/>
      <c r="W103" s="281"/>
      <c r="X103" s="281"/>
      <c r="Y103" s="282"/>
      <c r="Z103" s="281"/>
      <c r="AA103" s="281"/>
      <c r="AB103" s="281"/>
      <c r="AC103" s="282"/>
      <c r="AD103" s="281"/>
      <c r="AE103" s="281"/>
      <c r="AF103" s="281"/>
      <c r="AG103" s="282"/>
      <c r="AH103" s="281"/>
      <c r="AI103" s="281"/>
      <c r="AJ103" s="281"/>
      <c r="AK103" s="282"/>
      <c r="AL103" s="281"/>
      <c r="AM103" s="281"/>
      <c r="AN103" s="281"/>
      <c r="AO103" s="282"/>
      <c r="AP103" s="281"/>
      <c r="AQ103" s="281"/>
      <c r="AR103" s="281"/>
      <c r="AS103" s="293"/>
      <c r="AT103" s="281"/>
      <c r="AU103" s="281"/>
      <c r="AV103" s="281"/>
      <c r="AW103" s="293"/>
      <c r="AX103" s="283"/>
      <c r="AY103" s="284"/>
      <c r="AZ103" s="281"/>
      <c r="BA103" s="293"/>
      <c r="BB103" s="283"/>
      <c r="BC103" s="284"/>
      <c r="BD103" s="281"/>
      <c r="BE103" s="293"/>
      <c r="BF103" s="283"/>
      <c r="BG103" s="284"/>
      <c r="BH103" s="281"/>
      <c r="BI103" s="293"/>
      <c r="BJ103" s="283"/>
      <c r="BK103" s="284"/>
      <c r="BL103" s="281"/>
      <c r="BM103" s="293"/>
      <c r="BN103" s="283"/>
      <c r="BO103" s="284"/>
      <c r="BP103" s="281"/>
      <c r="BQ103" s="293"/>
      <c r="BR103" s="283"/>
      <c r="BS103" s="284"/>
      <c r="BT103" s="281"/>
      <c r="BU103" s="293"/>
      <c r="BV103" s="283"/>
      <c r="BW103" s="284"/>
      <c r="BX103" s="281"/>
      <c r="BY103" s="293"/>
      <c r="BZ103" s="283"/>
      <c r="CA103" s="284"/>
      <c r="CB103" s="285"/>
      <c r="CC103" s="294"/>
      <c r="CD103" s="286"/>
      <c r="CE103" s="287"/>
      <c r="CF103" s="287"/>
      <c r="CG103" s="287"/>
      <c r="CH103" s="60"/>
      <c r="CI103" s="60"/>
      <c r="CJ103" s="60"/>
      <c r="CK103" s="288"/>
      <c r="CL103" s="60"/>
      <c r="CM103" s="60"/>
      <c r="CN103" s="60"/>
      <c r="CO103" s="60"/>
      <c r="CP103" s="288"/>
      <c r="CQ103" s="60"/>
      <c r="CR103" s="60"/>
      <c r="CS103" s="60"/>
      <c r="CT103" s="294"/>
      <c r="CU103" s="294"/>
      <c r="CV103" s="294"/>
      <c r="CW103" s="294"/>
      <c r="CX103" s="294"/>
      <c r="CY103" s="294"/>
      <c r="CZ103" s="295"/>
      <c r="DA103" s="295"/>
    </row>
    <row r="104">
      <c r="A104" s="296" t="s">
        <v>22</v>
      </c>
      <c r="B104" s="281"/>
      <c r="C104" s="281"/>
      <c r="D104" s="281"/>
      <c r="E104" s="281"/>
      <c r="F104" s="281"/>
      <c r="G104" s="281"/>
      <c r="H104" s="281"/>
      <c r="I104" s="282"/>
      <c r="J104" s="281"/>
      <c r="K104" s="281"/>
      <c r="L104" s="281"/>
      <c r="M104" s="282"/>
      <c r="N104" s="281"/>
      <c r="O104" s="281"/>
      <c r="P104" s="281"/>
      <c r="Q104" s="282"/>
      <c r="R104" s="281"/>
      <c r="S104" s="281"/>
      <c r="T104" s="281"/>
      <c r="U104" s="282"/>
      <c r="V104" s="281"/>
      <c r="W104" s="281"/>
      <c r="X104" s="281"/>
      <c r="Y104" s="282"/>
      <c r="Z104" s="281"/>
      <c r="AA104" s="281"/>
      <c r="AB104" s="281"/>
      <c r="AC104" s="282"/>
      <c r="AD104" s="281"/>
      <c r="AE104" s="281"/>
      <c r="AF104" s="281"/>
      <c r="AG104" s="282"/>
      <c r="AH104" s="281"/>
      <c r="AI104" s="281"/>
      <c r="AJ104" s="281"/>
      <c r="AK104" s="282"/>
      <c r="AL104" s="281"/>
      <c r="AM104" s="281"/>
      <c r="AN104" s="281"/>
      <c r="AO104" s="282"/>
      <c r="AP104" s="281"/>
      <c r="AQ104" s="281"/>
      <c r="AR104" s="281"/>
      <c r="AS104" s="293"/>
      <c r="AT104" s="281"/>
      <c r="AU104" s="281"/>
      <c r="AV104" s="281"/>
      <c r="AW104" s="293"/>
      <c r="AX104" s="281"/>
      <c r="AY104" s="281"/>
      <c r="AZ104" s="281"/>
      <c r="BA104" s="293"/>
      <c r="BB104" s="281"/>
      <c r="BC104" s="281"/>
      <c r="BD104" s="281"/>
      <c r="BE104" s="293"/>
      <c r="BF104" s="281"/>
      <c r="BG104" s="281"/>
      <c r="BH104" s="281"/>
      <c r="BI104" s="293"/>
      <c r="BJ104" s="281"/>
      <c r="BK104" s="281"/>
      <c r="BL104" s="281"/>
      <c r="BM104" s="293"/>
      <c r="BN104" s="281"/>
      <c r="BO104" s="281"/>
      <c r="BP104" s="281"/>
      <c r="BQ104" s="293"/>
      <c r="BR104" s="281"/>
      <c r="BS104" s="281"/>
      <c r="BT104" s="281"/>
      <c r="BU104" s="293"/>
      <c r="BV104" s="281"/>
      <c r="BW104" s="281"/>
      <c r="BX104" s="281"/>
      <c r="BY104" s="293"/>
      <c r="BZ104" s="281"/>
      <c r="CA104" s="281"/>
      <c r="CB104" s="281"/>
      <c r="CC104" s="281"/>
      <c r="CD104" s="281"/>
      <c r="CE104" s="281"/>
      <c r="CF104" s="281"/>
      <c r="CG104" s="281"/>
      <c r="CH104" s="281"/>
      <c r="CI104" s="281"/>
      <c r="CJ104" s="281"/>
      <c r="CK104" s="281"/>
      <c r="CL104" s="281"/>
      <c r="CM104" s="281"/>
      <c r="CN104" s="281"/>
      <c r="CO104" s="281"/>
      <c r="CP104" s="281"/>
      <c r="CQ104" s="281"/>
      <c r="CR104" s="281"/>
      <c r="CS104" s="281"/>
      <c r="CT104" s="281"/>
      <c r="CU104" s="281"/>
      <c r="CV104" s="281"/>
      <c r="CW104" s="281"/>
      <c r="CX104" s="281"/>
      <c r="CY104" s="281"/>
      <c r="CZ104" s="281"/>
      <c r="DA104" s="281"/>
    </row>
  </sheetData>
  <mergeCells count="27">
    <mergeCell ref="M1:P1"/>
    <mergeCell ref="I1:L1"/>
    <mergeCell ref="CE1:CE2"/>
    <mergeCell ref="CF1:CJ1"/>
    <mergeCell ref="CL1:CO1"/>
    <mergeCell ref="CQ1:CT1"/>
    <mergeCell ref="CD1:CD2"/>
    <mergeCell ref="E1:H1"/>
    <mergeCell ref="B1:B2"/>
    <mergeCell ref="C1:C2"/>
    <mergeCell ref="A1:A2"/>
    <mergeCell ref="AC1:AF1"/>
    <mergeCell ref="Y1:AB1"/>
    <mergeCell ref="AG1:AJ1"/>
    <mergeCell ref="AS1:AV1"/>
    <mergeCell ref="AO1:AR1"/>
    <mergeCell ref="BU1:BX1"/>
    <mergeCell ref="BQ1:BT1"/>
    <mergeCell ref="BY1:CB1"/>
    <mergeCell ref="U1:X1"/>
    <mergeCell ref="Q1:T1"/>
    <mergeCell ref="AW1:AZ1"/>
    <mergeCell ref="BA1:BD1"/>
    <mergeCell ref="BE1:BH1"/>
    <mergeCell ref="BI1:BL1"/>
    <mergeCell ref="AK1:AN1"/>
    <mergeCell ref="BM1:BP1"/>
  </mergeCells>
  <conditionalFormatting sqref="CS3:CS101">
    <cfRule type="colorScale" priority="1">
      <colorScale>
        <cfvo type="min"/>
        <cfvo type="max"/>
        <color rgb="FFFFFFFF"/>
        <color rgb="FFE67C73"/>
      </colorScale>
    </cfRule>
  </conditionalFormatting>
  <conditionalFormatting sqref="CR3:CR101">
    <cfRule type="colorScale" priority="2">
      <colorScale>
        <cfvo type="min"/>
        <cfvo type="max"/>
        <color rgb="FFFFFFFF"/>
        <color rgb="FFE67C73"/>
      </colorScale>
    </cfRule>
  </conditionalFormatting>
  <conditionalFormatting sqref="CQ3:CQ101 CX3:CX101">
    <cfRule type="colorScale" priority="3">
      <colorScale>
        <cfvo type="min"/>
        <cfvo type="max"/>
        <color rgb="FFFFFFFF"/>
        <color rgb="FFE67C73"/>
      </colorScale>
    </cfRule>
  </conditionalFormatting>
  <conditionalFormatting sqref="CI3:CI101">
    <cfRule type="colorScale" priority="4">
      <colorScale>
        <cfvo type="min"/>
        <cfvo type="max"/>
        <color rgb="FFFFFFFF"/>
        <color rgb="FFE67C73"/>
      </colorScale>
    </cfRule>
  </conditionalFormatting>
  <conditionalFormatting sqref="CJ3:CJ101">
    <cfRule type="colorScale" priority="5">
      <colorScale>
        <cfvo type="min"/>
        <cfvo type="max"/>
        <color rgb="FFFFFFFF"/>
        <color rgb="FFE67C73"/>
      </colorScale>
    </cfRule>
  </conditionalFormatting>
  <conditionalFormatting sqref="CN3:CN101">
    <cfRule type="colorScale" priority="6">
      <colorScale>
        <cfvo type="min"/>
        <cfvo type="max"/>
        <color rgb="FFFFFFFF"/>
        <color rgb="FFE67C73"/>
      </colorScale>
    </cfRule>
  </conditionalFormatting>
  <conditionalFormatting sqref="CO3:CO101">
    <cfRule type="colorScale" priority="7">
      <colorScale>
        <cfvo type="min"/>
        <cfvo type="max"/>
        <color rgb="FFFFFFFF"/>
        <color rgb="FFE67C73"/>
      </colorScale>
    </cfRule>
  </conditionalFormatting>
  <conditionalFormatting sqref="CP3:CP101 CW3:CW101">
    <cfRule type="colorScale" priority="8">
      <colorScale>
        <cfvo type="min"/>
        <cfvo type="max"/>
        <color rgb="FFFFFFFF"/>
        <color rgb="FFE67C73"/>
      </colorScale>
    </cfRule>
  </conditionalFormatting>
  <conditionalFormatting sqref="CT3:CT101">
    <cfRule type="colorScale" priority="9">
      <colorScale>
        <cfvo type="min"/>
        <cfvo type="max"/>
        <color rgb="FFFFFFFF"/>
        <color rgb="FFE67C73"/>
      </colorScale>
    </cfRule>
  </conditionalFormatting>
  <conditionalFormatting sqref="CU3:CU101">
    <cfRule type="colorScale" priority="10">
      <colorScale>
        <cfvo type="min"/>
        <cfvo type="max"/>
        <color rgb="FFFFFFFF"/>
        <color rgb="FFE67C73"/>
      </colorScale>
    </cfRule>
  </conditionalFormatting>
  <conditionalFormatting sqref="CV3:CV101">
    <cfRule type="colorScale" priority="11">
      <colorScale>
        <cfvo type="min"/>
        <cfvo type="max"/>
        <color rgb="FFFFFFFF"/>
        <color rgb="FFE67C73"/>
      </colorScale>
    </cfRule>
  </conditionalFormatting>
  <conditionalFormatting sqref="CW3:CW101">
    <cfRule type="colorScale" priority="12">
      <colorScale>
        <cfvo type="min"/>
        <cfvo type="max"/>
        <color rgb="FFFFFFFF"/>
        <color rgb="FFE67C73"/>
      </colorScale>
    </cfRule>
  </conditionalFormatting>
  <conditionalFormatting sqref="CX3:CX101">
    <cfRule type="colorScale" priority="13">
      <colorScale>
        <cfvo type="min"/>
        <cfvo type="max"/>
        <color rgb="FFFFFFFF"/>
        <color rgb="FFE67C73"/>
      </colorScale>
    </cfRule>
  </conditionalFormatting>
  <conditionalFormatting sqref="CY3:CY101">
    <cfRule type="colorScale" priority="14">
      <colorScale>
        <cfvo type="min"/>
        <cfvo type="max"/>
        <color rgb="FFFFFFFF"/>
        <color rgb="FFE67C73"/>
      </colorScale>
    </cfRule>
  </conditionalFormatting>
  <conditionalFormatting sqref="CH3:CH103">
    <cfRule type="colorScale" priority="15">
      <colorScale>
        <cfvo type="min"/>
        <cfvo type="max"/>
        <color rgb="FFFFFFFF"/>
        <color rgb="FFE67C73"/>
      </colorScale>
    </cfRule>
  </conditionalFormatting>
  <conditionalFormatting sqref="CL3:CM103">
    <cfRule type="colorScale" priority="16">
      <colorScale>
        <cfvo type="min"/>
        <cfvo type="max"/>
        <color rgb="FFFFFFFF"/>
        <color rgb="FFE67C73"/>
      </colorScale>
    </cfRule>
  </conditionalFormatting>
  <drawing r:id="rId1"/>
  <tableParts count="3"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15.29"/>
    <col customWidth="1" min="3" max="3" width="21.57"/>
    <col customWidth="1" min="4" max="4" width="19.0"/>
    <col customWidth="1" min="5" max="6" width="39.29"/>
  </cols>
  <sheetData>
    <row r="1">
      <c r="A1" s="623" t="s">
        <v>53</v>
      </c>
      <c r="B1" s="24"/>
      <c r="C1" s="24"/>
      <c r="D1" s="24"/>
      <c r="E1" s="337"/>
      <c r="F1" s="624"/>
    </row>
    <row r="2">
      <c r="A2" s="625" t="s">
        <v>54</v>
      </c>
      <c r="B2" s="625"/>
      <c r="C2" s="389"/>
      <c r="D2" s="389"/>
      <c r="E2" s="626"/>
      <c r="F2" s="627"/>
    </row>
    <row r="3">
      <c r="A3" s="628" t="s">
        <v>55</v>
      </c>
      <c r="C3" s="389"/>
      <c r="D3" s="389"/>
      <c r="E3" s="626"/>
      <c r="F3" s="627"/>
    </row>
    <row r="4">
      <c r="A4" s="629"/>
      <c r="B4" s="389"/>
      <c r="C4" s="389"/>
      <c r="D4" s="389"/>
      <c r="E4" s="626"/>
      <c r="F4" s="627"/>
    </row>
    <row r="5">
      <c r="A5" s="630" t="s">
        <v>56</v>
      </c>
      <c r="B5" s="389"/>
      <c r="C5" s="389"/>
      <c r="D5" s="389"/>
      <c r="E5" s="626"/>
      <c r="F5" s="631"/>
    </row>
    <row r="6">
      <c r="A6" s="632" t="s">
        <v>57</v>
      </c>
      <c r="B6" s="389"/>
      <c r="C6" s="389"/>
      <c r="D6" s="389"/>
      <c r="E6" s="626"/>
      <c r="F6" s="631"/>
    </row>
    <row r="7">
      <c r="A7" s="633" t="s">
        <v>58</v>
      </c>
      <c r="B7" s="389"/>
      <c r="C7" s="389"/>
      <c r="D7" s="389"/>
      <c r="E7" s="626"/>
      <c r="F7" s="631"/>
    </row>
    <row r="8">
      <c r="A8" s="634" t="s">
        <v>59</v>
      </c>
      <c r="B8" s="389"/>
      <c r="C8" s="389"/>
      <c r="D8" s="389"/>
      <c r="E8" s="626"/>
      <c r="F8" s="631"/>
    </row>
    <row r="9">
      <c r="A9" s="635"/>
      <c r="B9" s="389"/>
      <c r="C9" s="389"/>
      <c r="D9" s="389"/>
      <c r="E9" s="626"/>
      <c r="F9" s="631"/>
    </row>
    <row r="10">
      <c r="A10" s="632" t="s">
        <v>60</v>
      </c>
      <c r="B10" s="636"/>
      <c r="C10" s="636"/>
      <c r="D10" s="636"/>
      <c r="E10" s="626"/>
      <c r="F10" s="631"/>
    </row>
    <row r="11">
      <c r="A11" s="634" t="s">
        <v>61</v>
      </c>
      <c r="B11" s="636"/>
      <c r="C11" s="636"/>
      <c r="D11" s="636"/>
      <c r="E11" s="626"/>
      <c r="F11" s="631"/>
    </row>
    <row r="12">
      <c r="A12" s="635"/>
      <c r="B12" s="389"/>
      <c r="C12" s="389"/>
      <c r="D12" s="389"/>
      <c r="E12" s="626"/>
      <c r="F12" s="631"/>
    </row>
    <row r="13">
      <c r="A13" s="630" t="s">
        <v>62</v>
      </c>
      <c r="B13" s="389"/>
      <c r="C13" s="389"/>
      <c r="D13" s="389"/>
      <c r="E13" s="626"/>
      <c r="F13" s="631"/>
    </row>
    <row r="14">
      <c r="A14" s="632" t="s">
        <v>63</v>
      </c>
      <c r="B14" s="637" t="s">
        <v>64</v>
      </c>
      <c r="C14" s="625"/>
      <c r="D14" s="625" t="s">
        <v>65</v>
      </c>
      <c r="E14" s="637" t="s">
        <v>66</v>
      </c>
      <c r="F14" s="625"/>
    </row>
    <row r="15">
      <c r="A15" s="632" t="s">
        <v>67</v>
      </c>
      <c r="B15" s="637" t="s">
        <v>68</v>
      </c>
      <c r="C15" s="625"/>
      <c r="D15" s="625" t="s">
        <v>69</v>
      </c>
      <c r="E15" s="637" t="s">
        <v>70</v>
      </c>
      <c r="F15" s="625"/>
    </row>
    <row r="16">
      <c r="A16" s="632" t="s">
        <v>71</v>
      </c>
      <c r="B16" s="637" t="s">
        <v>72</v>
      </c>
      <c r="C16" s="625"/>
      <c r="D16" s="625" t="s">
        <v>73</v>
      </c>
      <c r="E16" s="637" t="s">
        <v>74</v>
      </c>
      <c r="F16" s="625"/>
    </row>
    <row r="17">
      <c r="A17" s="635" t="s">
        <v>75</v>
      </c>
      <c r="B17" s="637" t="s">
        <v>76</v>
      </c>
      <c r="C17" s="625"/>
      <c r="D17" s="625" t="s">
        <v>77</v>
      </c>
      <c r="E17" s="637" t="s">
        <v>78</v>
      </c>
      <c r="F17" s="625"/>
    </row>
    <row r="18">
      <c r="A18" s="635" t="s">
        <v>79</v>
      </c>
      <c r="B18" s="637" t="s">
        <v>80</v>
      </c>
      <c r="C18" s="625"/>
      <c r="D18" s="625" t="s">
        <v>81</v>
      </c>
      <c r="E18" s="637" t="s">
        <v>82</v>
      </c>
      <c r="F18" s="625"/>
    </row>
    <row r="19">
      <c r="A19" s="635" t="s">
        <v>83</v>
      </c>
      <c r="B19" s="637" t="s">
        <v>84</v>
      </c>
      <c r="C19" s="625"/>
      <c r="D19" s="625" t="s">
        <v>85</v>
      </c>
      <c r="E19" s="637" t="s">
        <v>86</v>
      </c>
      <c r="F19" s="625"/>
    </row>
    <row r="20">
      <c r="A20" s="635" t="s">
        <v>87</v>
      </c>
      <c r="B20" s="637" t="s">
        <v>88</v>
      </c>
      <c r="C20" s="625"/>
      <c r="D20" s="625"/>
      <c r="E20" s="638"/>
      <c r="F20" s="639"/>
    </row>
    <row r="21">
      <c r="A21" s="632" t="s">
        <v>89</v>
      </c>
      <c r="B21" s="637" t="s">
        <v>90</v>
      </c>
      <c r="C21" s="625"/>
      <c r="D21" s="625"/>
      <c r="E21" s="638"/>
      <c r="F21" s="639"/>
    </row>
    <row r="22">
      <c r="A22" s="632" t="s">
        <v>91</v>
      </c>
      <c r="B22" s="637" t="s">
        <v>92</v>
      </c>
      <c r="C22" s="625"/>
      <c r="D22" s="625"/>
      <c r="E22" s="638"/>
      <c r="F22" s="639"/>
    </row>
    <row r="23">
      <c r="A23" s="10"/>
      <c r="B23" s="389"/>
      <c r="C23" s="389"/>
      <c r="D23" s="389"/>
      <c r="E23" s="389"/>
      <c r="F23" s="631"/>
    </row>
    <row r="24">
      <c r="A24" s="640"/>
      <c r="B24" s="389"/>
      <c r="C24" s="389"/>
      <c r="D24" s="389"/>
      <c r="E24" s="626"/>
      <c r="F24" s="631"/>
    </row>
    <row r="25">
      <c r="A25" s="640" t="s">
        <v>93</v>
      </c>
      <c r="B25" s="389"/>
      <c r="C25" s="389"/>
      <c r="D25" s="389"/>
      <c r="E25" s="626"/>
      <c r="F25" s="631"/>
    </row>
    <row r="26">
      <c r="A26" s="633" t="s">
        <v>94</v>
      </c>
      <c r="B26" s="625"/>
      <c r="C26" s="625"/>
      <c r="D26" s="625"/>
      <c r="E26" s="638"/>
      <c r="F26" s="639"/>
    </row>
    <row r="27">
      <c r="A27" s="632" t="s">
        <v>95</v>
      </c>
      <c r="B27" s="625" t="s">
        <v>96</v>
      </c>
      <c r="C27" s="625" t="s">
        <v>97</v>
      </c>
      <c r="D27" s="637" t="s">
        <v>98</v>
      </c>
      <c r="E27" s="638"/>
      <c r="F27" s="639"/>
    </row>
    <row r="28">
      <c r="A28" s="632"/>
      <c r="B28" s="625" t="s">
        <v>99</v>
      </c>
      <c r="C28" s="625" t="s">
        <v>97</v>
      </c>
      <c r="D28" s="637" t="s">
        <v>100</v>
      </c>
      <c r="E28" s="638"/>
      <c r="F28" s="639"/>
    </row>
    <row r="29">
      <c r="A29" s="632" t="s">
        <v>101</v>
      </c>
      <c r="B29" s="625"/>
      <c r="C29" s="625"/>
      <c r="D29" s="637" t="s">
        <v>102</v>
      </c>
      <c r="E29" s="638"/>
      <c r="F29" s="639"/>
    </row>
    <row r="30">
      <c r="A30" s="632" t="s">
        <v>103</v>
      </c>
      <c r="B30" s="625"/>
      <c r="C30" s="625" t="s">
        <v>104</v>
      </c>
      <c r="D30" s="637" t="s">
        <v>105</v>
      </c>
      <c r="E30" s="638"/>
      <c r="F30" s="639"/>
    </row>
    <row r="31">
      <c r="A31" s="632" t="s">
        <v>106</v>
      </c>
      <c r="B31" s="625" t="s">
        <v>107</v>
      </c>
      <c r="C31" s="625"/>
      <c r="D31" s="389"/>
      <c r="E31" s="638"/>
      <c r="F31" s="639"/>
    </row>
    <row r="32">
      <c r="A32" s="632"/>
      <c r="B32" s="625" t="s">
        <v>108</v>
      </c>
      <c r="C32" s="625"/>
      <c r="D32" s="389"/>
      <c r="E32" s="626"/>
      <c r="F32" s="631"/>
    </row>
    <row r="33">
      <c r="A33" s="632"/>
      <c r="B33" s="625" t="s">
        <v>109</v>
      </c>
      <c r="C33" s="625"/>
      <c r="D33" s="389"/>
      <c r="E33" s="626"/>
      <c r="F33" s="631"/>
    </row>
    <row r="34">
      <c r="A34" s="632"/>
      <c r="B34" s="625" t="s">
        <v>110</v>
      </c>
      <c r="C34" s="625"/>
      <c r="D34" s="389"/>
      <c r="E34" s="626"/>
      <c r="F34" s="631"/>
    </row>
    <row r="35">
      <c r="A35" s="632"/>
      <c r="B35" s="625"/>
      <c r="C35" s="625"/>
      <c r="D35" s="389"/>
      <c r="E35" s="626"/>
      <c r="F35" s="631"/>
    </row>
    <row r="36">
      <c r="A36" s="640" t="s">
        <v>111</v>
      </c>
      <c r="B36" s="389"/>
      <c r="C36" s="389"/>
      <c r="D36" s="389"/>
      <c r="E36" s="626"/>
      <c r="F36" s="631"/>
    </row>
    <row r="37">
      <c r="A37" s="632" t="s">
        <v>112</v>
      </c>
      <c r="B37" s="389"/>
      <c r="C37" s="389"/>
      <c r="D37" s="389"/>
      <c r="E37" s="626"/>
      <c r="F37" s="631"/>
    </row>
    <row r="38">
      <c r="A38" s="632" t="s">
        <v>113</v>
      </c>
      <c r="B38" s="389"/>
      <c r="C38" s="389"/>
      <c r="D38" s="389"/>
      <c r="E38" s="626"/>
      <c r="F38" s="631"/>
    </row>
    <row r="39">
      <c r="A39" s="632" t="s">
        <v>114</v>
      </c>
      <c r="B39" s="389"/>
      <c r="C39" s="389"/>
      <c r="D39" s="389"/>
      <c r="E39" s="626"/>
      <c r="F39" s="631"/>
    </row>
    <row r="40">
      <c r="A40" s="632" t="s">
        <v>115</v>
      </c>
      <c r="B40" s="389"/>
      <c r="C40" s="389"/>
      <c r="D40" s="389"/>
      <c r="E40" s="626"/>
      <c r="F40" s="631"/>
    </row>
    <row r="41">
      <c r="A41" s="632" t="s">
        <v>116</v>
      </c>
      <c r="B41" s="389"/>
      <c r="C41" s="389"/>
      <c r="D41" s="389"/>
      <c r="E41" s="626"/>
      <c r="F41" s="631"/>
    </row>
    <row r="42">
      <c r="A42" s="632" t="s">
        <v>117</v>
      </c>
      <c r="B42" s="389"/>
      <c r="C42" s="389"/>
      <c r="D42" s="389"/>
      <c r="E42" s="626"/>
      <c r="F42" s="631"/>
    </row>
    <row r="43">
      <c r="A43" s="632" t="s">
        <v>118</v>
      </c>
      <c r="B43" s="389"/>
      <c r="C43" s="389"/>
      <c r="D43" s="389"/>
      <c r="E43" s="626"/>
      <c r="F43" s="631"/>
    </row>
    <row r="44">
      <c r="A44" s="632" t="s">
        <v>119</v>
      </c>
      <c r="B44" s="389"/>
      <c r="C44" s="389"/>
      <c r="D44" s="389"/>
      <c r="E44" s="626"/>
      <c r="F44" s="631"/>
    </row>
    <row r="45">
      <c r="A45" s="632" t="s">
        <v>120</v>
      </c>
      <c r="B45" s="389"/>
      <c r="C45" s="389"/>
      <c r="D45" s="389"/>
      <c r="E45" s="626"/>
      <c r="F45" s="631"/>
    </row>
    <row r="46">
      <c r="A46" s="632" t="s">
        <v>121</v>
      </c>
      <c r="B46" s="389"/>
      <c r="C46" s="389"/>
      <c r="D46" s="389"/>
      <c r="E46" s="626"/>
      <c r="F46" s="631"/>
    </row>
    <row r="47">
      <c r="A47" s="632" t="s">
        <v>122</v>
      </c>
      <c r="B47" s="389"/>
      <c r="C47" s="389"/>
      <c r="D47" s="389"/>
      <c r="E47" s="626"/>
      <c r="F47" s="631"/>
    </row>
    <row r="48">
      <c r="A48" s="632" t="s">
        <v>123</v>
      </c>
      <c r="B48" s="389"/>
      <c r="C48" s="389"/>
      <c r="D48" s="389"/>
      <c r="E48" s="626"/>
      <c r="F48" s="631"/>
    </row>
    <row r="49">
      <c r="A49" s="632" t="s">
        <v>124</v>
      </c>
      <c r="B49" s="389"/>
      <c r="C49" s="389"/>
      <c r="D49" s="389"/>
      <c r="E49" s="626"/>
      <c r="F49" s="631"/>
    </row>
    <row r="50">
      <c r="A50" s="632" t="s">
        <v>125</v>
      </c>
      <c r="B50" s="389"/>
      <c r="C50" s="389"/>
      <c r="D50" s="389"/>
      <c r="E50" s="626"/>
      <c r="F50" s="631"/>
    </row>
    <row r="51">
      <c r="A51" s="632" t="s">
        <v>126</v>
      </c>
      <c r="B51" s="389"/>
      <c r="C51" s="389"/>
      <c r="D51" s="389"/>
      <c r="E51" s="626"/>
      <c r="F51" s="631"/>
    </row>
    <row r="52">
      <c r="A52" s="632" t="s">
        <v>127</v>
      </c>
      <c r="B52" s="389"/>
      <c r="C52" s="389"/>
      <c r="D52" s="389"/>
      <c r="E52" s="626"/>
      <c r="F52" s="631"/>
    </row>
    <row r="53">
      <c r="A53" s="632" t="s">
        <v>128</v>
      </c>
      <c r="B53" s="389"/>
      <c r="C53" s="389"/>
      <c r="D53" s="389"/>
      <c r="E53" s="626"/>
      <c r="F53" s="631"/>
    </row>
    <row r="54">
      <c r="A54" s="632" t="s">
        <v>129</v>
      </c>
      <c r="B54" s="389"/>
      <c r="C54" s="389"/>
      <c r="D54" s="389"/>
      <c r="E54" s="626"/>
      <c r="F54" s="631"/>
    </row>
    <row r="55">
      <c r="A55" s="632" t="s">
        <v>130</v>
      </c>
      <c r="B55" s="389"/>
      <c r="C55" s="389"/>
      <c r="D55" s="389"/>
      <c r="E55" s="626"/>
      <c r="F55" s="631"/>
    </row>
    <row r="56">
      <c r="A56" s="632" t="s">
        <v>131</v>
      </c>
      <c r="B56" s="389"/>
      <c r="C56" s="389"/>
      <c r="D56" s="389"/>
      <c r="E56" s="626"/>
      <c r="F56" s="631"/>
    </row>
    <row r="57">
      <c r="A57" s="632" t="s">
        <v>132</v>
      </c>
      <c r="B57" s="389"/>
      <c r="C57" s="389"/>
      <c r="D57" s="389"/>
      <c r="E57" s="626"/>
      <c r="F57" s="631"/>
    </row>
    <row r="58">
      <c r="A58" s="632" t="s">
        <v>133</v>
      </c>
      <c r="B58" s="389"/>
      <c r="C58" s="389"/>
      <c r="D58" s="389"/>
      <c r="E58" s="626"/>
      <c r="F58" s="631"/>
    </row>
    <row r="59">
      <c r="A59" s="632" t="s">
        <v>134</v>
      </c>
      <c r="B59" s="389" t="s">
        <v>135</v>
      </c>
      <c r="C59" s="389"/>
      <c r="D59" s="389"/>
      <c r="E59" s="626"/>
      <c r="F59" s="631"/>
    </row>
    <row r="60">
      <c r="A60" s="632" t="s">
        <v>136</v>
      </c>
      <c r="B60" s="389"/>
      <c r="C60" s="389"/>
      <c r="D60" s="389"/>
      <c r="E60" s="626"/>
      <c r="F60" s="631"/>
    </row>
    <row r="61">
      <c r="A61" s="632" t="s">
        <v>137</v>
      </c>
      <c r="B61" s="389"/>
      <c r="C61" s="389"/>
      <c r="D61" s="389"/>
      <c r="E61" s="626"/>
      <c r="F61" s="631"/>
    </row>
    <row r="62">
      <c r="A62" s="632" t="s">
        <v>138</v>
      </c>
      <c r="B62" s="389"/>
      <c r="C62" s="389"/>
      <c r="D62" s="389"/>
      <c r="E62" s="626"/>
      <c r="F62" s="631"/>
    </row>
    <row r="63">
      <c r="A63" s="632" t="s">
        <v>139</v>
      </c>
      <c r="B63" s="641"/>
      <c r="C63" s="389"/>
      <c r="D63" s="389"/>
      <c r="E63" s="626"/>
      <c r="F63" s="631"/>
    </row>
    <row r="64">
      <c r="A64" s="632"/>
      <c r="B64" s="625" t="s">
        <v>140</v>
      </c>
      <c r="C64" s="389"/>
      <c r="D64" s="389"/>
      <c r="E64" s="626"/>
      <c r="F64" s="631"/>
    </row>
    <row r="65">
      <c r="A65" s="632" t="s">
        <v>141</v>
      </c>
      <c r="B65" s="389"/>
      <c r="C65" s="389"/>
      <c r="D65" s="389"/>
      <c r="E65" s="626"/>
      <c r="F65" s="631"/>
    </row>
    <row r="66">
      <c r="A66" s="632" t="s">
        <v>142</v>
      </c>
      <c r="B66" s="389"/>
      <c r="C66" s="389"/>
      <c r="D66" s="389"/>
      <c r="E66" s="626"/>
      <c r="F66" s="631"/>
    </row>
    <row r="67">
      <c r="A67" s="632" t="s">
        <v>143</v>
      </c>
      <c r="B67" s="389"/>
      <c r="C67" s="389"/>
      <c r="D67" s="389"/>
      <c r="E67" s="626"/>
      <c r="F67" s="631"/>
    </row>
    <row r="68">
      <c r="A68" s="632" t="s">
        <v>144</v>
      </c>
      <c r="B68" s="389"/>
      <c r="C68" s="389"/>
      <c r="D68" s="389"/>
      <c r="E68" s="626"/>
      <c r="F68" s="631"/>
    </row>
    <row r="69">
      <c r="A69" s="632" t="s">
        <v>145</v>
      </c>
      <c r="B69" s="389"/>
      <c r="C69" s="389"/>
      <c r="D69" s="389"/>
      <c r="E69" s="626"/>
      <c r="F69" s="631"/>
    </row>
    <row r="70">
      <c r="A70" s="632" t="s">
        <v>146</v>
      </c>
      <c r="B70" s="389"/>
      <c r="C70" s="389"/>
      <c r="D70" s="389"/>
      <c r="E70" s="626"/>
      <c r="F70" s="631"/>
    </row>
    <row r="71">
      <c r="A71" s="632" t="s">
        <v>147</v>
      </c>
      <c r="B71" s="389"/>
      <c r="C71" s="389"/>
      <c r="D71" s="389"/>
      <c r="E71" s="626"/>
      <c r="F71" s="631"/>
    </row>
    <row r="72">
      <c r="A72" s="632" t="s">
        <v>148</v>
      </c>
      <c r="B72" s="389"/>
      <c r="C72" s="389"/>
      <c r="D72" s="389"/>
      <c r="E72" s="626"/>
      <c r="F72" s="631"/>
    </row>
    <row r="73">
      <c r="A73" s="632"/>
      <c r="B73" s="389"/>
      <c r="C73" s="389"/>
      <c r="D73" s="389"/>
      <c r="E73" s="626"/>
      <c r="F73" s="631"/>
    </row>
  </sheetData>
  <hyperlinks>
    <hyperlink r:id="rId1" ref="A8"/>
    <hyperlink r:id="rId2" ref="A11"/>
    <hyperlink r:id="rId3" ref="B14"/>
    <hyperlink r:id="rId4" ref="E14"/>
    <hyperlink r:id="rId5" ref="B15"/>
    <hyperlink r:id="rId6" ref="E15"/>
    <hyperlink r:id="rId7" ref="B16"/>
    <hyperlink r:id="rId8" ref="E16"/>
    <hyperlink r:id="rId9" ref="B17"/>
    <hyperlink r:id="rId10" ref="E17"/>
    <hyperlink r:id="rId11" ref="B18"/>
    <hyperlink r:id="rId12" ref="E18"/>
    <hyperlink r:id="rId13" ref="B19"/>
    <hyperlink r:id="rId14" ref="E19"/>
    <hyperlink r:id="rId15" ref="B20"/>
    <hyperlink r:id="rId16" ref="B21"/>
    <hyperlink r:id="rId17" ref="B22"/>
    <hyperlink r:id="rId18" ref="D27"/>
    <hyperlink r:id="rId19" ref="D28"/>
    <hyperlink r:id="rId20" ref="D29"/>
    <hyperlink r:id="rId21" ref="D30"/>
  </hyperlinks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4.57"/>
    <col customWidth="1" hidden="1" min="2" max="2" width="2.86"/>
    <col customWidth="1" min="3" max="3" width="12.14"/>
    <col customWidth="1" min="4" max="4" width="3.86"/>
    <col customWidth="1" hidden="1" min="5" max="5" width="9.57"/>
    <col customWidth="1" min="6" max="6" width="18.71"/>
    <col customWidth="1" min="7" max="7" width="34.43"/>
    <col customWidth="1" min="8" max="8" width="3.29"/>
    <col customWidth="1" min="9" max="9" width="9.43"/>
    <col customWidth="1" min="10" max="10" width="7.86"/>
    <col customWidth="1" min="11" max="11" width="3.0"/>
    <col customWidth="1" min="12" max="12" width="9.86"/>
    <col customWidth="1" min="13" max="13" width="2.71"/>
    <col customWidth="1" min="14" max="14" width="8.0"/>
    <col customWidth="1" min="15" max="15" width="12.14"/>
    <col customWidth="1" min="16" max="16" width="0.86"/>
    <col customWidth="1" min="17" max="17" width="14.57"/>
    <col customWidth="1" hidden="1" min="18" max="18" width="2.86"/>
    <col customWidth="1" min="19" max="19" width="10.86"/>
    <col customWidth="1" min="20" max="20" width="3.86"/>
    <col customWidth="1" hidden="1" min="21" max="21" width="9.57"/>
    <col customWidth="1" min="22" max="22" width="18.71"/>
    <col customWidth="1" min="23" max="23" width="34.43"/>
    <col customWidth="1" min="24" max="24" width="3.29"/>
    <col customWidth="1" min="25" max="25" width="9.43"/>
    <col customWidth="1" min="26" max="26" width="7.86"/>
    <col customWidth="1" min="27" max="27" width="3.0"/>
    <col customWidth="1" min="28" max="28" width="9.86"/>
    <col customWidth="1" min="29" max="29" width="2.71"/>
    <col customWidth="1" min="30" max="30" width="8.0"/>
    <col customWidth="1" min="31" max="31" width="11.71"/>
    <col customWidth="1" min="32" max="32" width="5.71"/>
  </cols>
  <sheetData>
    <row r="1" hidden="1">
      <c r="A1" s="5" t="str">
        <f>IFERROR(__xludf.DUMMYFUNCTION("IMPORTRANGE(Setup!C9,Setup!C10&amp;""!""&amp;Setup!F10)"),"")</f>
        <v/>
      </c>
      <c r="B1" s="5" t="str">
        <f>IFERROR(__xludf.DUMMYFUNCTION("""COMPUTED_VALUE"""),"")</f>
        <v/>
      </c>
      <c r="C1" s="5" t="str">
        <f>IFERROR(__xludf.DUMMYFUNCTION("""COMPUTED_VALUE"""),"")</f>
        <v/>
      </c>
      <c r="D1" s="5" t="str">
        <f>IFERROR(__xludf.DUMMYFUNCTION("""COMPUTED_VALUE"""),"")</f>
        <v/>
      </c>
      <c r="E1" s="5">
        <f>IFERROR(__xludf.DUMMYFUNCTION("""COMPUTED_VALUE"""),2.0)</f>
        <v>2</v>
      </c>
      <c r="F1" s="5" t="str">
        <f>IFERROR(__xludf.DUMMYFUNCTION("""COMPUTED_VALUE"""),"")</f>
        <v/>
      </c>
      <c r="G1" s="7" t="str">
        <f>IFERROR(__xludf.DUMMYFUNCTION("""COMPUTED_VALUE"""),"")</f>
        <v/>
      </c>
      <c r="H1" s="8" t="str">
        <f>IFERROR(__xludf.DUMMYFUNCTION("""COMPUTED_VALUE"""),"")</f>
        <v/>
      </c>
      <c r="I1" s="8" t="str">
        <f>IFERROR(__xludf.DUMMYFUNCTION("""COMPUTED_VALUE"""),"")</f>
        <v/>
      </c>
      <c r="J1" s="8" t="str">
        <f>IFERROR(__xludf.DUMMYFUNCTION("""COMPUTED_VALUE"""),"")</f>
        <v/>
      </c>
      <c r="K1" s="8" t="str">
        <f>IFERROR(__xludf.DUMMYFUNCTION("""COMPUTED_VALUE"""),"")</f>
        <v/>
      </c>
      <c r="L1" s="8" t="str">
        <f>IFERROR(__xludf.DUMMYFUNCTION("""COMPUTED_VALUE"""),"")</f>
        <v/>
      </c>
      <c r="M1" s="8" t="str">
        <f>IFERROR(__xludf.DUMMYFUNCTION("""COMPUTED_VALUE"""),"")</f>
        <v/>
      </c>
      <c r="N1" s="8" t="str">
        <f>IFERROR(__xludf.DUMMYFUNCTION("""COMPUTED_VALUE"""),"")</f>
        <v/>
      </c>
      <c r="O1" s="8" t="str">
        <f>IFERROR(__xludf.DUMMYFUNCTION("""COMPUTED_VALUE"""),"")</f>
        <v/>
      </c>
      <c r="P1" s="9" t="str">
        <f>IFERROR(__xludf.DUMMYFUNCTION("""COMPUTED_VALUE"""),"")</f>
        <v/>
      </c>
      <c r="Q1" s="11" t="str">
        <f>IFERROR(__xludf.DUMMYFUNCTION("""COMPUTED_VALUE"""),"")</f>
        <v/>
      </c>
      <c r="R1" s="11" t="str">
        <f>IFERROR(__xludf.DUMMYFUNCTION("""COMPUTED_VALUE"""),"")</f>
        <v/>
      </c>
      <c r="S1" s="11" t="str">
        <f>IFERROR(__xludf.DUMMYFUNCTION("""COMPUTED_VALUE"""),"")</f>
        <v/>
      </c>
      <c r="T1" s="11" t="str">
        <f>IFERROR(__xludf.DUMMYFUNCTION("""COMPUTED_VALUE"""),"")</f>
        <v/>
      </c>
      <c r="U1" s="11" t="str">
        <f>IFERROR(__xludf.DUMMYFUNCTION("""COMPUTED_VALUE"""),"")</f>
        <v/>
      </c>
      <c r="V1" s="11" t="str">
        <f>IFERROR(__xludf.DUMMYFUNCTION("""COMPUTED_VALUE"""),"")</f>
        <v/>
      </c>
      <c r="W1" s="11" t="str">
        <f>IFERROR(__xludf.DUMMYFUNCTION("""COMPUTED_VALUE"""),"")</f>
        <v/>
      </c>
      <c r="X1" s="11" t="str">
        <f>IFERROR(__xludf.DUMMYFUNCTION("""COMPUTED_VALUE"""),"")</f>
        <v/>
      </c>
      <c r="Y1" t="str">
        <f>IFERROR(__xludf.DUMMYFUNCTION("""COMPUTED_VALUE"""),"")</f>
        <v/>
      </c>
      <c r="Z1" s="12" t="str">
        <f>IFERROR(__xludf.DUMMYFUNCTION("""COMPUTED_VALUE"""),"")</f>
        <v/>
      </c>
      <c r="AA1" s="12" t="str">
        <f>IFERROR(__xludf.DUMMYFUNCTION("""COMPUTED_VALUE"""),"")</f>
        <v/>
      </c>
      <c r="AB1" t="str">
        <f>IFERROR(__xludf.DUMMYFUNCTION("""COMPUTED_VALUE"""),"")</f>
        <v/>
      </c>
      <c r="AC1" s="12" t="str">
        <f>IFERROR(__xludf.DUMMYFUNCTION("""COMPUTED_VALUE"""),"")</f>
        <v/>
      </c>
      <c r="AD1" s="12" t="str">
        <f>IFERROR(__xludf.DUMMYFUNCTION("""COMPUTED_VALUE"""),"")</f>
        <v/>
      </c>
      <c r="AE1" s="14" t="str">
        <f>IFERROR(__xludf.DUMMYFUNCTION("""COMPUTED_VALUE"""),"")</f>
        <v/>
      </c>
      <c r="AF1" s="12" t="str">
        <f>IFERROR(__xludf.DUMMYFUNCTION("""COMPUTED_VALUE"""),"")</f>
        <v/>
      </c>
    </row>
    <row r="2" ht="16.5" customHeight="1">
      <c r="A2" s="5" t="str">
        <f>IFERROR(__xludf.DUMMYFUNCTION("""COMPUTED_VALUE"""),"Best 5 AP/Drop Locations (JP)")</f>
        <v>Best 5 AP/Drop Locations (JP)</v>
      </c>
      <c r="G2" s="21" t="str">
        <f>IFERROR(__xludf.DUMMYFUNCTION("""COMPUTED_VALUE"""),"Advanced Sheet")</f>
        <v>Advanced Sheet</v>
      </c>
      <c r="H2" s="8" t="str">
        <f>IFERROR(__xludf.DUMMYFUNCTION("""COMPUTED_VALUE"""),"")</f>
        <v/>
      </c>
      <c r="I2" s="8" t="str">
        <f>IFERROR(__xludf.DUMMYFUNCTION("""COMPUTED_VALUE"""),"")</f>
        <v/>
      </c>
      <c r="J2" s="8" t="str">
        <f>IFERROR(__xludf.DUMMYFUNCTION("""COMPUTED_VALUE"""),"")</f>
        <v/>
      </c>
      <c r="K2" s="8" t="str">
        <f>IFERROR(__xludf.DUMMYFUNCTION("""COMPUTED_VALUE"""),"")</f>
        <v/>
      </c>
      <c r="L2" s="8" t="str">
        <f>IFERROR(__xludf.DUMMYFUNCTION("""COMPUTED_VALUE"""),"")</f>
        <v/>
      </c>
      <c r="M2" s="8" t="str">
        <f>IFERROR(__xludf.DUMMYFUNCTION("""COMPUTED_VALUE"""),"")</f>
        <v/>
      </c>
      <c r="N2" s="8" t="str">
        <f>IFERROR(__xludf.DUMMYFUNCTION("""COMPUTED_VALUE"""),"")</f>
        <v/>
      </c>
      <c r="O2" s="8" t="str">
        <f>IFERROR(__xludf.DUMMYFUNCTION("""COMPUTED_VALUE"""),"")</f>
        <v/>
      </c>
      <c r="P2" s="9" t="str">
        <f>IFERROR(__xludf.DUMMYFUNCTION("""COMPUTED_VALUE"""),"")</f>
        <v/>
      </c>
      <c r="Q2" s="11" t="str">
        <f>IFERROR(__xludf.DUMMYFUNCTION("""COMPUTED_VALUE"""),"")</f>
        <v/>
      </c>
      <c r="R2" s="11" t="str">
        <f>IFERROR(__xludf.DUMMYFUNCTION("""COMPUTED_VALUE"""),"")</f>
        <v/>
      </c>
      <c r="S2" s="11" t="str">
        <f>IFERROR(__xludf.DUMMYFUNCTION("""COMPUTED_VALUE"""),"")</f>
        <v/>
      </c>
      <c r="T2" s="11" t="str">
        <f>IFERROR(__xludf.DUMMYFUNCTION("""COMPUTED_VALUE"""),"")</f>
        <v/>
      </c>
      <c r="U2" s="11" t="str">
        <f>IFERROR(__xludf.DUMMYFUNCTION("""COMPUTED_VALUE"""),"")</f>
        <v/>
      </c>
      <c r="V2" s="11" t="str">
        <f>IFERROR(__xludf.DUMMYFUNCTION("""COMPUTED_VALUE"""),"")</f>
        <v/>
      </c>
      <c r="W2" s="11" t="str">
        <f>IFERROR(__xludf.DUMMYFUNCTION("""COMPUTED_VALUE"""),"")</f>
        <v/>
      </c>
      <c r="X2" s="11" t="str">
        <f>IFERROR(__xludf.DUMMYFUNCTION("""COMPUTED_VALUE"""),"")</f>
        <v/>
      </c>
      <c r="Y2" t="str">
        <f>IFERROR(__xludf.DUMMYFUNCTION("""COMPUTED_VALUE"""),"")</f>
        <v/>
      </c>
      <c r="Z2" s="12" t="str">
        <f>IFERROR(__xludf.DUMMYFUNCTION("""COMPUTED_VALUE"""),"")</f>
        <v/>
      </c>
      <c r="AA2" s="12" t="str">
        <f>IFERROR(__xludf.DUMMYFUNCTION("""COMPUTED_VALUE"""),"")</f>
        <v/>
      </c>
      <c r="AB2" t="str">
        <f>IFERROR(__xludf.DUMMYFUNCTION("""COMPUTED_VALUE"""),"")</f>
        <v/>
      </c>
      <c r="AC2" s="12" t="str">
        <f>IFERROR(__xludf.DUMMYFUNCTION("""COMPUTED_VALUE"""),"")</f>
        <v/>
      </c>
      <c r="AD2" s="12" t="str">
        <f>IFERROR(__xludf.DUMMYFUNCTION("""COMPUTED_VALUE"""),"")</f>
        <v/>
      </c>
      <c r="AE2" s="14" t="str">
        <f>IFERROR(__xludf.DUMMYFUNCTION("""COMPUTED_VALUE"""),"")</f>
        <v/>
      </c>
      <c r="AF2" s="12" t="str">
        <f>IFERROR(__xludf.DUMMYFUNCTION("""COMPUTED_VALUE"""),"")</f>
        <v/>
      </c>
    </row>
    <row r="3" ht="16.5" customHeight="1">
      <c r="A3" s="25" t="str">
        <f>IFERROR(__xludf.DUMMYFUNCTION("""COMPUTED_VALUE"""),"Item")</f>
        <v>Item</v>
      </c>
      <c r="B3" s="27"/>
      <c r="C3" s="28"/>
      <c r="D3" s="30" t="str">
        <f>IFERROR(__xludf.DUMMYFUNCTION("""COMPUTED_VALUE"""),"No.")</f>
        <v>No.</v>
      </c>
      <c r="E3" s="31" t="str">
        <f>IFERROR(__xludf.DUMMYFUNCTION("""COMPUTED_VALUE"""),"Node Code")</f>
        <v>Node Code</v>
      </c>
      <c r="F3" s="31" t="str">
        <f>IFERROR(__xludf.DUMMYFUNCTION("""COMPUTED_VALUE"""),"Area")</f>
        <v>Area</v>
      </c>
      <c r="G3" s="31" t="str">
        <f>IFERROR(__xludf.DUMMYFUNCTION("""COMPUTED_VALUE"""),"Quest")</f>
        <v>Quest</v>
      </c>
      <c r="H3" s="30" t="str">
        <f>IFERROR(__xludf.DUMMYFUNCTION("""COMPUTED_VALUE"""),"AP")</f>
        <v>AP</v>
      </c>
      <c r="I3" s="34" t="str">
        <f>IFERROR(__xludf.DUMMYFUNCTION("""COMPUTED_VALUE"""),"BP/AP")</f>
        <v>BP/AP</v>
      </c>
      <c r="J3" s="36" t="str">
        <f>IFERROR(__xludf.DUMMYFUNCTION("""COMPUTED_VALUE"""),"AP/Drop")</f>
        <v>AP/Drop</v>
      </c>
      <c r="K3" s="28"/>
      <c r="L3" s="36" t="str">
        <f>IFERROR(__xludf.DUMMYFUNCTION("""COMPUTED_VALUE"""),"Drop Chance")</f>
        <v>Drop Chance</v>
      </c>
      <c r="M3" s="28"/>
      <c r="N3" s="38" t="str">
        <f>IFERROR(__xludf.DUMMYFUNCTION("""COMPUTED_VALUE"""),"Runs")</f>
        <v>Runs</v>
      </c>
      <c r="O3" s="40" t="str">
        <f>IFERROR(__xludf.DUMMYFUNCTION("""COMPUTED_VALUE"""),"")</f>
        <v/>
      </c>
      <c r="P3" s="42" t="str">
        <f>IFERROR(__xludf.DUMMYFUNCTION("""COMPUTED_VALUE"""),"")</f>
        <v/>
      </c>
      <c r="Q3" s="25" t="str">
        <f>IFERROR(__xludf.DUMMYFUNCTION("""COMPUTED_VALUE"""),"Item")</f>
        <v>Item</v>
      </c>
      <c r="R3" s="27"/>
      <c r="S3" s="28"/>
      <c r="T3" s="30" t="str">
        <f>IFERROR(__xludf.DUMMYFUNCTION("""COMPUTED_VALUE"""),"No.")</f>
        <v>No.</v>
      </c>
      <c r="U3" s="31" t="str">
        <f>IFERROR(__xludf.DUMMYFUNCTION("""COMPUTED_VALUE"""),"Node Code")</f>
        <v>Node Code</v>
      </c>
      <c r="V3" s="31" t="str">
        <f>IFERROR(__xludf.DUMMYFUNCTION("""COMPUTED_VALUE"""),"Area")</f>
        <v>Area</v>
      </c>
      <c r="W3" s="31" t="str">
        <f>IFERROR(__xludf.DUMMYFUNCTION("""COMPUTED_VALUE"""),"Quest")</f>
        <v>Quest</v>
      </c>
      <c r="X3" s="30" t="str">
        <f>IFERROR(__xludf.DUMMYFUNCTION("""COMPUTED_VALUE"""),"AP")</f>
        <v>AP</v>
      </c>
      <c r="Y3" s="34" t="str">
        <f>IFERROR(__xludf.DUMMYFUNCTION("""COMPUTED_VALUE"""),"BP/AP")</f>
        <v>BP/AP</v>
      </c>
      <c r="Z3" s="36" t="str">
        <f>IFERROR(__xludf.DUMMYFUNCTION("""COMPUTED_VALUE"""),"AP/Drop")</f>
        <v>AP/Drop</v>
      </c>
      <c r="AA3" s="28"/>
      <c r="AB3" s="36" t="str">
        <f>IFERROR(__xludf.DUMMYFUNCTION("""COMPUTED_VALUE"""),"Drop Chance")</f>
        <v>Drop Chance</v>
      </c>
      <c r="AC3" s="28"/>
      <c r="AD3" s="38" t="str">
        <f>IFERROR(__xludf.DUMMYFUNCTION("""COMPUTED_VALUE"""),"Runs")</f>
        <v>Runs</v>
      </c>
      <c r="AE3" s="40" t="str">
        <f>IFERROR(__xludf.DUMMYFUNCTION("""COMPUTED_VALUE"""),"")</f>
        <v/>
      </c>
      <c r="AF3" s="51" t="str">
        <f>IFERROR(__xludf.DUMMYFUNCTION("""COMPUTED_VALUE"""),"")</f>
        <v/>
      </c>
    </row>
    <row r="4" ht="16.5" customHeight="1">
      <c r="A4" s="54"/>
      <c r="B4" s="55"/>
      <c r="C4" s="57"/>
      <c r="D4" s="57"/>
      <c r="E4" s="57"/>
      <c r="F4" s="57"/>
      <c r="G4" s="57"/>
      <c r="H4" s="57"/>
      <c r="I4" s="58" t="str">
        <f>IFERROR(__xludf.DUMMYFUNCTION("""COMPUTED_VALUE"""),"1P+1L+1T")</f>
        <v>1P+1L+1T</v>
      </c>
      <c r="J4" s="55"/>
      <c r="K4" s="57"/>
      <c r="L4" s="55"/>
      <c r="M4" s="57"/>
      <c r="N4" s="57"/>
      <c r="O4" s="57"/>
      <c r="P4" s="42" t="str">
        <f>IFERROR(__xludf.DUMMYFUNCTION("""COMPUTED_VALUE"""),"")</f>
        <v/>
      </c>
      <c r="Q4" s="54"/>
      <c r="R4" s="55"/>
      <c r="S4" s="57"/>
      <c r="T4" s="57"/>
      <c r="U4" s="57"/>
      <c r="V4" s="57"/>
      <c r="W4" s="57"/>
      <c r="X4" s="57"/>
      <c r="Y4" s="58" t="str">
        <f>IFERROR(__xludf.DUMMYFUNCTION("""COMPUTED_VALUE"""),"1P+1L+1T")</f>
        <v>1P+1L+1T</v>
      </c>
      <c r="Z4" s="55"/>
      <c r="AA4" s="57"/>
      <c r="AB4" s="55"/>
      <c r="AC4" s="57"/>
      <c r="AD4" s="57"/>
      <c r="AE4" s="57"/>
      <c r="AF4" s="51" t="str">
        <f>IFERROR(__xludf.DUMMYFUNCTION("""COMPUTED_VALUE"""),"")</f>
        <v/>
      </c>
    </row>
    <row r="5" ht="16.5" customHeight="1">
      <c r="A5" s="61" t="str">
        <f>IFERROR(__xludf.DUMMYFUNCTION("""COMPUTED_VALUE"""),"")</f>
        <v/>
      </c>
      <c r="B5" s="63" t="str">
        <f>IFERROR(__xludf.DUMMYFUNCTION("""COMPUTED_VALUE"""),"A301")</f>
        <v>A301</v>
      </c>
      <c r="C5" s="65" t="str">
        <f>IFERROR(__xludf.DUMMYFUNCTION("""COMPUTED_VALUE"""),"Proof of Hero")</f>
        <v>Proof of Hero</v>
      </c>
      <c r="D5" s="67">
        <f>IFERROR(__xludf.DUMMYFUNCTION("""COMPUTED_VALUE"""),1.0)</f>
        <v>1</v>
      </c>
      <c r="E5" s="69" t="str">
        <f>IFERROR(__xludf.DUMMYFUNCTION("""COMPUTED_VALUE"""),"OKN1")</f>
        <v>OKN1</v>
      </c>
      <c r="F5" s="71" t="str">
        <f>IFERROR(__xludf.DUMMYFUNCTION("""COMPUTED_VALUE"""),"Okeanos")</f>
        <v>Okeanos</v>
      </c>
      <c r="G5" s="78" t="str">
        <f>IFERROR(__xludf.DUMMYFUNCTION("""COMPUTED_VALUE"""),"Pirate Ship")</f>
        <v>Pirate Ship</v>
      </c>
      <c r="H5" s="80">
        <f>IFERROR(__xludf.DUMMYFUNCTION("""COMPUTED_VALUE"""),12.0)</f>
        <v>12</v>
      </c>
      <c r="I5" s="82">
        <f>IFERROR(__xludf.DUMMYFUNCTION("""COMPUTED_VALUE"""),34.895833333333336)</f>
        <v>34.89583333</v>
      </c>
      <c r="J5" s="84">
        <f>IFERROR(__xludf.DUMMYFUNCTION("""COMPUTED_VALUE"""),20.2)</f>
        <v>20.2</v>
      </c>
      <c r="K5" s="86" t="str">
        <f>IFERROR(__xludf.DUMMYFUNCTION("""COMPUTED_VALUE"""),"AP")</f>
        <v>AP</v>
      </c>
      <c r="L5" s="88">
        <f>IFERROR(__xludf.DUMMYFUNCTION("""COMPUTED_VALUE"""),59.4)</f>
        <v>59.4</v>
      </c>
      <c r="M5" s="86" t="str">
        <f>IFERROR(__xludf.DUMMYFUNCTION("""COMPUTED_VALUE"""),"％")</f>
        <v>％</v>
      </c>
      <c r="N5" s="80">
        <f>IFERROR(__xludf.DUMMYFUNCTION("""COMPUTED_VALUE"""),4770.0)</f>
        <v>4770</v>
      </c>
      <c r="O5" s="91" t="str">
        <f>IFERROR(__xludf.DUMMYFUNCTION("""COMPUTED_VALUE"""),"Proof of Hero")</f>
        <v>Proof of Hero</v>
      </c>
      <c r="P5" s="93" t="str">
        <f>IFERROR(__xludf.DUMMYFUNCTION("""COMPUTED_VALUE"""),"")</f>
        <v/>
      </c>
      <c r="Q5" s="61" t="str">
        <f>IFERROR(__xludf.DUMMYFUNCTION("""COMPUTED_VALUE"""),"")</f>
        <v/>
      </c>
      <c r="R5" s="95" t="str">
        <f>IFERROR(__xludf.DUMMYFUNCTION("""COMPUTED_VALUE"""),"B101")</f>
        <v>B101</v>
      </c>
      <c r="S5" s="65" t="str">
        <f>IFERROR(__xludf.DUMMYFUNCTION("""COMPUTED_VALUE"""),"Secret Gem of Saber")</f>
        <v>Secret Gem of Saber</v>
      </c>
      <c r="T5" s="67">
        <f>IFERROR(__xludf.DUMMYFUNCTION("""COMPUTED_VALUE"""),1.0)</f>
        <v>1</v>
      </c>
      <c r="U5" s="69" t="str">
        <f>IFERROR(__xludf.DUMMYFUNCTION("""COMPUTED_VALUE"""),"TRF28")</f>
        <v>TRF28</v>
      </c>
      <c r="V5" s="71" t="str">
        <f>IFERROR(__xludf.DUMMYFUNCTION("""COMPUTED_VALUE"""),"Chaldea Gate (Sun)")</f>
        <v>Chaldea Gate (Sun)</v>
      </c>
      <c r="W5" s="71" t="str">
        <f>IFERROR(__xludf.DUMMYFUNCTION("""COMPUTED_VALUE"""),"SUN Saber Training Ground- Exp")</f>
        <v>SUN Saber Training Ground- Exp</v>
      </c>
      <c r="X5" s="80">
        <f>IFERROR(__xludf.DUMMYFUNCTION("""COMPUTED_VALUE"""),40.0)</f>
        <v>40</v>
      </c>
      <c r="Y5" s="82">
        <f>IFERROR(__xludf.DUMMYFUNCTION("""COMPUTED_VALUE"""),20.46875)</f>
        <v>20.46875</v>
      </c>
      <c r="Z5" s="84">
        <f>IFERROR(__xludf.DUMMYFUNCTION("""COMPUTED_VALUE"""),144.0)</f>
        <v>144</v>
      </c>
      <c r="AA5" s="86" t="str">
        <f>IFERROR(__xludf.DUMMYFUNCTION("""COMPUTED_VALUE"""),"AP")</f>
        <v>AP</v>
      </c>
      <c r="AB5" s="88">
        <f>IFERROR(__xludf.DUMMYFUNCTION("""COMPUTED_VALUE"""),27.8)</f>
        <v>27.8</v>
      </c>
      <c r="AC5" s="86" t="str">
        <f>IFERROR(__xludf.DUMMYFUNCTION("""COMPUTED_VALUE"""),"％")</f>
        <v>％</v>
      </c>
      <c r="AD5" s="80">
        <f>IFERROR(__xludf.DUMMYFUNCTION("""COMPUTED_VALUE"""),21334.0)</f>
        <v>21334</v>
      </c>
      <c r="AE5" s="91" t="str">
        <f>IFERROR(__xludf.DUMMYFUNCTION("""COMPUTED_VALUE"""),"Secret Gem of Saber")</f>
        <v>Secret Gem of Saber</v>
      </c>
      <c r="AF5" s="98" t="str">
        <f>IFERROR(__xludf.DUMMYFUNCTION("""COMPUTED_VALUE"""),"")</f>
        <v/>
      </c>
    </row>
    <row r="6" ht="16.5" customHeight="1">
      <c r="B6" s="99"/>
      <c r="C6" s="100"/>
      <c r="D6" s="102">
        <f>IFERROR(__xludf.DUMMYFUNCTION("""COMPUTED_VALUE"""),2.0)</f>
        <v>2</v>
      </c>
      <c r="E6" s="103" t="str">
        <f>IFERROR(__xludf.DUMMYFUNCTION("""COMPUTED_VALUE"""),"ORL6")</f>
        <v>ORL6</v>
      </c>
      <c r="F6" s="104" t="str">
        <f>IFERROR(__xludf.DUMMYFUNCTION("""COMPUTED_VALUE"""),"Orleans")</f>
        <v>Orleans</v>
      </c>
      <c r="G6" s="108" t="str">
        <f>IFERROR(__xludf.DUMMYFUNCTION("""COMPUTED_VALUE"""),"Marseille")</f>
        <v>Marseille</v>
      </c>
      <c r="H6" s="109">
        <f>IFERROR(__xludf.DUMMYFUNCTION("""COMPUTED_VALUE"""),7.0)</f>
        <v>7</v>
      </c>
      <c r="I6" s="110">
        <f>IFERROR(__xludf.DUMMYFUNCTION("""COMPUTED_VALUE"""),31.25)</f>
        <v>31.25</v>
      </c>
      <c r="J6" s="112">
        <f>IFERROR(__xludf.DUMMYFUNCTION("""COMPUTED_VALUE"""),23.7)</f>
        <v>23.7</v>
      </c>
      <c r="K6" s="121" t="str">
        <f>IFERROR(__xludf.DUMMYFUNCTION("""COMPUTED_VALUE"""),"AP")</f>
        <v>AP</v>
      </c>
      <c r="L6" s="123">
        <f>IFERROR(__xludf.DUMMYFUNCTION("""COMPUTED_VALUE"""),29.5)</f>
        <v>29.5</v>
      </c>
      <c r="M6" s="121" t="str">
        <f>IFERROR(__xludf.DUMMYFUNCTION("""COMPUTED_VALUE"""),"％")</f>
        <v>％</v>
      </c>
      <c r="N6" s="109">
        <f>IFERROR(__xludf.DUMMYFUNCTION("""COMPUTED_VALUE"""),1570.0)</f>
        <v>1570</v>
      </c>
      <c r="O6" s="100"/>
      <c r="P6" s="93" t="str">
        <f>IFERROR(__xludf.DUMMYFUNCTION("""COMPUTED_VALUE"""),"")</f>
        <v/>
      </c>
      <c r="S6" s="100"/>
      <c r="T6" s="102">
        <f>IFERROR(__xludf.DUMMYFUNCTION("""COMPUTED_VALUE"""),2.0)</f>
        <v>2</v>
      </c>
      <c r="U6" s="103" t="str">
        <f>IFERROR(__xludf.DUMMYFUNCTION("""COMPUTED_VALUE"""),"SJK8")</f>
        <v>SJK8</v>
      </c>
      <c r="V6" s="104" t="str">
        <f>IFERROR(__xludf.DUMMYFUNCTION("""COMPUTED_VALUE"""),"Shinjuku")</f>
        <v>Shinjuku</v>
      </c>
      <c r="W6" s="108" t="str">
        <f>IFERROR(__xludf.DUMMYFUNCTION("""COMPUTED_VALUE"""),"Tower - Top Floor")</f>
        <v>Tower - Top Floor</v>
      </c>
      <c r="X6" s="109">
        <f>IFERROR(__xludf.DUMMYFUNCTION("""COMPUTED_VALUE"""),21.0)</f>
        <v>21</v>
      </c>
      <c r="Y6" s="110">
        <f>IFERROR(__xludf.DUMMYFUNCTION("""COMPUTED_VALUE"""),49.70238095238095)</f>
        <v>49.70238095</v>
      </c>
      <c r="Z6" s="112">
        <f>IFERROR(__xludf.DUMMYFUNCTION("""COMPUTED_VALUE"""),455.9)</f>
        <v>455.9</v>
      </c>
      <c r="AA6" s="121" t="str">
        <f>IFERROR(__xludf.DUMMYFUNCTION("""COMPUTED_VALUE"""),"AP")</f>
        <v>AP</v>
      </c>
      <c r="AB6" s="123">
        <f>IFERROR(__xludf.DUMMYFUNCTION("""COMPUTED_VALUE"""),4.6)</f>
        <v>4.6</v>
      </c>
      <c r="AC6" s="121" t="str">
        <f>IFERROR(__xludf.DUMMYFUNCTION("""COMPUTED_VALUE"""),"％")</f>
        <v>％</v>
      </c>
      <c r="AD6" s="109">
        <f>IFERROR(__xludf.DUMMYFUNCTION("""COMPUTED_VALUE"""),3200.0)</f>
        <v>3200</v>
      </c>
      <c r="AE6" s="100"/>
      <c r="AF6" s="98" t="str">
        <f>IFERROR(__xludf.DUMMYFUNCTION("""COMPUTED_VALUE"""),"")</f>
        <v/>
      </c>
    </row>
    <row r="7" ht="16.5" customHeight="1">
      <c r="B7" s="99"/>
      <c r="C7" s="100"/>
      <c r="D7" s="130">
        <f>IFERROR(__xludf.DUMMYFUNCTION("""COMPUTED_VALUE"""),3.0)</f>
        <v>3</v>
      </c>
      <c r="E7" s="132" t="str">
        <f>IFERROR(__xludf.DUMMYFUNCTION("""COMPUTED_VALUE"""),"OKN2")</f>
        <v>OKN2</v>
      </c>
      <c r="F7" s="133" t="str">
        <f>IFERROR(__xludf.DUMMYFUNCTION("""COMPUTED_VALUE"""),"Okeanos")</f>
        <v>Okeanos</v>
      </c>
      <c r="G7" s="135" t="str">
        <f>IFERROR(__xludf.DUMMYFUNCTION("""COMPUTED_VALUE"""),"Pirate Island")</f>
        <v>Pirate Island</v>
      </c>
      <c r="H7" s="137">
        <f>IFERROR(__xludf.DUMMYFUNCTION("""COMPUTED_VALUE"""),13.0)</f>
        <v>13</v>
      </c>
      <c r="I7" s="139">
        <f>IFERROR(__xludf.DUMMYFUNCTION("""COMPUTED_VALUE"""),34.13461538461539)</f>
        <v>34.13461538</v>
      </c>
      <c r="J7" s="141">
        <f>IFERROR(__xludf.DUMMYFUNCTION("""COMPUTED_VALUE"""),24.9)</f>
        <v>24.9</v>
      </c>
      <c r="K7" s="143" t="str">
        <f>IFERROR(__xludf.DUMMYFUNCTION("""COMPUTED_VALUE"""),"AP")</f>
        <v>AP</v>
      </c>
      <c r="L7" s="145">
        <f>IFERROR(__xludf.DUMMYFUNCTION("""COMPUTED_VALUE"""),52.1)</f>
        <v>52.1</v>
      </c>
      <c r="M7" s="143" t="str">
        <f>IFERROR(__xludf.DUMMYFUNCTION("""COMPUTED_VALUE"""),"％")</f>
        <v>％</v>
      </c>
      <c r="N7" s="137">
        <f>IFERROR(__xludf.DUMMYFUNCTION("""COMPUTED_VALUE"""),424.0)</f>
        <v>424</v>
      </c>
      <c r="O7" s="100"/>
      <c r="P7" s="93" t="str">
        <f>IFERROR(__xludf.DUMMYFUNCTION("""COMPUTED_VALUE"""),"")</f>
        <v/>
      </c>
      <c r="S7" s="100"/>
      <c r="T7" s="130">
        <f>IFERROR(__xludf.DUMMYFUNCTION("""COMPUTED_VALUE"""),3.0)</f>
        <v>3</v>
      </c>
      <c r="U7" s="132" t="str">
        <f>IFERROR(__xludf.DUMMYFUNCTION("""COMPUTED_VALUE"""),"GTT11")</f>
        <v>GTT11</v>
      </c>
      <c r="V7" s="133" t="str">
        <f>IFERROR(__xludf.DUMMYFUNCTION("""COMPUTED_VALUE"""),"Götterdämmerung")</f>
        <v>Götterdämmerung</v>
      </c>
      <c r="W7" s="135" t="str">
        <f>IFERROR(__xludf.DUMMYFUNCTION("""COMPUTED_VALUE"""),"Forgotten Temple")</f>
        <v>Forgotten Temple</v>
      </c>
      <c r="X7" s="137">
        <f>IFERROR(__xludf.DUMMYFUNCTION("""COMPUTED_VALUE"""),21.0)</f>
        <v>21</v>
      </c>
      <c r="Y7" s="139">
        <f>IFERROR(__xludf.DUMMYFUNCTION("""COMPUTED_VALUE"""),50.892857142857146)</f>
        <v>50.89285714</v>
      </c>
      <c r="Z7" s="141">
        <f>IFERROR(__xludf.DUMMYFUNCTION("""COMPUTED_VALUE"""),515.7)</f>
        <v>515.7</v>
      </c>
      <c r="AA7" s="143" t="str">
        <f>IFERROR(__xludf.DUMMYFUNCTION("""COMPUTED_VALUE"""),"AP")</f>
        <v>AP</v>
      </c>
      <c r="AB7" s="145">
        <f>IFERROR(__xludf.DUMMYFUNCTION("""COMPUTED_VALUE"""),4.1)</f>
        <v>4.1</v>
      </c>
      <c r="AC7" s="143" t="str">
        <f>IFERROR(__xludf.DUMMYFUNCTION("""COMPUTED_VALUE"""),"％")</f>
        <v>％</v>
      </c>
      <c r="AD7" s="137">
        <f>IFERROR(__xludf.DUMMYFUNCTION("""COMPUTED_VALUE"""),3740.0)</f>
        <v>3740</v>
      </c>
      <c r="AE7" s="100"/>
      <c r="AF7" s="98" t="str">
        <f>IFERROR(__xludf.DUMMYFUNCTION("""COMPUTED_VALUE"""),"")</f>
        <v/>
      </c>
    </row>
    <row r="8" ht="16.5" customHeight="1">
      <c r="B8" s="99"/>
      <c r="C8" s="100"/>
      <c r="D8" s="146">
        <f>IFERROR(__xludf.DUMMYFUNCTION("""COMPUTED_VALUE"""),4.0)</f>
        <v>4</v>
      </c>
      <c r="E8" s="148" t="str">
        <f>IFERROR(__xludf.DUMMYFUNCTION("""COMPUTED_VALUE"""),"EPU5")</f>
        <v>EPU5</v>
      </c>
      <c r="F8" s="150" t="str">
        <f>IFERROR(__xludf.DUMMYFUNCTION("""COMPUTED_VALUE"""),"E Pluribus Unum")</f>
        <v>E Pluribus Unum</v>
      </c>
      <c r="G8" s="152" t="str">
        <f>IFERROR(__xludf.DUMMYFUNCTION("""COMPUTED_VALUE"""),"Dallas")</f>
        <v>Dallas</v>
      </c>
      <c r="H8" s="154">
        <f>IFERROR(__xludf.DUMMYFUNCTION("""COMPUTED_VALUE"""),17.0)</f>
        <v>17</v>
      </c>
      <c r="I8" s="156">
        <f>IFERROR(__xludf.DUMMYFUNCTION("""COMPUTED_VALUE"""),43.75)</f>
        <v>43.75</v>
      </c>
      <c r="J8" s="158">
        <f>IFERROR(__xludf.DUMMYFUNCTION("""COMPUTED_VALUE"""),25.5)</f>
        <v>25.5</v>
      </c>
      <c r="K8" s="160" t="str">
        <f>IFERROR(__xludf.DUMMYFUNCTION("""COMPUTED_VALUE"""),"AP")</f>
        <v>AP</v>
      </c>
      <c r="L8" s="162">
        <f>IFERROR(__xludf.DUMMYFUNCTION("""COMPUTED_VALUE"""),66.8)</f>
        <v>66.8</v>
      </c>
      <c r="M8" s="160" t="str">
        <f>IFERROR(__xludf.DUMMYFUNCTION("""COMPUTED_VALUE"""),"％")</f>
        <v>％</v>
      </c>
      <c r="N8" s="154">
        <f>IFERROR(__xludf.DUMMYFUNCTION("""COMPUTED_VALUE"""),6739.0)</f>
        <v>6739</v>
      </c>
      <c r="O8" s="100"/>
      <c r="P8" s="93" t="str">
        <f>IFERROR(__xludf.DUMMYFUNCTION("""COMPUTED_VALUE"""),"")</f>
        <v/>
      </c>
      <c r="S8" s="100"/>
      <c r="T8" s="146">
        <f>IFERROR(__xludf.DUMMYFUNCTION("""COMPUTED_VALUE"""),4.0)</f>
        <v>4</v>
      </c>
      <c r="U8" s="148" t="str">
        <f>IFERROR(__xludf.DUMMYFUNCTION("""COMPUTED_VALUE"""),"AGT3")</f>
        <v>AGT3</v>
      </c>
      <c r="V8" s="150" t="str">
        <f>IFERROR(__xludf.DUMMYFUNCTION("""COMPUTED_VALUE"""),"Agartha")</f>
        <v>Agartha</v>
      </c>
      <c r="W8" s="152" t="str">
        <f>IFERROR(__xludf.DUMMYFUNCTION("""COMPUTED_VALUE"""),"Riverside Town")</f>
        <v>Riverside Town</v>
      </c>
      <c r="X8" s="154">
        <f>IFERROR(__xludf.DUMMYFUNCTION("""COMPUTED_VALUE"""),20.0)</f>
        <v>20</v>
      </c>
      <c r="Y8" s="156">
        <f>IFERROR(__xludf.DUMMYFUNCTION("""COMPUTED_VALUE"""),48.4375)</f>
        <v>48.4375</v>
      </c>
      <c r="Z8" s="158">
        <f>IFERROR(__xludf.DUMMYFUNCTION("""COMPUTED_VALUE"""),543.5)</f>
        <v>543.5</v>
      </c>
      <c r="AA8" s="160" t="str">
        <f>IFERROR(__xludf.DUMMYFUNCTION("""COMPUTED_VALUE"""),"AP")</f>
        <v>AP</v>
      </c>
      <c r="AB8" s="162">
        <f>IFERROR(__xludf.DUMMYFUNCTION("""COMPUTED_VALUE"""),3.7)</f>
        <v>3.7</v>
      </c>
      <c r="AC8" s="160" t="str">
        <f>IFERROR(__xludf.DUMMYFUNCTION("""COMPUTED_VALUE"""),"％")</f>
        <v>％</v>
      </c>
      <c r="AD8" s="154">
        <f>IFERROR(__xludf.DUMMYFUNCTION("""COMPUTED_VALUE"""),10369.0)</f>
        <v>10369</v>
      </c>
      <c r="AE8" s="100"/>
      <c r="AF8" s="98" t="str">
        <f>IFERROR(__xludf.DUMMYFUNCTION("""COMPUTED_VALUE"""),"")</f>
        <v/>
      </c>
    </row>
    <row r="9" ht="16.5" customHeight="1">
      <c r="A9" s="166"/>
      <c r="B9" s="167"/>
      <c r="C9" s="168"/>
      <c r="D9" s="169">
        <f>IFERROR(__xludf.DUMMYFUNCTION("""COMPUTED_VALUE"""),5.0)</f>
        <v>5</v>
      </c>
      <c r="E9" s="170" t="str">
        <f>IFERROR(__xludf.DUMMYFUNCTION("""COMPUTED_VALUE"""),"EPU8")</f>
        <v>EPU8</v>
      </c>
      <c r="F9" s="51" t="str">
        <f>IFERROR(__xludf.DUMMYFUNCTION("""COMPUTED_VALUE"""),"E Pluribus Unum")</f>
        <v>E Pluribus Unum</v>
      </c>
      <c r="G9" s="171" t="str">
        <f>IFERROR(__xludf.DUMMYFUNCTION("""COMPUTED_VALUE"""),"Montgomery")</f>
        <v>Montgomery</v>
      </c>
      <c r="H9" s="172">
        <f>IFERROR(__xludf.DUMMYFUNCTION("""COMPUTED_VALUE"""),18.0)</f>
        <v>18</v>
      </c>
      <c r="I9" s="173">
        <f>IFERROR(__xludf.DUMMYFUNCTION("""COMPUTED_VALUE"""),44.09722222222222)</f>
        <v>44.09722222</v>
      </c>
      <c r="J9" s="174">
        <f>IFERROR(__xludf.DUMMYFUNCTION("""COMPUTED_VALUE"""),29.5)</f>
        <v>29.5</v>
      </c>
      <c r="K9" s="175" t="str">
        <f>IFERROR(__xludf.DUMMYFUNCTION("""COMPUTED_VALUE"""),"AP")</f>
        <v>AP</v>
      </c>
      <c r="L9" s="176">
        <f>IFERROR(__xludf.DUMMYFUNCTION("""COMPUTED_VALUE"""),61.0)</f>
        <v>61</v>
      </c>
      <c r="M9" s="175" t="str">
        <f>IFERROR(__xludf.DUMMYFUNCTION("""COMPUTED_VALUE"""),"％")</f>
        <v>％</v>
      </c>
      <c r="N9" s="172">
        <f>IFERROR(__xludf.DUMMYFUNCTION("""COMPUTED_VALUE"""),2068.0)</f>
        <v>2068</v>
      </c>
      <c r="O9" s="168"/>
      <c r="P9" s="177" t="str">
        <f>IFERROR(__xludf.DUMMYFUNCTION("""COMPUTED_VALUE"""),"")</f>
        <v/>
      </c>
      <c r="Q9" s="166"/>
      <c r="R9" s="178"/>
      <c r="S9" s="168"/>
      <c r="T9" s="169">
        <f>IFERROR(__xludf.DUMMYFUNCTION("""COMPUTED_VALUE"""),5.0)</f>
        <v>5</v>
      </c>
      <c r="U9" s="170" t="str">
        <f>IFERROR(__xludf.DUMMYFUNCTION("""COMPUTED_VALUE"""),"TRF27")</f>
        <v>TRF27</v>
      </c>
      <c r="V9" s="51" t="str">
        <f>IFERROR(__xludf.DUMMYFUNCTION("""COMPUTED_VALUE"""),"Chaldea Gate (Sun)")</f>
        <v>Chaldea Gate (Sun)</v>
      </c>
      <c r="W9" s="51" t="str">
        <f>IFERROR(__xludf.DUMMYFUNCTION("""COMPUTED_VALUE"""),"SUN Saber Training Ground- Adv")</f>
        <v>SUN Saber Training Ground- Adv</v>
      </c>
      <c r="X9" s="172">
        <f>IFERROR(__xludf.DUMMYFUNCTION("""COMPUTED_VALUE"""),30.0)</f>
        <v>30</v>
      </c>
      <c r="Y9" s="173">
        <f>IFERROR(__xludf.DUMMYFUNCTION("""COMPUTED_VALUE"""),18.958333333333332)</f>
        <v>18.95833333</v>
      </c>
      <c r="Z9" s="174">
        <f>IFERROR(__xludf.DUMMYFUNCTION("""COMPUTED_VALUE"""),597.2)</f>
        <v>597.2</v>
      </c>
      <c r="AA9" s="175" t="str">
        <f>IFERROR(__xludf.DUMMYFUNCTION("""COMPUTED_VALUE"""),"AP")</f>
        <v>AP</v>
      </c>
      <c r="AB9" s="176">
        <f>IFERROR(__xludf.DUMMYFUNCTION("""COMPUTED_VALUE"""),5.0)</f>
        <v>5</v>
      </c>
      <c r="AC9" s="175" t="str">
        <f>IFERROR(__xludf.DUMMYFUNCTION("""COMPUTED_VALUE"""),"％")</f>
        <v>％</v>
      </c>
      <c r="AD9" s="172">
        <f>IFERROR(__xludf.DUMMYFUNCTION("""COMPUTED_VALUE"""),3782.0)</f>
        <v>3782</v>
      </c>
      <c r="AE9" s="168"/>
      <c r="AF9" s="98" t="str">
        <f>IFERROR(__xludf.DUMMYFUNCTION("""COMPUTED_VALUE"""),"")</f>
        <v/>
      </c>
    </row>
    <row r="10" ht="16.5" customHeight="1">
      <c r="A10" s="61" t="str">
        <f>IFERROR(__xludf.DUMMYFUNCTION("""COMPUTED_VALUE"""),"")</f>
        <v/>
      </c>
      <c r="B10" s="179" t="str">
        <f>IFERROR(__xludf.DUMMYFUNCTION("""COMPUTED_VALUE"""),"A302")</f>
        <v>A302</v>
      </c>
      <c r="C10" s="180" t="str">
        <f>IFERROR(__xludf.DUMMYFUNCTION("""COMPUTED_VALUE"""),"Evil Bone")</f>
        <v>Evil Bone</v>
      </c>
      <c r="D10" s="181">
        <f>IFERROR(__xludf.DUMMYFUNCTION("""COMPUTED_VALUE"""),1.0)</f>
        <v>1</v>
      </c>
      <c r="E10" s="182" t="str">
        <f>IFERROR(__xludf.DUMMYFUNCTION("""COMPUTED_VALUE"""),"FUY3")</f>
        <v>FUY3</v>
      </c>
      <c r="F10" s="184" t="str">
        <f>IFERROR(__xludf.DUMMYFUNCTION("""COMPUTED_VALUE"""),"Fuyuki")</f>
        <v>Fuyuki</v>
      </c>
      <c r="G10" s="189" t="str">
        <f>IFERROR(__xludf.DUMMYFUNCTION("""COMPUTED_VALUE"""),"Unknown Coordinates X-C")</f>
        <v>Unknown Coordinates X-C</v>
      </c>
      <c r="H10" s="190">
        <f>IFERROR(__xludf.DUMMYFUNCTION("""COMPUTED_VALUE"""),4.0)</f>
        <v>4</v>
      </c>
      <c r="I10" s="191">
        <f>IFERROR(__xludf.DUMMYFUNCTION("""COMPUTED_VALUE"""),23.4375)</f>
        <v>23.4375</v>
      </c>
      <c r="J10" s="192">
        <f>IFERROR(__xludf.DUMMYFUNCTION("""COMPUTED_VALUE"""),22.4)</f>
        <v>22.4</v>
      </c>
      <c r="K10" s="194" t="str">
        <f>IFERROR(__xludf.DUMMYFUNCTION("""COMPUTED_VALUE"""),"AP")</f>
        <v>AP</v>
      </c>
      <c r="L10" s="192">
        <f>IFERROR(__xludf.DUMMYFUNCTION("""COMPUTED_VALUE"""),17.9)</f>
        <v>17.9</v>
      </c>
      <c r="M10" s="194" t="str">
        <f>IFERROR(__xludf.DUMMYFUNCTION("""COMPUTED_VALUE"""),"％")</f>
        <v>％</v>
      </c>
      <c r="N10" s="190">
        <f>IFERROR(__xludf.DUMMYFUNCTION("""COMPUTED_VALUE"""),34529.0)</f>
        <v>34529</v>
      </c>
      <c r="O10" s="197" t="str">
        <f>IFERROR(__xludf.DUMMYFUNCTION("""COMPUTED_VALUE"""),"Evil Bone")</f>
        <v>Evil Bone</v>
      </c>
      <c r="P10" s="93" t="str">
        <f>IFERROR(__xludf.DUMMYFUNCTION("""COMPUTED_VALUE"""),"")</f>
        <v/>
      </c>
      <c r="Q10" s="61" t="str">
        <f>IFERROR(__xludf.DUMMYFUNCTION("""COMPUTED_VALUE"""),"")</f>
        <v/>
      </c>
      <c r="R10" s="199" t="str">
        <f>IFERROR(__xludf.DUMMYFUNCTION("""COMPUTED_VALUE"""),"B102")</f>
        <v>B102</v>
      </c>
      <c r="S10" s="180" t="str">
        <f>IFERROR(__xludf.DUMMYFUNCTION("""COMPUTED_VALUE"""),"Secret Gem of Archer")</f>
        <v>Secret Gem of Archer</v>
      </c>
      <c r="T10" s="181">
        <f>IFERROR(__xludf.DUMMYFUNCTION("""COMPUTED_VALUE"""),1.0)</f>
        <v>1</v>
      </c>
      <c r="U10" s="182" t="str">
        <f>IFERROR(__xludf.DUMMYFUNCTION("""COMPUTED_VALUE"""),"TRF4")</f>
        <v>TRF4</v>
      </c>
      <c r="V10" s="184" t="str">
        <f>IFERROR(__xludf.DUMMYFUNCTION("""COMPUTED_VALUE"""),"Chaldea Gate (Mon)")</f>
        <v>Chaldea Gate (Mon)</v>
      </c>
      <c r="W10" s="184" t="str">
        <f>IFERROR(__xludf.DUMMYFUNCTION("""COMPUTED_VALUE"""),"MON Archer Training Ground- Exp")</f>
        <v>MON Archer Training Ground- Exp</v>
      </c>
      <c r="X10" s="190">
        <f>IFERROR(__xludf.DUMMYFUNCTION("""COMPUTED_VALUE"""),40.0)</f>
        <v>40</v>
      </c>
      <c r="Y10" s="191">
        <f>IFERROR(__xludf.DUMMYFUNCTION("""COMPUTED_VALUE"""),20.46875)</f>
        <v>20.46875</v>
      </c>
      <c r="Z10" s="192">
        <f>IFERROR(__xludf.DUMMYFUNCTION("""COMPUTED_VALUE"""),135.1)</f>
        <v>135.1</v>
      </c>
      <c r="AA10" s="194" t="str">
        <f>IFERROR(__xludf.DUMMYFUNCTION("""COMPUTED_VALUE"""),"AP")</f>
        <v>AP</v>
      </c>
      <c r="AB10" s="192">
        <f>IFERROR(__xludf.DUMMYFUNCTION("""COMPUTED_VALUE"""),29.6)</f>
        <v>29.6</v>
      </c>
      <c r="AC10" s="194" t="str">
        <f>IFERROR(__xludf.DUMMYFUNCTION("""COMPUTED_VALUE"""),"％")</f>
        <v>％</v>
      </c>
      <c r="AD10" s="190">
        <f>IFERROR(__xludf.DUMMYFUNCTION("""COMPUTED_VALUE"""),9159.0)</f>
        <v>9159</v>
      </c>
      <c r="AE10" s="197" t="str">
        <f>IFERROR(__xludf.DUMMYFUNCTION("""COMPUTED_VALUE"""),"Secret Gem of Archer")</f>
        <v>Secret Gem of Archer</v>
      </c>
      <c r="AF10" s="98" t="str">
        <f>IFERROR(__xludf.DUMMYFUNCTION("""COMPUTED_VALUE"""),"")</f>
        <v/>
      </c>
    </row>
    <row r="11" ht="16.5" customHeight="1">
      <c r="B11" s="203"/>
      <c r="C11" s="204"/>
      <c r="D11" s="205">
        <f>IFERROR(__xludf.DUMMYFUNCTION("""COMPUTED_VALUE"""),2.0)</f>
        <v>2</v>
      </c>
      <c r="E11" s="206" t="str">
        <f>IFERROR(__xludf.DUMMYFUNCTION("""COMPUTED_VALUE"""),"FUY7")</f>
        <v>FUY7</v>
      </c>
      <c r="F11" s="207" t="str">
        <f>IFERROR(__xludf.DUMMYFUNCTION("""COMPUTED_VALUE"""),"Fuyuki")</f>
        <v>Fuyuki</v>
      </c>
      <c r="G11" s="209" t="str">
        <f>IFERROR(__xludf.DUMMYFUNCTION("""COMPUTED_VALUE"""),"Unknown Coordinates X-G")</f>
        <v>Unknown Coordinates X-G</v>
      </c>
      <c r="H11" s="211">
        <f>IFERROR(__xludf.DUMMYFUNCTION("""COMPUTED_VALUE"""),15.0)</f>
        <v>15</v>
      </c>
      <c r="I11" s="213">
        <f>IFERROR(__xludf.DUMMYFUNCTION("""COMPUTED_VALUE"""),37.916666666666664)</f>
        <v>37.91666667</v>
      </c>
      <c r="J11" s="214">
        <f>IFERROR(__xludf.DUMMYFUNCTION("""COMPUTED_VALUE"""),23.5)</f>
        <v>23.5</v>
      </c>
      <c r="K11" s="215" t="str">
        <f>IFERROR(__xludf.DUMMYFUNCTION("""COMPUTED_VALUE"""),"AP")</f>
        <v>AP</v>
      </c>
      <c r="L11" s="214">
        <f>IFERROR(__xludf.DUMMYFUNCTION("""COMPUTED_VALUE"""),63.7)</f>
        <v>63.7</v>
      </c>
      <c r="M11" s="215" t="str">
        <f>IFERROR(__xludf.DUMMYFUNCTION("""COMPUTED_VALUE"""),"％")</f>
        <v>％</v>
      </c>
      <c r="N11" s="211">
        <f>IFERROR(__xludf.DUMMYFUNCTION("""COMPUTED_VALUE"""),61810.0)</f>
        <v>61810</v>
      </c>
      <c r="O11" s="217"/>
      <c r="P11" s="93" t="str">
        <f>IFERROR(__xludf.DUMMYFUNCTION("""COMPUTED_VALUE"""),"")</f>
        <v/>
      </c>
      <c r="R11" s="203"/>
      <c r="S11" s="204"/>
      <c r="T11" s="205">
        <f>IFERROR(__xludf.DUMMYFUNCTION("""COMPUTED_VALUE"""),2.0)</f>
        <v>2</v>
      </c>
      <c r="U11" s="206" t="str">
        <f>IFERROR(__xludf.DUMMYFUNCTION("""COMPUTED_VALUE"""),"TRF3")</f>
        <v>TRF3</v>
      </c>
      <c r="V11" s="207" t="str">
        <f>IFERROR(__xludf.DUMMYFUNCTION("""COMPUTED_VALUE"""),"Chaldea Gate (Mon)")</f>
        <v>Chaldea Gate (Mon)</v>
      </c>
      <c r="W11" s="207" t="str">
        <f>IFERROR(__xludf.DUMMYFUNCTION("""COMPUTED_VALUE"""),"MON Archer Training Ground- Adv")</f>
        <v>MON Archer Training Ground- Adv</v>
      </c>
      <c r="X11" s="211">
        <f>IFERROR(__xludf.DUMMYFUNCTION("""COMPUTED_VALUE"""),30.0)</f>
        <v>30</v>
      </c>
      <c r="Y11" s="213">
        <f>IFERROR(__xludf.DUMMYFUNCTION("""COMPUTED_VALUE"""),18.958333333333332)</f>
        <v>18.95833333</v>
      </c>
      <c r="Z11" s="214">
        <f>IFERROR(__xludf.DUMMYFUNCTION("""COMPUTED_VALUE"""),191.0)</f>
        <v>191</v>
      </c>
      <c r="AA11" s="215" t="str">
        <f>IFERROR(__xludf.DUMMYFUNCTION("""COMPUTED_VALUE"""),"AP")</f>
        <v>AP</v>
      </c>
      <c r="AB11" s="214">
        <f>IFERROR(__xludf.DUMMYFUNCTION("""COMPUTED_VALUE"""),15.7)</f>
        <v>15.7</v>
      </c>
      <c r="AC11" s="215" t="str">
        <f>IFERROR(__xludf.DUMMYFUNCTION("""COMPUTED_VALUE"""),"％")</f>
        <v>％</v>
      </c>
      <c r="AD11" s="211">
        <f>IFERROR(__xludf.DUMMYFUNCTION("""COMPUTED_VALUE"""),817.0)</f>
        <v>817</v>
      </c>
      <c r="AE11" s="217"/>
      <c r="AF11" s="98" t="str">
        <f>IFERROR(__xludf.DUMMYFUNCTION("""COMPUTED_VALUE"""),"")</f>
        <v/>
      </c>
    </row>
    <row r="12" ht="16.5" customHeight="1">
      <c r="B12" s="203"/>
      <c r="C12" s="204"/>
      <c r="D12" s="222">
        <f>IFERROR(__xludf.DUMMYFUNCTION("""COMPUTED_VALUE"""),3.0)</f>
        <v>3</v>
      </c>
      <c r="E12" s="223" t="str">
        <f>IFERROR(__xludf.DUMMYFUNCTION("""COMPUTED_VALUE"""),"FUY4")</f>
        <v>FUY4</v>
      </c>
      <c r="F12" s="224" t="str">
        <f>IFERROR(__xludf.DUMMYFUNCTION("""COMPUTED_VALUE"""),"Fuyuki")</f>
        <v>Fuyuki</v>
      </c>
      <c r="G12" s="226" t="str">
        <f>IFERROR(__xludf.DUMMYFUNCTION("""COMPUTED_VALUE"""),"Unknown Coordinates X-D")</f>
        <v>Unknown Coordinates X-D</v>
      </c>
      <c r="H12" s="228">
        <f>IFERROR(__xludf.DUMMYFUNCTION("""COMPUTED_VALUE"""),5.0)</f>
        <v>5</v>
      </c>
      <c r="I12" s="230">
        <f>IFERROR(__xludf.DUMMYFUNCTION("""COMPUTED_VALUE"""),23.75)</f>
        <v>23.75</v>
      </c>
      <c r="J12" s="231">
        <f>IFERROR(__xludf.DUMMYFUNCTION("""COMPUTED_VALUE"""),24.4)</f>
        <v>24.4</v>
      </c>
      <c r="K12" s="232" t="str">
        <f>IFERROR(__xludf.DUMMYFUNCTION("""COMPUTED_VALUE"""),"AP")</f>
        <v>AP</v>
      </c>
      <c r="L12" s="231">
        <f>IFERROR(__xludf.DUMMYFUNCTION("""COMPUTED_VALUE"""),20.5)</f>
        <v>20.5</v>
      </c>
      <c r="M12" s="232" t="str">
        <f>IFERROR(__xludf.DUMMYFUNCTION("""COMPUTED_VALUE"""),"％")</f>
        <v>％</v>
      </c>
      <c r="N12" s="228">
        <f>IFERROR(__xludf.DUMMYFUNCTION("""COMPUTED_VALUE"""),2250.0)</f>
        <v>2250</v>
      </c>
      <c r="O12" s="217"/>
      <c r="P12" s="93" t="str">
        <f>IFERROR(__xludf.DUMMYFUNCTION("""COMPUTED_VALUE"""),"")</f>
        <v/>
      </c>
      <c r="R12" s="203"/>
      <c r="S12" s="204"/>
      <c r="T12" s="222">
        <f>IFERROR(__xludf.DUMMYFUNCTION("""COMPUTED_VALUE"""),3.0)</f>
        <v>3</v>
      </c>
      <c r="U12" s="223" t="str">
        <f>IFERROR(__xludf.DUMMYFUNCTION("""COMPUTED_VALUE"""),"AGT9")</f>
        <v>AGT9</v>
      </c>
      <c r="V12" s="224" t="str">
        <f>IFERROR(__xludf.DUMMYFUNCTION("""COMPUTED_VALUE"""),"Agartha")</f>
        <v>Agartha</v>
      </c>
      <c r="W12" s="226" t="str">
        <f>IFERROR(__xludf.DUMMYFUNCTION("""COMPUTED_VALUE"""),"Palace of Dragon King")</f>
        <v>Palace of Dragon King</v>
      </c>
      <c r="X12" s="228">
        <f>IFERROR(__xludf.DUMMYFUNCTION("""COMPUTED_VALUE"""),21.0)</f>
        <v>21</v>
      </c>
      <c r="Y12" s="230">
        <f>IFERROR(__xludf.DUMMYFUNCTION("""COMPUTED_VALUE"""),49.70238095238095)</f>
        <v>49.70238095</v>
      </c>
      <c r="Z12" s="231">
        <f>IFERROR(__xludf.DUMMYFUNCTION("""COMPUTED_VALUE"""),439.8)</f>
        <v>439.8</v>
      </c>
      <c r="AA12" s="232" t="str">
        <f>IFERROR(__xludf.DUMMYFUNCTION("""COMPUTED_VALUE"""),"AP")</f>
        <v>AP</v>
      </c>
      <c r="AB12" s="231">
        <f>IFERROR(__xludf.DUMMYFUNCTION("""COMPUTED_VALUE"""),4.8)</f>
        <v>4.8</v>
      </c>
      <c r="AC12" s="232" t="str">
        <f>IFERROR(__xludf.DUMMYFUNCTION("""COMPUTED_VALUE"""),"％")</f>
        <v>％</v>
      </c>
      <c r="AD12" s="228">
        <f>IFERROR(__xludf.DUMMYFUNCTION("""COMPUTED_VALUE"""),2172.0)</f>
        <v>2172</v>
      </c>
      <c r="AE12" s="217"/>
      <c r="AF12" s="98" t="str">
        <f>IFERROR(__xludf.DUMMYFUNCTION("""COMPUTED_VALUE"""),"")</f>
        <v/>
      </c>
    </row>
    <row r="13" ht="16.5" customHeight="1">
      <c r="B13" s="203"/>
      <c r="C13" s="204"/>
      <c r="D13" s="238">
        <f>IFERROR(__xludf.DUMMYFUNCTION("""COMPUTED_VALUE"""),4.0)</f>
        <v>4</v>
      </c>
      <c r="E13" s="240" t="str">
        <f>IFERROR(__xludf.DUMMYFUNCTION("""COMPUTED_VALUE"""),"FUY2")</f>
        <v>FUY2</v>
      </c>
      <c r="F13" s="242" t="str">
        <f>IFERROR(__xludf.DUMMYFUNCTION("""COMPUTED_VALUE"""),"Fuyuki")</f>
        <v>Fuyuki</v>
      </c>
      <c r="G13" s="244" t="str">
        <f>IFERROR(__xludf.DUMMYFUNCTION("""COMPUTED_VALUE"""),"Unknown Coordinates X-B")</f>
        <v>Unknown Coordinates X-B</v>
      </c>
      <c r="H13" s="246">
        <f>IFERROR(__xludf.DUMMYFUNCTION("""COMPUTED_VALUE"""),4.0)</f>
        <v>4</v>
      </c>
      <c r="I13" s="248">
        <f>IFERROR(__xludf.DUMMYFUNCTION("""COMPUTED_VALUE"""),23.4375)</f>
        <v>23.4375</v>
      </c>
      <c r="J13" s="250">
        <f>IFERROR(__xludf.DUMMYFUNCTION("""COMPUTED_VALUE"""),25.8)</f>
        <v>25.8</v>
      </c>
      <c r="K13" s="252" t="str">
        <f>IFERROR(__xludf.DUMMYFUNCTION("""COMPUTED_VALUE"""),"AP")</f>
        <v>AP</v>
      </c>
      <c r="L13" s="250">
        <f>IFERROR(__xludf.DUMMYFUNCTION("""COMPUTED_VALUE"""),15.5)</f>
        <v>15.5</v>
      </c>
      <c r="M13" s="252" t="str">
        <f>IFERROR(__xludf.DUMMYFUNCTION("""COMPUTED_VALUE"""),"％")</f>
        <v>％</v>
      </c>
      <c r="N13" s="246">
        <f>IFERROR(__xludf.DUMMYFUNCTION("""COMPUTED_VALUE"""),865.0)</f>
        <v>865</v>
      </c>
      <c r="O13" s="217"/>
      <c r="P13" s="177" t="str">
        <f>IFERROR(__xludf.DUMMYFUNCTION("""COMPUTED_VALUE"""),"")</f>
        <v/>
      </c>
      <c r="R13" s="203"/>
      <c r="S13" s="204"/>
      <c r="T13" s="238">
        <f>IFERROR(__xludf.DUMMYFUNCTION("""COMPUTED_VALUE"""),4.0)</f>
        <v>4</v>
      </c>
      <c r="U13" s="240" t="str">
        <f>IFERROR(__xludf.DUMMYFUNCTION("""COMPUTED_VALUE"""),"EPU14")</f>
        <v>EPU14</v>
      </c>
      <c r="V13" s="242" t="str">
        <f>IFERROR(__xludf.DUMMYFUNCTION("""COMPUTED_VALUE"""),"E Pluribus Unum")</f>
        <v>E Pluribus Unum</v>
      </c>
      <c r="W13" s="244" t="str">
        <f>IFERROR(__xludf.DUMMYFUNCTION("""COMPUTED_VALUE"""),"Chicago")</f>
        <v>Chicago</v>
      </c>
      <c r="X13" s="246">
        <f>IFERROR(__xludf.DUMMYFUNCTION("""COMPUTED_VALUE"""),21.0)</f>
        <v>21</v>
      </c>
      <c r="Y13" s="248">
        <f>IFERROR(__xludf.DUMMYFUNCTION("""COMPUTED_VALUE"""),48.51190476190476)</f>
        <v>48.51190476</v>
      </c>
      <c r="Z13" s="250">
        <f>IFERROR(__xludf.DUMMYFUNCTION("""COMPUTED_VALUE"""),518.1)</f>
        <v>518.1</v>
      </c>
      <c r="AA13" s="252" t="str">
        <f>IFERROR(__xludf.DUMMYFUNCTION("""COMPUTED_VALUE"""),"AP")</f>
        <v>AP</v>
      </c>
      <c r="AB13" s="250">
        <f>IFERROR(__xludf.DUMMYFUNCTION("""COMPUTED_VALUE"""),4.1)</f>
        <v>4.1</v>
      </c>
      <c r="AC13" s="252" t="str">
        <f>IFERROR(__xludf.DUMMYFUNCTION("""COMPUTED_VALUE"""),"％")</f>
        <v>％</v>
      </c>
      <c r="AD13" s="246">
        <f>IFERROR(__xludf.DUMMYFUNCTION("""COMPUTED_VALUE"""),3079.0)</f>
        <v>3079</v>
      </c>
      <c r="AE13" s="217"/>
      <c r="AF13" s="98" t="str">
        <f>IFERROR(__xludf.DUMMYFUNCTION("""COMPUTED_VALUE"""),"")</f>
        <v/>
      </c>
    </row>
    <row r="14" ht="16.5" customHeight="1">
      <c r="A14" s="166"/>
      <c r="B14" s="254"/>
      <c r="C14" s="255"/>
      <c r="D14" s="256">
        <f>IFERROR(__xludf.DUMMYFUNCTION("""COMPUTED_VALUE"""),5.0)</f>
        <v>5</v>
      </c>
      <c r="E14" s="257" t="str">
        <f>IFERROR(__xludf.DUMMYFUNCTION("""COMPUTED_VALUE"""),"SEP6")</f>
        <v>SEP6</v>
      </c>
      <c r="F14" s="42" t="str">
        <f>IFERROR(__xludf.DUMMYFUNCTION("""COMPUTED_VALUE"""),"Septem")</f>
        <v>Septem</v>
      </c>
      <c r="G14" s="258" t="str">
        <f>IFERROR(__xludf.DUMMYFUNCTION("""COMPUTED_VALUE"""),"Germania")</f>
        <v>Germania</v>
      </c>
      <c r="H14" s="259">
        <f>IFERROR(__xludf.DUMMYFUNCTION("""COMPUTED_VALUE"""),15.0)</f>
        <v>15</v>
      </c>
      <c r="I14" s="260">
        <f>IFERROR(__xludf.DUMMYFUNCTION("""COMPUTED_VALUE"""),37.916666666666664)</f>
        <v>37.91666667</v>
      </c>
      <c r="J14" s="261">
        <f>IFERROR(__xludf.DUMMYFUNCTION("""COMPUTED_VALUE"""),29.2)</f>
        <v>29.2</v>
      </c>
      <c r="K14" s="262" t="str">
        <f>IFERROR(__xludf.DUMMYFUNCTION("""COMPUTED_VALUE"""),"AP")</f>
        <v>AP</v>
      </c>
      <c r="L14" s="261">
        <f>IFERROR(__xludf.DUMMYFUNCTION("""COMPUTED_VALUE"""),51.4)</f>
        <v>51.4</v>
      </c>
      <c r="M14" s="262" t="str">
        <f>IFERROR(__xludf.DUMMYFUNCTION("""COMPUTED_VALUE"""),"％")</f>
        <v>％</v>
      </c>
      <c r="N14" s="259">
        <f>IFERROR(__xludf.DUMMYFUNCTION("""COMPUTED_VALUE"""),794.0)</f>
        <v>794</v>
      </c>
      <c r="O14" s="263"/>
      <c r="P14" s="93" t="str">
        <f>IFERROR(__xludf.DUMMYFUNCTION("""COMPUTED_VALUE"""),"")</f>
        <v/>
      </c>
      <c r="Q14" s="166"/>
      <c r="R14" s="254"/>
      <c r="S14" s="255"/>
      <c r="T14" s="256">
        <f>IFERROR(__xludf.DUMMYFUNCTION("""COMPUTED_VALUE"""),5.0)</f>
        <v>5</v>
      </c>
      <c r="U14" s="257" t="str">
        <f>IFERROR(__xludf.DUMMYFUNCTION("""COMPUTED_VALUE"""),"CML13")</f>
        <v>CML13</v>
      </c>
      <c r="V14" s="42" t="str">
        <f>IFERROR(__xludf.DUMMYFUNCTION("""COMPUTED_VALUE"""),"Camelot")</f>
        <v>Camelot</v>
      </c>
      <c r="W14" s="258" t="str">
        <f>IFERROR(__xludf.DUMMYFUNCTION("""COMPUTED_VALUE"""),"Land of the Void")</f>
        <v>Land of the Void</v>
      </c>
      <c r="X14" s="259">
        <f>IFERROR(__xludf.DUMMYFUNCTION("""COMPUTED_VALUE"""),22.0)</f>
        <v>22</v>
      </c>
      <c r="Y14" s="260">
        <f>IFERROR(__xludf.DUMMYFUNCTION("""COMPUTED_VALUE"""),49.71590909090909)</f>
        <v>49.71590909</v>
      </c>
      <c r="Z14" s="261">
        <f>IFERROR(__xludf.DUMMYFUNCTION("""COMPUTED_VALUE"""),720.1)</f>
        <v>720.1</v>
      </c>
      <c r="AA14" s="262" t="str">
        <f>IFERROR(__xludf.DUMMYFUNCTION("""COMPUTED_VALUE"""),"AP")</f>
        <v>AP</v>
      </c>
      <c r="AB14" s="261">
        <f>IFERROR(__xludf.DUMMYFUNCTION("""COMPUTED_VALUE"""),3.1)</f>
        <v>3.1</v>
      </c>
      <c r="AC14" s="262" t="str">
        <f>IFERROR(__xludf.DUMMYFUNCTION("""COMPUTED_VALUE"""),"％")</f>
        <v>％</v>
      </c>
      <c r="AD14" s="259">
        <f>IFERROR(__xludf.DUMMYFUNCTION("""COMPUTED_VALUE"""),4024.0)</f>
        <v>4024</v>
      </c>
      <c r="AE14" s="263"/>
      <c r="AF14" s="98" t="str">
        <f>IFERROR(__xludf.DUMMYFUNCTION("""COMPUTED_VALUE"""),"")</f>
        <v/>
      </c>
    </row>
    <row r="15" ht="16.5" customHeight="1">
      <c r="A15" s="61" t="str">
        <f>IFERROR(__xludf.DUMMYFUNCTION("""COMPUTED_VALUE"""),"")</f>
        <v/>
      </c>
      <c r="B15" s="265" t="str">
        <f>IFERROR(__xludf.DUMMYFUNCTION("""COMPUTED_VALUE"""),"A303")</f>
        <v>A303</v>
      </c>
      <c r="C15" s="65" t="str">
        <f>IFERROR(__xludf.DUMMYFUNCTION("""COMPUTED_VALUE"""),"Dragon Fang")</f>
        <v>Dragon Fang</v>
      </c>
      <c r="D15" s="67">
        <f>IFERROR(__xludf.DUMMYFUNCTION("""COMPUTED_VALUE"""),1.0)</f>
        <v>1</v>
      </c>
      <c r="E15" s="69" t="str">
        <f>IFERROR(__xludf.DUMMYFUNCTION("""COMPUTED_VALUE"""),"EPU4")</f>
        <v>EPU4</v>
      </c>
      <c r="F15" s="71" t="str">
        <f>IFERROR(__xludf.DUMMYFUNCTION("""COMPUTED_VALUE"""),"E Pluribus Unum")</f>
        <v>E Pluribus Unum</v>
      </c>
      <c r="G15" s="78" t="str">
        <f>IFERROR(__xludf.DUMMYFUNCTION("""COMPUTED_VALUE"""),"Deming")</f>
        <v>Deming</v>
      </c>
      <c r="H15" s="80">
        <f>IFERROR(__xludf.DUMMYFUNCTION("""COMPUTED_VALUE"""),17.0)</f>
        <v>17</v>
      </c>
      <c r="I15" s="82">
        <f>IFERROR(__xludf.DUMMYFUNCTION("""COMPUTED_VALUE"""),43.75)</f>
        <v>43.75</v>
      </c>
      <c r="J15" s="84">
        <f>IFERROR(__xludf.DUMMYFUNCTION("""COMPUTED_VALUE"""),27.3)</f>
        <v>27.3</v>
      </c>
      <c r="K15" s="86" t="str">
        <f>IFERROR(__xludf.DUMMYFUNCTION("""COMPUTED_VALUE"""),"AP")</f>
        <v>AP</v>
      </c>
      <c r="L15" s="88">
        <f>IFERROR(__xludf.DUMMYFUNCTION("""COMPUTED_VALUE"""),62.2)</f>
        <v>62.2</v>
      </c>
      <c r="M15" s="86" t="str">
        <f>IFERROR(__xludf.DUMMYFUNCTION("""COMPUTED_VALUE"""),"％")</f>
        <v>％</v>
      </c>
      <c r="N15" s="80">
        <f>IFERROR(__xludf.DUMMYFUNCTION("""COMPUTED_VALUE"""),5759.0)</f>
        <v>5759</v>
      </c>
      <c r="O15" s="91" t="str">
        <f>IFERROR(__xludf.DUMMYFUNCTION("""COMPUTED_VALUE"""),"Dragon Fang")</f>
        <v>Dragon Fang</v>
      </c>
      <c r="P15" s="93" t="str">
        <f>IFERROR(__xludf.DUMMYFUNCTION("""COMPUTED_VALUE"""),"")</f>
        <v/>
      </c>
      <c r="Q15" s="61" t="str">
        <f>IFERROR(__xludf.DUMMYFUNCTION("""COMPUTED_VALUE"""),"")</f>
        <v/>
      </c>
      <c r="R15" s="267" t="str">
        <f>IFERROR(__xludf.DUMMYFUNCTION("""COMPUTED_VALUE"""),"B103")</f>
        <v>B103</v>
      </c>
      <c r="S15" s="65" t="str">
        <f>IFERROR(__xludf.DUMMYFUNCTION("""COMPUTED_VALUE"""),"Secret Gem of Lancer")</f>
        <v>Secret Gem of Lancer</v>
      </c>
      <c r="T15" s="67">
        <f>IFERROR(__xludf.DUMMYFUNCTION("""COMPUTED_VALUE"""),1.0)</f>
        <v>1</v>
      </c>
      <c r="U15" s="69" t="str">
        <f>IFERROR(__xludf.DUMMYFUNCTION("""COMPUTED_VALUE"""),"TRF8")</f>
        <v>TRF8</v>
      </c>
      <c r="V15" s="71" t="str">
        <f>IFERROR(__xludf.DUMMYFUNCTION("""COMPUTED_VALUE"""),"Chaldea Gate (Tue)")</f>
        <v>Chaldea Gate (Tue)</v>
      </c>
      <c r="W15" s="71" t="str">
        <f>IFERROR(__xludf.DUMMYFUNCTION("""COMPUTED_VALUE"""),"TUE Lancer Training Ground- Exp")</f>
        <v>TUE Lancer Training Ground- Exp</v>
      </c>
      <c r="X15" s="80">
        <f>IFERROR(__xludf.DUMMYFUNCTION("""COMPUTED_VALUE"""),40.0)</f>
        <v>40</v>
      </c>
      <c r="Y15" s="82">
        <f>IFERROR(__xludf.DUMMYFUNCTION("""COMPUTED_VALUE"""),20.46875)</f>
        <v>20.46875</v>
      </c>
      <c r="Z15" s="84">
        <f>IFERROR(__xludf.DUMMYFUNCTION("""COMPUTED_VALUE"""),145.4)</f>
        <v>145.4</v>
      </c>
      <c r="AA15" s="86" t="str">
        <f>IFERROR(__xludf.DUMMYFUNCTION("""COMPUTED_VALUE"""),"AP")</f>
        <v>AP</v>
      </c>
      <c r="AB15" s="88">
        <f>IFERROR(__xludf.DUMMYFUNCTION("""COMPUTED_VALUE"""),27.5)</f>
        <v>27.5</v>
      </c>
      <c r="AC15" s="86" t="str">
        <f>IFERROR(__xludf.DUMMYFUNCTION("""COMPUTED_VALUE"""),"％")</f>
        <v>％</v>
      </c>
      <c r="AD15" s="80">
        <f>IFERROR(__xludf.DUMMYFUNCTION("""COMPUTED_VALUE"""),5650.0)</f>
        <v>5650</v>
      </c>
      <c r="AE15" s="91" t="str">
        <f>IFERROR(__xludf.DUMMYFUNCTION("""COMPUTED_VALUE"""),"Secret Gem of Lancer")</f>
        <v>Secret Gem of Lancer</v>
      </c>
      <c r="AF15" s="98" t="str">
        <f>IFERROR(__xludf.DUMMYFUNCTION("""COMPUTED_VALUE"""),"")</f>
        <v/>
      </c>
    </row>
    <row r="16" ht="16.5" customHeight="1">
      <c r="B16" s="268"/>
      <c r="C16" s="100"/>
      <c r="D16" s="102">
        <f>IFERROR(__xludf.DUMMYFUNCTION("""COMPUTED_VALUE"""),2.0)</f>
        <v>2</v>
      </c>
      <c r="E16" s="103" t="str">
        <f>IFERROR(__xludf.DUMMYFUNCTION("""COMPUTED_VALUE"""),"OKN7")</f>
        <v>OKN7</v>
      </c>
      <c r="F16" s="104" t="str">
        <f>IFERROR(__xludf.DUMMYFUNCTION("""COMPUTED_VALUE"""),"Okeanos")</f>
        <v>Okeanos</v>
      </c>
      <c r="G16" s="108" t="str">
        <f>IFERROR(__xludf.DUMMYFUNCTION("""COMPUTED_VALUE"""),"Island of Wyverns")</f>
        <v>Island of Wyverns</v>
      </c>
      <c r="H16" s="109">
        <f>IFERROR(__xludf.DUMMYFUNCTION("""COMPUTED_VALUE"""),14.0)</f>
        <v>14</v>
      </c>
      <c r="I16" s="110">
        <f>IFERROR(__xludf.DUMMYFUNCTION("""COMPUTED_VALUE"""),38.839285714285715)</f>
        <v>38.83928571</v>
      </c>
      <c r="J16" s="112">
        <f>IFERROR(__xludf.DUMMYFUNCTION("""COMPUTED_VALUE"""),27.6)</f>
        <v>27.6</v>
      </c>
      <c r="K16" s="121" t="str">
        <f>IFERROR(__xludf.DUMMYFUNCTION("""COMPUTED_VALUE"""),"AP")</f>
        <v>AP</v>
      </c>
      <c r="L16" s="123">
        <f>IFERROR(__xludf.DUMMYFUNCTION("""COMPUTED_VALUE"""),50.7)</f>
        <v>50.7</v>
      </c>
      <c r="M16" s="121" t="str">
        <f>IFERROR(__xludf.DUMMYFUNCTION("""COMPUTED_VALUE"""),"％")</f>
        <v>％</v>
      </c>
      <c r="N16" s="109">
        <f>IFERROR(__xludf.DUMMYFUNCTION("""COMPUTED_VALUE"""),1154.0)</f>
        <v>1154</v>
      </c>
      <c r="O16" s="100"/>
      <c r="P16" s="93" t="str">
        <f>IFERROR(__xludf.DUMMYFUNCTION("""COMPUTED_VALUE"""),"")</f>
        <v/>
      </c>
      <c r="R16" s="268"/>
      <c r="S16" s="100"/>
      <c r="T16" s="102">
        <f>IFERROR(__xludf.DUMMYFUNCTION("""COMPUTED_VALUE"""),2.0)</f>
        <v>2</v>
      </c>
      <c r="U16" s="103" t="str">
        <f>IFERROR(__xludf.DUMMYFUNCTION("""COMPUTED_VALUE"""),"TRF7")</f>
        <v>TRF7</v>
      </c>
      <c r="V16" s="104" t="str">
        <f>IFERROR(__xludf.DUMMYFUNCTION("""COMPUTED_VALUE"""),"Chaldea Gate (Tue)")</f>
        <v>Chaldea Gate (Tue)</v>
      </c>
      <c r="W16" s="104" t="str">
        <f>IFERROR(__xludf.DUMMYFUNCTION("""COMPUTED_VALUE"""),"TUE Lancer Training Ground- Adv")</f>
        <v>TUE Lancer Training Ground- Adv</v>
      </c>
      <c r="X16" s="109">
        <f>IFERROR(__xludf.DUMMYFUNCTION("""COMPUTED_VALUE"""),30.0)</f>
        <v>30</v>
      </c>
      <c r="Y16" s="110">
        <f>IFERROR(__xludf.DUMMYFUNCTION("""COMPUTED_VALUE"""),18.958333333333332)</f>
        <v>18.95833333</v>
      </c>
      <c r="Z16" s="112">
        <f>IFERROR(__xludf.DUMMYFUNCTION("""COMPUTED_VALUE"""),175.2)</f>
        <v>175.2</v>
      </c>
      <c r="AA16" s="121" t="str">
        <f>IFERROR(__xludf.DUMMYFUNCTION("""COMPUTED_VALUE"""),"AP")</f>
        <v>AP</v>
      </c>
      <c r="AB16" s="123">
        <f>IFERROR(__xludf.DUMMYFUNCTION("""COMPUTED_VALUE"""),17.1)</f>
        <v>17.1</v>
      </c>
      <c r="AC16" s="121" t="str">
        <f>IFERROR(__xludf.DUMMYFUNCTION("""COMPUTED_VALUE"""),"％")</f>
        <v>％</v>
      </c>
      <c r="AD16" s="109">
        <f>IFERROR(__xludf.DUMMYFUNCTION("""COMPUTED_VALUE"""),1022.0)</f>
        <v>1022</v>
      </c>
      <c r="AE16" s="100"/>
      <c r="AF16" s="98" t="str">
        <f>IFERROR(__xludf.DUMMYFUNCTION("""COMPUTED_VALUE"""),"")</f>
        <v/>
      </c>
    </row>
    <row r="17" ht="16.5" customHeight="1">
      <c r="B17" s="268"/>
      <c r="C17" s="100"/>
      <c r="D17" s="130">
        <f>IFERROR(__xludf.DUMMYFUNCTION("""COMPUTED_VALUE"""),3.0)</f>
        <v>3</v>
      </c>
      <c r="E17" s="132" t="str">
        <f>IFERROR(__xludf.DUMMYFUNCTION("""COMPUTED_VALUE"""),"BBL7")</f>
        <v>BBL7</v>
      </c>
      <c r="F17" s="133" t="str">
        <f>IFERROR(__xludf.DUMMYFUNCTION("""COMPUTED_VALUE"""),"Babylonia")</f>
        <v>Babylonia</v>
      </c>
      <c r="G17" s="135" t="str">
        <f>IFERROR(__xludf.DUMMYFUNCTION("""COMPUTED_VALUE"""),"Eridu")</f>
        <v>Eridu</v>
      </c>
      <c r="H17" s="137">
        <f>IFERROR(__xludf.DUMMYFUNCTION("""COMPUTED_VALUE"""),21.0)</f>
        <v>21</v>
      </c>
      <c r="I17" s="139">
        <f>IFERROR(__xludf.DUMMYFUNCTION("""COMPUTED_VALUE"""),47.32142857142857)</f>
        <v>47.32142857</v>
      </c>
      <c r="J17" s="141">
        <f>IFERROR(__xludf.DUMMYFUNCTION("""COMPUTED_VALUE"""),31.8)</f>
        <v>31.8</v>
      </c>
      <c r="K17" s="143" t="str">
        <f>IFERROR(__xludf.DUMMYFUNCTION("""COMPUTED_VALUE"""),"AP")</f>
        <v>AP</v>
      </c>
      <c r="L17" s="145">
        <f>IFERROR(__xludf.DUMMYFUNCTION("""COMPUTED_VALUE"""),66.1)</f>
        <v>66.1</v>
      </c>
      <c r="M17" s="143" t="str">
        <f>IFERROR(__xludf.DUMMYFUNCTION("""COMPUTED_VALUE"""),"％")</f>
        <v>％</v>
      </c>
      <c r="N17" s="137">
        <f>IFERROR(__xludf.DUMMYFUNCTION("""COMPUTED_VALUE"""),9008.0)</f>
        <v>9008</v>
      </c>
      <c r="O17" s="100"/>
      <c r="P17" s="177" t="str">
        <f>IFERROR(__xludf.DUMMYFUNCTION("""COMPUTED_VALUE"""),"")</f>
        <v/>
      </c>
      <c r="R17" s="268"/>
      <c r="S17" s="100"/>
      <c r="T17" s="130">
        <f>IFERROR(__xludf.DUMMYFUNCTION("""COMPUTED_VALUE"""),3.0)</f>
        <v>3</v>
      </c>
      <c r="U17" s="132" t="str">
        <f>IFERROR(__xludf.DUMMYFUNCTION("""COMPUTED_VALUE"""),"YKS9")</f>
        <v>YKS9</v>
      </c>
      <c r="V17" s="133" t="str">
        <f>IFERROR(__xludf.DUMMYFUNCTION("""COMPUTED_VALUE"""),"Yuga Kshetra")</f>
        <v>Yuga Kshetra</v>
      </c>
      <c r="W17" s="135" t="str">
        <f>IFERROR(__xludf.DUMMYFUNCTION("""COMPUTED_VALUE"""),"Eternal Grounds")</f>
        <v>Eternal Grounds</v>
      </c>
      <c r="X17" s="137">
        <f>IFERROR(__xludf.DUMMYFUNCTION("""COMPUTED_VALUE"""),21.0)</f>
        <v>21</v>
      </c>
      <c r="Y17" s="139">
        <f>IFERROR(__xludf.DUMMYFUNCTION("""COMPUTED_VALUE"""),50.892857142857146)</f>
        <v>50.89285714</v>
      </c>
      <c r="Z17" s="141">
        <f>IFERROR(__xludf.DUMMYFUNCTION("""COMPUTED_VALUE"""),495.0)</f>
        <v>495</v>
      </c>
      <c r="AA17" s="143" t="str">
        <f>IFERROR(__xludf.DUMMYFUNCTION("""COMPUTED_VALUE"""),"AP")</f>
        <v>AP</v>
      </c>
      <c r="AB17" s="145">
        <f>IFERROR(__xludf.DUMMYFUNCTION("""COMPUTED_VALUE"""),4.2)</f>
        <v>4.2</v>
      </c>
      <c r="AC17" s="143" t="str">
        <f>IFERROR(__xludf.DUMMYFUNCTION("""COMPUTED_VALUE"""),"％")</f>
        <v>％</v>
      </c>
      <c r="AD17" s="137">
        <f>IFERROR(__xludf.DUMMYFUNCTION("""COMPUTED_VALUE"""),13221.0)</f>
        <v>13221</v>
      </c>
      <c r="AE17" s="100"/>
      <c r="AF17" s="98" t="str">
        <f>IFERROR(__xludf.DUMMYFUNCTION("""COMPUTED_VALUE"""),"")</f>
        <v/>
      </c>
    </row>
    <row r="18" ht="16.5" customHeight="1">
      <c r="B18" s="268"/>
      <c r="C18" s="100"/>
      <c r="D18" s="146">
        <f>IFERROR(__xludf.DUMMYFUNCTION("""COMPUTED_VALUE"""),4.0)</f>
        <v>4</v>
      </c>
      <c r="E18" s="148" t="str">
        <f>IFERROR(__xludf.DUMMYFUNCTION("""COMPUTED_VALUE"""),"OKN4")</f>
        <v>OKN4</v>
      </c>
      <c r="F18" s="150" t="str">
        <f>IFERROR(__xludf.DUMMYFUNCTION("""COMPUTED_VALUE"""),"Okeanos")</f>
        <v>Okeanos</v>
      </c>
      <c r="G18" s="152" t="str">
        <f>IFERROR(__xludf.DUMMYFUNCTION("""COMPUTED_VALUE"""),"Mapped Island")</f>
        <v>Mapped Island</v>
      </c>
      <c r="H18" s="154">
        <f>IFERROR(__xludf.DUMMYFUNCTION("""COMPUTED_VALUE"""),13.0)</f>
        <v>13</v>
      </c>
      <c r="I18" s="156">
        <f>IFERROR(__xludf.DUMMYFUNCTION("""COMPUTED_VALUE"""),36.05769230769231)</f>
        <v>36.05769231</v>
      </c>
      <c r="J18" s="158">
        <f>IFERROR(__xludf.DUMMYFUNCTION("""COMPUTED_VALUE"""),34.6)</f>
        <v>34.6</v>
      </c>
      <c r="K18" s="160" t="str">
        <f>IFERROR(__xludf.DUMMYFUNCTION("""COMPUTED_VALUE"""),"AP")</f>
        <v>AP</v>
      </c>
      <c r="L18" s="162">
        <f>IFERROR(__xludf.DUMMYFUNCTION("""COMPUTED_VALUE"""),37.6)</f>
        <v>37.6</v>
      </c>
      <c r="M18" s="160" t="str">
        <f>IFERROR(__xludf.DUMMYFUNCTION("""COMPUTED_VALUE"""),"％")</f>
        <v>％</v>
      </c>
      <c r="N18" s="154">
        <f>IFERROR(__xludf.DUMMYFUNCTION("""COMPUTED_VALUE"""),1130.0)</f>
        <v>1130</v>
      </c>
      <c r="O18" s="100"/>
      <c r="P18" s="93" t="str">
        <f>IFERROR(__xludf.DUMMYFUNCTION("""COMPUTED_VALUE"""),"")</f>
        <v/>
      </c>
      <c r="R18" s="268"/>
      <c r="S18" s="100"/>
      <c r="T18" s="146">
        <f>IFERROR(__xludf.DUMMYFUNCTION("""COMPUTED_VALUE"""),4.0)</f>
        <v>4</v>
      </c>
      <c r="U18" s="148" t="str">
        <f>IFERROR(__xludf.DUMMYFUNCTION("""COMPUTED_VALUE"""),"YKS4")</f>
        <v>YKS4</v>
      </c>
      <c r="V18" s="150" t="str">
        <f>IFERROR(__xludf.DUMMYFUNCTION("""COMPUTED_VALUE"""),"Yuga Kshetra")</f>
        <v>Yuga Kshetra</v>
      </c>
      <c r="W18" s="152" t="str">
        <f>IFERROR(__xludf.DUMMYFUNCTION("""COMPUTED_VALUE"""),"Northern Sacred Mountain")</f>
        <v>Northern Sacred Mountain</v>
      </c>
      <c r="X18" s="154">
        <f>IFERROR(__xludf.DUMMYFUNCTION("""COMPUTED_VALUE"""),21.0)</f>
        <v>21</v>
      </c>
      <c r="Y18" s="156">
        <f>IFERROR(__xludf.DUMMYFUNCTION("""COMPUTED_VALUE"""),47.32142857142857)</f>
        <v>47.32142857</v>
      </c>
      <c r="Z18" s="158">
        <f>IFERROR(__xludf.DUMMYFUNCTION("""COMPUTED_VALUE"""),504.1)</f>
        <v>504.1</v>
      </c>
      <c r="AA18" s="160" t="str">
        <f>IFERROR(__xludf.DUMMYFUNCTION("""COMPUTED_VALUE"""),"AP")</f>
        <v>AP</v>
      </c>
      <c r="AB18" s="162">
        <f>IFERROR(__xludf.DUMMYFUNCTION("""COMPUTED_VALUE"""),4.2)</f>
        <v>4.2</v>
      </c>
      <c r="AC18" s="160" t="str">
        <f>IFERROR(__xludf.DUMMYFUNCTION("""COMPUTED_VALUE"""),"％")</f>
        <v>％</v>
      </c>
      <c r="AD18" s="154">
        <f>IFERROR(__xludf.DUMMYFUNCTION("""COMPUTED_VALUE"""),9710.0)</f>
        <v>9710</v>
      </c>
      <c r="AE18" s="100"/>
      <c r="AF18" s="98" t="str">
        <f>IFERROR(__xludf.DUMMYFUNCTION("""COMPUTED_VALUE"""),"")</f>
        <v/>
      </c>
    </row>
    <row r="19" ht="16.5" customHeight="1">
      <c r="A19" s="166"/>
      <c r="B19" s="269"/>
      <c r="C19" s="168"/>
      <c r="D19" s="169">
        <f>IFERROR(__xludf.DUMMYFUNCTION("""COMPUTED_VALUE"""),5.0)</f>
        <v>5</v>
      </c>
      <c r="E19" s="170" t="str">
        <f>IFERROR(__xludf.DUMMYFUNCTION("""COMPUTED_VALUE"""),"AGT8")</f>
        <v>AGT8</v>
      </c>
      <c r="F19" s="51" t="str">
        <f>IFERROR(__xludf.DUMMYFUNCTION("""COMPUTED_VALUE"""),"Agartha")</f>
        <v>Agartha</v>
      </c>
      <c r="G19" s="171" t="str">
        <f>IFERROR(__xludf.DUMMYFUNCTION("""COMPUTED_VALUE"""),"Foothills Jungle")</f>
        <v>Foothills Jungle</v>
      </c>
      <c r="H19" s="172">
        <f>IFERROR(__xludf.DUMMYFUNCTION("""COMPUTED_VALUE"""),21.0)</f>
        <v>21</v>
      </c>
      <c r="I19" s="173">
        <f>IFERROR(__xludf.DUMMYFUNCTION("""COMPUTED_VALUE"""),48.51190476190476)</f>
        <v>48.51190476</v>
      </c>
      <c r="J19" s="174">
        <f>IFERROR(__xludf.DUMMYFUNCTION("""COMPUTED_VALUE"""),42.6)</f>
        <v>42.6</v>
      </c>
      <c r="K19" s="175" t="str">
        <f>IFERROR(__xludf.DUMMYFUNCTION("""COMPUTED_VALUE"""),"AP")</f>
        <v>AP</v>
      </c>
      <c r="L19" s="176">
        <f>IFERROR(__xludf.DUMMYFUNCTION("""COMPUTED_VALUE"""),49.3)</f>
        <v>49.3</v>
      </c>
      <c r="M19" s="175" t="str">
        <f>IFERROR(__xludf.DUMMYFUNCTION("""COMPUTED_VALUE"""),"％")</f>
        <v>％</v>
      </c>
      <c r="N19" s="172">
        <f>IFERROR(__xludf.DUMMYFUNCTION("""COMPUTED_VALUE"""),18196.0)</f>
        <v>18196</v>
      </c>
      <c r="O19" s="168"/>
      <c r="P19" s="177" t="str">
        <f>IFERROR(__xludf.DUMMYFUNCTION("""COMPUTED_VALUE"""),"")</f>
        <v/>
      </c>
      <c r="Q19" s="166"/>
      <c r="R19" s="269"/>
      <c r="S19" s="168"/>
      <c r="T19" s="169">
        <f>IFERROR(__xludf.DUMMYFUNCTION("""COMPUTED_VALUE"""),5.0)</f>
        <v>5</v>
      </c>
      <c r="U19" s="170" t="str">
        <f>IFERROR(__xludf.DUMMYFUNCTION("""COMPUTED_VALUE"""),"YKS6")</f>
        <v>YKS6</v>
      </c>
      <c r="V19" s="51" t="str">
        <f>IFERROR(__xludf.DUMMYFUNCTION("""COMPUTED_VALUE"""),"Yuga Kshetra")</f>
        <v>Yuga Kshetra</v>
      </c>
      <c r="W19" s="171" t="str">
        <f>IFERROR(__xludf.DUMMYFUNCTION("""COMPUTED_VALUE"""),"Deewar")</f>
        <v>Deewar</v>
      </c>
      <c r="X19" s="172">
        <f>IFERROR(__xludf.DUMMYFUNCTION("""COMPUTED_VALUE"""),21.0)</f>
        <v>21</v>
      </c>
      <c r="Y19" s="173">
        <f>IFERROR(__xludf.DUMMYFUNCTION("""COMPUTED_VALUE"""),48.51190476190476)</f>
        <v>48.51190476</v>
      </c>
      <c r="Z19" s="174">
        <f>IFERROR(__xludf.DUMMYFUNCTION("""COMPUTED_VALUE"""),507.7)</f>
        <v>507.7</v>
      </c>
      <c r="AA19" s="175" t="str">
        <f>IFERROR(__xludf.DUMMYFUNCTION("""COMPUTED_VALUE"""),"AP")</f>
        <v>AP</v>
      </c>
      <c r="AB19" s="176">
        <f>IFERROR(__xludf.DUMMYFUNCTION("""COMPUTED_VALUE"""),4.1)</f>
        <v>4.1</v>
      </c>
      <c r="AC19" s="175" t="str">
        <f>IFERROR(__xludf.DUMMYFUNCTION("""COMPUTED_VALUE"""),"％")</f>
        <v>％</v>
      </c>
      <c r="AD19" s="172">
        <f>IFERROR(__xludf.DUMMYFUNCTION("""COMPUTED_VALUE"""),56066.0)</f>
        <v>56066</v>
      </c>
      <c r="AE19" s="168"/>
      <c r="AF19" s="98" t="str">
        <f>IFERROR(__xludf.DUMMYFUNCTION("""COMPUTED_VALUE"""),"")</f>
        <v/>
      </c>
    </row>
    <row r="20" ht="16.5" customHeight="1">
      <c r="A20" s="61" t="str">
        <f>IFERROR(__xludf.DUMMYFUNCTION("""COMPUTED_VALUE"""),"")</f>
        <v/>
      </c>
      <c r="B20" s="179" t="str">
        <f>IFERROR(__xludf.DUMMYFUNCTION("""COMPUTED_VALUE"""),"A304")</f>
        <v>A304</v>
      </c>
      <c r="C20" s="180" t="str">
        <f>IFERROR(__xludf.DUMMYFUNCTION("""COMPUTED_VALUE"""),"Void's Dust")</f>
        <v>Void's Dust</v>
      </c>
      <c r="D20" s="181">
        <f>IFERROR(__xludf.DUMMYFUNCTION("""COMPUTED_VALUE"""),1.0)</f>
        <v>1</v>
      </c>
      <c r="E20" s="182" t="str">
        <f>IFERROR(__xludf.DUMMYFUNCTION("""COMPUTED_VALUE"""),"EPU12")</f>
        <v>EPU12</v>
      </c>
      <c r="F20" s="184" t="str">
        <f>IFERROR(__xludf.DUMMYFUNCTION("""COMPUTED_VALUE"""),"E Pluribus Unum")</f>
        <v>E Pluribus Unum</v>
      </c>
      <c r="G20" s="189" t="str">
        <f>IFERROR(__xludf.DUMMYFUNCTION("""COMPUTED_VALUE"""),"Charlotte")</f>
        <v>Charlotte</v>
      </c>
      <c r="H20" s="190">
        <f>IFERROR(__xludf.DUMMYFUNCTION("""COMPUTED_VALUE"""),20.0)</f>
        <v>20</v>
      </c>
      <c r="I20" s="191">
        <f>IFERROR(__xludf.DUMMYFUNCTION("""COMPUTED_VALUE"""),47.1875)</f>
        <v>47.1875</v>
      </c>
      <c r="J20" s="192">
        <f>IFERROR(__xludf.DUMMYFUNCTION("""COMPUTED_VALUE"""),31.1)</f>
        <v>31.1</v>
      </c>
      <c r="K20" s="194" t="str">
        <f>IFERROR(__xludf.DUMMYFUNCTION("""COMPUTED_VALUE"""),"AP")</f>
        <v>AP</v>
      </c>
      <c r="L20" s="192">
        <f>IFERROR(__xludf.DUMMYFUNCTION("""COMPUTED_VALUE"""),64.4)</f>
        <v>64.4</v>
      </c>
      <c r="M20" s="194" t="str">
        <f>IFERROR(__xludf.DUMMYFUNCTION("""COMPUTED_VALUE"""),"％")</f>
        <v>％</v>
      </c>
      <c r="N20" s="190">
        <f>IFERROR(__xludf.DUMMYFUNCTION("""COMPUTED_VALUE"""),153252.0)</f>
        <v>153252</v>
      </c>
      <c r="O20" s="197" t="str">
        <f>IFERROR(__xludf.DUMMYFUNCTION("""COMPUTED_VALUE"""),"Void's Dust")</f>
        <v>Void's Dust</v>
      </c>
      <c r="P20" s="93" t="str">
        <f>IFERROR(__xludf.DUMMYFUNCTION("""COMPUTED_VALUE"""),"")</f>
        <v/>
      </c>
      <c r="Q20" s="61" t="str">
        <f>IFERROR(__xludf.DUMMYFUNCTION("""COMPUTED_VALUE"""),"")</f>
        <v/>
      </c>
      <c r="R20" s="199" t="str">
        <f>IFERROR(__xludf.DUMMYFUNCTION("""COMPUTED_VALUE"""),"B104")</f>
        <v>B104</v>
      </c>
      <c r="S20" s="180" t="str">
        <f>IFERROR(__xludf.DUMMYFUNCTION("""COMPUTED_VALUE"""),"Secret Gem of Rider")</f>
        <v>Secret Gem of Rider</v>
      </c>
      <c r="T20" s="181">
        <f>IFERROR(__xludf.DUMMYFUNCTION("""COMPUTED_VALUE"""),1.0)</f>
        <v>1</v>
      </c>
      <c r="U20" s="182" t="str">
        <f>IFERROR(__xludf.DUMMYFUNCTION("""COMPUTED_VALUE"""),"TRF16")</f>
        <v>TRF16</v>
      </c>
      <c r="V20" s="184" t="str">
        <f>IFERROR(__xludf.DUMMYFUNCTION("""COMPUTED_VALUE"""),"Chaldea Gate (Thu)")</f>
        <v>Chaldea Gate (Thu)</v>
      </c>
      <c r="W20" s="184" t="str">
        <f>IFERROR(__xludf.DUMMYFUNCTION("""COMPUTED_VALUE"""),"THU Rider Training Ground- Exp")</f>
        <v>THU Rider Training Ground- Exp</v>
      </c>
      <c r="X20" s="190">
        <f>IFERROR(__xludf.DUMMYFUNCTION("""COMPUTED_VALUE"""),40.0)</f>
        <v>40</v>
      </c>
      <c r="Y20" s="191">
        <f>IFERROR(__xludf.DUMMYFUNCTION("""COMPUTED_VALUE"""),20.46875)</f>
        <v>20.46875</v>
      </c>
      <c r="Z20" s="192">
        <f>IFERROR(__xludf.DUMMYFUNCTION("""COMPUTED_VALUE"""),99.4)</f>
        <v>99.4</v>
      </c>
      <c r="AA20" s="194" t="str">
        <f>IFERROR(__xludf.DUMMYFUNCTION("""COMPUTED_VALUE"""),"AP")</f>
        <v>AP</v>
      </c>
      <c r="AB20" s="192">
        <f>IFERROR(__xludf.DUMMYFUNCTION("""COMPUTED_VALUE"""),40.2)</f>
        <v>40.2</v>
      </c>
      <c r="AC20" s="194" t="str">
        <f>IFERROR(__xludf.DUMMYFUNCTION("""COMPUTED_VALUE"""),"％")</f>
        <v>％</v>
      </c>
      <c r="AD20" s="190">
        <f>IFERROR(__xludf.DUMMYFUNCTION("""COMPUTED_VALUE"""),3420.0)</f>
        <v>3420</v>
      </c>
      <c r="AE20" s="197" t="str">
        <f>IFERROR(__xludf.DUMMYFUNCTION("""COMPUTED_VALUE"""),"Secret Gem of Rider")</f>
        <v>Secret Gem of Rider</v>
      </c>
      <c r="AF20" s="98" t="str">
        <f>IFERROR(__xludf.DUMMYFUNCTION("""COMPUTED_VALUE"""),"")</f>
        <v/>
      </c>
    </row>
    <row r="21" ht="16.5" customHeight="1">
      <c r="B21" s="203"/>
      <c r="C21" s="204"/>
      <c r="D21" s="205">
        <f>IFERROR(__xludf.DUMMYFUNCTION("""COMPUTED_VALUE"""),2.0)</f>
        <v>2</v>
      </c>
      <c r="E21" s="206" t="str">
        <f>IFERROR(__xludf.DUMMYFUNCTION("""COMPUTED_VALUE"""),"CML7")</f>
        <v>CML7</v>
      </c>
      <c r="F21" s="207" t="str">
        <f>IFERROR(__xludf.DUMMYFUNCTION("""COMPUTED_VALUE"""),"Camelot")</f>
        <v>Camelot</v>
      </c>
      <c r="G21" s="209" t="str">
        <f>IFERROR(__xludf.DUMMYFUNCTION("""COMPUTED_VALUE"""),"West Village Ruins")</f>
        <v>West Village Ruins</v>
      </c>
      <c r="H21" s="211">
        <f>IFERROR(__xludf.DUMMYFUNCTION("""COMPUTED_VALUE"""),20.0)</f>
        <v>20</v>
      </c>
      <c r="I21" s="213">
        <f>IFERROR(__xludf.DUMMYFUNCTION("""COMPUTED_VALUE"""),44.6875)</f>
        <v>44.6875</v>
      </c>
      <c r="J21" s="214">
        <f>IFERROR(__xludf.DUMMYFUNCTION("""COMPUTED_VALUE"""),41.8)</f>
        <v>41.8</v>
      </c>
      <c r="K21" s="215" t="str">
        <f>IFERROR(__xludf.DUMMYFUNCTION("""COMPUTED_VALUE"""),"AP")</f>
        <v>AP</v>
      </c>
      <c r="L21" s="214">
        <f>IFERROR(__xludf.DUMMYFUNCTION("""COMPUTED_VALUE"""),47.9)</f>
        <v>47.9</v>
      </c>
      <c r="M21" s="215" t="str">
        <f>IFERROR(__xludf.DUMMYFUNCTION("""COMPUTED_VALUE"""),"％")</f>
        <v>％</v>
      </c>
      <c r="N21" s="211">
        <f>IFERROR(__xludf.DUMMYFUNCTION("""COMPUTED_VALUE"""),731.0)</f>
        <v>731</v>
      </c>
      <c r="O21" s="217"/>
      <c r="P21" s="177" t="str">
        <f>IFERROR(__xludf.DUMMYFUNCTION("""COMPUTED_VALUE"""),"")</f>
        <v/>
      </c>
      <c r="R21" s="203"/>
      <c r="S21" s="204"/>
      <c r="T21" s="205">
        <f>IFERROR(__xludf.DUMMYFUNCTION("""COMPUTED_VALUE"""),2.0)</f>
        <v>2</v>
      </c>
      <c r="U21" s="206" t="str">
        <f>IFERROR(__xludf.DUMMYFUNCTION("""COMPUTED_VALUE"""),"TRF15")</f>
        <v>TRF15</v>
      </c>
      <c r="V21" s="207" t="str">
        <f>IFERROR(__xludf.DUMMYFUNCTION("""COMPUTED_VALUE"""),"Chaldea Gate (Thu)")</f>
        <v>Chaldea Gate (Thu)</v>
      </c>
      <c r="W21" s="207" t="str">
        <f>IFERROR(__xludf.DUMMYFUNCTION("""COMPUTED_VALUE"""),"THU Rider Training Ground- Adv")</f>
        <v>THU Rider Training Ground- Adv</v>
      </c>
      <c r="X21" s="211">
        <f>IFERROR(__xludf.DUMMYFUNCTION("""COMPUTED_VALUE"""),30.0)</f>
        <v>30</v>
      </c>
      <c r="Y21" s="213">
        <f>IFERROR(__xludf.DUMMYFUNCTION("""COMPUTED_VALUE"""),18.958333333333332)</f>
        <v>18.95833333</v>
      </c>
      <c r="Z21" s="214">
        <f>IFERROR(__xludf.DUMMYFUNCTION("""COMPUTED_VALUE"""),116.9)</f>
        <v>116.9</v>
      </c>
      <c r="AA21" s="215" t="str">
        <f>IFERROR(__xludf.DUMMYFUNCTION("""COMPUTED_VALUE"""),"AP")</f>
        <v>AP</v>
      </c>
      <c r="AB21" s="214">
        <f>IFERROR(__xludf.DUMMYFUNCTION("""COMPUTED_VALUE"""),25.7)</f>
        <v>25.7</v>
      </c>
      <c r="AC21" s="215" t="str">
        <f>IFERROR(__xludf.DUMMYFUNCTION("""COMPUTED_VALUE"""),"％")</f>
        <v>％</v>
      </c>
      <c r="AD21" s="211">
        <f>IFERROR(__xludf.DUMMYFUNCTION("""COMPUTED_VALUE"""),721.0)</f>
        <v>721</v>
      </c>
      <c r="AE21" s="217"/>
      <c r="AF21" s="98" t="str">
        <f>IFERROR(__xludf.DUMMYFUNCTION("""COMPUTED_VALUE"""),"")</f>
        <v/>
      </c>
    </row>
    <row r="22" ht="16.5" customHeight="1">
      <c r="B22" s="203"/>
      <c r="C22" s="204"/>
      <c r="D22" s="222">
        <f>IFERROR(__xludf.DUMMYFUNCTION("""COMPUTED_VALUE"""),3.0)</f>
        <v>3</v>
      </c>
      <c r="E22" s="223" t="str">
        <f>IFERROR(__xludf.DUMMYFUNCTION("""COMPUTED_VALUE"""),"EPU2")</f>
        <v>EPU2</v>
      </c>
      <c r="F22" s="224" t="str">
        <f>IFERROR(__xludf.DUMMYFUNCTION("""COMPUTED_VALUE"""),"E Pluribus Unum")</f>
        <v>E Pluribus Unum</v>
      </c>
      <c r="G22" s="226" t="str">
        <f>IFERROR(__xludf.DUMMYFUNCTION("""COMPUTED_VALUE"""),"Riverton")</f>
        <v>Riverton</v>
      </c>
      <c r="H22" s="228">
        <f>IFERROR(__xludf.DUMMYFUNCTION("""COMPUTED_VALUE"""),17.0)</f>
        <v>17</v>
      </c>
      <c r="I22" s="230">
        <f>IFERROR(__xludf.DUMMYFUNCTION("""COMPUTED_VALUE"""),42.279411764705884)</f>
        <v>42.27941176</v>
      </c>
      <c r="J22" s="231">
        <f>IFERROR(__xludf.DUMMYFUNCTION("""COMPUTED_VALUE"""),52.9)</f>
        <v>52.9</v>
      </c>
      <c r="K22" s="232" t="str">
        <f>IFERROR(__xludf.DUMMYFUNCTION("""COMPUTED_VALUE"""),"AP")</f>
        <v>AP</v>
      </c>
      <c r="L22" s="231">
        <f>IFERROR(__xludf.DUMMYFUNCTION("""COMPUTED_VALUE"""),32.1)</f>
        <v>32.1</v>
      </c>
      <c r="M22" s="232" t="str">
        <f>IFERROR(__xludf.DUMMYFUNCTION("""COMPUTED_VALUE"""),"％")</f>
        <v>％</v>
      </c>
      <c r="N22" s="228">
        <f>IFERROR(__xludf.DUMMYFUNCTION("""COMPUTED_VALUE"""),336.0)</f>
        <v>336</v>
      </c>
      <c r="O22" s="217"/>
      <c r="P22" s="177" t="str">
        <f>IFERROR(__xludf.DUMMYFUNCTION("""COMPUTED_VALUE"""),"")</f>
        <v/>
      </c>
      <c r="R22" s="203"/>
      <c r="S22" s="204"/>
      <c r="T22" s="222">
        <f>IFERROR(__xludf.DUMMYFUNCTION("""COMPUTED_VALUE"""),3.0)</f>
        <v>3</v>
      </c>
      <c r="U22" s="223" t="str">
        <f>IFERROR(__xludf.DUMMYFUNCTION("""COMPUTED_VALUE"""),"CML13")</f>
        <v>CML13</v>
      </c>
      <c r="V22" s="224" t="str">
        <f>IFERROR(__xludf.DUMMYFUNCTION("""COMPUTED_VALUE"""),"Camelot")</f>
        <v>Camelot</v>
      </c>
      <c r="W22" s="226" t="str">
        <f>IFERROR(__xludf.DUMMYFUNCTION("""COMPUTED_VALUE"""),"Land of the Void")</f>
        <v>Land of the Void</v>
      </c>
      <c r="X22" s="228">
        <f>IFERROR(__xludf.DUMMYFUNCTION("""COMPUTED_VALUE"""),22.0)</f>
        <v>22</v>
      </c>
      <c r="Y22" s="230">
        <f>IFERROR(__xludf.DUMMYFUNCTION("""COMPUTED_VALUE"""),49.71590909090909)</f>
        <v>49.71590909</v>
      </c>
      <c r="Z22" s="231">
        <f>IFERROR(__xludf.DUMMYFUNCTION("""COMPUTED_VALUE"""),337.9)</f>
        <v>337.9</v>
      </c>
      <c r="AA22" s="232" t="str">
        <f>IFERROR(__xludf.DUMMYFUNCTION("""COMPUTED_VALUE"""),"AP")</f>
        <v>AP</v>
      </c>
      <c r="AB22" s="231">
        <f>IFERROR(__xludf.DUMMYFUNCTION("""COMPUTED_VALUE"""),6.5)</f>
        <v>6.5</v>
      </c>
      <c r="AC22" s="232" t="str">
        <f>IFERROR(__xludf.DUMMYFUNCTION("""COMPUTED_VALUE"""),"％")</f>
        <v>％</v>
      </c>
      <c r="AD22" s="228">
        <f>IFERROR(__xludf.DUMMYFUNCTION("""COMPUTED_VALUE"""),4024.0)</f>
        <v>4024</v>
      </c>
      <c r="AE22" s="217"/>
      <c r="AF22" s="98" t="str">
        <f>IFERROR(__xludf.DUMMYFUNCTION("""COMPUTED_VALUE"""),"")</f>
        <v/>
      </c>
    </row>
    <row r="23" ht="16.5" customHeight="1">
      <c r="B23" s="203"/>
      <c r="C23" s="204"/>
      <c r="D23" s="238">
        <f>IFERROR(__xludf.DUMMYFUNCTION("""COMPUTED_VALUE"""),4.0)</f>
        <v>4</v>
      </c>
      <c r="E23" s="240" t="str">
        <f>IFERROR(__xludf.DUMMYFUNCTION("""COMPUTED_VALUE"""),"SEP7")</f>
        <v>SEP7</v>
      </c>
      <c r="F23" s="242" t="str">
        <f>IFERROR(__xludf.DUMMYFUNCTION("""COMPUTED_VALUE"""),"Septem")</f>
        <v>Septem</v>
      </c>
      <c r="G23" s="244" t="str">
        <f>IFERROR(__xludf.DUMMYFUNCTION("""COMPUTED_VALUE"""),"Massilia")</f>
        <v>Massilia</v>
      </c>
      <c r="H23" s="246">
        <f>IFERROR(__xludf.DUMMYFUNCTION("""COMPUTED_VALUE"""),9.0)</f>
        <v>9</v>
      </c>
      <c r="I23" s="248">
        <f>IFERROR(__xludf.DUMMYFUNCTION("""COMPUTED_VALUE"""),29.86111111111111)</f>
        <v>29.86111111</v>
      </c>
      <c r="J23" s="250">
        <f>IFERROR(__xludf.DUMMYFUNCTION("""COMPUTED_VALUE"""),57.4)</f>
        <v>57.4</v>
      </c>
      <c r="K23" s="252" t="str">
        <f>IFERROR(__xludf.DUMMYFUNCTION("""COMPUTED_VALUE"""),"AP")</f>
        <v>AP</v>
      </c>
      <c r="L23" s="250">
        <f>IFERROR(__xludf.DUMMYFUNCTION("""COMPUTED_VALUE"""),15.7)</f>
        <v>15.7</v>
      </c>
      <c r="M23" s="252" t="str">
        <f>IFERROR(__xludf.DUMMYFUNCTION("""COMPUTED_VALUE"""),"％")</f>
        <v>％</v>
      </c>
      <c r="N23" s="246">
        <f>IFERROR(__xludf.DUMMYFUNCTION("""COMPUTED_VALUE"""),472.0)</f>
        <v>472</v>
      </c>
      <c r="O23" s="217"/>
      <c r="P23" s="93" t="str">
        <f>IFERROR(__xludf.DUMMYFUNCTION("""COMPUTED_VALUE"""),"")</f>
        <v/>
      </c>
      <c r="R23" s="203"/>
      <c r="S23" s="204"/>
      <c r="T23" s="238">
        <f>IFERROR(__xludf.DUMMYFUNCTION("""COMPUTED_VALUE"""),4.0)</f>
        <v>4</v>
      </c>
      <c r="U23" s="240" t="str">
        <f>IFERROR(__xludf.DUMMYFUNCTION("""COMPUTED_VALUE"""),"BBL12")</f>
        <v>BBL12</v>
      </c>
      <c r="V23" s="242" t="str">
        <f>IFERROR(__xludf.DUMMYFUNCTION("""COMPUTED_VALUE"""),"Babylonia")</f>
        <v>Babylonia</v>
      </c>
      <c r="W23" s="244" t="str">
        <f>IFERROR(__xludf.DUMMYFUNCTION("""COMPUTED_VALUE"""),"Nippur")</f>
        <v>Nippur</v>
      </c>
      <c r="X23" s="246">
        <f>IFERROR(__xludf.DUMMYFUNCTION("""COMPUTED_VALUE"""),21.0)</f>
        <v>21</v>
      </c>
      <c r="Y23" s="248">
        <f>IFERROR(__xludf.DUMMYFUNCTION("""COMPUTED_VALUE"""),50.892857142857146)</f>
        <v>50.89285714</v>
      </c>
      <c r="Z23" s="250">
        <f>IFERROR(__xludf.DUMMYFUNCTION("""COMPUTED_VALUE"""),600.3)</f>
        <v>600.3</v>
      </c>
      <c r="AA23" s="252" t="str">
        <f>IFERROR(__xludf.DUMMYFUNCTION("""COMPUTED_VALUE"""),"AP")</f>
        <v>AP</v>
      </c>
      <c r="AB23" s="250">
        <f>IFERROR(__xludf.DUMMYFUNCTION("""COMPUTED_VALUE"""),3.5)</f>
        <v>3.5</v>
      </c>
      <c r="AC23" s="252" t="str">
        <f>IFERROR(__xludf.DUMMYFUNCTION("""COMPUTED_VALUE"""),"％")</f>
        <v>％</v>
      </c>
      <c r="AD23" s="246">
        <f>IFERROR(__xludf.DUMMYFUNCTION("""COMPUTED_VALUE"""),24813.0)</f>
        <v>24813</v>
      </c>
      <c r="AE23" s="217"/>
      <c r="AF23" s="98" t="str">
        <f>IFERROR(__xludf.DUMMYFUNCTION("""COMPUTED_VALUE"""),"")</f>
        <v/>
      </c>
    </row>
    <row r="24" ht="16.5" customHeight="1">
      <c r="A24" s="166"/>
      <c r="B24" s="254"/>
      <c r="C24" s="255"/>
      <c r="D24" s="256">
        <f>IFERROR(__xludf.DUMMYFUNCTION("""COMPUTED_VALUE"""),5.0)</f>
        <v>5</v>
      </c>
      <c r="E24" s="257" t="str">
        <f>IFERROR(__xludf.DUMMYFUNCTION("""COMPUTED_VALUE"""),"AGT5")</f>
        <v>AGT5</v>
      </c>
      <c r="F24" s="42" t="str">
        <f>IFERROR(__xludf.DUMMYFUNCTION("""COMPUTED_VALUE"""),"Agartha")</f>
        <v>Agartha</v>
      </c>
      <c r="G24" s="258" t="str">
        <f>IFERROR(__xludf.DUMMYFUNCTION("""COMPUTED_VALUE"""),"Ys")</f>
        <v>Ys</v>
      </c>
      <c r="H24" s="259">
        <f>IFERROR(__xludf.DUMMYFUNCTION("""COMPUTED_VALUE"""),21.0)</f>
        <v>21</v>
      </c>
      <c r="I24" s="260">
        <f>IFERROR(__xludf.DUMMYFUNCTION("""COMPUTED_VALUE"""),47.32142857142857)</f>
        <v>47.32142857</v>
      </c>
      <c r="J24" s="261">
        <f>IFERROR(__xludf.DUMMYFUNCTION("""COMPUTED_VALUE"""),63.3)</f>
        <v>63.3</v>
      </c>
      <c r="K24" s="262" t="str">
        <f>IFERROR(__xludf.DUMMYFUNCTION("""COMPUTED_VALUE"""),"AP")</f>
        <v>AP</v>
      </c>
      <c r="L24" s="261">
        <f>IFERROR(__xludf.DUMMYFUNCTION("""COMPUTED_VALUE"""),33.2)</f>
        <v>33.2</v>
      </c>
      <c r="M24" s="262" t="str">
        <f>IFERROR(__xludf.DUMMYFUNCTION("""COMPUTED_VALUE"""),"％")</f>
        <v>％</v>
      </c>
      <c r="N24" s="259">
        <f>IFERROR(__xludf.DUMMYFUNCTION("""COMPUTED_VALUE"""),455.0)</f>
        <v>455</v>
      </c>
      <c r="O24" s="263"/>
      <c r="P24" s="93" t="str">
        <f>IFERROR(__xludf.DUMMYFUNCTION("""COMPUTED_VALUE"""),"")</f>
        <v/>
      </c>
      <c r="Q24" s="166"/>
      <c r="R24" s="254"/>
      <c r="S24" s="255"/>
      <c r="T24" s="256">
        <f>IFERROR(__xludf.DUMMYFUNCTION("""COMPUTED_VALUE"""),5.0)</f>
        <v>5</v>
      </c>
      <c r="U24" s="257" t="str">
        <f>IFERROR(__xludf.DUMMYFUNCTION("""COMPUTED_VALUE"""),"")</f>
        <v/>
      </c>
      <c r="V24" s="42" t="str">
        <f>IFERROR(__xludf.DUMMYFUNCTION("""COMPUTED_VALUE"""),"")</f>
        <v/>
      </c>
      <c r="W24" s="42" t="str">
        <f>IFERROR(__xludf.DUMMYFUNCTION("""COMPUTED_VALUE"""),"")</f>
        <v/>
      </c>
      <c r="X24" s="259" t="str">
        <f>IFERROR(__xludf.DUMMYFUNCTION("""COMPUTED_VALUE"""),"")</f>
        <v/>
      </c>
      <c r="Y24" s="260" t="str">
        <f>IFERROR(__xludf.DUMMYFUNCTION("""COMPUTED_VALUE"""),"")</f>
        <v/>
      </c>
      <c r="Z24" s="261" t="str">
        <f>IFERROR(__xludf.DUMMYFUNCTION("""COMPUTED_VALUE"""),"")</f>
        <v/>
      </c>
      <c r="AA24" s="262" t="str">
        <f>IFERROR(__xludf.DUMMYFUNCTION("""COMPUTED_VALUE"""),"AP")</f>
        <v>AP</v>
      </c>
      <c r="AB24" s="261" t="str">
        <f>IFERROR(__xludf.DUMMYFUNCTION("""COMPUTED_VALUE"""),"")</f>
        <v/>
      </c>
      <c r="AC24" s="262" t="str">
        <f>IFERROR(__xludf.DUMMYFUNCTION("""COMPUTED_VALUE"""),"％")</f>
        <v>％</v>
      </c>
      <c r="AD24" s="259" t="str">
        <f>IFERROR(__xludf.DUMMYFUNCTION("""COMPUTED_VALUE"""),"")</f>
        <v/>
      </c>
      <c r="AE24" s="263"/>
      <c r="AF24" s="98" t="str">
        <f>IFERROR(__xludf.DUMMYFUNCTION("""COMPUTED_VALUE"""),"")</f>
        <v/>
      </c>
    </row>
    <row r="25" ht="16.5" customHeight="1">
      <c r="A25" s="61" t="str">
        <f>IFERROR(__xludf.DUMMYFUNCTION("""COMPUTED_VALUE"""),"")</f>
        <v/>
      </c>
      <c r="B25" s="265" t="str">
        <f>IFERROR(__xludf.DUMMYFUNCTION("""COMPUTED_VALUE"""),"A305")</f>
        <v>A305</v>
      </c>
      <c r="C25" s="65" t="str">
        <f>IFERROR(__xludf.DUMMYFUNCTION("""COMPUTED_VALUE"""),"Fool's Chain")</f>
        <v>Fool's Chain</v>
      </c>
      <c r="D25" s="67">
        <f>IFERROR(__xludf.DUMMYFUNCTION("""COMPUTED_VALUE"""),1.0)</f>
        <v>1</v>
      </c>
      <c r="E25" s="69" t="str">
        <f>IFERROR(__xludf.DUMMYFUNCTION("""COMPUTED_VALUE"""),"CML3")</f>
        <v>CML3</v>
      </c>
      <c r="F25" s="71" t="str">
        <f>IFERROR(__xludf.DUMMYFUNCTION("""COMPUTED_VALUE"""),"Camelot")</f>
        <v>Camelot</v>
      </c>
      <c r="G25" s="78" t="str">
        <f>IFERROR(__xludf.DUMMYFUNCTION("""COMPUTED_VALUE"""),"Wastelands of Death")</f>
        <v>Wastelands of Death</v>
      </c>
      <c r="H25" s="80">
        <f>IFERROR(__xludf.DUMMYFUNCTION("""COMPUTED_VALUE"""),19.0)</f>
        <v>19</v>
      </c>
      <c r="I25" s="82">
        <f>IFERROR(__xludf.DUMMYFUNCTION("""COMPUTED_VALUE"""),45.723684210526315)</f>
        <v>45.72368421</v>
      </c>
      <c r="J25" s="84">
        <f>IFERROR(__xludf.DUMMYFUNCTION("""COMPUTED_VALUE"""),29.2)</f>
        <v>29.2</v>
      </c>
      <c r="K25" s="86" t="str">
        <f>IFERROR(__xludf.DUMMYFUNCTION("""COMPUTED_VALUE"""),"AP")</f>
        <v>AP</v>
      </c>
      <c r="L25" s="88">
        <f>IFERROR(__xludf.DUMMYFUNCTION("""COMPUTED_VALUE"""),65.1)</f>
        <v>65.1</v>
      </c>
      <c r="M25" s="86" t="str">
        <f>IFERROR(__xludf.DUMMYFUNCTION("""COMPUTED_VALUE"""),"％")</f>
        <v>％</v>
      </c>
      <c r="N25" s="80">
        <f>IFERROR(__xludf.DUMMYFUNCTION("""COMPUTED_VALUE"""),12986.0)</f>
        <v>12986</v>
      </c>
      <c r="O25" s="91" t="str">
        <f>IFERROR(__xludf.DUMMYFUNCTION("""COMPUTED_VALUE"""),"Fool's Chain")</f>
        <v>Fool's Chain</v>
      </c>
      <c r="P25" s="93" t="str">
        <f>IFERROR(__xludf.DUMMYFUNCTION("""COMPUTED_VALUE"""),"")</f>
        <v/>
      </c>
      <c r="Q25" s="61" t="str">
        <f>IFERROR(__xludf.DUMMYFUNCTION("""COMPUTED_VALUE"""),"")</f>
        <v/>
      </c>
      <c r="R25" s="267" t="str">
        <f>IFERROR(__xludf.DUMMYFUNCTION("""COMPUTED_VALUE"""),"B105")</f>
        <v>B105</v>
      </c>
      <c r="S25" s="65" t="str">
        <f>IFERROR(__xludf.DUMMYFUNCTION("""COMPUTED_VALUE"""),"Secret Gem of Caster")</f>
        <v>Secret Gem of Caster</v>
      </c>
      <c r="T25" s="67">
        <f>IFERROR(__xludf.DUMMYFUNCTION("""COMPUTED_VALUE"""),1.0)</f>
        <v>1</v>
      </c>
      <c r="U25" s="69" t="str">
        <f>IFERROR(__xludf.DUMMYFUNCTION("""COMPUTED_VALUE"""),"TRF20")</f>
        <v>TRF20</v>
      </c>
      <c r="V25" s="71" t="str">
        <f>IFERROR(__xludf.DUMMYFUNCTION("""COMPUTED_VALUE"""),"Chaldea Gate (Fri)")</f>
        <v>Chaldea Gate (Fri)</v>
      </c>
      <c r="W25" s="71" t="str">
        <f>IFERROR(__xludf.DUMMYFUNCTION("""COMPUTED_VALUE"""),"FRI Caster Training Ground- Exp")</f>
        <v>FRI Caster Training Ground- Exp</v>
      </c>
      <c r="X25" s="80">
        <f>IFERROR(__xludf.DUMMYFUNCTION("""COMPUTED_VALUE"""),40.0)</f>
        <v>40</v>
      </c>
      <c r="Y25" s="82">
        <f>IFERROR(__xludf.DUMMYFUNCTION("""COMPUTED_VALUE"""),20.46875)</f>
        <v>20.46875</v>
      </c>
      <c r="Z25" s="84">
        <f>IFERROR(__xludf.DUMMYFUNCTION("""COMPUTED_VALUE"""),52.7)</f>
        <v>52.7</v>
      </c>
      <c r="AA25" s="86" t="str">
        <f>IFERROR(__xludf.DUMMYFUNCTION("""COMPUTED_VALUE"""),"AP")</f>
        <v>AP</v>
      </c>
      <c r="AB25" s="88">
        <f>IFERROR(__xludf.DUMMYFUNCTION("""COMPUTED_VALUE"""),75.9)</f>
        <v>75.9</v>
      </c>
      <c r="AC25" s="86" t="str">
        <f>IFERROR(__xludf.DUMMYFUNCTION("""COMPUTED_VALUE"""),"％")</f>
        <v>％</v>
      </c>
      <c r="AD25" s="80">
        <f>IFERROR(__xludf.DUMMYFUNCTION("""COMPUTED_VALUE"""),10906.0)</f>
        <v>10906</v>
      </c>
      <c r="AE25" s="91" t="str">
        <f>IFERROR(__xludf.DUMMYFUNCTION("""COMPUTED_VALUE"""),"Secret Gem of Caster")</f>
        <v>Secret Gem of Caster</v>
      </c>
      <c r="AF25" s="98" t="str">
        <f>IFERROR(__xludf.DUMMYFUNCTION("""COMPUTED_VALUE"""),"")</f>
        <v/>
      </c>
    </row>
    <row r="26" ht="16.5" customHeight="1">
      <c r="B26" s="268"/>
      <c r="C26" s="100"/>
      <c r="D26" s="102">
        <f>IFERROR(__xludf.DUMMYFUNCTION("""COMPUTED_VALUE"""),2.0)</f>
        <v>2</v>
      </c>
      <c r="E26" s="103" t="str">
        <f>IFERROR(__xludf.DUMMYFUNCTION("""COMPUTED_VALUE"""),"CML14")</f>
        <v>CML14</v>
      </c>
      <c r="F26" s="104" t="str">
        <f>IFERROR(__xludf.DUMMYFUNCTION("""COMPUTED_VALUE"""),"Camelot")</f>
        <v>Camelot</v>
      </c>
      <c r="G26" s="108" t="str">
        <f>IFERROR(__xludf.DUMMYFUNCTION("""COMPUTED_VALUE"""),"Great Temple")</f>
        <v>Great Temple</v>
      </c>
      <c r="H26" s="109">
        <f>IFERROR(__xludf.DUMMYFUNCTION("""COMPUTED_VALUE"""),22.0)</f>
        <v>22</v>
      </c>
      <c r="I26" s="110">
        <f>IFERROR(__xludf.DUMMYFUNCTION("""COMPUTED_VALUE"""),50.85227272727273)</f>
        <v>50.85227273</v>
      </c>
      <c r="J26" s="112">
        <f>IFERROR(__xludf.DUMMYFUNCTION("""COMPUTED_VALUE"""),51.6)</f>
        <v>51.6</v>
      </c>
      <c r="K26" s="121" t="str">
        <f>IFERROR(__xludf.DUMMYFUNCTION("""COMPUTED_VALUE"""),"AP")</f>
        <v>AP</v>
      </c>
      <c r="L26" s="123">
        <f>IFERROR(__xludf.DUMMYFUNCTION("""COMPUTED_VALUE"""),42.6)</f>
        <v>42.6</v>
      </c>
      <c r="M26" s="121" t="str">
        <f>IFERROR(__xludf.DUMMYFUNCTION("""COMPUTED_VALUE"""),"％")</f>
        <v>％</v>
      </c>
      <c r="N26" s="109">
        <f>IFERROR(__xludf.DUMMYFUNCTION("""COMPUTED_VALUE"""),28645.0)</f>
        <v>28645</v>
      </c>
      <c r="O26" s="100"/>
      <c r="P26" s="93" t="str">
        <f>IFERROR(__xludf.DUMMYFUNCTION("""COMPUTED_VALUE"""),"")</f>
        <v/>
      </c>
      <c r="R26" s="268"/>
      <c r="S26" s="100"/>
      <c r="T26" s="102">
        <f>IFERROR(__xludf.DUMMYFUNCTION("""COMPUTED_VALUE"""),2.0)</f>
        <v>2</v>
      </c>
      <c r="U26" s="103" t="str">
        <f>IFERROR(__xludf.DUMMYFUNCTION("""COMPUTED_VALUE"""),"TRF19")</f>
        <v>TRF19</v>
      </c>
      <c r="V26" s="104" t="str">
        <f>IFERROR(__xludf.DUMMYFUNCTION("""COMPUTED_VALUE"""),"Chaldea Gate (Fri)")</f>
        <v>Chaldea Gate (Fri)</v>
      </c>
      <c r="W26" s="104" t="str">
        <f>IFERROR(__xludf.DUMMYFUNCTION("""COMPUTED_VALUE"""),"FRI Caster Training Ground- Adv")</f>
        <v>FRI Caster Training Ground- Adv</v>
      </c>
      <c r="X26" s="109">
        <f>IFERROR(__xludf.DUMMYFUNCTION("""COMPUTED_VALUE"""),30.0)</f>
        <v>30</v>
      </c>
      <c r="Y26" s="110">
        <f>IFERROR(__xludf.DUMMYFUNCTION("""COMPUTED_VALUE"""),18.958333333333332)</f>
        <v>18.95833333</v>
      </c>
      <c r="Z26" s="112">
        <f>IFERROR(__xludf.DUMMYFUNCTION("""COMPUTED_VALUE"""),133.1)</f>
        <v>133.1</v>
      </c>
      <c r="AA26" s="121" t="str">
        <f>IFERROR(__xludf.DUMMYFUNCTION("""COMPUTED_VALUE"""),"AP")</f>
        <v>AP</v>
      </c>
      <c r="AB26" s="123">
        <f>IFERROR(__xludf.DUMMYFUNCTION("""COMPUTED_VALUE"""),22.5)</f>
        <v>22.5</v>
      </c>
      <c r="AC26" s="121" t="str">
        <f>IFERROR(__xludf.DUMMYFUNCTION("""COMPUTED_VALUE"""),"％")</f>
        <v>％</v>
      </c>
      <c r="AD26" s="109">
        <f>IFERROR(__xludf.DUMMYFUNCTION("""COMPUTED_VALUE"""),1241.0)</f>
        <v>1241</v>
      </c>
      <c r="AE26" s="100"/>
      <c r="AF26" s="98" t="str">
        <f>IFERROR(__xludf.DUMMYFUNCTION("""COMPUTED_VALUE"""),"")</f>
        <v/>
      </c>
    </row>
    <row r="27" ht="16.5" customHeight="1">
      <c r="B27" s="268"/>
      <c r="C27" s="100"/>
      <c r="D27" s="130">
        <f>IFERROR(__xludf.DUMMYFUNCTION("""COMPUTED_VALUE"""),3.0)</f>
        <v>3</v>
      </c>
      <c r="E27" s="132" t="str">
        <f>IFERROR(__xludf.DUMMYFUNCTION("""COMPUTED_VALUE"""),"SLM6")</f>
        <v>SLM6</v>
      </c>
      <c r="F27" s="133" t="str">
        <f>IFERROR(__xludf.DUMMYFUNCTION("""COMPUTED_VALUE"""),"Salem")</f>
        <v>Salem</v>
      </c>
      <c r="G27" s="135" t="str">
        <f>IFERROR(__xludf.DUMMYFUNCTION("""COMPUTED_VALUE"""),"Suburb Mansion")</f>
        <v>Suburb Mansion</v>
      </c>
      <c r="H27" s="137">
        <f>IFERROR(__xludf.DUMMYFUNCTION("""COMPUTED_VALUE"""),21.0)</f>
        <v>21</v>
      </c>
      <c r="I27" s="139">
        <f>IFERROR(__xludf.DUMMYFUNCTION("""COMPUTED_VALUE"""),48.51190476190476)</f>
        <v>48.51190476</v>
      </c>
      <c r="J27" s="141">
        <f>IFERROR(__xludf.DUMMYFUNCTION("""COMPUTED_VALUE"""),51.8)</f>
        <v>51.8</v>
      </c>
      <c r="K27" s="143" t="str">
        <f>IFERROR(__xludf.DUMMYFUNCTION("""COMPUTED_VALUE"""),"AP")</f>
        <v>AP</v>
      </c>
      <c r="L27" s="145">
        <f>IFERROR(__xludf.DUMMYFUNCTION("""COMPUTED_VALUE"""),40.5)</f>
        <v>40.5</v>
      </c>
      <c r="M27" s="143" t="str">
        <f>IFERROR(__xludf.DUMMYFUNCTION("""COMPUTED_VALUE"""),"％")</f>
        <v>％</v>
      </c>
      <c r="N27" s="137">
        <f>IFERROR(__xludf.DUMMYFUNCTION("""COMPUTED_VALUE"""),16357.0)</f>
        <v>16357</v>
      </c>
      <c r="O27" s="100"/>
      <c r="P27" s="93" t="str">
        <f>IFERROR(__xludf.DUMMYFUNCTION("""COMPUTED_VALUE"""),"")</f>
        <v/>
      </c>
      <c r="R27" s="268"/>
      <c r="S27" s="100"/>
      <c r="T27" s="130">
        <f>IFERROR(__xludf.DUMMYFUNCTION("""COMPUTED_VALUE"""),3.0)</f>
        <v>3</v>
      </c>
      <c r="U27" s="132" t="str">
        <f>IFERROR(__xludf.DUMMYFUNCTION("""COMPUTED_VALUE"""),"CML14")</f>
        <v>CML14</v>
      </c>
      <c r="V27" s="133" t="str">
        <f>IFERROR(__xludf.DUMMYFUNCTION("""COMPUTED_VALUE"""),"Camelot")</f>
        <v>Camelot</v>
      </c>
      <c r="W27" s="135" t="str">
        <f>IFERROR(__xludf.DUMMYFUNCTION("""COMPUTED_VALUE"""),"Great Temple")</f>
        <v>Great Temple</v>
      </c>
      <c r="X27" s="137">
        <f>IFERROR(__xludf.DUMMYFUNCTION("""COMPUTED_VALUE"""),22.0)</f>
        <v>22</v>
      </c>
      <c r="Y27" s="139">
        <f>IFERROR(__xludf.DUMMYFUNCTION("""COMPUTED_VALUE"""),50.85227272727273)</f>
        <v>50.85227273</v>
      </c>
      <c r="Z27" s="141">
        <f>IFERROR(__xludf.DUMMYFUNCTION("""COMPUTED_VALUE"""),365.7)</f>
        <v>365.7</v>
      </c>
      <c r="AA27" s="143" t="str">
        <f>IFERROR(__xludf.DUMMYFUNCTION("""COMPUTED_VALUE"""),"AP")</f>
        <v>AP</v>
      </c>
      <c r="AB27" s="145">
        <f>IFERROR(__xludf.DUMMYFUNCTION("""COMPUTED_VALUE"""),6.0)</f>
        <v>6</v>
      </c>
      <c r="AC27" s="143" t="str">
        <f>IFERROR(__xludf.DUMMYFUNCTION("""COMPUTED_VALUE"""),"％")</f>
        <v>％</v>
      </c>
      <c r="AD27" s="137">
        <f>IFERROR(__xludf.DUMMYFUNCTION("""COMPUTED_VALUE"""),28645.0)</f>
        <v>28645</v>
      </c>
      <c r="AE27" s="100"/>
      <c r="AF27" s="98" t="str">
        <f>IFERROR(__xludf.DUMMYFUNCTION("""COMPUTED_VALUE"""),"")</f>
        <v/>
      </c>
    </row>
    <row r="28" ht="16.5" customHeight="1">
      <c r="B28" s="268"/>
      <c r="C28" s="100"/>
      <c r="D28" s="146">
        <f>IFERROR(__xludf.DUMMYFUNCTION("""COMPUTED_VALUE"""),4.0)</f>
        <v>4</v>
      </c>
      <c r="E28" s="148" t="str">
        <f>IFERROR(__xludf.DUMMYFUNCTION("""COMPUTED_VALUE"""),"SLM4")</f>
        <v>SLM4</v>
      </c>
      <c r="F28" s="150" t="str">
        <f>IFERROR(__xludf.DUMMYFUNCTION("""COMPUTED_VALUE"""),"Salem")</f>
        <v>Salem</v>
      </c>
      <c r="G28" s="152" t="str">
        <f>IFERROR(__xludf.DUMMYFUNCTION("""COMPUTED_VALUE"""),"Quay")</f>
        <v>Quay</v>
      </c>
      <c r="H28" s="154">
        <f>IFERROR(__xludf.DUMMYFUNCTION("""COMPUTED_VALUE"""),21.0)</f>
        <v>21</v>
      </c>
      <c r="I28" s="156">
        <f>IFERROR(__xludf.DUMMYFUNCTION("""COMPUTED_VALUE"""),47.32142857142857)</f>
        <v>47.32142857</v>
      </c>
      <c r="J28" s="158">
        <f>IFERROR(__xludf.DUMMYFUNCTION("""COMPUTED_VALUE"""),52.6)</f>
        <v>52.6</v>
      </c>
      <c r="K28" s="160" t="str">
        <f>IFERROR(__xludf.DUMMYFUNCTION("""COMPUTED_VALUE"""),"AP")</f>
        <v>AP</v>
      </c>
      <c r="L28" s="162">
        <f>IFERROR(__xludf.DUMMYFUNCTION("""COMPUTED_VALUE"""),39.9)</f>
        <v>39.9</v>
      </c>
      <c r="M28" s="160" t="str">
        <f>IFERROR(__xludf.DUMMYFUNCTION("""COMPUTED_VALUE"""),"％")</f>
        <v>％</v>
      </c>
      <c r="N28" s="154">
        <f>IFERROR(__xludf.DUMMYFUNCTION("""COMPUTED_VALUE"""),25430.0)</f>
        <v>25430</v>
      </c>
      <c r="O28" s="100"/>
      <c r="P28" s="93" t="str">
        <f>IFERROR(__xludf.DUMMYFUNCTION("""COMPUTED_VALUE"""),"")</f>
        <v/>
      </c>
      <c r="R28" s="268"/>
      <c r="S28" s="100"/>
      <c r="T28" s="146">
        <f>IFERROR(__xludf.DUMMYFUNCTION("""COMPUTED_VALUE"""),4.0)</f>
        <v>4</v>
      </c>
      <c r="U28" s="148" t="str">
        <f>IFERROR(__xludf.DUMMYFUNCTION("""COMPUTED_VALUE"""),"SLM2")</f>
        <v>SLM2</v>
      </c>
      <c r="V28" s="150" t="str">
        <f>IFERROR(__xludf.DUMMYFUNCTION("""COMPUTED_VALUE"""),"Salem")</f>
        <v>Salem</v>
      </c>
      <c r="W28" s="152" t="str">
        <f>IFERROR(__xludf.DUMMYFUNCTION("""COMPUTED_VALUE"""),"Carter House")</f>
        <v>Carter House</v>
      </c>
      <c r="X28" s="154">
        <f>IFERROR(__xludf.DUMMYFUNCTION("""COMPUTED_VALUE"""),20.0)</f>
        <v>20</v>
      </c>
      <c r="Y28" s="156">
        <f>IFERROR(__xludf.DUMMYFUNCTION("""COMPUTED_VALUE"""),48.4375)</f>
        <v>48.4375</v>
      </c>
      <c r="Z28" s="158">
        <f>IFERROR(__xludf.DUMMYFUNCTION("""COMPUTED_VALUE"""),438.1)</f>
        <v>438.1</v>
      </c>
      <c r="AA28" s="160" t="str">
        <f>IFERROR(__xludf.DUMMYFUNCTION("""COMPUTED_VALUE"""),"AP")</f>
        <v>AP</v>
      </c>
      <c r="AB28" s="162">
        <f>IFERROR(__xludf.DUMMYFUNCTION("""COMPUTED_VALUE"""),4.6)</f>
        <v>4.6</v>
      </c>
      <c r="AC28" s="160" t="str">
        <f>IFERROR(__xludf.DUMMYFUNCTION("""COMPUTED_VALUE"""),"％")</f>
        <v>％</v>
      </c>
      <c r="AD28" s="154">
        <f>IFERROR(__xludf.DUMMYFUNCTION("""COMPUTED_VALUE"""),84431.0)</f>
        <v>84431</v>
      </c>
      <c r="AE28" s="100"/>
      <c r="AF28" s="98" t="str">
        <f>IFERROR(__xludf.DUMMYFUNCTION("""COMPUTED_VALUE"""),"")</f>
        <v/>
      </c>
    </row>
    <row r="29" ht="16.5" customHeight="1">
      <c r="A29" s="166"/>
      <c r="B29" s="269"/>
      <c r="C29" s="168"/>
      <c r="D29" s="169">
        <f>IFERROR(__xludf.DUMMYFUNCTION("""COMPUTED_VALUE"""),5.0)</f>
        <v>5</v>
      </c>
      <c r="E29" s="170" t="str">
        <f>IFERROR(__xludf.DUMMYFUNCTION("""COMPUTED_VALUE"""),"AGT6")</f>
        <v>AGT6</v>
      </c>
      <c r="F29" s="51" t="str">
        <f>IFERROR(__xludf.DUMMYFUNCTION("""COMPUTED_VALUE"""),"Agartha")</f>
        <v>Agartha</v>
      </c>
      <c r="G29" s="171" t="str">
        <f>IFERROR(__xludf.DUMMYFUNCTION("""COMPUTED_VALUE"""),"Northern Cliffs")</f>
        <v>Northern Cliffs</v>
      </c>
      <c r="H29" s="172">
        <f>IFERROR(__xludf.DUMMYFUNCTION("""COMPUTED_VALUE"""),21.0)</f>
        <v>21</v>
      </c>
      <c r="I29" s="173">
        <f>IFERROR(__xludf.DUMMYFUNCTION("""COMPUTED_VALUE"""),47.32142857142857)</f>
        <v>47.32142857</v>
      </c>
      <c r="J29" s="174">
        <f>IFERROR(__xludf.DUMMYFUNCTION("""COMPUTED_VALUE"""),53.3)</f>
        <v>53.3</v>
      </c>
      <c r="K29" s="175" t="str">
        <f>IFERROR(__xludf.DUMMYFUNCTION("""COMPUTED_VALUE"""),"AP")</f>
        <v>AP</v>
      </c>
      <c r="L29" s="176">
        <f>IFERROR(__xludf.DUMMYFUNCTION("""COMPUTED_VALUE"""),39.4)</f>
        <v>39.4</v>
      </c>
      <c r="M29" s="175" t="str">
        <f>IFERROR(__xludf.DUMMYFUNCTION("""COMPUTED_VALUE"""),"％")</f>
        <v>％</v>
      </c>
      <c r="N29" s="172">
        <f>IFERROR(__xludf.DUMMYFUNCTION("""COMPUTED_VALUE"""),2040.0)</f>
        <v>2040</v>
      </c>
      <c r="O29" s="168"/>
      <c r="P29" s="93" t="str">
        <f>IFERROR(__xludf.DUMMYFUNCTION("""COMPUTED_VALUE"""),"")</f>
        <v/>
      </c>
      <c r="Q29" s="166"/>
      <c r="R29" s="269"/>
      <c r="S29" s="168"/>
      <c r="T29" s="169">
        <f>IFERROR(__xludf.DUMMYFUNCTION("""COMPUTED_VALUE"""),5.0)</f>
        <v>5</v>
      </c>
      <c r="U29" s="170" t="str">
        <f>IFERROR(__xludf.DUMMYFUNCTION("""COMPUTED_VALUE"""),"SJK9")</f>
        <v>SJK9</v>
      </c>
      <c r="V29" s="51" t="str">
        <f>IFERROR(__xludf.DUMMYFUNCTION("""COMPUTED_VALUE"""),"Shinjuku")</f>
        <v>Shinjuku</v>
      </c>
      <c r="W29" s="171" t="str">
        <f>IFERROR(__xludf.DUMMYFUNCTION("""COMPUTED_VALUE"""),"Shinjuku Gyoen")</f>
        <v>Shinjuku Gyoen</v>
      </c>
      <c r="X29" s="172">
        <f>IFERROR(__xludf.DUMMYFUNCTION("""COMPUTED_VALUE"""),21.0)</f>
        <v>21</v>
      </c>
      <c r="Y29" s="173">
        <f>IFERROR(__xludf.DUMMYFUNCTION("""COMPUTED_VALUE"""),50.892857142857146)</f>
        <v>50.89285714</v>
      </c>
      <c r="Z29" s="174">
        <f>IFERROR(__xludf.DUMMYFUNCTION("""COMPUTED_VALUE"""),460.1)</f>
        <v>460.1</v>
      </c>
      <c r="AA29" s="175" t="str">
        <f>IFERROR(__xludf.DUMMYFUNCTION("""COMPUTED_VALUE"""),"AP")</f>
        <v>AP</v>
      </c>
      <c r="AB29" s="176">
        <f>IFERROR(__xludf.DUMMYFUNCTION("""COMPUTED_VALUE"""),4.599999999)</f>
        <v>4.599999999</v>
      </c>
      <c r="AC29" s="175" t="str">
        <f>IFERROR(__xludf.DUMMYFUNCTION("""COMPUTED_VALUE"""),"％")</f>
        <v>％</v>
      </c>
      <c r="AD29" s="172">
        <f>IFERROR(__xludf.DUMMYFUNCTION("""COMPUTED_VALUE"""),42877.0)</f>
        <v>42877</v>
      </c>
      <c r="AE29" s="168"/>
      <c r="AF29" s="98" t="str">
        <f>IFERROR(__xludf.DUMMYFUNCTION("""COMPUTED_VALUE"""),"")</f>
        <v/>
      </c>
    </row>
    <row r="30" ht="16.5" customHeight="1">
      <c r="A30" s="61" t="str">
        <f>IFERROR(__xludf.DUMMYFUNCTION("""COMPUTED_VALUE"""),"")</f>
        <v/>
      </c>
      <c r="B30" s="179" t="str">
        <f>IFERROR(__xludf.DUMMYFUNCTION("""COMPUTED_VALUE"""),"A306")</f>
        <v>A306</v>
      </c>
      <c r="C30" s="197" t="str">
        <f>IFERROR(__xludf.DUMMYFUNCTION("""COMPUTED_VALUE"""),"Deadly Poisonous Needle")</f>
        <v>Deadly Poisonous Needle</v>
      </c>
      <c r="D30" s="181">
        <f>IFERROR(__xludf.DUMMYFUNCTION("""COMPUTED_VALUE"""),1.0)</f>
        <v>1</v>
      </c>
      <c r="E30" s="182" t="str">
        <f>IFERROR(__xludf.DUMMYFUNCTION("""COMPUTED_VALUE"""),"BBL9")</f>
        <v>BBL9</v>
      </c>
      <c r="F30" s="184" t="str">
        <f>IFERROR(__xludf.DUMMYFUNCTION("""COMPUTED_VALUE"""),"Babylonia")</f>
        <v>Babylonia</v>
      </c>
      <c r="G30" s="189" t="str">
        <f>IFERROR(__xludf.DUMMYFUNCTION("""COMPUTED_VALUE"""),"Field of Reeds")</f>
        <v>Field of Reeds</v>
      </c>
      <c r="H30" s="190">
        <f>IFERROR(__xludf.DUMMYFUNCTION("""COMPUTED_VALUE"""),21.0)</f>
        <v>21</v>
      </c>
      <c r="I30" s="191">
        <f>IFERROR(__xludf.DUMMYFUNCTION("""COMPUTED_VALUE"""),48.51190476190476)</f>
        <v>48.51190476</v>
      </c>
      <c r="J30" s="192">
        <f>IFERROR(__xludf.DUMMYFUNCTION("""COMPUTED_VALUE"""),33.6)</f>
        <v>33.6</v>
      </c>
      <c r="K30" s="194" t="str">
        <f>IFERROR(__xludf.DUMMYFUNCTION("""COMPUTED_VALUE"""),"AP")</f>
        <v>AP</v>
      </c>
      <c r="L30" s="192">
        <f>IFERROR(__xludf.DUMMYFUNCTION("""COMPUTED_VALUE"""),62.5)</f>
        <v>62.5</v>
      </c>
      <c r="M30" s="194" t="str">
        <f>IFERROR(__xludf.DUMMYFUNCTION("""COMPUTED_VALUE"""),"％")</f>
        <v>％</v>
      </c>
      <c r="N30" s="190">
        <f>IFERROR(__xludf.DUMMYFUNCTION("""COMPUTED_VALUE"""),12442.0)</f>
        <v>12442</v>
      </c>
      <c r="O30" s="197" t="str">
        <f>IFERROR(__xludf.DUMMYFUNCTION("""COMPUTED_VALUE"""),"Deadly Poisonous Needle")</f>
        <v>Deadly Poisonous Needle</v>
      </c>
      <c r="P30" s="93" t="str">
        <f>IFERROR(__xludf.DUMMYFUNCTION("""COMPUTED_VALUE"""),"")</f>
        <v/>
      </c>
      <c r="Q30" s="61" t="str">
        <f>IFERROR(__xludf.DUMMYFUNCTION("""COMPUTED_VALUE"""),"")</f>
        <v/>
      </c>
      <c r="R30" s="199" t="str">
        <f>IFERROR(__xludf.DUMMYFUNCTION("""COMPUTED_VALUE"""),"B106")</f>
        <v>B106</v>
      </c>
      <c r="S30" s="197" t="str">
        <f>IFERROR(__xludf.DUMMYFUNCTION("""COMPUTED_VALUE"""),"Secret Gem of Assassin")</f>
        <v>Secret Gem of Assassin</v>
      </c>
      <c r="T30" s="181">
        <f>IFERROR(__xludf.DUMMYFUNCTION("""COMPUTED_VALUE"""),1.0)</f>
        <v>1</v>
      </c>
      <c r="U30" s="182" t="str">
        <f>IFERROR(__xludf.DUMMYFUNCTION("""COMPUTED_VALUE"""),"TRF24")</f>
        <v>TRF24</v>
      </c>
      <c r="V30" s="184" t="str">
        <f>IFERROR(__xludf.DUMMYFUNCTION("""COMPUTED_VALUE"""),"Chaldea Gate (Sat)")</f>
        <v>Chaldea Gate (Sat)</v>
      </c>
      <c r="W30" s="184" t="str">
        <f>IFERROR(__xludf.DUMMYFUNCTION("""COMPUTED_VALUE"""),"SAT Assassin Training Ground- Exp")</f>
        <v>SAT Assassin Training Ground- Exp</v>
      </c>
      <c r="X30" s="190">
        <f>IFERROR(__xludf.DUMMYFUNCTION("""COMPUTED_VALUE"""),40.0)</f>
        <v>40</v>
      </c>
      <c r="Y30" s="191">
        <f>IFERROR(__xludf.DUMMYFUNCTION("""COMPUTED_VALUE"""),20.46875)</f>
        <v>20.46875</v>
      </c>
      <c r="Z30" s="192">
        <f>IFERROR(__xludf.DUMMYFUNCTION("""COMPUTED_VALUE"""),158.1)</f>
        <v>158.1</v>
      </c>
      <c r="AA30" s="194" t="str">
        <f>IFERROR(__xludf.DUMMYFUNCTION("""COMPUTED_VALUE"""),"AP")</f>
        <v>AP</v>
      </c>
      <c r="AB30" s="192">
        <f>IFERROR(__xludf.DUMMYFUNCTION("""COMPUTED_VALUE"""),25.3)</f>
        <v>25.3</v>
      </c>
      <c r="AC30" s="194" t="str">
        <f>IFERROR(__xludf.DUMMYFUNCTION("""COMPUTED_VALUE"""),"％")</f>
        <v>％</v>
      </c>
      <c r="AD30" s="190">
        <f>IFERROR(__xludf.DUMMYFUNCTION("""COMPUTED_VALUE"""),6919.0)</f>
        <v>6919</v>
      </c>
      <c r="AE30" s="197" t="str">
        <f>IFERROR(__xludf.DUMMYFUNCTION("""COMPUTED_VALUE"""),"Secret Gem of Assassin")</f>
        <v>Secret Gem of Assassin</v>
      </c>
      <c r="AF30" s="98" t="str">
        <f>IFERROR(__xludf.DUMMYFUNCTION("""COMPUTED_VALUE"""),"")</f>
        <v/>
      </c>
    </row>
    <row r="31" ht="16.5" customHeight="1">
      <c r="B31" s="203"/>
      <c r="C31" s="217"/>
      <c r="D31" s="205">
        <f>IFERROR(__xludf.DUMMYFUNCTION("""COMPUTED_VALUE"""),2.0)</f>
        <v>2</v>
      </c>
      <c r="E31" s="206" t="str">
        <f>IFERROR(__xludf.DUMMYFUNCTION("""COMPUTED_VALUE"""),"BBL4")</f>
        <v>BBL4</v>
      </c>
      <c r="F31" s="207" t="str">
        <f>IFERROR(__xludf.DUMMYFUNCTION("""COMPUTED_VALUE"""),"Babylonia")</f>
        <v>Babylonia</v>
      </c>
      <c r="G31" s="209" t="str">
        <f>IFERROR(__xludf.DUMMYFUNCTION("""COMPUTED_VALUE"""),"Plateau")</f>
        <v>Plateau</v>
      </c>
      <c r="H31" s="211">
        <f>IFERROR(__xludf.DUMMYFUNCTION("""COMPUTED_VALUE"""),20.0)</f>
        <v>20</v>
      </c>
      <c r="I31" s="213">
        <f>IFERROR(__xludf.DUMMYFUNCTION("""COMPUTED_VALUE"""),48.4375)</f>
        <v>48.4375</v>
      </c>
      <c r="J31" s="214">
        <f>IFERROR(__xludf.DUMMYFUNCTION("""COMPUTED_VALUE"""),40.6)</f>
        <v>40.6</v>
      </c>
      <c r="K31" s="215" t="str">
        <f>IFERROR(__xludf.DUMMYFUNCTION("""COMPUTED_VALUE"""),"AP")</f>
        <v>AP</v>
      </c>
      <c r="L31" s="214">
        <f>IFERROR(__xludf.DUMMYFUNCTION("""COMPUTED_VALUE"""),49.3)</f>
        <v>49.3</v>
      </c>
      <c r="M31" s="215" t="str">
        <f>IFERROR(__xludf.DUMMYFUNCTION("""COMPUTED_VALUE"""),"％")</f>
        <v>％</v>
      </c>
      <c r="N31" s="211">
        <f>IFERROR(__xludf.DUMMYFUNCTION("""COMPUTED_VALUE"""),6608.0)</f>
        <v>6608</v>
      </c>
      <c r="O31" s="217"/>
      <c r="P31" s="93" t="str">
        <f>IFERROR(__xludf.DUMMYFUNCTION("""COMPUTED_VALUE"""),"")</f>
        <v/>
      </c>
      <c r="R31" s="203"/>
      <c r="S31" s="217"/>
      <c r="T31" s="205">
        <f>IFERROR(__xludf.DUMMYFUNCTION("""COMPUTED_VALUE"""),2.0)</f>
        <v>2</v>
      </c>
      <c r="U31" s="206" t="str">
        <f>IFERROR(__xludf.DUMMYFUNCTION("""COMPUTED_VALUE"""),"TRF23")</f>
        <v>TRF23</v>
      </c>
      <c r="V31" s="207" t="str">
        <f>IFERROR(__xludf.DUMMYFUNCTION("""COMPUTED_VALUE"""),"Chaldea Gate (Sat)")</f>
        <v>Chaldea Gate (Sat)</v>
      </c>
      <c r="W31" s="207" t="str">
        <f>IFERROR(__xludf.DUMMYFUNCTION("""COMPUTED_VALUE"""),"SAT Assassin Training Ground- Adv")</f>
        <v>SAT Assassin Training Ground- Adv</v>
      </c>
      <c r="X31" s="211">
        <f>IFERROR(__xludf.DUMMYFUNCTION("""COMPUTED_VALUE"""),30.0)</f>
        <v>30</v>
      </c>
      <c r="Y31" s="213">
        <f>IFERROR(__xludf.DUMMYFUNCTION("""COMPUTED_VALUE"""),18.958333333333332)</f>
        <v>18.95833333</v>
      </c>
      <c r="Z31" s="214">
        <f>IFERROR(__xludf.DUMMYFUNCTION("""COMPUTED_VALUE"""),202.1)</f>
        <v>202.1</v>
      </c>
      <c r="AA31" s="215" t="str">
        <f>IFERROR(__xludf.DUMMYFUNCTION("""COMPUTED_VALUE"""),"AP")</f>
        <v>AP</v>
      </c>
      <c r="AB31" s="214">
        <f>IFERROR(__xludf.DUMMYFUNCTION("""COMPUTED_VALUE"""),14.8)</f>
        <v>14.8</v>
      </c>
      <c r="AC31" s="215" t="str">
        <f>IFERROR(__xludf.DUMMYFUNCTION("""COMPUTED_VALUE"""),"％")</f>
        <v>％</v>
      </c>
      <c r="AD31" s="211">
        <f>IFERROR(__xludf.DUMMYFUNCTION("""COMPUTED_VALUE"""),741.0)</f>
        <v>741</v>
      </c>
      <c r="AE31" s="217"/>
      <c r="AF31" s="98" t="str">
        <f>IFERROR(__xludf.DUMMYFUNCTION("""COMPUTED_VALUE"""),"")</f>
        <v/>
      </c>
    </row>
    <row r="32" ht="16.5" customHeight="1">
      <c r="B32" s="203"/>
      <c r="C32" s="217"/>
      <c r="D32" s="222">
        <f>IFERROR(__xludf.DUMMYFUNCTION("""COMPUTED_VALUE"""),3.0)</f>
        <v>3</v>
      </c>
      <c r="E32" s="223" t="str">
        <f>IFERROR(__xludf.DUMMYFUNCTION("""COMPUTED_VALUE"""),"ANA1")</f>
        <v>ANA1</v>
      </c>
      <c r="F32" s="224" t="str">
        <f>IFERROR(__xludf.DUMMYFUNCTION("""COMPUTED_VALUE"""),"Anastasia")</f>
        <v>Anastasia</v>
      </c>
      <c r="G32" s="226" t="str">
        <f>IFERROR(__xludf.DUMMYFUNCTION("""COMPUTED_VALUE"""),"Anchor Point")</f>
        <v>Anchor Point</v>
      </c>
      <c r="H32" s="228">
        <f>IFERROR(__xludf.DUMMYFUNCTION("""COMPUTED_VALUE"""),20.0)</f>
        <v>20</v>
      </c>
      <c r="I32" s="230">
        <f>IFERROR(__xludf.DUMMYFUNCTION("""COMPUTED_VALUE"""),48.4375)</f>
        <v>48.4375</v>
      </c>
      <c r="J32" s="231">
        <f>IFERROR(__xludf.DUMMYFUNCTION("""COMPUTED_VALUE"""),47.5)</f>
        <v>47.5</v>
      </c>
      <c r="K32" s="232" t="str">
        <f>IFERROR(__xludf.DUMMYFUNCTION("""COMPUTED_VALUE"""),"AP")</f>
        <v>AP</v>
      </c>
      <c r="L32" s="231">
        <f>IFERROR(__xludf.DUMMYFUNCTION("""COMPUTED_VALUE"""),42.1)</f>
        <v>42.1</v>
      </c>
      <c r="M32" s="232" t="str">
        <f>IFERROR(__xludf.DUMMYFUNCTION("""COMPUTED_VALUE"""),"％")</f>
        <v>％</v>
      </c>
      <c r="N32" s="228">
        <f>IFERROR(__xludf.DUMMYFUNCTION("""COMPUTED_VALUE"""),2205.0)</f>
        <v>2205</v>
      </c>
      <c r="O32" s="217"/>
      <c r="P32" s="177" t="str">
        <f>IFERROR(__xludf.DUMMYFUNCTION("""COMPUTED_VALUE"""),"")</f>
        <v/>
      </c>
      <c r="R32" s="203"/>
      <c r="S32" s="217"/>
      <c r="T32" s="222">
        <f>IFERROR(__xludf.DUMMYFUNCTION("""COMPUTED_VALUE"""),3.0)</f>
        <v>3</v>
      </c>
      <c r="U32" s="223" t="str">
        <f>IFERROR(__xludf.DUMMYFUNCTION("""COMPUTED_VALUE"""),"SMS9")</f>
        <v>SMS9</v>
      </c>
      <c r="V32" s="224" t="str">
        <f>IFERROR(__xludf.DUMMYFUNCTION("""COMPUTED_VALUE"""),"Shimosa")</f>
        <v>Shimosa</v>
      </c>
      <c r="W32" s="226" t="str">
        <f>IFERROR(__xludf.DUMMYFUNCTION("""COMPUTED_VALUE"""),"Rear Mountain (Trembling in Fear)")</f>
        <v>Rear Mountain (Trembling in Fear)</v>
      </c>
      <c r="X32" s="228">
        <f>IFERROR(__xludf.DUMMYFUNCTION("""COMPUTED_VALUE"""),21.0)</f>
        <v>21</v>
      </c>
      <c r="Y32" s="230">
        <f>IFERROR(__xludf.DUMMYFUNCTION("""COMPUTED_VALUE"""),50.892857142857146)</f>
        <v>50.89285714</v>
      </c>
      <c r="Z32" s="231">
        <f>IFERROR(__xludf.DUMMYFUNCTION("""COMPUTED_VALUE"""),499.3)</f>
        <v>499.3</v>
      </c>
      <c r="AA32" s="232" t="str">
        <f>IFERROR(__xludf.DUMMYFUNCTION("""COMPUTED_VALUE"""),"AP")</f>
        <v>AP</v>
      </c>
      <c r="AB32" s="231">
        <f>IFERROR(__xludf.DUMMYFUNCTION("""COMPUTED_VALUE"""),4.19999999)</f>
        <v>4.19999999</v>
      </c>
      <c r="AC32" s="232" t="str">
        <f>IFERROR(__xludf.DUMMYFUNCTION("""COMPUTED_VALUE"""),"％")</f>
        <v>％</v>
      </c>
      <c r="AD32" s="228">
        <f>IFERROR(__xludf.DUMMYFUNCTION("""COMPUTED_VALUE"""),18465.0)</f>
        <v>18465</v>
      </c>
      <c r="AE32" s="217"/>
      <c r="AF32" s="98" t="str">
        <f>IFERROR(__xludf.DUMMYFUNCTION("""COMPUTED_VALUE"""),"")</f>
        <v/>
      </c>
    </row>
    <row r="33" ht="16.5" customHeight="1">
      <c r="B33" s="203"/>
      <c r="C33" s="217"/>
      <c r="D33" s="238">
        <f>IFERROR(__xludf.DUMMYFUNCTION("""COMPUTED_VALUE"""),4.0)</f>
        <v>4</v>
      </c>
      <c r="E33" s="240" t="str">
        <f>IFERROR(__xludf.DUMMYFUNCTION("""COMPUTED_VALUE"""),"ANA3")</f>
        <v>ANA3</v>
      </c>
      <c r="F33" s="242" t="str">
        <f>IFERROR(__xludf.DUMMYFUNCTION("""COMPUTED_VALUE"""),"Anastasia")</f>
        <v>Anastasia</v>
      </c>
      <c r="G33" s="244" t="str">
        <f>IFERROR(__xludf.DUMMYFUNCTION("""COMPUTED_VALUE"""),"Icicles Grotto")</f>
        <v>Icicles Grotto</v>
      </c>
      <c r="H33" s="246">
        <f>IFERROR(__xludf.DUMMYFUNCTION("""COMPUTED_VALUE"""),20.0)</f>
        <v>20</v>
      </c>
      <c r="I33" s="248">
        <f>IFERROR(__xludf.DUMMYFUNCTION("""COMPUTED_VALUE"""),48.4375)</f>
        <v>48.4375</v>
      </c>
      <c r="J33" s="250">
        <f>IFERROR(__xludf.DUMMYFUNCTION("""COMPUTED_VALUE"""),49.3)</f>
        <v>49.3</v>
      </c>
      <c r="K33" s="252" t="str">
        <f>IFERROR(__xludf.DUMMYFUNCTION("""COMPUTED_VALUE"""),"AP")</f>
        <v>AP</v>
      </c>
      <c r="L33" s="250">
        <f>IFERROR(__xludf.DUMMYFUNCTION("""COMPUTED_VALUE"""),40.5)</f>
        <v>40.5</v>
      </c>
      <c r="M33" s="252" t="str">
        <f>IFERROR(__xludf.DUMMYFUNCTION("""COMPUTED_VALUE"""),"％")</f>
        <v>％</v>
      </c>
      <c r="N33" s="246">
        <f>IFERROR(__xludf.DUMMYFUNCTION("""COMPUTED_VALUE"""),42245.0)</f>
        <v>42245</v>
      </c>
      <c r="O33" s="217"/>
      <c r="P33" s="93" t="str">
        <f>IFERROR(__xludf.DUMMYFUNCTION("""COMPUTED_VALUE"""),"")</f>
        <v/>
      </c>
      <c r="R33" s="203"/>
      <c r="S33" s="217"/>
      <c r="T33" s="238">
        <f>IFERROR(__xludf.DUMMYFUNCTION("""COMPUTED_VALUE"""),4.0)</f>
        <v>4</v>
      </c>
      <c r="U33" s="240" t="str">
        <f>IFERROR(__xludf.DUMMYFUNCTION("""COMPUTED_VALUE"""),"ANA12")</f>
        <v>ANA12</v>
      </c>
      <c r="V33" s="242" t="str">
        <f>IFERROR(__xludf.DUMMYFUNCTION("""COMPUTED_VALUE"""),"Anastasia")</f>
        <v>Anastasia</v>
      </c>
      <c r="W33" s="244" t="str">
        <f>IFERROR(__xludf.DUMMYFUNCTION("""COMPUTED_VALUE"""),"Great Valley Stronghold")</f>
        <v>Great Valley Stronghold</v>
      </c>
      <c r="X33" s="246">
        <f>IFERROR(__xludf.DUMMYFUNCTION("""COMPUTED_VALUE"""),21.0)</f>
        <v>21</v>
      </c>
      <c r="Y33" s="248">
        <f>IFERROR(__xludf.DUMMYFUNCTION("""COMPUTED_VALUE"""),49.70238095238095)</f>
        <v>49.70238095</v>
      </c>
      <c r="Z33" s="250">
        <f>IFERROR(__xludf.DUMMYFUNCTION("""COMPUTED_VALUE"""),500.3)</f>
        <v>500.3</v>
      </c>
      <c r="AA33" s="252" t="str">
        <f>IFERROR(__xludf.DUMMYFUNCTION("""COMPUTED_VALUE"""),"AP")</f>
        <v>AP</v>
      </c>
      <c r="AB33" s="250">
        <f>IFERROR(__xludf.DUMMYFUNCTION("""COMPUTED_VALUE"""),4.2)</f>
        <v>4.2</v>
      </c>
      <c r="AC33" s="252" t="str">
        <f>IFERROR(__xludf.DUMMYFUNCTION("""COMPUTED_VALUE"""),"％")</f>
        <v>％</v>
      </c>
      <c r="AD33" s="246">
        <f>IFERROR(__xludf.DUMMYFUNCTION("""COMPUTED_VALUE"""),4585.0)</f>
        <v>4585</v>
      </c>
      <c r="AE33" s="217"/>
      <c r="AF33" s="98" t="str">
        <f>IFERROR(__xludf.DUMMYFUNCTION("""COMPUTED_VALUE"""),"")</f>
        <v/>
      </c>
    </row>
    <row r="34" ht="16.5" customHeight="1">
      <c r="A34" s="166"/>
      <c r="B34" s="254"/>
      <c r="C34" s="263"/>
      <c r="D34" s="256">
        <f>IFERROR(__xludf.DUMMYFUNCTION("""COMPUTED_VALUE"""),5.0)</f>
        <v>5</v>
      </c>
      <c r="E34" s="257" t="str">
        <f>IFERROR(__xludf.DUMMYFUNCTION("""COMPUTED_VALUE"""),"BBL11")</f>
        <v>BBL11</v>
      </c>
      <c r="F34" s="42" t="str">
        <f>IFERROR(__xludf.DUMMYFUNCTION("""COMPUTED_VALUE"""),"Babylonia")</f>
        <v>Babylonia</v>
      </c>
      <c r="G34" s="258" t="str">
        <f>IFERROR(__xludf.DUMMYFUNCTION("""COMPUTED_VALUE"""),"Northern Wall")</f>
        <v>Northern Wall</v>
      </c>
      <c r="H34" s="259">
        <f>IFERROR(__xludf.DUMMYFUNCTION("""COMPUTED_VALUE"""),21.0)</f>
        <v>21</v>
      </c>
      <c r="I34" s="260">
        <f>IFERROR(__xludf.DUMMYFUNCTION("""COMPUTED_VALUE"""),49.70238095238095)</f>
        <v>49.70238095</v>
      </c>
      <c r="J34" s="261">
        <f>IFERROR(__xludf.DUMMYFUNCTION("""COMPUTED_VALUE"""),49.6)</f>
        <v>49.6</v>
      </c>
      <c r="K34" s="262" t="str">
        <f>IFERROR(__xludf.DUMMYFUNCTION("""COMPUTED_VALUE"""),"AP")</f>
        <v>AP</v>
      </c>
      <c r="L34" s="261">
        <f>IFERROR(__xludf.DUMMYFUNCTION("""COMPUTED_VALUE"""),42.39999999)</f>
        <v>42.39999999</v>
      </c>
      <c r="M34" s="262" t="str">
        <f>IFERROR(__xludf.DUMMYFUNCTION("""COMPUTED_VALUE"""),"％")</f>
        <v>％</v>
      </c>
      <c r="N34" s="259">
        <f>IFERROR(__xludf.DUMMYFUNCTION("""COMPUTED_VALUE"""),2627.0)</f>
        <v>2627</v>
      </c>
      <c r="O34" s="263"/>
      <c r="P34" s="93" t="str">
        <f>IFERROR(__xludf.DUMMYFUNCTION("""COMPUTED_VALUE"""),"")</f>
        <v/>
      </c>
      <c r="Q34" s="166"/>
      <c r="R34" s="254"/>
      <c r="S34" s="263"/>
      <c r="T34" s="256">
        <f>IFERROR(__xludf.DUMMYFUNCTION("""COMPUTED_VALUE"""),5.0)</f>
        <v>5</v>
      </c>
      <c r="U34" s="257" t="str">
        <f>IFERROR(__xludf.DUMMYFUNCTION("""COMPUTED_VALUE"""),"LDN7")</f>
        <v>LDN7</v>
      </c>
      <c r="V34" s="42" t="str">
        <f>IFERROR(__xludf.DUMMYFUNCTION("""COMPUTED_VALUE"""),"London")</f>
        <v>London</v>
      </c>
      <c r="W34" s="258" t="str">
        <f>IFERROR(__xludf.DUMMYFUNCTION("""COMPUTED_VALUE"""),"Clerkenwell")</f>
        <v>Clerkenwell</v>
      </c>
      <c r="X34" s="259">
        <f>IFERROR(__xludf.DUMMYFUNCTION("""COMPUTED_VALUE"""),18.0)</f>
        <v>18</v>
      </c>
      <c r="Y34" s="260">
        <f>IFERROR(__xludf.DUMMYFUNCTION("""COMPUTED_VALUE"""),45.486111111111114)</f>
        <v>45.48611111</v>
      </c>
      <c r="Z34" s="261">
        <f>IFERROR(__xludf.DUMMYFUNCTION("""COMPUTED_VALUE"""),532.5)</f>
        <v>532.5</v>
      </c>
      <c r="AA34" s="262" t="str">
        <f>IFERROR(__xludf.DUMMYFUNCTION("""COMPUTED_VALUE"""),"AP")</f>
        <v>AP</v>
      </c>
      <c r="AB34" s="261">
        <f>IFERROR(__xludf.DUMMYFUNCTION("""COMPUTED_VALUE"""),3.4)</f>
        <v>3.4</v>
      </c>
      <c r="AC34" s="262" t="str">
        <f>IFERROR(__xludf.DUMMYFUNCTION("""COMPUTED_VALUE"""),"％")</f>
        <v>％</v>
      </c>
      <c r="AD34" s="259">
        <f>IFERROR(__xludf.DUMMYFUNCTION("""COMPUTED_VALUE"""),2415.0)</f>
        <v>2415</v>
      </c>
      <c r="AE34" s="263"/>
      <c r="AF34" s="98" t="str">
        <f>IFERROR(__xludf.DUMMYFUNCTION("""COMPUTED_VALUE"""),"")</f>
        <v/>
      </c>
    </row>
    <row r="35" ht="16.5" customHeight="1">
      <c r="A35" s="61" t="str">
        <f>IFERROR(__xludf.DUMMYFUNCTION("""COMPUTED_VALUE"""),"")</f>
        <v/>
      </c>
      <c r="B35" s="265" t="str">
        <f>IFERROR(__xludf.DUMMYFUNCTION("""COMPUTED_VALUE"""),"A307")</f>
        <v>A307</v>
      </c>
      <c r="C35" s="65" t="str">
        <f>IFERROR(__xludf.DUMMYFUNCTION("""COMPUTED_VALUE"""),"Mystic Spinal Fluid")</f>
        <v>Mystic Spinal Fluid</v>
      </c>
      <c r="D35" s="67">
        <f>IFERROR(__xludf.DUMMYFUNCTION("""COMPUTED_VALUE"""),1.0)</f>
        <v>1</v>
      </c>
      <c r="E35" s="69" t="str">
        <f>IFERROR(__xludf.DUMMYFUNCTION("""COMPUTED_VALUE"""),"SJK3")</f>
        <v>SJK3</v>
      </c>
      <c r="F35" s="71" t="str">
        <f>IFERROR(__xludf.DUMMYFUNCTION("""COMPUTED_VALUE"""),"Shinjuku")</f>
        <v>Shinjuku</v>
      </c>
      <c r="G35" s="78" t="str">
        <f>IFERROR(__xludf.DUMMYFUNCTION("""COMPUTED_VALUE"""),"Shinjuku Station")</f>
        <v>Shinjuku Station</v>
      </c>
      <c r="H35" s="80">
        <f>IFERROR(__xludf.DUMMYFUNCTION("""COMPUTED_VALUE"""),21.0)</f>
        <v>21</v>
      </c>
      <c r="I35" s="82">
        <f>IFERROR(__xludf.DUMMYFUNCTION("""COMPUTED_VALUE"""),47.32142857142857)</f>
        <v>47.32142857</v>
      </c>
      <c r="J35" s="84">
        <f>IFERROR(__xludf.DUMMYFUNCTION("""COMPUTED_VALUE"""),32.5)</f>
        <v>32.5</v>
      </c>
      <c r="K35" s="86" t="str">
        <f>IFERROR(__xludf.DUMMYFUNCTION("""COMPUTED_VALUE"""),"AP")</f>
        <v>AP</v>
      </c>
      <c r="L35" s="88">
        <f>IFERROR(__xludf.DUMMYFUNCTION("""COMPUTED_VALUE"""),64.6)</f>
        <v>64.6</v>
      </c>
      <c r="M35" s="86" t="str">
        <f>IFERROR(__xludf.DUMMYFUNCTION("""COMPUTED_VALUE"""),"％")</f>
        <v>％</v>
      </c>
      <c r="N35" s="80">
        <f>IFERROR(__xludf.DUMMYFUNCTION("""COMPUTED_VALUE"""),16623.0)</f>
        <v>16623</v>
      </c>
      <c r="O35" s="91" t="str">
        <f>IFERROR(__xludf.DUMMYFUNCTION("""COMPUTED_VALUE"""),"Mystic Spinal Fluid")</f>
        <v>Mystic Spinal Fluid</v>
      </c>
      <c r="P35" s="93" t="str">
        <f>IFERROR(__xludf.DUMMYFUNCTION("""COMPUTED_VALUE"""),"")</f>
        <v/>
      </c>
      <c r="Q35" s="61" t="str">
        <f>IFERROR(__xludf.DUMMYFUNCTION("""COMPUTED_VALUE"""),"")</f>
        <v/>
      </c>
      <c r="R35" s="267" t="str">
        <f>IFERROR(__xludf.DUMMYFUNCTION("""COMPUTED_VALUE"""),"B107")</f>
        <v>B107</v>
      </c>
      <c r="S35" s="65" t="str">
        <f>IFERROR(__xludf.DUMMYFUNCTION("""COMPUTED_VALUE"""),"Secret Gem of Berserker")</f>
        <v>Secret Gem of Berserker</v>
      </c>
      <c r="T35" s="67">
        <f>IFERROR(__xludf.DUMMYFUNCTION("""COMPUTED_VALUE"""),1.0)</f>
        <v>1</v>
      </c>
      <c r="U35" s="69" t="str">
        <f>IFERROR(__xludf.DUMMYFUNCTION("""COMPUTED_VALUE"""),"TRF12")</f>
        <v>TRF12</v>
      </c>
      <c r="V35" s="71" t="str">
        <f>IFERROR(__xludf.DUMMYFUNCTION("""COMPUTED_VALUE"""),"Chaldea Gate (Wed)")</f>
        <v>Chaldea Gate (Wed)</v>
      </c>
      <c r="W35" s="71" t="str">
        <f>IFERROR(__xludf.DUMMYFUNCTION("""COMPUTED_VALUE"""),"WED Berserker Training Ground- Exp")</f>
        <v>WED Berserker Training Ground- Exp</v>
      </c>
      <c r="X35" s="80">
        <f>IFERROR(__xludf.DUMMYFUNCTION("""COMPUTED_VALUE"""),40.0)</f>
        <v>40</v>
      </c>
      <c r="Y35" s="82">
        <f>IFERROR(__xludf.DUMMYFUNCTION("""COMPUTED_VALUE"""),20.46875)</f>
        <v>20.46875</v>
      </c>
      <c r="Z35" s="84">
        <f>IFERROR(__xludf.DUMMYFUNCTION("""COMPUTED_VALUE"""),167.4)</f>
        <v>167.4</v>
      </c>
      <c r="AA35" s="86" t="str">
        <f>IFERROR(__xludf.DUMMYFUNCTION("""COMPUTED_VALUE"""),"AP")</f>
        <v>AP</v>
      </c>
      <c r="AB35" s="88">
        <f>IFERROR(__xludf.DUMMYFUNCTION("""COMPUTED_VALUE"""),23.9)</f>
        <v>23.9</v>
      </c>
      <c r="AC35" s="86" t="str">
        <f>IFERROR(__xludf.DUMMYFUNCTION("""COMPUTED_VALUE"""),"％")</f>
        <v>％</v>
      </c>
      <c r="AD35" s="80">
        <f>IFERROR(__xludf.DUMMYFUNCTION("""COMPUTED_VALUE"""),3095.0)</f>
        <v>3095</v>
      </c>
      <c r="AE35" s="91" t="str">
        <f>IFERROR(__xludf.DUMMYFUNCTION("""COMPUTED_VALUE"""),"Secret Gem of Berserker")</f>
        <v>Secret Gem of Berserker</v>
      </c>
      <c r="AF35" s="98" t="str">
        <f>IFERROR(__xludf.DUMMYFUNCTION("""COMPUTED_VALUE"""),"")</f>
        <v/>
      </c>
    </row>
    <row r="36" ht="16.5" customHeight="1">
      <c r="B36" s="268"/>
      <c r="C36" s="100"/>
      <c r="D36" s="102">
        <f>IFERROR(__xludf.DUMMYFUNCTION("""COMPUTED_VALUE"""),2.0)</f>
        <v>2</v>
      </c>
      <c r="E36" s="103" t="str">
        <f>IFERROR(__xludf.DUMMYFUNCTION("""COMPUTED_VALUE"""),"SJK1")</f>
        <v>SJK1</v>
      </c>
      <c r="F36" s="104" t="str">
        <f>IFERROR(__xludf.DUMMYFUNCTION("""COMPUTED_VALUE"""),"Shinjuku")</f>
        <v>Shinjuku</v>
      </c>
      <c r="G36" s="108" t="str">
        <f>IFERROR(__xludf.DUMMYFUNCTION("""COMPUTED_VALUE"""),"Yoyogi 2-Chome")</f>
        <v>Yoyogi 2-Chome</v>
      </c>
      <c r="H36" s="109">
        <f>IFERROR(__xludf.DUMMYFUNCTION("""COMPUTED_VALUE"""),20.0)</f>
        <v>20</v>
      </c>
      <c r="I36" s="110">
        <f>IFERROR(__xludf.DUMMYFUNCTION("""COMPUTED_VALUE"""),48.4375)</f>
        <v>48.4375</v>
      </c>
      <c r="J36" s="112">
        <f>IFERROR(__xludf.DUMMYFUNCTION("""COMPUTED_VALUE"""),49.4)</f>
        <v>49.4</v>
      </c>
      <c r="K36" s="121" t="str">
        <f>IFERROR(__xludf.DUMMYFUNCTION("""COMPUTED_VALUE"""),"AP")</f>
        <v>AP</v>
      </c>
      <c r="L36" s="123">
        <f>IFERROR(__xludf.DUMMYFUNCTION("""COMPUTED_VALUE"""),40.5)</f>
        <v>40.5</v>
      </c>
      <c r="M36" s="121" t="str">
        <f>IFERROR(__xludf.DUMMYFUNCTION("""COMPUTED_VALUE"""),"％")</f>
        <v>％</v>
      </c>
      <c r="N36" s="109">
        <f>IFERROR(__xludf.DUMMYFUNCTION("""COMPUTED_VALUE"""),299.0)</f>
        <v>299</v>
      </c>
      <c r="O36" s="100"/>
      <c r="P36" s="93" t="str">
        <f>IFERROR(__xludf.DUMMYFUNCTION("""COMPUTED_VALUE"""),"")</f>
        <v/>
      </c>
      <c r="R36" s="268"/>
      <c r="S36" s="100"/>
      <c r="T36" s="102">
        <f>IFERROR(__xludf.DUMMYFUNCTION("""COMPUTED_VALUE"""),2.0)</f>
        <v>2</v>
      </c>
      <c r="U36" s="103" t="str">
        <f>IFERROR(__xludf.DUMMYFUNCTION("""COMPUTED_VALUE"""),"TRF11")</f>
        <v>TRF11</v>
      </c>
      <c r="V36" s="104" t="str">
        <f>IFERROR(__xludf.DUMMYFUNCTION("""COMPUTED_VALUE"""),"Chaldea Gate (Wed)")</f>
        <v>Chaldea Gate (Wed)</v>
      </c>
      <c r="W36" s="104" t="str">
        <f>IFERROR(__xludf.DUMMYFUNCTION("""COMPUTED_VALUE"""),"WED Berserker Training Ground- Adv")</f>
        <v>WED Berserker Training Ground- Adv</v>
      </c>
      <c r="X36" s="109">
        <f>IFERROR(__xludf.DUMMYFUNCTION("""COMPUTED_VALUE"""),30.0)</f>
        <v>30</v>
      </c>
      <c r="Y36" s="110">
        <f>IFERROR(__xludf.DUMMYFUNCTION("""COMPUTED_VALUE"""),18.958333333333332)</f>
        <v>18.95833333</v>
      </c>
      <c r="Z36" s="112">
        <f>IFERROR(__xludf.DUMMYFUNCTION("""COMPUTED_VALUE"""),213.2)</f>
        <v>213.2</v>
      </c>
      <c r="AA36" s="121" t="str">
        <f>IFERROR(__xludf.DUMMYFUNCTION("""COMPUTED_VALUE"""),"AP")</f>
        <v>AP</v>
      </c>
      <c r="AB36" s="123">
        <f>IFERROR(__xludf.DUMMYFUNCTION("""COMPUTED_VALUE"""),14.1)</f>
        <v>14.1</v>
      </c>
      <c r="AC36" s="121" t="str">
        <f>IFERROR(__xludf.DUMMYFUNCTION("""COMPUTED_VALUE"""),"％")</f>
        <v>％</v>
      </c>
      <c r="AD36" s="109">
        <f>IFERROR(__xludf.DUMMYFUNCTION("""COMPUTED_VALUE"""),469.0)</f>
        <v>469</v>
      </c>
      <c r="AE36" s="100"/>
      <c r="AF36" s="98" t="str">
        <f>IFERROR(__xludf.DUMMYFUNCTION("""COMPUTED_VALUE"""),"")</f>
        <v/>
      </c>
    </row>
    <row r="37" ht="16.5" customHeight="1">
      <c r="B37" s="268"/>
      <c r="C37" s="100"/>
      <c r="D37" s="130">
        <f>IFERROR(__xludf.DUMMYFUNCTION("""COMPUTED_VALUE"""),3.0)</f>
        <v>3</v>
      </c>
      <c r="E37" s="132" t="str">
        <f>IFERROR(__xludf.DUMMYFUNCTION("""COMPUTED_VALUE"""),"SJK2")</f>
        <v>SJK2</v>
      </c>
      <c r="F37" s="133" t="str">
        <f>IFERROR(__xludf.DUMMYFUNCTION("""COMPUTED_VALUE"""),"Shinjuku")</f>
        <v>Shinjuku</v>
      </c>
      <c r="G37" s="135" t="str">
        <f>IFERROR(__xludf.DUMMYFUNCTION("""COMPUTED_VALUE"""),"Route 20")</f>
        <v>Route 20</v>
      </c>
      <c r="H37" s="137">
        <f>IFERROR(__xludf.DUMMYFUNCTION("""COMPUTED_VALUE"""),20.0)</f>
        <v>20</v>
      </c>
      <c r="I37" s="139">
        <f>IFERROR(__xludf.DUMMYFUNCTION("""COMPUTED_VALUE"""),48.4375)</f>
        <v>48.4375</v>
      </c>
      <c r="J37" s="141">
        <f>IFERROR(__xludf.DUMMYFUNCTION("""COMPUTED_VALUE"""),50.6)</f>
        <v>50.6</v>
      </c>
      <c r="K37" s="143" t="str">
        <f>IFERROR(__xludf.DUMMYFUNCTION("""COMPUTED_VALUE"""),"AP")</f>
        <v>AP</v>
      </c>
      <c r="L37" s="145">
        <f>IFERROR(__xludf.DUMMYFUNCTION("""COMPUTED_VALUE"""),39.6)</f>
        <v>39.6</v>
      </c>
      <c r="M37" s="143" t="str">
        <f>IFERROR(__xludf.DUMMYFUNCTION("""COMPUTED_VALUE"""),"％")</f>
        <v>％</v>
      </c>
      <c r="N37" s="137">
        <f>IFERROR(__xludf.DUMMYFUNCTION("""COMPUTED_VALUE"""),6247.0)</f>
        <v>6247</v>
      </c>
      <c r="O37" s="100"/>
      <c r="P37" s="93" t="str">
        <f>IFERROR(__xludf.DUMMYFUNCTION("""COMPUTED_VALUE"""),"")</f>
        <v/>
      </c>
      <c r="R37" s="268"/>
      <c r="S37" s="100"/>
      <c r="T37" s="130">
        <f>IFERROR(__xludf.DUMMYFUNCTION("""COMPUTED_VALUE"""),3.0)</f>
        <v>3</v>
      </c>
      <c r="U37" s="132" t="str">
        <f>IFERROR(__xludf.DUMMYFUNCTION("""COMPUTED_VALUE"""),"CML10")</f>
        <v>CML10</v>
      </c>
      <c r="V37" s="133" t="str">
        <f>IFERROR(__xludf.DUMMYFUNCTION("""COMPUTED_VALUE"""),"Camelot")</f>
        <v>Camelot</v>
      </c>
      <c r="W37" s="135" t="str">
        <f>IFERROR(__xludf.DUMMYFUNCTION("""COMPUTED_VALUE"""),"Holy City")</f>
        <v>Holy City</v>
      </c>
      <c r="X37" s="137">
        <f>IFERROR(__xludf.DUMMYFUNCTION("""COMPUTED_VALUE"""),20.0)</f>
        <v>20</v>
      </c>
      <c r="Y37" s="139">
        <f>IFERROR(__xludf.DUMMYFUNCTION("""COMPUTED_VALUE"""),47.1875)</f>
        <v>47.1875</v>
      </c>
      <c r="Z37" s="141">
        <f>IFERROR(__xludf.DUMMYFUNCTION("""COMPUTED_VALUE"""),217.4)</f>
        <v>217.4</v>
      </c>
      <c r="AA37" s="143" t="str">
        <f>IFERROR(__xludf.DUMMYFUNCTION("""COMPUTED_VALUE"""),"AP")</f>
        <v>AP</v>
      </c>
      <c r="AB37" s="145">
        <f>IFERROR(__xludf.DUMMYFUNCTION("""COMPUTED_VALUE"""),9.2)</f>
        <v>9.2</v>
      </c>
      <c r="AC37" s="143" t="str">
        <f>IFERROR(__xludf.DUMMYFUNCTION("""COMPUTED_VALUE"""),"％")</f>
        <v>％</v>
      </c>
      <c r="AD37" s="137">
        <f>IFERROR(__xludf.DUMMYFUNCTION("""COMPUTED_VALUE"""),22807.0)</f>
        <v>22807</v>
      </c>
      <c r="AE37" s="100"/>
      <c r="AF37" s="98" t="str">
        <f>IFERROR(__xludf.DUMMYFUNCTION("""COMPUTED_VALUE"""),"")</f>
        <v/>
      </c>
    </row>
    <row r="38" ht="16.5" customHeight="1">
      <c r="B38" s="268"/>
      <c r="C38" s="100"/>
      <c r="D38" s="146">
        <f>IFERROR(__xludf.DUMMYFUNCTION("""COMPUTED_VALUE"""),4.0)</f>
        <v>4</v>
      </c>
      <c r="E38" s="148" t="str">
        <f>IFERROR(__xludf.DUMMYFUNCTION("""COMPUTED_VALUE"""),"SJK4")</f>
        <v>SJK4</v>
      </c>
      <c r="F38" s="150" t="str">
        <f>IFERROR(__xludf.DUMMYFUNCTION("""COMPUTED_VALUE"""),"Shinjuku")</f>
        <v>Shinjuku</v>
      </c>
      <c r="G38" s="152" t="str">
        <f>IFERROR(__xludf.DUMMYFUNCTION("""COMPUTED_VALUE"""),"Shinjuku 4-Chome")</f>
        <v>Shinjuku 4-Chome</v>
      </c>
      <c r="H38" s="154">
        <f>IFERROR(__xludf.DUMMYFUNCTION("""COMPUTED_VALUE"""),21.0)</f>
        <v>21</v>
      </c>
      <c r="I38" s="156">
        <f>IFERROR(__xludf.DUMMYFUNCTION("""COMPUTED_VALUE"""),47.32142857142857)</f>
        <v>47.32142857</v>
      </c>
      <c r="J38" s="158">
        <f>IFERROR(__xludf.DUMMYFUNCTION("""COMPUTED_VALUE"""),51.3)</f>
        <v>51.3</v>
      </c>
      <c r="K38" s="160" t="str">
        <f>IFERROR(__xludf.DUMMYFUNCTION("""COMPUTED_VALUE"""),"AP")</f>
        <v>AP</v>
      </c>
      <c r="L38" s="162">
        <f>IFERROR(__xludf.DUMMYFUNCTION("""COMPUTED_VALUE"""),40.9)</f>
        <v>40.9</v>
      </c>
      <c r="M38" s="160" t="str">
        <f>IFERROR(__xludf.DUMMYFUNCTION("""COMPUTED_VALUE"""),"％")</f>
        <v>％</v>
      </c>
      <c r="N38" s="154">
        <f>IFERROR(__xludf.DUMMYFUNCTION("""COMPUTED_VALUE"""),36616.0)</f>
        <v>36616</v>
      </c>
      <c r="O38" s="100"/>
      <c r="P38" s="93" t="str">
        <f>IFERROR(__xludf.DUMMYFUNCTION("""COMPUTED_VALUE"""),"")</f>
        <v/>
      </c>
      <c r="R38" s="268"/>
      <c r="S38" s="100"/>
      <c r="T38" s="146">
        <f>IFERROR(__xludf.DUMMYFUNCTION("""COMPUTED_VALUE"""),4.0)</f>
        <v>4</v>
      </c>
      <c r="U38" s="148" t="str">
        <f>IFERROR(__xludf.DUMMYFUNCTION("""COMPUTED_VALUE"""),"AGT1")</f>
        <v>AGT1</v>
      </c>
      <c r="V38" s="150" t="str">
        <f>IFERROR(__xludf.DUMMYFUNCTION("""COMPUTED_VALUE"""),"Agartha")</f>
        <v>Agartha</v>
      </c>
      <c r="W38" s="152" t="str">
        <f>IFERROR(__xludf.DUMMYFUNCTION("""COMPUTED_VALUE"""),"Underground Plains")</f>
        <v>Underground Plains</v>
      </c>
      <c r="X38" s="154">
        <f>IFERROR(__xludf.DUMMYFUNCTION("""COMPUTED_VALUE"""),20.0)</f>
        <v>20</v>
      </c>
      <c r="Y38" s="156">
        <f>IFERROR(__xludf.DUMMYFUNCTION("""COMPUTED_VALUE"""),48.4375)</f>
        <v>48.4375</v>
      </c>
      <c r="Z38" s="158">
        <f>IFERROR(__xludf.DUMMYFUNCTION("""COMPUTED_VALUE"""),381.7)</f>
        <v>381.7</v>
      </c>
      <c r="AA38" s="160" t="str">
        <f>IFERROR(__xludf.DUMMYFUNCTION("""COMPUTED_VALUE"""),"AP")</f>
        <v>AP</v>
      </c>
      <c r="AB38" s="162">
        <f>IFERROR(__xludf.DUMMYFUNCTION("""COMPUTED_VALUE"""),5.2)</f>
        <v>5.2</v>
      </c>
      <c r="AC38" s="160" t="str">
        <f>IFERROR(__xludf.DUMMYFUNCTION("""COMPUTED_VALUE"""),"％")</f>
        <v>％</v>
      </c>
      <c r="AD38" s="154">
        <f>IFERROR(__xludf.DUMMYFUNCTION("""COMPUTED_VALUE"""),18427.0)</f>
        <v>18427</v>
      </c>
      <c r="AE38" s="100"/>
      <c r="AF38" s="98" t="str">
        <f>IFERROR(__xludf.DUMMYFUNCTION("""COMPUTED_VALUE"""),"")</f>
        <v/>
      </c>
    </row>
    <row r="39" ht="16.5" customHeight="1">
      <c r="A39" s="166"/>
      <c r="B39" s="269"/>
      <c r="C39" s="168"/>
      <c r="D39" s="169">
        <f>IFERROR(__xludf.DUMMYFUNCTION("""COMPUTED_VALUE"""),5.0)</f>
        <v>5</v>
      </c>
      <c r="E39" s="170" t="str">
        <f>IFERROR(__xludf.DUMMYFUNCTION("""COMPUTED_VALUE"""),"SJK9")</f>
        <v>SJK9</v>
      </c>
      <c r="F39" s="51" t="str">
        <f>IFERROR(__xludf.DUMMYFUNCTION("""COMPUTED_VALUE"""),"Shinjuku")</f>
        <v>Shinjuku</v>
      </c>
      <c r="G39" s="171" t="str">
        <f>IFERROR(__xludf.DUMMYFUNCTION("""COMPUTED_VALUE"""),"Shinjuku Gyoen")</f>
        <v>Shinjuku Gyoen</v>
      </c>
      <c r="H39" s="172">
        <f>IFERROR(__xludf.DUMMYFUNCTION("""COMPUTED_VALUE"""),21.0)</f>
        <v>21</v>
      </c>
      <c r="I39" s="173">
        <f>IFERROR(__xludf.DUMMYFUNCTION("""COMPUTED_VALUE"""),50.892857142857146)</f>
        <v>50.89285714</v>
      </c>
      <c r="J39" s="174">
        <f>IFERROR(__xludf.DUMMYFUNCTION("""COMPUTED_VALUE"""),69.4)</f>
        <v>69.4</v>
      </c>
      <c r="K39" s="175" t="str">
        <f>IFERROR(__xludf.DUMMYFUNCTION("""COMPUTED_VALUE"""),"AP")</f>
        <v>AP</v>
      </c>
      <c r="L39" s="176">
        <f>IFERROR(__xludf.DUMMYFUNCTION("""COMPUTED_VALUE"""),30.2)</f>
        <v>30.2</v>
      </c>
      <c r="M39" s="175" t="str">
        <f>IFERROR(__xludf.DUMMYFUNCTION("""COMPUTED_VALUE"""),"％")</f>
        <v>％</v>
      </c>
      <c r="N39" s="172">
        <f>IFERROR(__xludf.DUMMYFUNCTION("""COMPUTED_VALUE"""),42877.0)</f>
        <v>42877</v>
      </c>
      <c r="O39" s="168"/>
      <c r="P39" s="93" t="str">
        <f>IFERROR(__xludf.DUMMYFUNCTION("""COMPUTED_VALUE"""),"")</f>
        <v/>
      </c>
      <c r="Q39" s="166"/>
      <c r="R39" s="269"/>
      <c r="S39" s="168"/>
      <c r="T39" s="340">
        <f>IFERROR(__xludf.DUMMYFUNCTION("""COMPUTED_VALUE"""),5.0)</f>
        <v>5</v>
      </c>
      <c r="U39" s="170" t="str">
        <f>IFERROR(__xludf.DUMMYFUNCTION("""COMPUTED_VALUE"""),"SJK4")</f>
        <v>SJK4</v>
      </c>
      <c r="V39" s="51" t="str">
        <f>IFERROR(__xludf.DUMMYFUNCTION("""COMPUTED_VALUE"""),"Shinjuku")</f>
        <v>Shinjuku</v>
      </c>
      <c r="W39" s="171" t="str">
        <f>IFERROR(__xludf.DUMMYFUNCTION("""COMPUTED_VALUE"""),"Shinjuku 4-Chome")</f>
        <v>Shinjuku 4-Chome</v>
      </c>
      <c r="X39" s="172">
        <f>IFERROR(__xludf.DUMMYFUNCTION("""COMPUTED_VALUE"""),21.0)</f>
        <v>21</v>
      </c>
      <c r="Y39" s="173">
        <f>IFERROR(__xludf.DUMMYFUNCTION("""COMPUTED_VALUE"""),47.32142857142857)</f>
        <v>47.32142857</v>
      </c>
      <c r="Z39" s="174">
        <f>IFERROR(__xludf.DUMMYFUNCTION("""COMPUTED_VALUE"""),406.7)</f>
        <v>406.7</v>
      </c>
      <c r="AA39" s="175" t="str">
        <f>IFERROR(__xludf.DUMMYFUNCTION("""COMPUTED_VALUE"""),"AP")</f>
        <v>AP</v>
      </c>
      <c r="AB39" s="176">
        <f>IFERROR(__xludf.DUMMYFUNCTION("""COMPUTED_VALUE"""),5.2)</f>
        <v>5.2</v>
      </c>
      <c r="AC39" s="175" t="str">
        <f>IFERROR(__xludf.DUMMYFUNCTION("""COMPUTED_VALUE"""),"％")</f>
        <v>％</v>
      </c>
      <c r="AD39" s="172">
        <f>IFERROR(__xludf.DUMMYFUNCTION("""COMPUTED_VALUE"""),36616.0)</f>
        <v>36616</v>
      </c>
      <c r="AE39" s="168"/>
      <c r="AF39" s="98" t="str">
        <f>IFERROR(__xludf.DUMMYFUNCTION("""COMPUTED_VALUE"""),"")</f>
        <v/>
      </c>
    </row>
    <row r="40" ht="16.5" customHeight="1">
      <c r="A40" s="25" t="str">
        <f>IFERROR(__xludf.DUMMYFUNCTION("""COMPUTED_VALUE"""),"Item")</f>
        <v>Item</v>
      </c>
      <c r="B40" s="27"/>
      <c r="C40" s="28"/>
      <c r="D40" s="30" t="str">
        <f>IFERROR(__xludf.DUMMYFUNCTION("""COMPUTED_VALUE"""),"No.")</f>
        <v>No.</v>
      </c>
      <c r="E40" s="31" t="str">
        <f>IFERROR(__xludf.DUMMYFUNCTION("""COMPUTED_VALUE"""),"Node Code")</f>
        <v>Node Code</v>
      </c>
      <c r="F40" s="31" t="str">
        <f>IFERROR(__xludf.DUMMYFUNCTION("""COMPUTED_VALUE"""),"Area")</f>
        <v>Area</v>
      </c>
      <c r="G40" s="31" t="str">
        <f>IFERROR(__xludf.DUMMYFUNCTION("""COMPUTED_VALUE"""),"Quest")</f>
        <v>Quest</v>
      </c>
      <c r="H40" s="30" t="str">
        <f>IFERROR(__xludf.DUMMYFUNCTION("""COMPUTED_VALUE"""),"AP")</f>
        <v>AP</v>
      </c>
      <c r="I40" s="34" t="str">
        <f>IFERROR(__xludf.DUMMYFUNCTION("""COMPUTED_VALUE"""),"BP/AP")</f>
        <v>BP/AP</v>
      </c>
      <c r="J40" s="36" t="str">
        <f>IFERROR(__xludf.DUMMYFUNCTION("""COMPUTED_VALUE"""),"AP/Drop")</f>
        <v>AP/Drop</v>
      </c>
      <c r="K40" s="28"/>
      <c r="L40" s="36" t="str">
        <f>IFERROR(__xludf.DUMMYFUNCTION("""COMPUTED_VALUE"""),"Drop Chance")</f>
        <v>Drop Chance</v>
      </c>
      <c r="M40" s="28"/>
      <c r="N40" s="38" t="str">
        <f>IFERROR(__xludf.DUMMYFUNCTION("""COMPUTED_VALUE"""),"Runs")</f>
        <v>Runs</v>
      </c>
      <c r="O40" s="40" t="str">
        <f>IFERROR(__xludf.DUMMYFUNCTION("""COMPUTED_VALUE"""),"")</f>
        <v/>
      </c>
      <c r="P40" s="42" t="str">
        <f>IFERROR(__xludf.DUMMYFUNCTION("""COMPUTED_VALUE"""),"")</f>
        <v/>
      </c>
      <c r="Q40" s="25" t="str">
        <f>IFERROR(__xludf.DUMMYFUNCTION("""COMPUTED_VALUE"""),"Item")</f>
        <v>Item</v>
      </c>
      <c r="R40" s="27"/>
      <c r="S40" s="28"/>
      <c r="T40" s="30" t="str">
        <f>IFERROR(__xludf.DUMMYFUNCTION("""COMPUTED_VALUE"""),"No.")</f>
        <v>No.</v>
      </c>
      <c r="U40" s="31" t="str">
        <f>IFERROR(__xludf.DUMMYFUNCTION("""COMPUTED_VALUE"""),"Node Code")</f>
        <v>Node Code</v>
      </c>
      <c r="V40" s="31" t="str">
        <f>IFERROR(__xludf.DUMMYFUNCTION("""COMPUTED_VALUE"""),"Area")</f>
        <v>Area</v>
      </c>
      <c r="W40" s="31" t="str">
        <f>IFERROR(__xludf.DUMMYFUNCTION("""COMPUTED_VALUE"""),"Quest")</f>
        <v>Quest</v>
      </c>
      <c r="X40" s="30" t="str">
        <f>IFERROR(__xludf.DUMMYFUNCTION("""COMPUTED_VALUE"""),"AP")</f>
        <v>AP</v>
      </c>
      <c r="Y40" s="34" t="str">
        <f>IFERROR(__xludf.DUMMYFUNCTION("""COMPUTED_VALUE"""),"BP/AP")</f>
        <v>BP/AP</v>
      </c>
      <c r="Z40" s="36" t="str">
        <f>IFERROR(__xludf.DUMMYFUNCTION("""COMPUTED_VALUE"""),"AP/Drop")</f>
        <v>AP/Drop</v>
      </c>
      <c r="AA40" s="28"/>
      <c r="AB40" s="36" t="str">
        <f>IFERROR(__xludf.DUMMYFUNCTION("""COMPUTED_VALUE"""),"Drop Chance")</f>
        <v>Drop Chance</v>
      </c>
      <c r="AC40" s="28"/>
      <c r="AD40" s="38" t="str">
        <f>IFERROR(__xludf.DUMMYFUNCTION("""COMPUTED_VALUE"""),"Runs")</f>
        <v>Runs</v>
      </c>
      <c r="AE40" s="40" t="str">
        <f>IFERROR(__xludf.DUMMYFUNCTION("""COMPUTED_VALUE"""),"")</f>
        <v/>
      </c>
      <c r="AF40" s="51" t="str">
        <f>IFERROR(__xludf.DUMMYFUNCTION("""COMPUTED_VALUE"""),"")</f>
        <v/>
      </c>
    </row>
    <row r="41" ht="16.5" customHeight="1">
      <c r="A41" s="54"/>
      <c r="B41" s="55"/>
      <c r="C41" s="57"/>
      <c r="D41" s="57"/>
      <c r="E41" s="57"/>
      <c r="F41" s="57"/>
      <c r="G41" s="57"/>
      <c r="H41" s="57"/>
      <c r="I41" s="58" t="str">
        <f>IFERROR(__xludf.DUMMYFUNCTION("""COMPUTED_VALUE"""),"1P+1L+1T")</f>
        <v>1P+1L+1T</v>
      </c>
      <c r="J41" s="55"/>
      <c r="K41" s="57"/>
      <c r="L41" s="55"/>
      <c r="M41" s="57"/>
      <c r="N41" s="57"/>
      <c r="O41" s="57"/>
      <c r="P41" s="42" t="str">
        <f>IFERROR(__xludf.DUMMYFUNCTION("""COMPUTED_VALUE"""),"")</f>
        <v/>
      </c>
      <c r="Q41" s="54"/>
      <c r="R41" s="55"/>
      <c r="S41" s="57"/>
      <c r="T41" s="57"/>
      <c r="U41" s="57"/>
      <c r="V41" s="57"/>
      <c r="W41" s="57"/>
      <c r="X41" s="57"/>
      <c r="Y41" s="58" t="str">
        <f>IFERROR(__xludf.DUMMYFUNCTION("""COMPUTED_VALUE"""),"1P+1L+1T")</f>
        <v>1P+1L+1T</v>
      </c>
      <c r="Z41" s="55"/>
      <c r="AA41" s="57"/>
      <c r="AB41" s="55"/>
      <c r="AC41" s="57"/>
      <c r="AD41" s="57"/>
      <c r="AE41" s="57"/>
      <c r="AF41" s="51" t="str">
        <f>IFERROR(__xludf.DUMMYFUNCTION("""COMPUTED_VALUE"""),"")</f>
        <v/>
      </c>
    </row>
    <row r="42" ht="16.5" customHeight="1">
      <c r="A42" s="61" t="str">
        <f>IFERROR(__xludf.DUMMYFUNCTION("""COMPUTED_VALUE"""),"")</f>
        <v/>
      </c>
      <c r="B42" s="179" t="str">
        <f>IFERROR(__xludf.DUMMYFUNCTION("""COMPUTED_VALUE"""),"A308")</f>
        <v>A308</v>
      </c>
      <c r="C42" s="180" t="str">
        <f>IFERROR(__xludf.DUMMYFUNCTION("""COMPUTED_VALUE"""),"Night-Weeping Iron Stake")</f>
        <v>Night-Weeping Iron Stake</v>
      </c>
      <c r="D42" s="181">
        <f>IFERROR(__xludf.DUMMYFUNCTION("""COMPUTED_VALUE"""),1.0)</f>
        <v>1</v>
      </c>
      <c r="E42" s="182" t="str">
        <f>IFERROR(__xludf.DUMMYFUNCTION("""COMPUTED_VALUE"""),"SLM7")</f>
        <v>SLM7</v>
      </c>
      <c r="F42" s="184" t="str">
        <f>IFERROR(__xludf.DUMMYFUNCTION("""COMPUTED_VALUE"""),"Salem")</f>
        <v>Salem</v>
      </c>
      <c r="G42" s="189" t="str">
        <f>IFERROR(__xludf.DUMMYFUNCTION("""COMPUTED_VALUE"""),"Gallow Hill")</f>
        <v>Gallow Hill</v>
      </c>
      <c r="H42" s="190">
        <f>IFERROR(__xludf.DUMMYFUNCTION("""COMPUTED_VALUE"""),21.0)</f>
        <v>21</v>
      </c>
      <c r="I42" s="191">
        <f>IFERROR(__xludf.DUMMYFUNCTION("""COMPUTED_VALUE"""),49.70238095238095)</f>
        <v>49.70238095</v>
      </c>
      <c r="J42" s="192">
        <f>IFERROR(__xludf.DUMMYFUNCTION("""COMPUTED_VALUE"""),30.6)</f>
        <v>30.6</v>
      </c>
      <c r="K42" s="194" t="str">
        <f>IFERROR(__xludf.DUMMYFUNCTION("""COMPUTED_VALUE"""),"AP")</f>
        <v>AP</v>
      </c>
      <c r="L42" s="192">
        <f>IFERROR(__xludf.DUMMYFUNCTION("""COMPUTED_VALUE"""),68.6)</f>
        <v>68.6</v>
      </c>
      <c r="M42" s="194" t="str">
        <f>IFERROR(__xludf.DUMMYFUNCTION("""COMPUTED_VALUE"""),"％")</f>
        <v>％</v>
      </c>
      <c r="N42" s="190">
        <f>IFERROR(__xludf.DUMMYFUNCTION("""COMPUTED_VALUE"""),8007.0)</f>
        <v>8007</v>
      </c>
      <c r="O42" s="197" t="str">
        <f>IFERROR(__xludf.DUMMYFUNCTION("""COMPUTED_VALUE"""),"Night-Weeping Iron Stake")</f>
        <v>Night-Weeping Iron Stake</v>
      </c>
      <c r="P42" s="93" t="str">
        <f>IFERROR(__xludf.DUMMYFUNCTION("""COMPUTED_VALUE"""),"")</f>
        <v/>
      </c>
      <c r="Q42" s="61" t="str">
        <f>IFERROR(__xludf.DUMMYFUNCTION("""COMPUTED_VALUE"""),"")</f>
        <v/>
      </c>
      <c r="R42" s="183" t="str">
        <f>IFERROR(__xludf.DUMMYFUNCTION("""COMPUTED_VALUE"""),"B111")</f>
        <v>B111</v>
      </c>
      <c r="S42" s="180" t="str">
        <f>IFERROR(__xludf.DUMMYFUNCTION("""COMPUTED_VALUE"""),"Magic Gem of Saber")</f>
        <v>Magic Gem of Saber</v>
      </c>
      <c r="T42" s="181">
        <f>IFERROR(__xludf.DUMMYFUNCTION("""COMPUTED_VALUE"""),1.0)</f>
        <v>1</v>
      </c>
      <c r="U42" s="182" t="str">
        <f>IFERROR(__xludf.DUMMYFUNCTION("""COMPUTED_VALUE"""),"TRF27")</f>
        <v>TRF27</v>
      </c>
      <c r="V42" s="184" t="str">
        <f>IFERROR(__xludf.DUMMYFUNCTION("""COMPUTED_VALUE"""),"Chaldea Gate (Sun)")</f>
        <v>Chaldea Gate (Sun)</v>
      </c>
      <c r="W42" s="184" t="str">
        <f>IFERROR(__xludf.DUMMYFUNCTION("""COMPUTED_VALUE"""),"SUN Saber Training Ground- Adv")</f>
        <v>SUN Saber Training Ground- Adv</v>
      </c>
      <c r="X42" s="190">
        <f>IFERROR(__xludf.DUMMYFUNCTION("""COMPUTED_VALUE"""),30.0)</f>
        <v>30</v>
      </c>
      <c r="Y42" s="191">
        <f>IFERROR(__xludf.DUMMYFUNCTION("""COMPUTED_VALUE"""),18.958333333333332)</f>
        <v>18.95833333</v>
      </c>
      <c r="Z42" s="192">
        <f>IFERROR(__xludf.DUMMYFUNCTION("""COMPUTED_VALUE"""),22.3)</f>
        <v>22.3</v>
      </c>
      <c r="AA42" s="194" t="str">
        <f>IFERROR(__xludf.DUMMYFUNCTION("""COMPUTED_VALUE"""),"AP")</f>
        <v>AP</v>
      </c>
      <c r="AB42" s="192">
        <f>IFERROR(__xludf.DUMMYFUNCTION("""COMPUTED_VALUE"""),134.3)</f>
        <v>134.3</v>
      </c>
      <c r="AC42" s="194" t="str">
        <f>IFERROR(__xludf.DUMMYFUNCTION("""COMPUTED_VALUE"""),"％")</f>
        <v>％</v>
      </c>
      <c r="AD42" s="190">
        <f>IFERROR(__xludf.DUMMYFUNCTION("""COMPUTED_VALUE"""),3782.0)</f>
        <v>3782</v>
      </c>
      <c r="AE42" s="197" t="str">
        <f>IFERROR(__xludf.DUMMYFUNCTION("""COMPUTED_VALUE"""),"Magic Gem of Saber")</f>
        <v>Magic Gem of Saber</v>
      </c>
      <c r="AF42" s="98" t="str">
        <f>IFERROR(__xludf.DUMMYFUNCTION("""COMPUTED_VALUE"""),"")</f>
        <v/>
      </c>
    </row>
    <row r="43" ht="16.5" customHeight="1">
      <c r="B43" s="203"/>
      <c r="C43" s="204"/>
      <c r="D43" s="205">
        <f>IFERROR(__xludf.DUMMYFUNCTION("""COMPUTED_VALUE"""),2.0)</f>
        <v>2</v>
      </c>
      <c r="E43" s="206" t="str">
        <f>IFERROR(__xludf.DUMMYFUNCTION("""COMPUTED_VALUE"""),"SLM2")</f>
        <v>SLM2</v>
      </c>
      <c r="F43" s="207" t="str">
        <f>IFERROR(__xludf.DUMMYFUNCTION("""COMPUTED_VALUE"""),"Salem")</f>
        <v>Salem</v>
      </c>
      <c r="G43" s="209" t="str">
        <f>IFERROR(__xludf.DUMMYFUNCTION("""COMPUTED_VALUE"""),"Carter House")</f>
        <v>Carter House</v>
      </c>
      <c r="H43" s="211">
        <f>IFERROR(__xludf.DUMMYFUNCTION("""COMPUTED_VALUE"""),20.0)</f>
        <v>20</v>
      </c>
      <c r="I43" s="213">
        <f>IFERROR(__xludf.DUMMYFUNCTION("""COMPUTED_VALUE"""),48.4375)</f>
        <v>48.4375</v>
      </c>
      <c r="J43" s="214">
        <f>IFERROR(__xludf.DUMMYFUNCTION("""COMPUTED_VALUE"""),49.9)</f>
        <v>49.9</v>
      </c>
      <c r="K43" s="215" t="str">
        <f>IFERROR(__xludf.DUMMYFUNCTION("""COMPUTED_VALUE"""),"AP")</f>
        <v>AP</v>
      </c>
      <c r="L43" s="214">
        <f>IFERROR(__xludf.DUMMYFUNCTION("""COMPUTED_VALUE"""),40.1)</f>
        <v>40.1</v>
      </c>
      <c r="M43" s="215" t="str">
        <f>IFERROR(__xludf.DUMMYFUNCTION("""COMPUTED_VALUE"""),"％")</f>
        <v>％</v>
      </c>
      <c r="N43" s="211">
        <f>IFERROR(__xludf.DUMMYFUNCTION("""COMPUTED_VALUE"""),84431.0)</f>
        <v>84431</v>
      </c>
      <c r="O43" s="217"/>
      <c r="P43" s="93" t="str">
        <f>IFERROR(__xludf.DUMMYFUNCTION("""COMPUTED_VALUE"""),"")</f>
        <v/>
      </c>
      <c r="R43" s="203"/>
      <c r="S43" s="204"/>
      <c r="T43" s="205">
        <f>IFERROR(__xludf.DUMMYFUNCTION("""COMPUTED_VALUE"""),2.0)</f>
        <v>2</v>
      </c>
      <c r="U43" s="206" t="str">
        <f>IFERROR(__xludf.DUMMYFUNCTION("""COMPUTED_VALUE"""),"TRF26")</f>
        <v>TRF26</v>
      </c>
      <c r="V43" s="207" t="str">
        <f>IFERROR(__xludf.DUMMYFUNCTION("""COMPUTED_VALUE"""),"Chaldea Gate (Sun)")</f>
        <v>Chaldea Gate (Sun)</v>
      </c>
      <c r="W43" s="207" t="str">
        <f>IFERROR(__xludf.DUMMYFUNCTION("""COMPUTED_VALUE"""),"SUN Saber Training Ground- Int")</f>
        <v>SUN Saber Training Ground- Int</v>
      </c>
      <c r="X43" s="211">
        <f>IFERROR(__xludf.DUMMYFUNCTION("""COMPUTED_VALUE"""),20.0)</f>
        <v>20</v>
      </c>
      <c r="Y43" s="213">
        <f>IFERROR(__xludf.DUMMYFUNCTION("""COMPUTED_VALUE"""),19.0625)</f>
        <v>19.0625</v>
      </c>
      <c r="Z43" s="214">
        <f>IFERROR(__xludf.DUMMYFUNCTION("""COMPUTED_VALUE"""),24.3)</f>
        <v>24.3</v>
      </c>
      <c r="AA43" s="215" t="str">
        <f>IFERROR(__xludf.DUMMYFUNCTION("""COMPUTED_VALUE"""),"AP")</f>
        <v>AP</v>
      </c>
      <c r="AB43" s="214">
        <f>IFERROR(__xludf.DUMMYFUNCTION("""COMPUTED_VALUE"""),82.5)</f>
        <v>82.5</v>
      </c>
      <c r="AC43" s="215" t="str">
        <f>IFERROR(__xludf.DUMMYFUNCTION("""COMPUTED_VALUE"""),"％")</f>
        <v>％</v>
      </c>
      <c r="AD43" s="211">
        <f>IFERROR(__xludf.DUMMYFUNCTION("""COMPUTED_VALUE"""),365.0)</f>
        <v>365</v>
      </c>
      <c r="AE43" s="217"/>
      <c r="AF43" s="98" t="str">
        <f>IFERROR(__xludf.DUMMYFUNCTION("""COMPUTED_VALUE"""),"")</f>
        <v/>
      </c>
    </row>
    <row r="44" ht="16.5" customHeight="1">
      <c r="B44" s="203"/>
      <c r="C44" s="204"/>
      <c r="D44" s="222">
        <f>IFERROR(__xludf.DUMMYFUNCTION("""COMPUTED_VALUE"""),3.0)</f>
        <v>3</v>
      </c>
      <c r="E44" s="223" t="str">
        <f>IFERROR(__xludf.DUMMYFUNCTION("""COMPUTED_VALUE"""),"SLM6")</f>
        <v>SLM6</v>
      </c>
      <c r="F44" s="224" t="str">
        <f>IFERROR(__xludf.DUMMYFUNCTION("""COMPUTED_VALUE"""),"Salem")</f>
        <v>Salem</v>
      </c>
      <c r="G44" s="226" t="str">
        <f>IFERROR(__xludf.DUMMYFUNCTION("""COMPUTED_VALUE"""),"Suburb Mansion")</f>
        <v>Suburb Mansion</v>
      </c>
      <c r="H44" s="228">
        <f>IFERROR(__xludf.DUMMYFUNCTION("""COMPUTED_VALUE"""),21.0)</f>
        <v>21</v>
      </c>
      <c r="I44" s="230">
        <f>IFERROR(__xludf.DUMMYFUNCTION("""COMPUTED_VALUE"""),48.51190476190476)</f>
        <v>48.51190476</v>
      </c>
      <c r="J44" s="231">
        <f>IFERROR(__xludf.DUMMYFUNCTION("""COMPUTED_VALUE"""),51.5)</f>
        <v>51.5</v>
      </c>
      <c r="K44" s="232" t="str">
        <f>IFERROR(__xludf.DUMMYFUNCTION("""COMPUTED_VALUE"""),"AP")</f>
        <v>AP</v>
      </c>
      <c r="L44" s="231">
        <f>IFERROR(__xludf.DUMMYFUNCTION("""COMPUTED_VALUE"""),40.8)</f>
        <v>40.8</v>
      </c>
      <c r="M44" s="232" t="str">
        <f>IFERROR(__xludf.DUMMYFUNCTION("""COMPUTED_VALUE"""),"％")</f>
        <v>％</v>
      </c>
      <c r="N44" s="228">
        <f>IFERROR(__xludf.DUMMYFUNCTION("""COMPUTED_VALUE"""),16357.0)</f>
        <v>16357</v>
      </c>
      <c r="O44" s="217"/>
      <c r="P44" s="93" t="str">
        <f>IFERROR(__xludf.DUMMYFUNCTION("""COMPUTED_VALUE"""),"")</f>
        <v/>
      </c>
      <c r="R44" s="203"/>
      <c r="S44" s="204"/>
      <c r="T44" s="222">
        <f>IFERROR(__xludf.DUMMYFUNCTION("""COMPUTED_VALUE"""),3.0)</f>
        <v>3</v>
      </c>
      <c r="U44" s="223" t="str">
        <f>IFERROR(__xludf.DUMMYFUNCTION("""COMPUTED_VALUE"""),"TRF28")</f>
        <v>TRF28</v>
      </c>
      <c r="V44" s="224" t="str">
        <f>IFERROR(__xludf.DUMMYFUNCTION("""COMPUTED_VALUE"""),"Chaldea Gate (Sun)")</f>
        <v>Chaldea Gate (Sun)</v>
      </c>
      <c r="W44" s="224" t="str">
        <f>IFERROR(__xludf.DUMMYFUNCTION("""COMPUTED_VALUE"""),"SUN Saber Training Ground- Exp")</f>
        <v>SUN Saber Training Ground- Exp</v>
      </c>
      <c r="X44" s="228">
        <f>IFERROR(__xludf.DUMMYFUNCTION("""COMPUTED_VALUE"""),40.0)</f>
        <v>40</v>
      </c>
      <c r="Y44" s="230">
        <f>IFERROR(__xludf.DUMMYFUNCTION("""COMPUTED_VALUE"""),20.46875)</f>
        <v>20.46875</v>
      </c>
      <c r="Z44" s="231">
        <f>IFERROR(__xludf.DUMMYFUNCTION("""COMPUTED_VALUE"""),34.2)</f>
        <v>34.2</v>
      </c>
      <c r="AA44" s="232" t="str">
        <f>IFERROR(__xludf.DUMMYFUNCTION("""COMPUTED_VALUE"""),"AP")</f>
        <v>AP</v>
      </c>
      <c r="AB44" s="231">
        <f>IFERROR(__xludf.DUMMYFUNCTION("""COMPUTED_VALUE"""),117.0)</f>
        <v>117</v>
      </c>
      <c r="AC44" s="232" t="str">
        <f>IFERROR(__xludf.DUMMYFUNCTION("""COMPUTED_VALUE"""),"％")</f>
        <v>％</v>
      </c>
      <c r="AD44" s="228">
        <f>IFERROR(__xludf.DUMMYFUNCTION("""COMPUTED_VALUE"""),21334.0)</f>
        <v>21334</v>
      </c>
      <c r="AE44" s="217"/>
      <c r="AF44" s="98" t="str">
        <f>IFERROR(__xludf.DUMMYFUNCTION("""COMPUTED_VALUE"""),"")</f>
        <v/>
      </c>
    </row>
    <row r="45" ht="16.5" customHeight="1">
      <c r="B45" s="203"/>
      <c r="C45" s="204"/>
      <c r="D45" s="238">
        <f>IFERROR(__xludf.DUMMYFUNCTION("""COMPUTED_VALUE"""),4.0)</f>
        <v>4</v>
      </c>
      <c r="E45" s="240" t="str">
        <f>IFERROR(__xludf.DUMMYFUNCTION("""COMPUTED_VALUE"""),"SLM9")</f>
        <v>SLM9</v>
      </c>
      <c r="F45" s="242" t="str">
        <f>IFERROR(__xludf.DUMMYFUNCTION("""COMPUTED_VALUE"""),"Salem")</f>
        <v>Salem</v>
      </c>
      <c r="G45" s="244" t="str">
        <f>IFERROR(__xludf.DUMMYFUNCTION("""COMPUTED_VALUE"""),"Vacant House")</f>
        <v>Vacant House</v>
      </c>
      <c r="H45" s="246">
        <f>IFERROR(__xludf.DUMMYFUNCTION("""COMPUTED_VALUE"""),21.0)</f>
        <v>21</v>
      </c>
      <c r="I45" s="248">
        <f>IFERROR(__xludf.DUMMYFUNCTION("""COMPUTED_VALUE"""),50.892857142857146)</f>
        <v>50.89285714</v>
      </c>
      <c r="J45" s="250">
        <f>IFERROR(__xludf.DUMMYFUNCTION("""COMPUTED_VALUE"""),51.8)</f>
        <v>51.8</v>
      </c>
      <c r="K45" s="252" t="str">
        <f>IFERROR(__xludf.DUMMYFUNCTION("""COMPUTED_VALUE"""),"AP")</f>
        <v>AP</v>
      </c>
      <c r="L45" s="250">
        <f>IFERROR(__xludf.DUMMYFUNCTION("""COMPUTED_VALUE"""),40.5)</f>
        <v>40.5</v>
      </c>
      <c r="M45" s="252" t="str">
        <f>IFERROR(__xludf.DUMMYFUNCTION("""COMPUTED_VALUE"""),"％")</f>
        <v>％</v>
      </c>
      <c r="N45" s="246">
        <f>IFERROR(__xludf.DUMMYFUNCTION("""COMPUTED_VALUE"""),6811.0)</f>
        <v>6811</v>
      </c>
      <c r="O45" s="217"/>
      <c r="P45" s="93" t="str">
        <f>IFERROR(__xludf.DUMMYFUNCTION("""COMPUTED_VALUE"""),"")</f>
        <v/>
      </c>
      <c r="R45" s="203"/>
      <c r="S45" s="204"/>
      <c r="T45" s="238">
        <f>IFERROR(__xludf.DUMMYFUNCTION("""COMPUTED_VALUE"""),4.0)</f>
        <v>4</v>
      </c>
      <c r="U45" s="240" t="str">
        <f>IFERROR(__xludf.DUMMYFUNCTION("""COMPUTED_VALUE"""),"SMS4")</f>
        <v>SMS4</v>
      </c>
      <c r="V45" s="242" t="str">
        <f>IFERROR(__xludf.DUMMYFUNCTION("""COMPUTED_VALUE"""),"Shimosa")</f>
        <v>Shimosa</v>
      </c>
      <c r="W45" s="244" t="str">
        <f>IFERROR(__xludf.DUMMYFUNCTION("""COMPUTED_VALUE"""),"Castle Town")</f>
        <v>Castle Town</v>
      </c>
      <c r="X45" s="246">
        <f>IFERROR(__xludf.DUMMYFUNCTION("""COMPUTED_VALUE"""),21.0)</f>
        <v>21</v>
      </c>
      <c r="Y45" s="248">
        <f>IFERROR(__xludf.DUMMYFUNCTION("""COMPUTED_VALUE"""),48.51190476190476)</f>
        <v>48.51190476</v>
      </c>
      <c r="Z45" s="250">
        <f>IFERROR(__xludf.DUMMYFUNCTION("""COMPUTED_VALUE"""),52.4)</f>
        <v>52.4</v>
      </c>
      <c r="AA45" s="252" t="str">
        <f>IFERROR(__xludf.DUMMYFUNCTION("""COMPUTED_VALUE"""),"AP")</f>
        <v>AP</v>
      </c>
      <c r="AB45" s="250">
        <f>IFERROR(__xludf.DUMMYFUNCTION("""COMPUTED_VALUE"""),40.1)</f>
        <v>40.1</v>
      </c>
      <c r="AC45" s="252" t="str">
        <f>IFERROR(__xludf.DUMMYFUNCTION("""COMPUTED_VALUE"""),"％")</f>
        <v>％</v>
      </c>
      <c r="AD45" s="246">
        <f>IFERROR(__xludf.DUMMYFUNCTION("""COMPUTED_VALUE"""),6883.0)</f>
        <v>6883</v>
      </c>
      <c r="AE45" s="217"/>
      <c r="AF45" s="98" t="str">
        <f>IFERROR(__xludf.DUMMYFUNCTION("""COMPUTED_VALUE"""),"")</f>
        <v/>
      </c>
    </row>
    <row r="46" ht="16.5" customHeight="1">
      <c r="A46" s="166"/>
      <c r="B46" s="254"/>
      <c r="C46" s="255"/>
      <c r="D46" s="256">
        <f>IFERROR(__xludf.DUMMYFUNCTION("""COMPUTED_VALUE"""),5.0)</f>
        <v>5</v>
      </c>
      <c r="E46" s="257" t="str">
        <f>IFERROR(__xludf.DUMMYFUNCTION("""COMPUTED_VALUE"""),"SLM8")</f>
        <v>SLM8</v>
      </c>
      <c r="F46" s="42" t="str">
        <f>IFERROR(__xludf.DUMMYFUNCTION("""COMPUTED_VALUE"""),"Salem")</f>
        <v>Salem</v>
      </c>
      <c r="G46" s="258" t="str">
        <f>IFERROR(__xludf.DUMMYFUNCTION("""COMPUTED_VALUE"""),"Meadows")</f>
        <v>Meadows</v>
      </c>
      <c r="H46" s="259">
        <f>IFERROR(__xludf.DUMMYFUNCTION("""COMPUTED_VALUE"""),21.0)</f>
        <v>21</v>
      </c>
      <c r="I46" s="260">
        <f>IFERROR(__xludf.DUMMYFUNCTION("""COMPUTED_VALUE"""),49.70238095238095)</f>
        <v>49.70238095</v>
      </c>
      <c r="J46" s="261">
        <f>IFERROR(__xludf.DUMMYFUNCTION("""COMPUTED_VALUE"""),52.5)</f>
        <v>52.5</v>
      </c>
      <c r="K46" s="262" t="str">
        <f>IFERROR(__xludf.DUMMYFUNCTION("""COMPUTED_VALUE"""),"AP")</f>
        <v>AP</v>
      </c>
      <c r="L46" s="261">
        <f>IFERROR(__xludf.DUMMYFUNCTION("""COMPUTED_VALUE"""),40.0)</f>
        <v>40</v>
      </c>
      <c r="M46" s="262" t="str">
        <f>IFERROR(__xludf.DUMMYFUNCTION("""COMPUTED_VALUE"""),"％")</f>
        <v>％</v>
      </c>
      <c r="N46" s="259">
        <f>IFERROR(__xludf.DUMMYFUNCTION("""COMPUTED_VALUE"""),3473.0)</f>
        <v>3473</v>
      </c>
      <c r="O46" s="263"/>
      <c r="P46" s="93" t="str">
        <f>IFERROR(__xludf.DUMMYFUNCTION("""COMPUTED_VALUE"""),"")</f>
        <v/>
      </c>
      <c r="Q46" s="166"/>
      <c r="R46" s="254"/>
      <c r="S46" s="255"/>
      <c r="T46" s="256">
        <f>IFERROR(__xludf.DUMMYFUNCTION("""COMPUTED_VALUE"""),5.0)</f>
        <v>5</v>
      </c>
      <c r="U46" s="257" t="str">
        <f>IFERROR(__xludf.DUMMYFUNCTION("""COMPUTED_VALUE"""),"SMS7")</f>
        <v>SMS7</v>
      </c>
      <c r="V46" s="42" t="str">
        <f>IFERROR(__xludf.DUMMYFUNCTION("""COMPUTED_VALUE"""),"Shimosa")</f>
        <v>Shimosa</v>
      </c>
      <c r="W46" s="258" t="str">
        <f>IFERROR(__xludf.DUMMYFUNCTION("""COMPUTED_VALUE"""),"Rear Mountain (Nameless Sacred Mountain)")</f>
        <v>Rear Mountain (Nameless Sacred Mountain)</v>
      </c>
      <c r="X46" s="259">
        <f>IFERROR(__xludf.DUMMYFUNCTION("""COMPUTED_VALUE"""),21.0)</f>
        <v>21</v>
      </c>
      <c r="Y46" s="260">
        <f>IFERROR(__xludf.DUMMYFUNCTION("""COMPUTED_VALUE"""),49.70238095238095)</f>
        <v>49.70238095</v>
      </c>
      <c r="Z46" s="261">
        <f>IFERROR(__xludf.DUMMYFUNCTION("""COMPUTED_VALUE"""),85.7)</f>
        <v>85.7</v>
      </c>
      <c r="AA46" s="262" t="str">
        <f>IFERROR(__xludf.DUMMYFUNCTION("""COMPUTED_VALUE"""),"AP")</f>
        <v>AP</v>
      </c>
      <c r="AB46" s="261">
        <f>IFERROR(__xludf.DUMMYFUNCTION("""COMPUTED_VALUE"""),24.5)</f>
        <v>24.5</v>
      </c>
      <c r="AC46" s="262" t="str">
        <f>IFERROR(__xludf.DUMMYFUNCTION("""COMPUTED_VALUE"""),"％")</f>
        <v>％</v>
      </c>
      <c r="AD46" s="259">
        <f>IFERROR(__xludf.DUMMYFUNCTION("""COMPUTED_VALUE"""),8804.0)</f>
        <v>8804</v>
      </c>
      <c r="AE46" s="263"/>
      <c r="AF46" s="98" t="str">
        <f>IFERROR(__xludf.DUMMYFUNCTION("""COMPUTED_VALUE"""),"")</f>
        <v/>
      </c>
    </row>
    <row r="47" ht="16.5" customHeight="1">
      <c r="A47" s="61" t="str">
        <f>IFERROR(__xludf.DUMMYFUNCTION("""COMPUTED_VALUE"""),"")</f>
        <v/>
      </c>
      <c r="B47" s="356" t="str">
        <f>IFERROR(__xludf.DUMMYFUNCTION("""COMPUTED_VALUE"""),"A309")</f>
        <v>A309</v>
      </c>
      <c r="C47" s="65" t="str">
        <f>IFERROR(__xludf.DUMMYFUNCTION("""COMPUTED_VALUE"""),"Induced Oscillation Gunpowder")</f>
        <v>Induced Oscillation Gunpowder</v>
      </c>
      <c r="D47" s="67">
        <f>IFERROR(__xludf.DUMMYFUNCTION("""COMPUTED_VALUE"""),1.0)</f>
        <v>1</v>
      </c>
      <c r="E47" s="69" t="str">
        <f>IFERROR(__xludf.DUMMYFUNCTION("""COMPUTED_VALUE"""),"ANA2")</f>
        <v>ANA2</v>
      </c>
      <c r="F47" s="71" t="str">
        <f>IFERROR(__xludf.DUMMYFUNCTION("""COMPUTED_VALUE"""),"Anastasia")</f>
        <v>Anastasia</v>
      </c>
      <c r="G47" s="78" t="str">
        <f>IFERROR(__xludf.DUMMYFUNCTION("""COMPUTED_VALUE"""),"Yaga Smolensk")</f>
        <v>Yaga Smolensk</v>
      </c>
      <c r="H47" s="80">
        <f>IFERROR(__xludf.DUMMYFUNCTION("""COMPUTED_VALUE"""),20.0)</f>
        <v>20</v>
      </c>
      <c r="I47" s="82">
        <f>IFERROR(__xludf.DUMMYFUNCTION("""COMPUTED_VALUE"""),48.4375)</f>
        <v>48.4375</v>
      </c>
      <c r="J47" s="84">
        <f>IFERROR(__xludf.DUMMYFUNCTION("""COMPUTED_VALUE"""),30.6)</f>
        <v>30.6</v>
      </c>
      <c r="K47" s="86" t="str">
        <f>IFERROR(__xludf.DUMMYFUNCTION("""COMPUTED_VALUE"""),"AP")</f>
        <v>AP</v>
      </c>
      <c r="L47" s="88">
        <f>IFERROR(__xludf.DUMMYFUNCTION("""COMPUTED_VALUE"""),65.4)</f>
        <v>65.4</v>
      </c>
      <c r="M47" s="86" t="str">
        <f>IFERROR(__xludf.DUMMYFUNCTION("""COMPUTED_VALUE"""),"％")</f>
        <v>％</v>
      </c>
      <c r="N47" s="80">
        <f>IFERROR(__xludf.DUMMYFUNCTION("""COMPUTED_VALUE"""),17025.0)</f>
        <v>17025</v>
      </c>
      <c r="O47" s="91" t="str">
        <f>IFERROR(__xludf.DUMMYFUNCTION("""COMPUTED_VALUE"""),"Induced Oscillation Gunpowder")</f>
        <v>Induced Oscillation Gunpowder</v>
      </c>
      <c r="P47" s="93" t="str">
        <f>IFERROR(__xludf.DUMMYFUNCTION("""COMPUTED_VALUE"""),"")</f>
        <v/>
      </c>
      <c r="Q47" s="61" t="str">
        <f>IFERROR(__xludf.DUMMYFUNCTION("""COMPUTED_VALUE"""),"")</f>
        <v/>
      </c>
      <c r="R47" s="357" t="str">
        <f>IFERROR(__xludf.DUMMYFUNCTION("""COMPUTED_VALUE"""),"B112")</f>
        <v>B112</v>
      </c>
      <c r="S47" s="65" t="str">
        <f>IFERROR(__xludf.DUMMYFUNCTION("""COMPUTED_VALUE"""),"Magic Gem of Archer")</f>
        <v>Magic Gem of Archer</v>
      </c>
      <c r="T47" s="67">
        <f>IFERROR(__xludf.DUMMYFUNCTION("""COMPUTED_VALUE"""),1.0)</f>
        <v>1</v>
      </c>
      <c r="U47" s="69" t="str">
        <f>IFERROR(__xludf.DUMMYFUNCTION("""COMPUTED_VALUE"""),"TRF3")</f>
        <v>TRF3</v>
      </c>
      <c r="V47" s="71" t="str">
        <f>IFERROR(__xludf.DUMMYFUNCTION("""COMPUTED_VALUE"""),"Chaldea Gate (Mon)")</f>
        <v>Chaldea Gate (Mon)</v>
      </c>
      <c r="W47" s="71" t="str">
        <f>IFERROR(__xludf.DUMMYFUNCTION("""COMPUTED_VALUE"""),"MON Archer Training Ground- Adv")</f>
        <v>MON Archer Training Ground- Adv</v>
      </c>
      <c r="X47" s="80">
        <f>IFERROR(__xludf.DUMMYFUNCTION("""COMPUTED_VALUE"""),30.0)</f>
        <v>30</v>
      </c>
      <c r="Y47" s="82">
        <f>IFERROR(__xludf.DUMMYFUNCTION("""COMPUTED_VALUE"""),18.958333333333332)</f>
        <v>18.95833333</v>
      </c>
      <c r="Z47" s="84">
        <f>IFERROR(__xludf.DUMMYFUNCTION("""COMPUTED_VALUE"""),19.4)</f>
        <v>19.4</v>
      </c>
      <c r="AA47" s="86" t="str">
        <f>IFERROR(__xludf.DUMMYFUNCTION("""COMPUTED_VALUE"""),"AP")</f>
        <v>AP</v>
      </c>
      <c r="AB47" s="88">
        <f>IFERROR(__xludf.DUMMYFUNCTION("""COMPUTED_VALUE"""),154.3)</f>
        <v>154.3</v>
      </c>
      <c r="AC47" s="86" t="str">
        <f>IFERROR(__xludf.DUMMYFUNCTION("""COMPUTED_VALUE"""),"％")</f>
        <v>％</v>
      </c>
      <c r="AD47" s="80">
        <f>IFERROR(__xludf.DUMMYFUNCTION("""COMPUTED_VALUE"""),817.0)</f>
        <v>817</v>
      </c>
      <c r="AE47" s="91" t="str">
        <f>IFERROR(__xludf.DUMMYFUNCTION("""COMPUTED_VALUE"""),"Magic Gem of Archer")</f>
        <v>Magic Gem of Archer</v>
      </c>
      <c r="AF47" s="98" t="str">
        <f>IFERROR(__xludf.DUMMYFUNCTION("""COMPUTED_VALUE"""),"")</f>
        <v/>
      </c>
    </row>
    <row r="48" ht="16.5" customHeight="1">
      <c r="B48" s="358"/>
      <c r="C48" s="100"/>
      <c r="D48" s="102">
        <f>IFERROR(__xludf.DUMMYFUNCTION("""COMPUTED_VALUE"""),2.0)</f>
        <v>2</v>
      </c>
      <c r="E48" s="103" t="str">
        <f>IFERROR(__xludf.DUMMYFUNCTION("""COMPUTED_VALUE"""),"ANA5")</f>
        <v>ANA5</v>
      </c>
      <c r="F48" s="104" t="str">
        <f>IFERROR(__xludf.DUMMYFUNCTION("""COMPUTED_VALUE"""),"Anastasia")</f>
        <v>Anastasia</v>
      </c>
      <c r="G48" s="108" t="str">
        <f>IFERROR(__xludf.DUMMYFUNCTION("""COMPUTED_VALUE"""),"Yaga Sychyovka")</f>
        <v>Yaga Sychyovka</v>
      </c>
      <c r="H48" s="109">
        <f>IFERROR(__xludf.DUMMYFUNCTION("""COMPUTED_VALUE"""),21.0)</f>
        <v>21</v>
      </c>
      <c r="I48" s="110">
        <f>IFERROR(__xludf.DUMMYFUNCTION("""COMPUTED_VALUE"""),47.32142857142857)</f>
        <v>47.32142857</v>
      </c>
      <c r="J48" s="112">
        <f>IFERROR(__xludf.DUMMYFUNCTION("""COMPUTED_VALUE"""),48.1)</f>
        <v>48.1</v>
      </c>
      <c r="K48" s="121" t="str">
        <f>IFERROR(__xludf.DUMMYFUNCTION("""COMPUTED_VALUE"""),"AP")</f>
        <v>AP</v>
      </c>
      <c r="L48" s="123">
        <f>IFERROR(__xludf.DUMMYFUNCTION("""COMPUTED_VALUE"""),43.6)</f>
        <v>43.6</v>
      </c>
      <c r="M48" s="121" t="str">
        <f>IFERROR(__xludf.DUMMYFUNCTION("""COMPUTED_VALUE"""),"％")</f>
        <v>％</v>
      </c>
      <c r="N48" s="109">
        <f>IFERROR(__xludf.DUMMYFUNCTION("""COMPUTED_VALUE"""),5752.0)</f>
        <v>5752</v>
      </c>
      <c r="O48" s="100"/>
      <c r="P48" s="93" t="str">
        <f>IFERROR(__xludf.DUMMYFUNCTION("""COMPUTED_VALUE"""),"")</f>
        <v/>
      </c>
      <c r="R48" s="358"/>
      <c r="S48" s="100"/>
      <c r="T48" s="102">
        <f>IFERROR(__xludf.DUMMYFUNCTION("""COMPUTED_VALUE"""),2.0)</f>
        <v>2</v>
      </c>
      <c r="U48" s="103" t="str">
        <f>IFERROR(__xludf.DUMMYFUNCTION("""COMPUTED_VALUE"""),"TRF4")</f>
        <v>TRF4</v>
      </c>
      <c r="V48" s="104" t="str">
        <f>IFERROR(__xludf.DUMMYFUNCTION("""COMPUTED_VALUE"""),"Chaldea Gate (Mon)")</f>
        <v>Chaldea Gate (Mon)</v>
      </c>
      <c r="W48" s="104" t="str">
        <f>IFERROR(__xludf.DUMMYFUNCTION("""COMPUTED_VALUE"""),"MON Archer Training Ground- Exp")</f>
        <v>MON Archer Training Ground- Exp</v>
      </c>
      <c r="X48" s="109">
        <f>IFERROR(__xludf.DUMMYFUNCTION("""COMPUTED_VALUE"""),40.0)</f>
        <v>40</v>
      </c>
      <c r="Y48" s="110">
        <f>IFERROR(__xludf.DUMMYFUNCTION("""COMPUTED_VALUE"""),20.46875)</f>
        <v>20.46875</v>
      </c>
      <c r="Z48" s="112">
        <f>IFERROR(__xludf.DUMMYFUNCTION("""COMPUTED_VALUE"""),33.5)</f>
        <v>33.5</v>
      </c>
      <c r="AA48" s="121" t="str">
        <f>IFERROR(__xludf.DUMMYFUNCTION("""COMPUTED_VALUE"""),"AP")</f>
        <v>AP</v>
      </c>
      <c r="AB48" s="123">
        <f>IFERROR(__xludf.DUMMYFUNCTION("""COMPUTED_VALUE"""),119.5)</f>
        <v>119.5</v>
      </c>
      <c r="AC48" s="121" t="str">
        <f>IFERROR(__xludf.DUMMYFUNCTION("""COMPUTED_VALUE"""),"％")</f>
        <v>％</v>
      </c>
      <c r="AD48" s="109">
        <f>IFERROR(__xludf.DUMMYFUNCTION("""COMPUTED_VALUE"""),9159.0)</f>
        <v>9159</v>
      </c>
      <c r="AE48" s="100"/>
      <c r="AF48" s="98" t="str">
        <f>IFERROR(__xludf.DUMMYFUNCTION("""COMPUTED_VALUE"""),"")</f>
        <v/>
      </c>
    </row>
    <row r="49" ht="16.5" customHeight="1">
      <c r="B49" s="358"/>
      <c r="C49" s="100"/>
      <c r="D49" s="130">
        <f>IFERROR(__xludf.DUMMYFUNCTION("""COMPUTED_VALUE"""),3.0)</f>
        <v>3</v>
      </c>
      <c r="E49" s="132" t="str">
        <f>IFERROR(__xludf.DUMMYFUNCTION("""COMPUTED_VALUE"""),"ANA4")</f>
        <v>ANA4</v>
      </c>
      <c r="F49" s="133" t="str">
        <f>IFERROR(__xludf.DUMMYFUNCTION("""COMPUTED_VALUE"""),"Anastasia")</f>
        <v>Anastasia</v>
      </c>
      <c r="G49" s="135" t="str">
        <f>IFERROR(__xludf.DUMMYFUNCTION("""COMPUTED_VALUE"""),"Rebellion Army's Stronghold")</f>
        <v>Rebellion Army's Stronghold</v>
      </c>
      <c r="H49" s="137">
        <f>IFERROR(__xludf.DUMMYFUNCTION("""COMPUTED_VALUE"""),21.0)</f>
        <v>21</v>
      </c>
      <c r="I49" s="139">
        <f>IFERROR(__xludf.DUMMYFUNCTION("""COMPUTED_VALUE"""),47.32142857142857)</f>
        <v>47.32142857</v>
      </c>
      <c r="J49" s="141">
        <f>IFERROR(__xludf.DUMMYFUNCTION("""COMPUTED_VALUE"""),50.0)</f>
        <v>50</v>
      </c>
      <c r="K49" s="143" t="str">
        <f>IFERROR(__xludf.DUMMYFUNCTION("""COMPUTED_VALUE"""),"AP")</f>
        <v>AP</v>
      </c>
      <c r="L49" s="145">
        <f>IFERROR(__xludf.DUMMYFUNCTION("""COMPUTED_VALUE"""),42.0)</f>
        <v>42</v>
      </c>
      <c r="M49" s="143" t="str">
        <f>IFERROR(__xludf.DUMMYFUNCTION("""COMPUTED_VALUE"""),"％")</f>
        <v>％</v>
      </c>
      <c r="N49" s="137">
        <f>IFERROR(__xludf.DUMMYFUNCTION("""COMPUTED_VALUE"""),1539.0)</f>
        <v>1539</v>
      </c>
      <c r="O49" s="100"/>
      <c r="P49" s="93" t="str">
        <f>IFERROR(__xludf.DUMMYFUNCTION("""COMPUTED_VALUE"""),"")</f>
        <v/>
      </c>
      <c r="R49" s="358"/>
      <c r="S49" s="100"/>
      <c r="T49" s="130">
        <f>IFERROR(__xludf.DUMMYFUNCTION("""COMPUTED_VALUE"""),3.0)</f>
        <v>3</v>
      </c>
      <c r="U49" s="132" t="str">
        <f>IFERROR(__xludf.DUMMYFUNCTION("""COMPUTED_VALUE"""),"TRF2")</f>
        <v>TRF2</v>
      </c>
      <c r="V49" s="133" t="str">
        <f>IFERROR(__xludf.DUMMYFUNCTION("""COMPUTED_VALUE"""),"Chaldea Gate (Mon)")</f>
        <v>Chaldea Gate (Mon)</v>
      </c>
      <c r="W49" s="133" t="str">
        <f>IFERROR(__xludf.DUMMYFUNCTION("""COMPUTED_VALUE"""),"MON Archer Training Ground- Int")</f>
        <v>MON Archer Training Ground- Int</v>
      </c>
      <c r="X49" s="137">
        <f>IFERROR(__xludf.DUMMYFUNCTION("""COMPUTED_VALUE"""),20.0)</f>
        <v>20</v>
      </c>
      <c r="Y49" s="139">
        <f>IFERROR(__xludf.DUMMYFUNCTION("""COMPUTED_VALUE"""),19.0625)</f>
        <v>19.0625</v>
      </c>
      <c r="Z49" s="141">
        <f>IFERROR(__xludf.DUMMYFUNCTION("""COMPUTED_VALUE"""),55.0)</f>
        <v>55</v>
      </c>
      <c r="AA49" s="143" t="str">
        <f>IFERROR(__xludf.DUMMYFUNCTION("""COMPUTED_VALUE"""),"AP")</f>
        <v>AP</v>
      </c>
      <c r="AB49" s="145">
        <f>IFERROR(__xludf.DUMMYFUNCTION("""COMPUTED_VALUE"""),36.4)</f>
        <v>36.4</v>
      </c>
      <c r="AC49" s="143" t="str">
        <f>IFERROR(__xludf.DUMMYFUNCTION("""COMPUTED_VALUE"""),"％")</f>
        <v>％</v>
      </c>
      <c r="AD49" s="137">
        <f>IFERROR(__xludf.DUMMYFUNCTION("""COMPUTED_VALUE"""),657.0)</f>
        <v>657</v>
      </c>
      <c r="AE49" s="100"/>
      <c r="AF49" s="98" t="str">
        <f>IFERROR(__xludf.DUMMYFUNCTION("""COMPUTED_VALUE"""),"")</f>
        <v/>
      </c>
    </row>
    <row r="50" ht="16.5" customHeight="1">
      <c r="B50" s="358"/>
      <c r="C50" s="100"/>
      <c r="D50" s="146">
        <f>IFERROR(__xludf.DUMMYFUNCTION("""COMPUTED_VALUE"""),4.0)</f>
        <v>4</v>
      </c>
      <c r="E50" s="148" t="str">
        <f>IFERROR(__xludf.DUMMYFUNCTION("""COMPUTED_VALUE"""),"ANA6")</f>
        <v>ANA6</v>
      </c>
      <c r="F50" s="150" t="str">
        <f>IFERROR(__xludf.DUMMYFUNCTION("""COMPUTED_VALUE"""),"Anastasia")</f>
        <v>Anastasia</v>
      </c>
      <c r="G50" s="152" t="str">
        <f>IFERROR(__xludf.DUMMYFUNCTION("""COMPUTED_VALUE"""),"Devastated Village")</f>
        <v>Devastated Village</v>
      </c>
      <c r="H50" s="154">
        <f>IFERROR(__xludf.DUMMYFUNCTION("""COMPUTED_VALUE"""),21.0)</f>
        <v>21</v>
      </c>
      <c r="I50" s="156">
        <f>IFERROR(__xludf.DUMMYFUNCTION("""COMPUTED_VALUE"""),47.32142857142857)</f>
        <v>47.32142857</v>
      </c>
      <c r="J50" s="158">
        <f>IFERROR(__xludf.DUMMYFUNCTION("""COMPUTED_VALUE"""),51.8)</f>
        <v>51.8</v>
      </c>
      <c r="K50" s="160" t="str">
        <f>IFERROR(__xludf.DUMMYFUNCTION("""COMPUTED_VALUE"""),"AP")</f>
        <v>AP</v>
      </c>
      <c r="L50" s="162">
        <f>IFERROR(__xludf.DUMMYFUNCTION("""COMPUTED_VALUE"""),40.6)</f>
        <v>40.6</v>
      </c>
      <c r="M50" s="160" t="str">
        <f>IFERROR(__xludf.DUMMYFUNCTION("""COMPUTED_VALUE"""),"％")</f>
        <v>％</v>
      </c>
      <c r="N50" s="154">
        <f>IFERROR(__xludf.DUMMYFUNCTION("""COMPUTED_VALUE"""),56810.0)</f>
        <v>56810</v>
      </c>
      <c r="O50" s="100"/>
      <c r="P50" s="93" t="str">
        <f>IFERROR(__xludf.DUMMYFUNCTION("""COMPUTED_VALUE"""),"")</f>
        <v/>
      </c>
      <c r="R50" s="358"/>
      <c r="S50" s="100"/>
      <c r="T50" s="146">
        <f>IFERROR(__xludf.DUMMYFUNCTION("""COMPUTED_VALUE"""),4.0)</f>
        <v>4</v>
      </c>
      <c r="U50" s="148" t="str">
        <f>IFERROR(__xludf.DUMMYFUNCTION("""COMPUTED_VALUE"""),"SJK3")</f>
        <v>SJK3</v>
      </c>
      <c r="V50" s="150" t="str">
        <f>IFERROR(__xludf.DUMMYFUNCTION("""COMPUTED_VALUE"""),"Shinjuku")</f>
        <v>Shinjuku</v>
      </c>
      <c r="W50" s="152" t="str">
        <f>IFERROR(__xludf.DUMMYFUNCTION("""COMPUTED_VALUE"""),"Shinjuku Station")</f>
        <v>Shinjuku Station</v>
      </c>
      <c r="X50" s="154">
        <f>IFERROR(__xludf.DUMMYFUNCTION("""COMPUTED_VALUE"""),21.0)</f>
        <v>21</v>
      </c>
      <c r="Y50" s="156">
        <f>IFERROR(__xludf.DUMMYFUNCTION("""COMPUTED_VALUE"""),47.32142857142857)</f>
        <v>47.32142857</v>
      </c>
      <c r="Z50" s="158">
        <f>IFERROR(__xludf.DUMMYFUNCTION("""COMPUTED_VALUE"""),86.4)</f>
        <v>86.4</v>
      </c>
      <c r="AA50" s="160" t="str">
        <f>IFERROR(__xludf.DUMMYFUNCTION("""COMPUTED_VALUE"""),"AP")</f>
        <v>AP</v>
      </c>
      <c r="AB50" s="162">
        <f>IFERROR(__xludf.DUMMYFUNCTION("""COMPUTED_VALUE"""),24.3)</f>
        <v>24.3</v>
      </c>
      <c r="AC50" s="160" t="str">
        <f>IFERROR(__xludf.DUMMYFUNCTION("""COMPUTED_VALUE"""),"％")</f>
        <v>％</v>
      </c>
      <c r="AD50" s="154">
        <f>IFERROR(__xludf.DUMMYFUNCTION("""COMPUTED_VALUE"""),16623.0)</f>
        <v>16623</v>
      </c>
      <c r="AE50" s="100"/>
      <c r="AF50" s="98" t="str">
        <f>IFERROR(__xludf.DUMMYFUNCTION("""COMPUTED_VALUE"""),"")</f>
        <v/>
      </c>
    </row>
    <row r="51" ht="16.5" customHeight="1">
      <c r="A51" s="166"/>
      <c r="B51" s="359"/>
      <c r="C51" s="168"/>
      <c r="D51" s="169">
        <f>IFERROR(__xludf.DUMMYFUNCTION("""COMPUTED_VALUE"""),5.0)</f>
        <v>5</v>
      </c>
      <c r="E51" s="170" t="str">
        <f>IFERROR(__xludf.DUMMYFUNCTION("""COMPUTED_VALUE"""),"ANA7")</f>
        <v>ANA7</v>
      </c>
      <c r="F51" s="51" t="str">
        <f>IFERROR(__xludf.DUMMYFUNCTION("""COMPUTED_VALUE"""),"Anastasia")</f>
        <v>Anastasia</v>
      </c>
      <c r="G51" s="171" t="str">
        <f>IFERROR(__xludf.DUMMYFUNCTION("""COMPUTED_VALUE"""),"Yaga Vyazma")</f>
        <v>Yaga Vyazma</v>
      </c>
      <c r="H51" s="172">
        <f>IFERROR(__xludf.DUMMYFUNCTION("""COMPUTED_VALUE"""),21.0)</f>
        <v>21</v>
      </c>
      <c r="I51" s="173">
        <f>IFERROR(__xludf.DUMMYFUNCTION("""COMPUTED_VALUE"""),48.51190476190476)</f>
        <v>48.51190476</v>
      </c>
      <c r="J51" s="174">
        <f>IFERROR(__xludf.DUMMYFUNCTION("""COMPUTED_VALUE"""),53.3)</f>
        <v>53.3</v>
      </c>
      <c r="K51" s="175" t="str">
        <f>IFERROR(__xludf.DUMMYFUNCTION("""COMPUTED_VALUE"""),"AP")</f>
        <v>AP</v>
      </c>
      <c r="L51" s="176">
        <f>IFERROR(__xludf.DUMMYFUNCTION("""COMPUTED_VALUE"""),39.4)</f>
        <v>39.4</v>
      </c>
      <c r="M51" s="175" t="str">
        <f>IFERROR(__xludf.DUMMYFUNCTION("""COMPUTED_VALUE"""),"％")</f>
        <v>％</v>
      </c>
      <c r="N51" s="172">
        <f>IFERROR(__xludf.DUMMYFUNCTION("""COMPUTED_VALUE"""),26722.0)</f>
        <v>26722</v>
      </c>
      <c r="O51" s="168"/>
      <c r="P51" s="93" t="str">
        <f>IFERROR(__xludf.DUMMYFUNCTION("""COMPUTED_VALUE"""),"")</f>
        <v/>
      </c>
      <c r="Q51" s="166"/>
      <c r="R51" s="359"/>
      <c r="S51" s="168"/>
      <c r="T51" s="169">
        <f>IFERROR(__xludf.DUMMYFUNCTION("""COMPUTED_VALUE"""),5.0)</f>
        <v>5</v>
      </c>
      <c r="U51" s="170" t="str">
        <f>IFERROR(__xludf.DUMMYFUNCTION("""COMPUTED_VALUE"""),"SIN8")</f>
        <v>SIN8</v>
      </c>
      <c r="V51" s="51" t="str">
        <f>IFERROR(__xludf.DUMMYFUNCTION("""COMPUTED_VALUE"""),"SIN")</f>
        <v>SIN</v>
      </c>
      <c r="W51" s="171" t="str">
        <f>IFERROR(__xludf.DUMMYFUNCTION("""COMPUTED_VALUE"""),"Shiquan Gorge")</f>
        <v>Shiquan Gorge</v>
      </c>
      <c r="X51" s="172">
        <f>IFERROR(__xludf.DUMMYFUNCTION("""COMPUTED_VALUE"""),21.0)</f>
        <v>21</v>
      </c>
      <c r="Y51" s="173">
        <f>IFERROR(__xludf.DUMMYFUNCTION("""COMPUTED_VALUE"""),49.70238095238095)</f>
        <v>49.70238095</v>
      </c>
      <c r="Z51" s="174">
        <f>IFERROR(__xludf.DUMMYFUNCTION("""COMPUTED_VALUE"""),109.9)</f>
        <v>109.9</v>
      </c>
      <c r="AA51" s="175" t="str">
        <f>IFERROR(__xludf.DUMMYFUNCTION("""COMPUTED_VALUE"""),"AP")</f>
        <v>AP</v>
      </c>
      <c r="AB51" s="176">
        <f>IFERROR(__xludf.DUMMYFUNCTION("""COMPUTED_VALUE"""),19.1)</f>
        <v>19.1</v>
      </c>
      <c r="AC51" s="175" t="str">
        <f>IFERROR(__xludf.DUMMYFUNCTION("""COMPUTED_VALUE"""),"％")</f>
        <v>％</v>
      </c>
      <c r="AD51" s="172">
        <f>IFERROR(__xludf.DUMMYFUNCTION("""COMPUTED_VALUE"""),9582.0)</f>
        <v>9582</v>
      </c>
      <c r="AE51" s="168"/>
      <c r="AF51" s="98" t="str">
        <f>IFERROR(__xludf.DUMMYFUNCTION("""COMPUTED_VALUE"""),"")</f>
        <v/>
      </c>
    </row>
    <row r="52" ht="16.5" customHeight="1">
      <c r="A52" s="61" t="str">
        <f>IFERROR(__xludf.DUMMYFUNCTION("""COMPUTED_VALUE"""),"")</f>
        <v/>
      </c>
      <c r="B52" s="179" t="str">
        <f>IFERROR(__xludf.DUMMYFUNCTION("""COMPUTED_VALUE"""),"A201")</f>
        <v>A201</v>
      </c>
      <c r="C52" s="180" t="str">
        <f>IFERROR(__xludf.DUMMYFUNCTION("""COMPUTED_VALUE"""),"Seed of Yggdrasil")</f>
        <v>Seed of Yggdrasil</v>
      </c>
      <c r="D52" s="181">
        <f>IFERROR(__xludf.DUMMYFUNCTION("""COMPUTED_VALUE"""),1.0)</f>
        <v>1</v>
      </c>
      <c r="E52" s="182" t="str">
        <f>IFERROR(__xludf.DUMMYFUNCTION("""COMPUTED_VALUE"""),"BBL1")</f>
        <v>BBL1</v>
      </c>
      <c r="F52" s="184" t="str">
        <f>IFERROR(__xludf.DUMMYFUNCTION("""COMPUTED_VALUE"""),"Babylonia")</f>
        <v>Babylonia</v>
      </c>
      <c r="G52" s="189" t="str">
        <f>IFERROR(__xludf.DUMMYFUNCTION("""COMPUTED_VALUE"""),"Fallen Babylon")</f>
        <v>Fallen Babylon</v>
      </c>
      <c r="H52" s="190">
        <f>IFERROR(__xludf.DUMMYFUNCTION("""COMPUTED_VALUE"""),20.0)</f>
        <v>20</v>
      </c>
      <c r="I52" s="191">
        <f>IFERROR(__xludf.DUMMYFUNCTION("""COMPUTED_VALUE"""),48.4375)</f>
        <v>48.4375</v>
      </c>
      <c r="J52" s="192">
        <f>IFERROR(__xludf.DUMMYFUNCTION("""COMPUTED_VALUE"""),39.5)</f>
        <v>39.5</v>
      </c>
      <c r="K52" s="194" t="str">
        <f>IFERROR(__xludf.DUMMYFUNCTION("""COMPUTED_VALUE"""),"AP")</f>
        <v>AP</v>
      </c>
      <c r="L52" s="192">
        <f>IFERROR(__xludf.DUMMYFUNCTION("""COMPUTED_VALUE"""),50.7)</f>
        <v>50.7</v>
      </c>
      <c r="M52" s="194" t="str">
        <f>IFERROR(__xludf.DUMMYFUNCTION("""COMPUTED_VALUE"""),"％")</f>
        <v>％</v>
      </c>
      <c r="N52" s="190">
        <f>IFERROR(__xludf.DUMMYFUNCTION("""COMPUTED_VALUE"""),5219.0)</f>
        <v>5219</v>
      </c>
      <c r="O52" s="197" t="str">
        <f>IFERROR(__xludf.DUMMYFUNCTION("""COMPUTED_VALUE"""),"Seed of Yggdrasil")</f>
        <v>Seed of Yggdrasil</v>
      </c>
      <c r="P52" s="93" t="str">
        <f>IFERROR(__xludf.DUMMYFUNCTION("""COMPUTED_VALUE"""),"")</f>
        <v/>
      </c>
      <c r="Q52" s="61" t="str">
        <f>IFERROR(__xludf.DUMMYFUNCTION("""COMPUTED_VALUE"""),"")</f>
        <v/>
      </c>
      <c r="R52" s="199" t="str">
        <f>IFERROR(__xludf.DUMMYFUNCTION("""COMPUTED_VALUE"""),"B113")</f>
        <v>B113</v>
      </c>
      <c r="S52" s="180" t="str">
        <f>IFERROR(__xludf.DUMMYFUNCTION("""COMPUTED_VALUE"""),"Magic Gem of Lancer")</f>
        <v>Magic Gem of Lancer</v>
      </c>
      <c r="T52" s="181">
        <f>IFERROR(__xludf.DUMMYFUNCTION("""COMPUTED_VALUE"""),1.0)</f>
        <v>1</v>
      </c>
      <c r="U52" s="182" t="str">
        <f>IFERROR(__xludf.DUMMYFUNCTION("""COMPUTED_VALUE"""),"TRF7")</f>
        <v>TRF7</v>
      </c>
      <c r="V52" s="184" t="str">
        <f>IFERROR(__xludf.DUMMYFUNCTION("""COMPUTED_VALUE"""),"Chaldea Gate (Tue)")</f>
        <v>Chaldea Gate (Tue)</v>
      </c>
      <c r="W52" s="184" t="str">
        <f>IFERROR(__xludf.DUMMYFUNCTION("""COMPUTED_VALUE"""),"TUE Lancer Training Ground- Adv")</f>
        <v>TUE Lancer Training Ground- Adv</v>
      </c>
      <c r="X52" s="190">
        <f>IFERROR(__xludf.DUMMYFUNCTION("""COMPUTED_VALUE"""),30.0)</f>
        <v>30</v>
      </c>
      <c r="Y52" s="191">
        <f>IFERROR(__xludf.DUMMYFUNCTION("""COMPUTED_VALUE"""),18.958333333333332)</f>
        <v>18.95833333</v>
      </c>
      <c r="Z52" s="192">
        <f>IFERROR(__xludf.DUMMYFUNCTION("""COMPUTED_VALUE"""),20.3)</f>
        <v>20.3</v>
      </c>
      <c r="AA52" s="194" t="str">
        <f>IFERROR(__xludf.DUMMYFUNCTION("""COMPUTED_VALUE"""),"AP")</f>
        <v>AP</v>
      </c>
      <c r="AB52" s="192">
        <f>IFERROR(__xludf.DUMMYFUNCTION("""COMPUTED_VALUE"""),147.7)</f>
        <v>147.7</v>
      </c>
      <c r="AC52" s="194" t="str">
        <f>IFERROR(__xludf.DUMMYFUNCTION("""COMPUTED_VALUE"""),"％")</f>
        <v>％</v>
      </c>
      <c r="AD52" s="190">
        <f>IFERROR(__xludf.DUMMYFUNCTION("""COMPUTED_VALUE"""),1022.0)</f>
        <v>1022</v>
      </c>
      <c r="AE52" s="197" t="str">
        <f>IFERROR(__xludf.DUMMYFUNCTION("""COMPUTED_VALUE"""),"Magic Gem of Lancer")</f>
        <v>Magic Gem of Lancer</v>
      </c>
      <c r="AF52" s="98" t="str">
        <f>IFERROR(__xludf.DUMMYFUNCTION("""COMPUTED_VALUE"""),"")</f>
        <v/>
      </c>
    </row>
    <row r="53" ht="16.5" customHeight="1">
      <c r="B53" s="203"/>
      <c r="C53" s="204"/>
      <c r="D53" s="205">
        <f>IFERROR(__xludf.DUMMYFUNCTION("""COMPUTED_VALUE"""),2.0)</f>
        <v>2</v>
      </c>
      <c r="E53" s="206" t="str">
        <f>IFERROR(__xludf.DUMMYFUNCTION("""COMPUTED_VALUE"""),"SLM1")</f>
        <v>SLM1</v>
      </c>
      <c r="F53" s="207" t="str">
        <f>IFERROR(__xludf.DUMMYFUNCTION("""COMPUTED_VALUE"""),"Salem")</f>
        <v>Salem</v>
      </c>
      <c r="G53" s="209" t="str">
        <f>IFERROR(__xludf.DUMMYFUNCTION("""COMPUTED_VALUE"""),"Quiet Forest")</f>
        <v>Quiet Forest</v>
      </c>
      <c r="H53" s="211">
        <f>IFERROR(__xludf.DUMMYFUNCTION("""COMPUTED_VALUE"""),20.0)</f>
        <v>20</v>
      </c>
      <c r="I53" s="213">
        <f>IFERROR(__xludf.DUMMYFUNCTION("""COMPUTED_VALUE"""),48.4375)</f>
        <v>48.4375</v>
      </c>
      <c r="J53" s="214">
        <f>IFERROR(__xludf.DUMMYFUNCTION("""COMPUTED_VALUE"""),42.4)</f>
        <v>42.4</v>
      </c>
      <c r="K53" s="215" t="str">
        <f>IFERROR(__xludf.DUMMYFUNCTION("""COMPUTED_VALUE"""),"AP")</f>
        <v>AP</v>
      </c>
      <c r="L53" s="214">
        <f>IFERROR(__xludf.DUMMYFUNCTION("""COMPUTED_VALUE"""),47.2)</f>
        <v>47.2</v>
      </c>
      <c r="M53" s="215" t="str">
        <f>IFERROR(__xludf.DUMMYFUNCTION("""COMPUTED_VALUE"""),"％")</f>
        <v>％</v>
      </c>
      <c r="N53" s="211">
        <f>IFERROR(__xludf.DUMMYFUNCTION("""COMPUTED_VALUE"""),992.0)</f>
        <v>992</v>
      </c>
      <c r="O53" s="217"/>
      <c r="P53" s="93" t="str">
        <f>IFERROR(__xludf.DUMMYFUNCTION("""COMPUTED_VALUE"""),"")</f>
        <v/>
      </c>
      <c r="R53" s="203"/>
      <c r="S53" s="204"/>
      <c r="T53" s="205">
        <f>IFERROR(__xludf.DUMMYFUNCTION("""COMPUTED_VALUE"""),2.0)</f>
        <v>2</v>
      </c>
      <c r="U53" s="206" t="str">
        <f>IFERROR(__xludf.DUMMYFUNCTION("""COMPUTED_VALUE"""),"TRF6")</f>
        <v>TRF6</v>
      </c>
      <c r="V53" s="207" t="str">
        <f>IFERROR(__xludf.DUMMYFUNCTION("""COMPUTED_VALUE"""),"Chaldea Gate (Tue)")</f>
        <v>Chaldea Gate (Tue)</v>
      </c>
      <c r="W53" s="207" t="str">
        <f>IFERROR(__xludf.DUMMYFUNCTION("""COMPUTED_VALUE"""),"TUE Lancer Training Ground- Int")</f>
        <v>TUE Lancer Training Ground- Int</v>
      </c>
      <c r="X53" s="211">
        <f>IFERROR(__xludf.DUMMYFUNCTION("""COMPUTED_VALUE"""),20.0)</f>
        <v>20</v>
      </c>
      <c r="Y53" s="213">
        <f>IFERROR(__xludf.DUMMYFUNCTION("""COMPUTED_VALUE"""),19.0625)</f>
        <v>19.0625</v>
      </c>
      <c r="Z53" s="214">
        <f>IFERROR(__xludf.DUMMYFUNCTION("""COMPUTED_VALUE"""),31.6)</f>
        <v>31.6</v>
      </c>
      <c r="AA53" s="215" t="str">
        <f>IFERROR(__xludf.DUMMYFUNCTION("""COMPUTED_VALUE"""),"AP")</f>
        <v>AP</v>
      </c>
      <c r="AB53" s="214">
        <f>IFERROR(__xludf.DUMMYFUNCTION("""COMPUTED_VALUE"""),63.3)</f>
        <v>63.3</v>
      </c>
      <c r="AC53" s="215" t="str">
        <f>IFERROR(__xludf.DUMMYFUNCTION("""COMPUTED_VALUE"""),"％")</f>
        <v>％</v>
      </c>
      <c r="AD53" s="211">
        <f>IFERROR(__xludf.DUMMYFUNCTION("""COMPUTED_VALUE"""),338.0)</f>
        <v>338</v>
      </c>
      <c r="AE53" s="217"/>
      <c r="AF53" s="98" t="str">
        <f>IFERROR(__xludf.DUMMYFUNCTION("""COMPUTED_VALUE"""),"")</f>
        <v/>
      </c>
    </row>
    <row r="54" ht="16.5" customHeight="1">
      <c r="B54" s="203"/>
      <c r="C54" s="204"/>
      <c r="D54" s="222">
        <f>IFERROR(__xludf.DUMMYFUNCTION("""COMPUTED_VALUE"""),3.0)</f>
        <v>3</v>
      </c>
      <c r="E54" s="223" t="str">
        <f>IFERROR(__xludf.DUMMYFUNCTION("""COMPUTED_VALUE"""),"SLM10")</f>
        <v>SLM10</v>
      </c>
      <c r="F54" s="224" t="str">
        <f>IFERROR(__xludf.DUMMYFUNCTION("""COMPUTED_VALUE"""),"Salem")</f>
        <v>Salem</v>
      </c>
      <c r="G54" s="226" t="str">
        <f>IFERROR(__xludf.DUMMYFUNCTION("""COMPUTED_VALUE"""),"Refuge")</f>
        <v>Refuge</v>
      </c>
      <c r="H54" s="228">
        <f>IFERROR(__xludf.DUMMYFUNCTION("""COMPUTED_VALUE"""),21.0)</f>
        <v>21</v>
      </c>
      <c r="I54" s="230">
        <f>IFERROR(__xludf.DUMMYFUNCTION("""COMPUTED_VALUE"""),50.892857142857146)</f>
        <v>50.89285714</v>
      </c>
      <c r="J54" s="231">
        <f>IFERROR(__xludf.DUMMYFUNCTION("""COMPUTED_VALUE"""),47.4)</f>
        <v>47.4</v>
      </c>
      <c r="K54" s="232" t="str">
        <f>IFERROR(__xludf.DUMMYFUNCTION("""COMPUTED_VALUE"""),"AP")</f>
        <v>AP</v>
      </c>
      <c r="L54" s="231">
        <f>IFERROR(__xludf.DUMMYFUNCTION("""COMPUTED_VALUE"""),44.3)</f>
        <v>44.3</v>
      </c>
      <c r="M54" s="232" t="str">
        <f>IFERROR(__xludf.DUMMYFUNCTION("""COMPUTED_VALUE"""),"％")</f>
        <v>％</v>
      </c>
      <c r="N54" s="228">
        <f>IFERROR(__xludf.DUMMYFUNCTION("""COMPUTED_VALUE"""),5220.0)</f>
        <v>5220</v>
      </c>
      <c r="O54" s="217"/>
      <c r="P54" s="93" t="str">
        <f>IFERROR(__xludf.DUMMYFUNCTION("""COMPUTED_VALUE"""),"")</f>
        <v/>
      </c>
      <c r="R54" s="203"/>
      <c r="S54" s="204"/>
      <c r="T54" s="222">
        <f>IFERROR(__xludf.DUMMYFUNCTION("""COMPUTED_VALUE"""),3.0)</f>
        <v>3</v>
      </c>
      <c r="U54" s="223" t="str">
        <f>IFERROR(__xludf.DUMMYFUNCTION("""COMPUTED_VALUE"""),"TRF8")</f>
        <v>TRF8</v>
      </c>
      <c r="V54" s="224" t="str">
        <f>IFERROR(__xludf.DUMMYFUNCTION("""COMPUTED_VALUE"""),"Chaldea Gate (Tue)")</f>
        <v>Chaldea Gate (Tue)</v>
      </c>
      <c r="W54" s="224" t="str">
        <f>IFERROR(__xludf.DUMMYFUNCTION("""COMPUTED_VALUE"""),"TUE Lancer Training Ground- Exp")</f>
        <v>TUE Lancer Training Ground- Exp</v>
      </c>
      <c r="X54" s="228">
        <f>IFERROR(__xludf.DUMMYFUNCTION("""COMPUTED_VALUE"""),40.0)</f>
        <v>40</v>
      </c>
      <c r="Y54" s="230">
        <f>IFERROR(__xludf.DUMMYFUNCTION("""COMPUTED_VALUE"""),20.46875)</f>
        <v>20.46875</v>
      </c>
      <c r="Z54" s="231">
        <f>IFERROR(__xludf.DUMMYFUNCTION("""COMPUTED_VALUE"""),33.3)</f>
        <v>33.3</v>
      </c>
      <c r="AA54" s="232" t="str">
        <f>IFERROR(__xludf.DUMMYFUNCTION("""COMPUTED_VALUE"""),"AP")</f>
        <v>AP</v>
      </c>
      <c r="AB54" s="231">
        <f>IFERROR(__xludf.DUMMYFUNCTION("""COMPUTED_VALUE"""),120.1)</f>
        <v>120.1</v>
      </c>
      <c r="AC54" s="232" t="str">
        <f>IFERROR(__xludf.DUMMYFUNCTION("""COMPUTED_VALUE"""),"％")</f>
        <v>％</v>
      </c>
      <c r="AD54" s="228">
        <f>IFERROR(__xludf.DUMMYFUNCTION("""COMPUTED_VALUE"""),5650.0)</f>
        <v>5650</v>
      </c>
      <c r="AE54" s="217"/>
      <c r="AF54" s="98" t="str">
        <f>IFERROR(__xludf.DUMMYFUNCTION("""COMPUTED_VALUE"""),"")</f>
        <v/>
      </c>
    </row>
    <row r="55" ht="16.5" customHeight="1">
      <c r="B55" s="203"/>
      <c r="C55" s="204"/>
      <c r="D55" s="238">
        <f>IFERROR(__xludf.DUMMYFUNCTION("""COMPUTED_VALUE"""),4.0)</f>
        <v>4</v>
      </c>
      <c r="E55" s="240" t="str">
        <f>IFERROR(__xludf.DUMMYFUNCTION("""COMPUTED_VALUE"""),"AGT3")</f>
        <v>AGT3</v>
      </c>
      <c r="F55" s="242" t="str">
        <f>IFERROR(__xludf.DUMMYFUNCTION("""COMPUTED_VALUE"""),"Agartha")</f>
        <v>Agartha</v>
      </c>
      <c r="G55" s="244" t="str">
        <f>IFERROR(__xludf.DUMMYFUNCTION("""COMPUTED_VALUE"""),"Riverside Town")</f>
        <v>Riverside Town</v>
      </c>
      <c r="H55" s="246">
        <f>IFERROR(__xludf.DUMMYFUNCTION("""COMPUTED_VALUE"""),20.0)</f>
        <v>20</v>
      </c>
      <c r="I55" s="248">
        <f>IFERROR(__xludf.DUMMYFUNCTION("""COMPUTED_VALUE"""),48.4375)</f>
        <v>48.4375</v>
      </c>
      <c r="J55" s="250">
        <f>IFERROR(__xludf.DUMMYFUNCTION("""COMPUTED_VALUE"""),50.1)</f>
        <v>50.1</v>
      </c>
      <c r="K55" s="252" t="str">
        <f>IFERROR(__xludf.DUMMYFUNCTION("""COMPUTED_VALUE"""),"AP")</f>
        <v>AP</v>
      </c>
      <c r="L55" s="250">
        <f>IFERROR(__xludf.DUMMYFUNCTION("""COMPUTED_VALUE"""),39.9)</f>
        <v>39.9</v>
      </c>
      <c r="M55" s="252" t="str">
        <f>IFERROR(__xludf.DUMMYFUNCTION("""COMPUTED_VALUE"""),"％")</f>
        <v>％</v>
      </c>
      <c r="N55" s="246">
        <f>IFERROR(__xludf.DUMMYFUNCTION("""COMPUTED_VALUE"""),10369.0)</f>
        <v>10369</v>
      </c>
      <c r="O55" s="217"/>
      <c r="P55" s="93" t="str">
        <f>IFERROR(__xludf.DUMMYFUNCTION("""COMPUTED_VALUE"""),"")</f>
        <v/>
      </c>
      <c r="R55" s="203"/>
      <c r="S55" s="204"/>
      <c r="T55" s="238">
        <f>IFERROR(__xludf.DUMMYFUNCTION("""COMPUTED_VALUE"""),4.0)</f>
        <v>4</v>
      </c>
      <c r="U55" s="240" t="str">
        <f>IFERROR(__xludf.DUMMYFUNCTION("""COMPUTED_VALUE"""),"YKS1")</f>
        <v>YKS1</v>
      </c>
      <c r="V55" s="242" t="str">
        <f>IFERROR(__xludf.DUMMYFUNCTION("""COMPUTED_VALUE"""),"Yuga Kshetra")</f>
        <v>Yuga Kshetra</v>
      </c>
      <c r="W55" s="244" t="str">
        <f>IFERROR(__xludf.DUMMYFUNCTION("""COMPUTED_VALUE"""),"Initiate Point")</f>
        <v>Initiate Point</v>
      </c>
      <c r="X55" s="246">
        <f>IFERROR(__xludf.DUMMYFUNCTION("""COMPUTED_VALUE"""),20.0)</f>
        <v>20</v>
      </c>
      <c r="Y55" s="248">
        <f>IFERROR(__xludf.DUMMYFUNCTION("""COMPUTED_VALUE"""),48.4375)</f>
        <v>48.4375</v>
      </c>
      <c r="Z55" s="250">
        <f>IFERROR(__xludf.DUMMYFUNCTION("""COMPUTED_VALUE"""),93.0)</f>
        <v>93</v>
      </c>
      <c r="AA55" s="252" t="str">
        <f>IFERROR(__xludf.DUMMYFUNCTION("""COMPUTED_VALUE"""),"AP")</f>
        <v>AP</v>
      </c>
      <c r="AB55" s="250">
        <f>IFERROR(__xludf.DUMMYFUNCTION("""COMPUTED_VALUE"""),21.5)</f>
        <v>21.5</v>
      </c>
      <c r="AC55" s="252" t="str">
        <f>IFERROR(__xludf.DUMMYFUNCTION("""COMPUTED_VALUE"""),"％")</f>
        <v>％</v>
      </c>
      <c r="AD55" s="246">
        <f>IFERROR(__xludf.DUMMYFUNCTION("""COMPUTED_VALUE"""),1430.0)</f>
        <v>1430</v>
      </c>
      <c r="AE55" s="217"/>
      <c r="AF55" s="98" t="str">
        <f>IFERROR(__xludf.DUMMYFUNCTION("""COMPUTED_VALUE"""),"")</f>
        <v/>
      </c>
    </row>
    <row r="56" ht="16.5" customHeight="1">
      <c r="A56" s="166"/>
      <c r="B56" s="254"/>
      <c r="C56" s="255"/>
      <c r="D56" s="256">
        <f>IFERROR(__xludf.DUMMYFUNCTION("""COMPUTED_VALUE"""),5.0)</f>
        <v>5</v>
      </c>
      <c r="E56" s="257" t="str">
        <f>IFERROR(__xludf.DUMMYFUNCTION("""COMPUTED_VALUE"""),"SMS1")</f>
        <v>SMS1</v>
      </c>
      <c r="F56" s="42" t="str">
        <f>IFERROR(__xludf.DUMMYFUNCTION("""COMPUTED_VALUE"""),"Shimosa")</f>
        <v>Shimosa</v>
      </c>
      <c r="G56" s="258" t="str">
        <f>IFERROR(__xludf.DUMMYFUNCTION("""COMPUTED_VALUE"""),"Rice Field")</f>
        <v>Rice Field</v>
      </c>
      <c r="H56" s="259">
        <f>IFERROR(__xludf.DUMMYFUNCTION("""COMPUTED_VALUE"""),20.0)</f>
        <v>20</v>
      </c>
      <c r="I56" s="260">
        <f>IFERROR(__xludf.DUMMYFUNCTION("""COMPUTED_VALUE"""),48.4375)</f>
        <v>48.4375</v>
      </c>
      <c r="J56" s="261">
        <f>IFERROR(__xludf.DUMMYFUNCTION("""COMPUTED_VALUE"""),50.2)</f>
        <v>50.2</v>
      </c>
      <c r="K56" s="262" t="str">
        <f>IFERROR(__xludf.DUMMYFUNCTION("""COMPUTED_VALUE"""),"AP")</f>
        <v>AP</v>
      </c>
      <c r="L56" s="261">
        <f>IFERROR(__xludf.DUMMYFUNCTION("""COMPUTED_VALUE"""),39.8)</f>
        <v>39.8</v>
      </c>
      <c r="M56" s="262" t="str">
        <f>IFERROR(__xludf.DUMMYFUNCTION("""COMPUTED_VALUE"""),"％")</f>
        <v>％</v>
      </c>
      <c r="N56" s="259">
        <f>IFERROR(__xludf.DUMMYFUNCTION("""COMPUTED_VALUE"""),47058.0)</f>
        <v>47058</v>
      </c>
      <c r="O56" s="263"/>
      <c r="P56" s="93" t="str">
        <f>IFERROR(__xludf.DUMMYFUNCTION("""COMPUTED_VALUE"""),"")</f>
        <v/>
      </c>
      <c r="Q56" s="166"/>
      <c r="R56" s="254"/>
      <c r="S56" s="255"/>
      <c r="T56" s="256">
        <f>IFERROR(__xludf.DUMMYFUNCTION("""COMPUTED_VALUE"""),5.0)</f>
        <v>5</v>
      </c>
      <c r="U56" s="257" t="str">
        <f>IFERROR(__xludf.DUMMYFUNCTION("""COMPUTED_VALUE"""),"SLM5")</f>
        <v>SLM5</v>
      </c>
      <c r="V56" s="42" t="str">
        <f>IFERROR(__xludf.DUMMYFUNCTION("""COMPUTED_VALUE"""),"Salem")</f>
        <v>Salem</v>
      </c>
      <c r="W56" s="258" t="str">
        <f>IFERROR(__xludf.DUMMYFUNCTION("""COMPUTED_VALUE"""),"Whateley House")</f>
        <v>Whateley House</v>
      </c>
      <c r="X56" s="259">
        <f>IFERROR(__xludf.DUMMYFUNCTION("""COMPUTED_VALUE"""),21.0)</f>
        <v>21</v>
      </c>
      <c r="Y56" s="260">
        <f>IFERROR(__xludf.DUMMYFUNCTION("""COMPUTED_VALUE"""),48.51190476190476)</f>
        <v>48.51190476</v>
      </c>
      <c r="Z56" s="261">
        <f>IFERROR(__xludf.DUMMYFUNCTION("""COMPUTED_VALUE"""),108.2)</f>
        <v>108.2</v>
      </c>
      <c r="AA56" s="262" t="str">
        <f>IFERROR(__xludf.DUMMYFUNCTION("""COMPUTED_VALUE"""),"AP")</f>
        <v>AP</v>
      </c>
      <c r="AB56" s="261">
        <f>IFERROR(__xludf.DUMMYFUNCTION("""COMPUTED_VALUE"""),19.4)</f>
        <v>19.4</v>
      </c>
      <c r="AC56" s="262" t="str">
        <f>IFERROR(__xludf.DUMMYFUNCTION("""COMPUTED_VALUE"""),"％")</f>
        <v>％</v>
      </c>
      <c r="AD56" s="259">
        <f>IFERROR(__xludf.DUMMYFUNCTION("""COMPUTED_VALUE"""),2483.0)</f>
        <v>2483</v>
      </c>
      <c r="AE56" s="263"/>
      <c r="AF56" s="98" t="str">
        <f>IFERROR(__xludf.DUMMYFUNCTION("""COMPUTED_VALUE"""),"")</f>
        <v/>
      </c>
    </row>
    <row r="57" ht="16.5" customHeight="1">
      <c r="A57" s="61" t="str">
        <f>IFERROR(__xludf.DUMMYFUNCTION("""COMPUTED_VALUE"""),"")</f>
        <v/>
      </c>
      <c r="B57" s="356" t="str">
        <f>IFERROR(__xludf.DUMMYFUNCTION("""COMPUTED_VALUE"""),"A202")</f>
        <v>A202</v>
      </c>
      <c r="C57" s="65" t="str">
        <f>IFERROR(__xludf.DUMMYFUNCTION("""COMPUTED_VALUE"""),"Ghost Lantern")</f>
        <v>Ghost Lantern</v>
      </c>
      <c r="D57" s="67">
        <f>IFERROR(__xludf.DUMMYFUNCTION("""COMPUTED_VALUE"""),1.0)</f>
        <v>1</v>
      </c>
      <c r="E57" s="69" t="str">
        <f>IFERROR(__xludf.DUMMYFUNCTION("""COMPUTED_VALUE"""),"BBL10")</f>
        <v>BBL10</v>
      </c>
      <c r="F57" s="71" t="str">
        <f>IFERROR(__xludf.DUMMYFUNCTION("""COMPUTED_VALUE"""),"Babylonia")</f>
        <v>Babylonia</v>
      </c>
      <c r="G57" s="78" t="str">
        <f>IFERROR(__xludf.DUMMYFUNCTION("""COMPUTED_VALUE"""),"Kutha")</f>
        <v>Kutha</v>
      </c>
      <c r="H57" s="80">
        <f>IFERROR(__xludf.DUMMYFUNCTION("""COMPUTED_VALUE"""),21.0)</f>
        <v>21</v>
      </c>
      <c r="I57" s="82">
        <f>IFERROR(__xludf.DUMMYFUNCTION("""COMPUTED_VALUE"""),49.70238095238095)</f>
        <v>49.70238095</v>
      </c>
      <c r="J57" s="84">
        <f>IFERROR(__xludf.DUMMYFUNCTION("""COMPUTED_VALUE"""),52.1)</f>
        <v>52.1</v>
      </c>
      <c r="K57" s="86" t="str">
        <f>IFERROR(__xludf.DUMMYFUNCTION("""COMPUTED_VALUE"""),"AP")</f>
        <v>AP</v>
      </c>
      <c r="L57" s="88">
        <f>IFERROR(__xludf.DUMMYFUNCTION("""COMPUTED_VALUE"""),40.3)</f>
        <v>40.3</v>
      </c>
      <c r="M57" s="86" t="str">
        <f>IFERROR(__xludf.DUMMYFUNCTION("""COMPUTED_VALUE"""),"％")</f>
        <v>％</v>
      </c>
      <c r="N57" s="80">
        <f>IFERROR(__xludf.DUMMYFUNCTION("""COMPUTED_VALUE"""),12980.0)</f>
        <v>12980</v>
      </c>
      <c r="O57" s="91" t="str">
        <f>IFERROR(__xludf.DUMMYFUNCTION("""COMPUTED_VALUE"""),"Ghost Lantern")</f>
        <v>Ghost Lantern</v>
      </c>
      <c r="P57" s="93" t="str">
        <f>IFERROR(__xludf.DUMMYFUNCTION("""COMPUTED_VALUE"""),"")</f>
        <v/>
      </c>
      <c r="Q57" s="61" t="str">
        <f>IFERROR(__xludf.DUMMYFUNCTION("""COMPUTED_VALUE"""),"")</f>
        <v/>
      </c>
      <c r="R57" s="357" t="str">
        <f>IFERROR(__xludf.DUMMYFUNCTION("""COMPUTED_VALUE"""),"B114")</f>
        <v>B114</v>
      </c>
      <c r="S57" s="65" t="str">
        <f>IFERROR(__xludf.DUMMYFUNCTION("""COMPUTED_VALUE"""),"Magic Gem of Rider")</f>
        <v>Magic Gem of Rider</v>
      </c>
      <c r="T57" s="67">
        <f>IFERROR(__xludf.DUMMYFUNCTION("""COMPUTED_VALUE"""),1.0)</f>
        <v>1</v>
      </c>
      <c r="U57" s="69" t="str">
        <f>IFERROR(__xludf.DUMMYFUNCTION("""COMPUTED_VALUE"""),"TRF14")</f>
        <v>TRF14</v>
      </c>
      <c r="V57" s="71" t="str">
        <f>IFERROR(__xludf.DUMMYFUNCTION("""COMPUTED_VALUE"""),"Chaldea Gate (Thu)")</f>
        <v>Chaldea Gate (Thu)</v>
      </c>
      <c r="W57" s="71" t="str">
        <f>IFERROR(__xludf.DUMMYFUNCTION("""COMPUTED_VALUE"""),"THU Rider Training Ground- Int")</f>
        <v>THU Rider Training Ground- Int</v>
      </c>
      <c r="X57" s="80">
        <f>IFERROR(__xludf.DUMMYFUNCTION("""COMPUTED_VALUE"""),20.0)</f>
        <v>20</v>
      </c>
      <c r="Y57" s="82">
        <f>IFERROR(__xludf.DUMMYFUNCTION("""COMPUTED_VALUE"""),19.0625)</f>
        <v>19.0625</v>
      </c>
      <c r="Z57" s="84">
        <f>IFERROR(__xludf.DUMMYFUNCTION("""COMPUTED_VALUE"""),21.4)</f>
        <v>21.4</v>
      </c>
      <c r="AA57" s="86" t="str">
        <f>IFERROR(__xludf.DUMMYFUNCTION("""COMPUTED_VALUE"""),"AP")</f>
        <v>AP</v>
      </c>
      <c r="AB57" s="88">
        <f>IFERROR(__xludf.DUMMYFUNCTION("""COMPUTED_VALUE"""),93.3)</f>
        <v>93.3</v>
      </c>
      <c r="AC57" s="86" t="str">
        <f>IFERROR(__xludf.DUMMYFUNCTION("""COMPUTED_VALUE"""),"％")</f>
        <v>％</v>
      </c>
      <c r="AD57" s="80">
        <f>IFERROR(__xludf.DUMMYFUNCTION("""COMPUTED_VALUE"""),712.0)</f>
        <v>712</v>
      </c>
      <c r="AE57" s="91" t="str">
        <f>IFERROR(__xludf.DUMMYFUNCTION("""COMPUTED_VALUE"""),"Magic Gem of Rider")</f>
        <v>Magic Gem of Rider</v>
      </c>
      <c r="AF57" s="98" t="str">
        <f>IFERROR(__xludf.DUMMYFUNCTION("""COMPUTED_VALUE"""),"")</f>
        <v/>
      </c>
    </row>
    <row r="58" ht="16.5" customHeight="1">
      <c r="B58" s="358"/>
      <c r="C58" s="100"/>
      <c r="D58" s="102">
        <f>IFERROR(__xludf.DUMMYFUNCTION("""COMPUTED_VALUE"""),2.0)</f>
        <v>2</v>
      </c>
      <c r="E58" s="103" t="str">
        <f>IFERROR(__xludf.DUMMYFUNCTION("""COMPUTED_VALUE"""),"CML6")</f>
        <v>CML6</v>
      </c>
      <c r="F58" s="104" t="str">
        <f>IFERROR(__xludf.DUMMYFUNCTION("""COMPUTED_VALUE"""),"Camelot")</f>
        <v>Camelot</v>
      </c>
      <c r="G58" s="108" t="str">
        <f>IFERROR(__xludf.DUMMYFUNCTION("""COMPUTED_VALUE"""),"Mausoleum of the Evening Bell")</f>
        <v>Mausoleum of the Evening Bell</v>
      </c>
      <c r="H58" s="109">
        <f>IFERROR(__xludf.DUMMYFUNCTION("""COMPUTED_VALUE"""),19.0)</f>
        <v>19</v>
      </c>
      <c r="I58" s="110">
        <f>IFERROR(__xludf.DUMMYFUNCTION("""COMPUTED_VALUE"""),47.03947368421053)</f>
        <v>47.03947368</v>
      </c>
      <c r="J58" s="112">
        <f>IFERROR(__xludf.DUMMYFUNCTION("""COMPUTED_VALUE"""),58.4)</f>
        <v>58.4</v>
      </c>
      <c r="K58" s="121" t="str">
        <f>IFERROR(__xludf.DUMMYFUNCTION("""COMPUTED_VALUE"""),"AP")</f>
        <v>AP</v>
      </c>
      <c r="L58" s="123">
        <f>IFERROR(__xludf.DUMMYFUNCTION("""COMPUTED_VALUE"""),32.6)</f>
        <v>32.6</v>
      </c>
      <c r="M58" s="121" t="str">
        <f>IFERROR(__xludf.DUMMYFUNCTION("""COMPUTED_VALUE"""),"％")</f>
        <v>％</v>
      </c>
      <c r="N58" s="109">
        <f>IFERROR(__xludf.DUMMYFUNCTION("""COMPUTED_VALUE"""),2202.0)</f>
        <v>2202</v>
      </c>
      <c r="O58" s="100"/>
      <c r="P58" s="93" t="str">
        <f>IFERROR(__xludf.DUMMYFUNCTION("""COMPUTED_VALUE"""),"")</f>
        <v/>
      </c>
      <c r="R58" s="358"/>
      <c r="S58" s="100"/>
      <c r="T58" s="102">
        <f>IFERROR(__xludf.DUMMYFUNCTION("""COMPUTED_VALUE"""),2.0)</f>
        <v>2</v>
      </c>
      <c r="U58" s="103" t="str">
        <f>IFERROR(__xludf.DUMMYFUNCTION("""COMPUTED_VALUE"""),"TRF15")</f>
        <v>TRF15</v>
      </c>
      <c r="V58" s="104" t="str">
        <f>IFERROR(__xludf.DUMMYFUNCTION("""COMPUTED_VALUE"""),"Chaldea Gate (Thu)")</f>
        <v>Chaldea Gate (Thu)</v>
      </c>
      <c r="W58" s="104" t="str">
        <f>IFERROR(__xludf.DUMMYFUNCTION("""COMPUTED_VALUE"""),"THU Rider Training Ground- Adv")</f>
        <v>THU Rider Training Ground- Adv</v>
      </c>
      <c r="X58" s="109">
        <f>IFERROR(__xludf.DUMMYFUNCTION("""COMPUTED_VALUE"""),30.0)</f>
        <v>30</v>
      </c>
      <c r="Y58" s="110">
        <f>IFERROR(__xludf.DUMMYFUNCTION("""COMPUTED_VALUE"""),18.958333333333332)</f>
        <v>18.95833333</v>
      </c>
      <c r="Z58" s="112">
        <f>IFERROR(__xludf.DUMMYFUNCTION("""COMPUTED_VALUE"""),25.2)</f>
        <v>25.2</v>
      </c>
      <c r="AA58" s="121" t="str">
        <f>IFERROR(__xludf.DUMMYFUNCTION("""COMPUTED_VALUE"""),"AP")</f>
        <v>AP</v>
      </c>
      <c r="AB58" s="123">
        <f>IFERROR(__xludf.DUMMYFUNCTION("""COMPUTED_VALUE"""),119.1)</f>
        <v>119.1</v>
      </c>
      <c r="AC58" s="121" t="str">
        <f>IFERROR(__xludf.DUMMYFUNCTION("""COMPUTED_VALUE"""),"％")</f>
        <v>％</v>
      </c>
      <c r="AD58" s="109">
        <f>IFERROR(__xludf.DUMMYFUNCTION("""COMPUTED_VALUE"""),721.0)</f>
        <v>721</v>
      </c>
      <c r="AE58" s="100"/>
      <c r="AF58" s="98" t="str">
        <f>IFERROR(__xludf.DUMMYFUNCTION("""COMPUTED_VALUE"""),"")</f>
        <v/>
      </c>
    </row>
    <row r="59" ht="16.5" customHeight="1">
      <c r="B59" s="358"/>
      <c r="C59" s="100"/>
      <c r="D59" s="130">
        <f>IFERROR(__xludf.DUMMYFUNCTION("""COMPUTED_VALUE"""),3.0)</f>
        <v>3</v>
      </c>
      <c r="E59" s="132" t="str">
        <f>IFERROR(__xludf.DUMMYFUNCTION("""COMPUTED_VALUE"""),"OKN9")</f>
        <v>OKN9</v>
      </c>
      <c r="F59" s="133" t="str">
        <f>IFERROR(__xludf.DUMMYFUNCTION("""COMPUTED_VALUE"""),"Okeanos")</f>
        <v>Okeanos</v>
      </c>
      <c r="G59" s="135" t="str">
        <f>IFERROR(__xludf.DUMMYFUNCTION("""COMPUTED_VALUE"""),"Stormy Seas")</f>
        <v>Stormy Seas</v>
      </c>
      <c r="H59" s="137">
        <f>IFERROR(__xludf.DUMMYFUNCTION("""COMPUTED_VALUE"""),15.0)</f>
        <v>15</v>
      </c>
      <c r="I59" s="139">
        <f>IFERROR(__xludf.DUMMYFUNCTION("""COMPUTED_VALUE"""),37.916666666666664)</f>
        <v>37.91666667</v>
      </c>
      <c r="J59" s="141">
        <f>IFERROR(__xludf.DUMMYFUNCTION("""COMPUTED_VALUE"""),67.4)</f>
        <v>67.4</v>
      </c>
      <c r="K59" s="143" t="str">
        <f>IFERROR(__xludf.DUMMYFUNCTION("""COMPUTED_VALUE"""),"AP")</f>
        <v>AP</v>
      </c>
      <c r="L59" s="145">
        <f>IFERROR(__xludf.DUMMYFUNCTION("""COMPUTED_VALUE"""),22.2)</f>
        <v>22.2</v>
      </c>
      <c r="M59" s="143" t="str">
        <f>IFERROR(__xludf.DUMMYFUNCTION("""COMPUTED_VALUE"""),"％")</f>
        <v>％</v>
      </c>
      <c r="N59" s="137">
        <f>IFERROR(__xludf.DUMMYFUNCTION("""COMPUTED_VALUE"""),1542.0)</f>
        <v>1542</v>
      </c>
      <c r="O59" s="100"/>
      <c r="P59" s="93" t="str">
        <f>IFERROR(__xludf.DUMMYFUNCTION("""COMPUTED_VALUE"""),"")</f>
        <v/>
      </c>
      <c r="R59" s="358"/>
      <c r="S59" s="100"/>
      <c r="T59" s="130">
        <f>IFERROR(__xludf.DUMMYFUNCTION("""COMPUTED_VALUE"""),3.0)</f>
        <v>3</v>
      </c>
      <c r="U59" s="132" t="str">
        <f>IFERROR(__xludf.DUMMYFUNCTION("""COMPUTED_VALUE"""),"TRF16")</f>
        <v>TRF16</v>
      </c>
      <c r="V59" s="133" t="str">
        <f>IFERROR(__xludf.DUMMYFUNCTION("""COMPUTED_VALUE"""),"Chaldea Gate (Thu)")</f>
        <v>Chaldea Gate (Thu)</v>
      </c>
      <c r="W59" s="133" t="str">
        <f>IFERROR(__xludf.DUMMYFUNCTION("""COMPUTED_VALUE"""),"THU Rider Training Ground- Exp")</f>
        <v>THU Rider Training Ground- Exp</v>
      </c>
      <c r="X59" s="137">
        <f>IFERROR(__xludf.DUMMYFUNCTION("""COMPUTED_VALUE"""),40.0)</f>
        <v>40</v>
      </c>
      <c r="Y59" s="139">
        <f>IFERROR(__xludf.DUMMYFUNCTION("""COMPUTED_VALUE"""),20.46875)</f>
        <v>20.46875</v>
      </c>
      <c r="Z59" s="141">
        <f>IFERROR(__xludf.DUMMYFUNCTION("""COMPUTED_VALUE"""),42.2)</f>
        <v>42.2</v>
      </c>
      <c r="AA59" s="143" t="str">
        <f>IFERROR(__xludf.DUMMYFUNCTION("""COMPUTED_VALUE"""),"AP")</f>
        <v>AP</v>
      </c>
      <c r="AB59" s="145">
        <f>IFERROR(__xludf.DUMMYFUNCTION("""COMPUTED_VALUE"""),94.9)</f>
        <v>94.9</v>
      </c>
      <c r="AC59" s="143" t="str">
        <f>IFERROR(__xludf.DUMMYFUNCTION("""COMPUTED_VALUE"""),"％")</f>
        <v>％</v>
      </c>
      <c r="AD59" s="137">
        <f>IFERROR(__xludf.DUMMYFUNCTION("""COMPUTED_VALUE"""),3420.0)</f>
        <v>3420</v>
      </c>
      <c r="AE59" s="100"/>
      <c r="AF59" s="98" t="str">
        <f>IFERROR(__xludf.DUMMYFUNCTION("""COMPUTED_VALUE"""),"")</f>
        <v/>
      </c>
    </row>
    <row r="60" ht="16.5" customHeight="1">
      <c r="B60" s="358"/>
      <c r="C60" s="100"/>
      <c r="D60" s="146">
        <f>IFERROR(__xludf.DUMMYFUNCTION("""COMPUTED_VALUE"""),4.0)</f>
        <v>4</v>
      </c>
      <c r="E60" s="148" t="str">
        <f>IFERROR(__xludf.DUMMYFUNCTION("""COMPUTED_VALUE"""),"SMS1")</f>
        <v>SMS1</v>
      </c>
      <c r="F60" s="150" t="str">
        <f>IFERROR(__xludf.DUMMYFUNCTION("""COMPUTED_VALUE"""),"Shimosa")</f>
        <v>Shimosa</v>
      </c>
      <c r="G60" s="152" t="str">
        <f>IFERROR(__xludf.DUMMYFUNCTION("""COMPUTED_VALUE"""),"Rice Field")</f>
        <v>Rice Field</v>
      </c>
      <c r="H60" s="154">
        <f>IFERROR(__xludf.DUMMYFUNCTION("""COMPUTED_VALUE"""),20.0)</f>
        <v>20</v>
      </c>
      <c r="I60" s="156">
        <f>IFERROR(__xludf.DUMMYFUNCTION("""COMPUTED_VALUE"""),48.4375)</f>
        <v>48.4375</v>
      </c>
      <c r="J60" s="158">
        <f>IFERROR(__xludf.DUMMYFUNCTION("""COMPUTED_VALUE"""),77.6)</f>
        <v>77.6</v>
      </c>
      <c r="K60" s="160" t="str">
        <f>IFERROR(__xludf.DUMMYFUNCTION("""COMPUTED_VALUE"""),"AP")</f>
        <v>AP</v>
      </c>
      <c r="L60" s="162">
        <f>IFERROR(__xludf.DUMMYFUNCTION("""COMPUTED_VALUE"""),25.8)</f>
        <v>25.8</v>
      </c>
      <c r="M60" s="160" t="str">
        <f>IFERROR(__xludf.DUMMYFUNCTION("""COMPUTED_VALUE"""),"％")</f>
        <v>％</v>
      </c>
      <c r="N60" s="154">
        <f>IFERROR(__xludf.DUMMYFUNCTION("""COMPUTED_VALUE"""),47058.0)</f>
        <v>47058</v>
      </c>
      <c r="O60" s="100"/>
      <c r="P60" s="93" t="str">
        <f>IFERROR(__xludf.DUMMYFUNCTION("""COMPUTED_VALUE"""),"")</f>
        <v/>
      </c>
      <c r="R60" s="358"/>
      <c r="S60" s="100"/>
      <c r="T60" s="146">
        <f>IFERROR(__xludf.DUMMYFUNCTION("""COMPUTED_VALUE"""),4.0)</f>
        <v>4</v>
      </c>
      <c r="U60" s="148" t="str">
        <f>IFERROR(__xludf.DUMMYFUNCTION("""COMPUTED_VALUE"""),"GTT6")</f>
        <v>GTT6</v>
      </c>
      <c r="V60" s="150" t="str">
        <f>IFERROR(__xludf.DUMMYFUNCTION("""COMPUTED_VALUE"""),"Götterdämmerung")</f>
        <v>Götterdämmerung</v>
      </c>
      <c r="W60" s="152" t="str">
        <f>IFERROR(__xludf.DUMMYFUNCTION("""COMPUTED_VALUE"""),"Castle of Ice and Snow")</f>
        <v>Castle of Ice and Snow</v>
      </c>
      <c r="X60" s="154">
        <f>IFERROR(__xludf.DUMMYFUNCTION("""COMPUTED_VALUE"""),21.0)</f>
        <v>21</v>
      </c>
      <c r="Y60" s="156">
        <f>IFERROR(__xludf.DUMMYFUNCTION("""COMPUTED_VALUE"""),48.51190476190476)</f>
        <v>48.51190476</v>
      </c>
      <c r="Z60" s="158">
        <f>IFERROR(__xludf.DUMMYFUNCTION("""COMPUTED_VALUE"""),45.2)</f>
        <v>45.2</v>
      </c>
      <c r="AA60" s="160" t="str">
        <f>IFERROR(__xludf.DUMMYFUNCTION("""COMPUTED_VALUE"""),"AP")</f>
        <v>AP</v>
      </c>
      <c r="AB60" s="162">
        <f>IFERROR(__xludf.DUMMYFUNCTION("""COMPUTED_VALUE"""),46.5)</f>
        <v>46.5</v>
      </c>
      <c r="AC60" s="160" t="str">
        <f>IFERROR(__xludf.DUMMYFUNCTION("""COMPUTED_VALUE"""),"％")</f>
        <v>％</v>
      </c>
      <c r="AD60" s="154">
        <f>IFERROR(__xludf.DUMMYFUNCTION("""COMPUTED_VALUE"""),8569.0)</f>
        <v>8569</v>
      </c>
      <c r="AE60" s="100"/>
      <c r="AF60" s="98" t="str">
        <f>IFERROR(__xludf.DUMMYFUNCTION("""COMPUTED_VALUE"""),"")</f>
        <v/>
      </c>
    </row>
    <row r="61" ht="16.5" customHeight="1">
      <c r="A61" s="166"/>
      <c r="B61" s="359"/>
      <c r="C61" s="168"/>
      <c r="D61" s="169">
        <f>IFERROR(__xludf.DUMMYFUNCTION("""COMPUTED_VALUE"""),5.0)</f>
        <v>5</v>
      </c>
      <c r="E61" s="170" t="str">
        <f>IFERROR(__xludf.DUMMYFUNCTION("""COMPUTED_VALUE"""),"SMS9")</f>
        <v>SMS9</v>
      </c>
      <c r="F61" s="51" t="str">
        <f>IFERROR(__xludf.DUMMYFUNCTION("""COMPUTED_VALUE"""),"Shimosa")</f>
        <v>Shimosa</v>
      </c>
      <c r="G61" s="171" t="str">
        <f>IFERROR(__xludf.DUMMYFUNCTION("""COMPUTED_VALUE"""),"Rear Mountain (Trembling in Fear)")</f>
        <v>Rear Mountain (Trembling in Fear)</v>
      </c>
      <c r="H61" s="172">
        <f>IFERROR(__xludf.DUMMYFUNCTION("""COMPUTED_VALUE"""),21.0)</f>
        <v>21</v>
      </c>
      <c r="I61" s="173">
        <f>IFERROR(__xludf.DUMMYFUNCTION("""COMPUTED_VALUE"""),50.892857142857146)</f>
        <v>50.89285714</v>
      </c>
      <c r="J61" s="174">
        <f>IFERROR(__xludf.DUMMYFUNCTION("""COMPUTED_VALUE"""),83.3)</f>
        <v>83.3</v>
      </c>
      <c r="K61" s="175" t="str">
        <f>IFERROR(__xludf.DUMMYFUNCTION("""COMPUTED_VALUE"""),"AP")</f>
        <v>AP</v>
      </c>
      <c r="L61" s="176">
        <f>IFERROR(__xludf.DUMMYFUNCTION("""COMPUTED_VALUE"""),25.2)</f>
        <v>25.2</v>
      </c>
      <c r="M61" s="175" t="str">
        <f>IFERROR(__xludf.DUMMYFUNCTION("""COMPUTED_VALUE"""),"％")</f>
        <v>％</v>
      </c>
      <c r="N61" s="172">
        <f>IFERROR(__xludf.DUMMYFUNCTION("""COMPUTED_VALUE"""),18465.0)</f>
        <v>18465</v>
      </c>
      <c r="O61" s="168"/>
      <c r="P61" s="93" t="str">
        <f>IFERROR(__xludf.DUMMYFUNCTION("""COMPUTED_VALUE"""),"")</f>
        <v/>
      </c>
      <c r="Q61" s="166"/>
      <c r="R61" s="359"/>
      <c r="S61" s="168"/>
      <c r="T61" s="169">
        <f>IFERROR(__xludf.DUMMYFUNCTION("""COMPUTED_VALUE"""),5.0)</f>
        <v>5</v>
      </c>
      <c r="U61" s="170" t="str">
        <f>IFERROR(__xludf.DUMMYFUNCTION("""COMPUTED_VALUE"""),"GTT11")</f>
        <v>GTT11</v>
      </c>
      <c r="V61" s="51" t="str">
        <f>IFERROR(__xludf.DUMMYFUNCTION("""COMPUTED_VALUE"""),"Götterdämmerung")</f>
        <v>Götterdämmerung</v>
      </c>
      <c r="W61" s="171" t="str">
        <f>IFERROR(__xludf.DUMMYFUNCTION("""COMPUTED_VALUE"""),"Forgotten Temple")</f>
        <v>Forgotten Temple</v>
      </c>
      <c r="X61" s="172">
        <f>IFERROR(__xludf.DUMMYFUNCTION("""COMPUTED_VALUE"""),21.0)</f>
        <v>21</v>
      </c>
      <c r="Y61" s="173">
        <f>IFERROR(__xludf.DUMMYFUNCTION("""COMPUTED_VALUE"""),50.892857142857146)</f>
        <v>50.89285714</v>
      </c>
      <c r="Z61" s="174">
        <f>IFERROR(__xludf.DUMMYFUNCTION("""COMPUTED_VALUE"""),53.3)</f>
        <v>53.3</v>
      </c>
      <c r="AA61" s="175" t="str">
        <f>IFERROR(__xludf.DUMMYFUNCTION("""COMPUTED_VALUE"""),"AP")</f>
        <v>AP</v>
      </c>
      <c r="AB61" s="176">
        <f>IFERROR(__xludf.DUMMYFUNCTION("""COMPUTED_VALUE"""),39.4)</f>
        <v>39.4</v>
      </c>
      <c r="AC61" s="175" t="str">
        <f>IFERROR(__xludf.DUMMYFUNCTION("""COMPUTED_VALUE"""),"％")</f>
        <v>％</v>
      </c>
      <c r="AD61" s="172">
        <f>IFERROR(__xludf.DUMMYFUNCTION("""COMPUTED_VALUE"""),3740.0)</f>
        <v>3740</v>
      </c>
      <c r="AE61" s="168"/>
      <c r="AF61" s="98" t="str">
        <f>IFERROR(__xludf.DUMMYFUNCTION("""COMPUTED_VALUE"""),"")</f>
        <v/>
      </c>
    </row>
    <row r="62" ht="16.5" customHeight="1">
      <c r="A62" s="61" t="str">
        <f>IFERROR(__xludf.DUMMYFUNCTION("""COMPUTED_VALUE"""),"")</f>
        <v/>
      </c>
      <c r="B62" s="179" t="str">
        <f>IFERROR(__xludf.DUMMYFUNCTION("""COMPUTED_VALUE"""),"A203")</f>
        <v>A203</v>
      </c>
      <c r="C62" s="180" t="str">
        <f>IFERROR(__xludf.DUMMYFUNCTION("""COMPUTED_VALUE"""),"Octuplet Crystal")</f>
        <v>Octuplet Crystal</v>
      </c>
      <c r="D62" s="181">
        <f>IFERROR(__xludf.DUMMYFUNCTION("""COMPUTED_VALUE"""),1.0)</f>
        <v>1</v>
      </c>
      <c r="E62" s="182" t="str">
        <f>IFERROR(__xludf.DUMMYFUNCTION("""COMPUTED_VALUE"""),"AGT4")</f>
        <v>AGT4</v>
      </c>
      <c r="F62" s="184" t="str">
        <f>IFERROR(__xludf.DUMMYFUNCTION("""COMPUTED_VALUE"""),"Agartha")</f>
        <v>Agartha</v>
      </c>
      <c r="G62" s="189" t="str">
        <f>IFERROR(__xludf.DUMMYFUNCTION("""COMPUTED_VALUE"""),"Peach Blossom Shangri-La")</f>
        <v>Peach Blossom Shangri-La</v>
      </c>
      <c r="H62" s="190">
        <f>IFERROR(__xludf.DUMMYFUNCTION("""COMPUTED_VALUE"""),21.0)</f>
        <v>21</v>
      </c>
      <c r="I62" s="191">
        <f>IFERROR(__xludf.DUMMYFUNCTION("""COMPUTED_VALUE"""),47.32142857142857)</f>
        <v>47.32142857</v>
      </c>
      <c r="J62" s="192">
        <f>IFERROR(__xludf.DUMMYFUNCTION("""COMPUTED_VALUE"""),52.2)</f>
        <v>52.2</v>
      </c>
      <c r="K62" s="194" t="str">
        <f>IFERROR(__xludf.DUMMYFUNCTION("""COMPUTED_VALUE"""),"AP")</f>
        <v>AP</v>
      </c>
      <c r="L62" s="192">
        <f>IFERROR(__xludf.DUMMYFUNCTION("""COMPUTED_VALUE"""),40.2)</f>
        <v>40.2</v>
      </c>
      <c r="M62" s="194" t="str">
        <f>IFERROR(__xludf.DUMMYFUNCTION("""COMPUTED_VALUE"""),"％")</f>
        <v>％</v>
      </c>
      <c r="N62" s="190">
        <f>IFERROR(__xludf.DUMMYFUNCTION("""COMPUTED_VALUE"""),12123.0)</f>
        <v>12123</v>
      </c>
      <c r="O62" s="197" t="str">
        <f>IFERROR(__xludf.DUMMYFUNCTION("""COMPUTED_VALUE"""),"Octuplet Crystal")</f>
        <v>Octuplet Crystal</v>
      </c>
      <c r="P62" s="93" t="str">
        <f>IFERROR(__xludf.DUMMYFUNCTION("""COMPUTED_VALUE"""),"")</f>
        <v/>
      </c>
      <c r="Q62" s="61" t="str">
        <f>IFERROR(__xludf.DUMMYFUNCTION("""COMPUTED_VALUE"""),"")</f>
        <v/>
      </c>
      <c r="R62" s="199" t="str">
        <f>IFERROR(__xludf.DUMMYFUNCTION("""COMPUTED_VALUE"""),"B115")</f>
        <v>B115</v>
      </c>
      <c r="S62" s="180" t="str">
        <f>IFERROR(__xludf.DUMMYFUNCTION("""COMPUTED_VALUE"""),"Magic Gem of Caster")</f>
        <v>Magic Gem of Caster</v>
      </c>
      <c r="T62" s="181">
        <f>IFERROR(__xludf.DUMMYFUNCTION("""COMPUTED_VALUE"""),1.0)</f>
        <v>1</v>
      </c>
      <c r="U62" s="182" t="str">
        <f>IFERROR(__xludf.DUMMYFUNCTION("""COMPUTED_VALUE"""),"TRF19")</f>
        <v>TRF19</v>
      </c>
      <c r="V62" s="184" t="str">
        <f>IFERROR(__xludf.DUMMYFUNCTION("""COMPUTED_VALUE"""),"Chaldea Gate (Fri)")</f>
        <v>Chaldea Gate (Fri)</v>
      </c>
      <c r="W62" s="184" t="str">
        <f>IFERROR(__xludf.DUMMYFUNCTION("""COMPUTED_VALUE"""),"FRI Caster Training Ground- Adv")</f>
        <v>FRI Caster Training Ground- Adv</v>
      </c>
      <c r="X62" s="190">
        <f>IFERROR(__xludf.DUMMYFUNCTION("""COMPUTED_VALUE"""),30.0)</f>
        <v>30</v>
      </c>
      <c r="Y62" s="191">
        <f>IFERROR(__xludf.DUMMYFUNCTION("""COMPUTED_VALUE"""),18.958333333333332)</f>
        <v>18.95833333</v>
      </c>
      <c r="Z62" s="192">
        <f>IFERROR(__xludf.DUMMYFUNCTION("""COMPUTED_VALUE"""),17.4)</f>
        <v>17.4</v>
      </c>
      <c r="AA62" s="194" t="str">
        <f>IFERROR(__xludf.DUMMYFUNCTION("""COMPUTED_VALUE"""),"AP")</f>
        <v>AP</v>
      </c>
      <c r="AB62" s="192">
        <f>IFERROR(__xludf.DUMMYFUNCTION("""COMPUTED_VALUE"""),172.5)</f>
        <v>172.5</v>
      </c>
      <c r="AC62" s="194" t="str">
        <f>IFERROR(__xludf.DUMMYFUNCTION("""COMPUTED_VALUE"""),"％")</f>
        <v>％</v>
      </c>
      <c r="AD62" s="190">
        <f>IFERROR(__xludf.DUMMYFUNCTION("""COMPUTED_VALUE"""),1241.0)</f>
        <v>1241</v>
      </c>
      <c r="AE62" s="197" t="str">
        <f>IFERROR(__xludf.DUMMYFUNCTION("""COMPUTED_VALUE"""),"Magic Gem of Caster")</f>
        <v>Magic Gem of Caster</v>
      </c>
      <c r="AF62" s="98" t="str">
        <f>IFERROR(__xludf.DUMMYFUNCTION("""COMPUTED_VALUE"""),"")</f>
        <v/>
      </c>
    </row>
    <row r="63" ht="16.5" customHeight="1">
      <c r="B63" s="203"/>
      <c r="C63" s="204"/>
      <c r="D63" s="205">
        <f>IFERROR(__xludf.DUMMYFUNCTION("""COMPUTED_VALUE"""),2.0)</f>
        <v>2</v>
      </c>
      <c r="E63" s="206" t="str">
        <f>IFERROR(__xludf.DUMMYFUNCTION("""COMPUTED_VALUE"""),"CML10")</f>
        <v>CML10</v>
      </c>
      <c r="F63" s="207" t="str">
        <f>IFERROR(__xludf.DUMMYFUNCTION("""COMPUTED_VALUE"""),"Camelot")</f>
        <v>Camelot</v>
      </c>
      <c r="G63" s="209" t="str">
        <f>IFERROR(__xludf.DUMMYFUNCTION("""COMPUTED_VALUE"""),"Holy City")</f>
        <v>Holy City</v>
      </c>
      <c r="H63" s="211">
        <f>IFERROR(__xludf.DUMMYFUNCTION("""COMPUTED_VALUE"""),20.0)</f>
        <v>20</v>
      </c>
      <c r="I63" s="213">
        <f>IFERROR(__xludf.DUMMYFUNCTION("""COMPUTED_VALUE"""),47.1875)</f>
        <v>47.1875</v>
      </c>
      <c r="J63" s="214">
        <f>IFERROR(__xludf.DUMMYFUNCTION("""COMPUTED_VALUE"""),73.1)</f>
        <v>73.1</v>
      </c>
      <c r="K63" s="215" t="str">
        <f>IFERROR(__xludf.DUMMYFUNCTION("""COMPUTED_VALUE"""),"AP")</f>
        <v>AP</v>
      </c>
      <c r="L63" s="214">
        <f>IFERROR(__xludf.DUMMYFUNCTION("""COMPUTED_VALUE"""),27.4)</f>
        <v>27.4</v>
      </c>
      <c r="M63" s="215" t="str">
        <f>IFERROR(__xludf.DUMMYFUNCTION("""COMPUTED_VALUE"""),"％")</f>
        <v>％</v>
      </c>
      <c r="N63" s="211">
        <f>IFERROR(__xludf.DUMMYFUNCTION("""COMPUTED_VALUE"""),22807.0)</f>
        <v>22807</v>
      </c>
      <c r="O63" s="217"/>
      <c r="P63" s="93" t="str">
        <f>IFERROR(__xludf.DUMMYFUNCTION("""COMPUTED_VALUE"""),"")</f>
        <v/>
      </c>
      <c r="R63" s="203"/>
      <c r="S63" s="204"/>
      <c r="T63" s="205">
        <f>IFERROR(__xludf.DUMMYFUNCTION("""COMPUTED_VALUE"""),2.0)</f>
        <v>2</v>
      </c>
      <c r="U63" s="206" t="str">
        <f>IFERROR(__xludf.DUMMYFUNCTION("""COMPUTED_VALUE"""),"TRF18")</f>
        <v>TRF18</v>
      </c>
      <c r="V63" s="207" t="str">
        <f>IFERROR(__xludf.DUMMYFUNCTION("""COMPUTED_VALUE"""),"Chaldea Gate (Fri)")</f>
        <v>Chaldea Gate (Fri)</v>
      </c>
      <c r="W63" s="207" t="str">
        <f>IFERROR(__xludf.DUMMYFUNCTION("""COMPUTED_VALUE"""),"FRI Caster Training Ground- Int")</f>
        <v>FRI Caster Training Ground- Int</v>
      </c>
      <c r="X63" s="211">
        <f>IFERROR(__xludf.DUMMYFUNCTION("""COMPUTED_VALUE"""),20.0)</f>
        <v>20</v>
      </c>
      <c r="Y63" s="213">
        <f>IFERROR(__xludf.DUMMYFUNCTION("""COMPUTED_VALUE"""),19.0625)</f>
        <v>19.0625</v>
      </c>
      <c r="Z63" s="214">
        <f>IFERROR(__xludf.DUMMYFUNCTION("""COMPUTED_VALUE"""),25.3)</f>
        <v>25.3</v>
      </c>
      <c r="AA63" s="215" t="str">
        <f>IFERROR(__xludf.DUMMYFUNCTION("""COMPUTED_VALUE"""),"AP")</f>
        <v>AP</v>
      </c>
      <c r="AB63" s="214">
        <f>IFERROR(__xludf.DUMMYFUNCTION("""COMPUTED_VALUE"""),79.1)</f>
        <v>79.1</v>
      </c>
      <c r="AC63" s="215" t="str">
        <f>IFERROR(__xludf.DUMMYFUNCTION("""COMPUTED_VALUE"""),"％")</f>
        <v>％</v>
      </c>
      <c r="AD63" s="211">
        <f>IFERROR(__xludf.DUMMYFUNCTION("""COMPUTED_VALUE"""),893.0)</f>
        <v>893</v>
      </c>
      <c r="AE63" s="217"/>
      <c r="AF63" s="98" t="str">
        <f>IFERROR(__xludf.DUMMYFUNCTION("""COMPUTED_VALUE"""),"")</f>
        <v/>
      </c>
    </row>
    <row r="64" ht="16.5" customHeight="1">
      <c r="B64" s="203"/>
      <c r="C64" s="204"/>
      <c r="D64" s="222">
        <f>IFERROR(__xludf.DUMMYFUNCTION("""COMPUTED_VALUE"""),3.0)</f>
        <v>3</v>
      </c>
      <c r="E64" s="223" t="str">
        <f>IFERROR(__xludf.DUMMYFUNCTION("""COMPUTED_VALUE"""),"GTT5")</f>
        <v>GTT5</v>
      </c>
      <c r="F64" s="224" t="str">
        <f>IFERROR(__xludf.DUMMYFUNCTION("""COMPUTED_VALUE"""),"Götterdämmerung")</f>
        <v>Götterdämmerung</v>
      </c>
      <c r="G64" s="226" t="str">
        <f>IFERROR(__xludf.DUMMYFUNCTION("""COMPUTED_VALUE"""),"Heroes' Cellar")</f>
        <v>Heroes' Cellar</v>
      </c>
      <c r="H64" s="228">
        <f>IFERROR(__xludf.DUMMYFUNCTION("""COMPUTED_VALUE"""),21.0)</f>
        <v>21</v>
      </c>
      <c r="I64" s="230">
        <f>IFERROR(__xludf.DUMMYFUNCTION("""COMPUTED_VALUE"""),47.32142857142857)</f>
        <v>47.32142857</v>
      </c>
      <c r="J64" s="231">
        <f>IFERROR(__xludf.DUMMYFUNCTION("""COMPUTED_VALUE"""),85.0)</f>
        <v>85</v>
      </c>
      <c r="K64" s="232" t="str">
        <f>IFERROR(__xludf.DUMMYFUNCTION("""COMPUTED_VALUE"""),"AP")</f>
        <v>AP</v>
      </c>
      <c r="L64" s="231">
        <f>IFERROR(__xludf.DUMMYFUNCTION("""COMPUTED_VALUE"""),24.7)</f>
        <v>24.7</v>
      </c>
      <c r="M64" s="232" t="str">
        <f>IFERROR(__xludf.DUMMYFUNCTION("""COMPUTED_VALUE"""),"％")</f>
        <v>％</v>
      </c>
      <c r="N64" s="228">
        <f>IFERROR(__xludf.DUMMYFUNCTION("""COMPUTED_VALUE"""),5652.0)</f>
        <v>5652</v>
      </c>
      <c r="O64" s="217"/>
      <c r="P64" s="93" t="str">
        <f>IFERROR(__xludf.DUMMYFUNCTION("""COMPUTED_VALUE"""),"")</f>
        <v/>
      </c>
      <c r="R64" s="203"/>
      <c r="S64" s="204"/>
      <c r="T64" s="222">
        <f>IFERROR(__xludf.DUMMYFUNCTION("""COMPUTED_VALUE"""),3.0)</f>
        <v>3</v>
      </c>
      <c r="U64" s="223" t="str">
        <f>IFERROR(__xludf.DUMMYFUNCTION("""COMPUTED_VALUE"""),"CML2")</f>
        <v>CML2</v>
      </c>
      <c r="V64" s="224" t="str">
        <f>IFERROR(__xludf.DUMMYFUNCTION("""COMPUTED_VALUE"""),"Camelot")</f>
        <v>Camelot</v>
      </c>
      <c r="W64" s="226" t="str">
        <f>IFERROR(__xludf.DUMMYFUNCTION("""COMPUTED_VALUE"""),"Dune of Dawn")</f>
        <v>Dune of Dawn</v>
      </c>
      <c r="X64" s="228">
        <f>IFERROR(__xludf.DUMMYFUNCTION("""COMPUTED_VALUE"""),19.0)</f>
        <v>19</v>
      </c>
      <c r="Y64" s="230">
        <f>IFERROR(__xludf.DUMMYFUNCTION("""COMPUTED_VALUE"""),44.4078947368421)</f>
        <v>44.40789474</v>
      </c>
      <c r="Z64" s="231">
        <f>IFERROR(__xludf.DUMMYFUNCTION("""COMPUTED_VALUE"""),41.1)</f>
        <v>41.1</v>
      </c>
      <c r="AA64" s="232" t="str">
        <f>IFERROR(__xludf.DUMMYFUNCTION("""COMPUTED_VALUE"""),"AP")</f>
        <v>AP</v>
      </c>
      <c r="AB64" s="231">
        <f>IFERROR(__xludf.DUMMYFUNCTION("""COMPUTED_VALUE"""),46.2)</f>
        <v>46.2</v>
      </c>
      <c r="AC64" s="232" t="str">
        <f>IFERROR(__xludf.DUMMYFUNCTION("""COMPUTED_VALUE"""),"％")</f>
        <v>％</v>
      </c>
      <c r="AD64" s="228">
        <f>IFERROR(__xludf.DUMMYFUNCTION("""COMPUTED_VALUE"""),262.0)</f>
        <v>262</v>
      </c>
      <c r="AE64" s="217"/>
      <c r="AF64" s="98" t="str">
        <f>IFERROR(__xludf.DUMMYFUNCTION("""COMPUTED_VALUE"""),"")</f>
        <v/>
      </c>
    </row>
    <row r="65" ht="16.5" customHeight="1">
      <c r="B65" s="203"/>
      <c r="C65" s="204"/>
      <c r="D65" s="238">
        <f>IFERROR(__xludf.DUMMYFUNCTION("""COMPUTED_VALUE"""),4.0)</f>
        <v>4</v>
      </c>
      <c r="E65" s="240" t="str">
        <f>IFERROR(__xludf.DUMMYFUNCTION("""COMPUTED_VALUE"""),"SMS7")</f>
        <v>SMS7</v>
      </c>
      <c r="F65" s="242" t="str">
        <f>IFERROR(__xludf.DUMMYFUNCTION("""COMPUTED_VALUE"""),"Shimosa")</f>
        <v>Shimosa</v>
      </c>
      <c r="G65" s="244" t="str">
        <f>IFERROR(__xludf.DUMMYFUNCTION("""COMPUTED_VALUE"""),"Rear Mountain (Nameless Sacred Mountain)")</f>
        <v>Rear Mountain (Nameless Sacred Mountain)</v>
      </c>
      <c r="H65" s="246">
        <f>IFERROR(__xludf.DUMMYFUNCTION("""COMPUTED_VALUE"""),21.0)</f>
        <v>21</v>
      </c>
      <c r="I65" s="248">
        <f>IFERROR(__xludf.DUMMYFUNCTION("""COMPUTED_VALUE"""),49.70238095238095)</f>
        <v>49.70238095</v>
      </c>
      <c r="J65" s="250">
        <f>IFERROR(__xludf.DUMMYFUNCTION("""COMPUTED_VALUE"""),85.6)</f>
        <v>85.6</v>
      </c>
      <c r="K65" s="252" t="str">
        <f>IFERROR(__xludf.DUMMYFUNCTION("""COMPUTED_VALUE"""),"AP")</f>
        <v>AP</v>
      </c>
      <c r="L65" s="250">
        <f>IFERROR(__xludf.DUMMYFUNCTION("""COMPUTED_VALUE"""),24.5)</f>
        <v>24.5</v>
      </c>
      <c r="M65" s="252" t="str">
        <f>IFERROR(__xludf.DUMMYFUNCTION("""COMPUTED_VALUE"""),"％")</f>
        <v>％</v>
      </c>
      <c r="N65" s="246">
        <f>IFERROR(__xludf.DUMMYFUNCTION("""COMPUTED_VALUE"""),8804.0)</f>
        <v>8804</v>
      </c>
      <c r="O65" s="217"/>
      <c r="P65" s="93" t="str">
        <f>IFERROR(__xludf.DUMMYFUNCTION("""COMPUTED_VALUE"""),"")</f>
        <v/>
      </c>
      <c r="R65" s="203"/>
      <c r="S65" s="204"/>
      <c r="T65" s="238">
        <f>IFERROR(__xludf.DUMMYFUNCTION("""COMPUTED_VALUE"""),4.0)</f>
        <v>4</v>
      </c>
      <c r="U65" s="240" t="str">
        <f>IFERROR(__xludf.DUMMYFUNCTION("""COMPUTED_VALUE"""),"AGT12")</f>
        <v>AGT12</v>
      </c>
      <c r="V65" s="242" t="str">
        <f>IFERROR(__xludf.DUMMYFUNCTION("""COMPUTED_VALUE"""),"Agartha")</f>
        <v>Agartha</v>
      </c>
      <c r="W65" s="244" t="str">
        <f>IFERROR(__xludf.DUMMYFUNCTION("""COMPUTED_VALUE"""),"Chasm in the Earth")</f>
        <v>Chasm in the Earth</v>
      </c>
      <c r="X65" s="246">
        <f>IFERROR(__xludf.DUMMYFUNCTION("""COMPUTED_VALUE"""),21.0)</f>
        <v>21</v>
      </c>
      <c r="Y65" s="248">
        <f>IFERROR(__xludf.DUMMYFUNCTION("""COMPUTED_VALUE"""),50.892857142857146)</f>
        <v>50.89285714</v>
      </c>
      <c r="Z65" s="250">
        <f>IFERROR(__xludf.DUMMYFUNCTION("""COMPUTED_VALUE"""),42.4)</f>
        <v>42.4</v>
      </c>
      <c r="AA65" s="252" t="str">
        <f>IFERROR(__xludf.DUMMYFUNCTION("""COMPUTED_VALUE"""),"AP")</f>
        <v>AP</v>
      </c>
      <c r="AB65" s="250">
        <f>IFERROR(__xludf.DUMMYFUNCTION("""COMPUTED_VALUE"""),49.5)</f>
        <v>49.5</v>
      </c>
      <c r="AC65" s="252" t="str">
        <f>IFERROR(__xludf.DUMMYFUNCTION("""COMPUTED_VALUE"""),"％")</f>
        <v>％</v>
      </c>
      <c r="AD65" s="246">
        <f>IFERROR(__xludf.DUMMYFUNCTION("""COMPUTED_VALUE"""),664.0)</f>
        <v>664</v>
      </c>
      <c r="AE65" s="217"/>
      <c r="AF65" s="98" t="str">
        <f>IFERROR(__xludf.DUMMYFUNCTION("""COMPUTED_VALUE"""),"")</f>
        <v/>
      </c>
    </row>
    <row r="66" ht="16.5" customHeight="1">
      <c r="A66" s="166"/>
      <c r="B66" s="254"/>
      <c r="C66" s="255"/>
      <c r="D66" s="256">
        <f>IFERROR(__xludf.DUMMYFUNCTION("""COMPUTED_VALUE"""),5.0)</f>
        <v>5</v>
      </c>
      <c r="E66" s="257" t="str">
        <f>IFERROR(__xludf.DUMMYFUNCTION("""COMPUTED_VALUE"""),"OKN6")</f>
        <v>OKN6</v>
      </c>
      <c r="F66" s="42" t="str">
        <f>IFERROR(__xludf.DUMMYFUNCTION("""COMPUTED_VALUE"""),"Okeanos")</f>
        <v>Okeanos</v>
      </c>
      <c r="G66" s="258" t="str">
        <f>IFERROR(__xludf.DUMMYFUNCTION("""COMPUTED_VALUE"""),"Two-Current Sea")</f>
        <v>Two-Current Sea</v>
      </c>
      <c r="H66" s="259">
        <f>IFERROR(__xludf.DUMMYFUNCTION("""COMPUTED_VALUE"""),14.0)</f>
        <v>14</v>
      </c>
      <c r="I66" s="260">
        <f>IFERROR(__xludf.DUMMYFUNCTION("""COMPUTED_VALUE"""),37.05357142857143)</f>
        <v>37.05357143</v>
      </c>
      <c r="J66" s="261">
        <f>IFERROR(__xludf.DUMMYFUNCTION("""COMPUTED_VALUE"""),130.1)</f>
        <v>130.1</v>
      </c>
      <c r="K66" s="262" t="str">
        <f>IFERROR(__xludf.DUMMYFUNCTION("""COMPUTED_VALUE"""),"AP")</f>
        <v>AP</v>
      </c>
      <c r="L66" s="261">
        <f>IFERROR(__xludf.DUMMYFUNCTION("""COMPUTED_VALUE"""),10.8)</f>
        <v>10.8</v>
      </c>
      <c r="M66" s="262" t="str">
        <f>IFERROR(__xludf.DUMMYFUNCTION("""COMPUTED_VALUE"""),"％")</f>
        <v>％</v>
      </c>
      <c r="N66" s="259">
        <f>IFERROR(__xludf.DUMMYFUNCTION("""COMPUTED_VALUE"""),1050.0)</f>
        <v>1050</v>
      </c>
      <c r="O66" s="263"/>
      <c r="P66" s="93" t="str">
        <f>IFERROR(__xludf.DUMMYFUNCTION("""COMPUTED_VALUE"""),"")</f>
        <v/>
      </c>
      <c r="Q66" s="166"/>
      <c r="R66" s="254"/>
      <c r="S66" s="255"/>
      <c r="T66" s="256">
        <f>IFERROR(__xludf.DUMMYFUNCTION("""COMPUTED_VALUE"""),5.0)</f>
        <v>5</v>
      </c>
      <c r="U66" s="257" t="str">
        <f>IFERROR(__xludf.DUMMYFUNCTION("""COMPUTED_VALUE"""),"TRF20")</f>
        <v>TRF20</v>
      </c>
      <c r="V66" s="42" t="str">
        <f>IFERROR(__xludf.DUMMYFUNCTION("""COMPUTED_VALUE"""),"Chaldea Gate (Fri)")</f>
        <v>Chaldea Gate (Fri)</v>
      </c>
      <c r="W66" s="42" t="str">
        <f>IFERROR(__xludf.DUMMYFUNCTION("""COMPUTED_VALUE"""),"FRI Caster Training Ground- Exp")</f>
        <v>FRI Caster Training Ground- Exp</v>
      </c>
      <c r="X66" s="259">
        <f>IFERROR(__xludf.DUMMYFUNCTION("""COMPUTED_VALUE"""),40.0)</f>
        <v>40</v>
      </c>
      <c r="Y66" s="260">
        <f>IFERROR(__xludf.DUMMYFUNCTION("""COMPUTED_VALUE"""),20.46875)</f>
        <v>20.46875</v>
      </c>
      <c r="Z66" s="261">
        <f>IFERROR(__xludf.DUMMYFUNCTION("""COMPUTED_VALUE"""),43.9)</f>
        <v>43.9</v>
      </c>
      <c r="AA66" s="262" t="str">
        <f>IFERROR(__xludf.DUMMYFUNCTION("""COMPUTED_VALUE"""),"AP")</f>
        <v>AP</v>
      </c>
      <c r="AB66" s="261">
        <f>IFERROR(__xludf.DUMMYFUNCTION("""COMPUTED_VALUE"""),91.1)</f>
        <v>91.1</v>
      </c>
      <c r="AC66" s="262" t="str">
        <f>IFERROR(__xludf.DUMMYFUNCTION("""COMPUTED_VALUE"""),"％")</f>
        <v>％</v>
      </c>
      <c r="AD66" s="259">
        <f>IFERROR(__xludf.DUMMYFUNCTION("""COMPUTED_VALUE"""),10906.0)</f>
        <v>10906</v>
      </c>
      <c r="AE66" s="263"/>
      <c r="AF66" s="98" t="str">
        <f>IFERROR(__xludf.DUMMYFUNCTION("""COMPUTED_VALUE"""),"")</f>
        <v/>
      </c>
    </row>
    <row r="67" ht="16.5" customHeight="1">
      <c r="A67" s="61" t="str">
        <f>IFERROR(__xludf.DUMMYFUNCTION("""COMPUTED_VALUE"""),"")</f>
        <v/>
      </c>
      <c r="B67" s="356" t="str">
        <f>IFERROR(__xludf.DUMMYFUNCTION("""COMPUTED_VALUE"""),"A204")</f>
        <v>A204</v>
      </c>
      <c r="C67" s="65" t="str">
        <f>IFERROR(__xludf.DUMMYFUNCTION("""COMPUTED_VALUE"""),"Serpent Jewel")</f>
        <v>Serpent Jewel</v>
      </c>
      <c r="D67" s="67">
        <f>IFERROR(__xludf.DUMMYFUNCTION("""COMPUTED_VALUE"""),1.0)</f>
        <v>1</v>
      </c>
      <c r="E67" s="69" t="str">
        <f>IFERROR(__xludf.DUMMYFUNCTION("""COMPUTED_VALUE"""),"AGT12")</f>
        <v>AGT12</v>
      </c>
      <c r="F67" s="71" t="str">
        <f>IFERROR(__xludf.DUMMYFUNCTION("""COMPUTED_VALUE"""),"Agartha")</f>
        <v>Agartha</v>
      </c>
      <c r="G67" s="78" t="str">
        <f>IFERROR(__xludf.DUMMYFUNCTION("""COMPUTED_VALUE"""),"Chasm in the Earth")</f>
        <v>Chasm in the Earth</v>
      </c>
      <c r="H67" s="80">
        <f>IFERROR(__xludf.DUMMYFUNCTION("""COMPUTED_VALUE"""),21.0)</f>
        <v>21</v>
      </c>
      <c r="I67" s="82">
        <f>IFERROR(__xludf.DUMMYFUNCTION("""COMPUTED_VALUE"""),50.892857142857146)</f>
        <v>50.89285714</v>
      </c>
      <c r="J67" s="84">
        <f>IFERROR(__xludf.DUMMYFUNCTION("""COMPUTED_VALUE"""),54.7)</f>
        <v>54.7</v>
      </c>
      <c r="K67" s="86" t="str">
        <f>IFERROR(__xludf.DUMMYFUNCTION("""COMPUTED_VALUE"""),"AP")</f>
        <v>AP</v>
      </c>
      <c r="L67" s="88">
        <f>IFERROR(__xludf.DUMMYFUNCTION("""COMPUTED_VALUE"""),38.4)</f>
        <v>38.4</v>
      </c>
      <c r="M67" s="86" t="str">
        <f>IFERROR(__xludf.DUMMYFUNCTION("""COMPUTED_VALUE"""),"％")</f>
        <v>％</v>
      </c>
      <c r="N67" s="80">
        <f>IFERROR(__xludf.DUMMYFUNCTION("""COMPUTED_VALUE"""),664.0)</f>
        <v>664</v>
      </c>
      <c r="O67" s="91" t="str">
        <f>IFERROR(__xludf.DUMMYFUNCTION("""COMPUTED_VALUE"""),"Serpent Jewel")</f>
        <v>Serpent Jewel</v>
      </c>
      <c r="P67" s="93" t="str">
        <f>IFERROR(__xludf.DUMMYFUNCTION("""COMPUTED_VALUE"""),"")</f>
        <v/>
      </c>
      <c r="Q67" s="61" t="str">
        <f>IFERROR(__xludf.DUMMYFUNCTION("""COMPUTED_VALUE"""),"")</f>
        <v/>
      </c>
      <c r="R67" s="357" t="str">
        <f>IFERROR(__xludf.DUMMYFUNCTION("""COMPUTED_VALUE"""),"B116")</f>
        <v>B116</v>
      </c>
      <c r="S67" s="65" t="str">
        <f>IFERROR(__xludf.DUMMYFUNCTION("""COMPUTED_VALUE"""),"Magic Gem of Assassin")</f>
        <v>Magic Gem of Assassin</v>
      </c>
      <c r="T67" s="67">
        <f>IFERROR(__xludf.DUMMYFUNCTION("""COMPUTED_VALUE"""),1.0)</f>
        <v>1</v>
      </c>
      <c r="U67" s="69" t="str">
        <f>IFERROR(__xludf.DUMMYFUNCTION("""COMPUTED_VALUE"""),"TRF22")</f>
        <v>TRF22</v>
      </c>
      <c r="V67" s="71" t="str">
        <f>IFERROR(__xludf.DUMMYFUNCTION("""COMPUTED_VALUE"""),"Chaldea Gate (Sat)")</f>
        <v>Chaldea Gate (Sat)</v>
      </c>
      <c r="W67" s="71" t="str">
        <f>IFERROR(__xludf.DUMMYFUNCTION("""COMPUTED_VALUE"""),"SAT Assassin Training Ground- Int")</f>
        <v>SAT Assassin Training Ground- Int</v>
      </c>
      <c r="X67" s="80">
        <f>IFERROR(__xludf.DUMMYFUNCTION("""COMPUTED_VALUE"""),20.0)</f>
        <v>20</v>
      </c>
      <c r="Y67" s="82">
        <f>IFERROR(__xludf.DUMMYFUNCTION("""COMPUTED_VALUE"""),19.0625)</f>
        <v>19.0625</v>
      </c>
      <c r="Z67" s="84">
        <f>IFERROR(__xludf.DUMMYFUNCTION("""COMPUTED_VALUE"""),18.4)</f>
        <v>18.4</v>
      </c>
      <c r="AA67" s="86" t="str">
        <f>IFERROR(__xludf.DUMMYFUNCTION("""COMPUTED_VALUE"""),"AP")</f>
        <v>AP</v>
      </c>
      <c r="AB67" s="88">
        <f>IFERROR(__xludf.DUMMYFUNCTION("""COMPUTED_VALUE"""),108.9)</f>
        <v>108.9</v>
      </c>
      <c r="AC67" s="86" t="str">
        <f>IFERROR(__xludf.DUMMYFUNCTION("""COMPUTED_VALUE"""),"％")</f>
        <v>％</v>
      </c>
      <c r="AD67" s="80">
        <f>IFERROR(__xludf.DUMMYFUNCTION("""COMPUTED_VALUE"""),462.0)</f>
        <v>462</v>
      </c>
      <c r="AE67" s="91" t="str">
        <f>IFERROR(__xludf.DUMMYFUNCTION("""COMPUTED_VALUE"""),"Magic Gem of Assassin")</f>
        <v>Magic Gem of Assassin</v>
      </c>
      <c r="AF67" s="98" t="str">
        <f>IFERROR(__xludf.DUMMYFUNCTION("""COMPUTED_VALUE"""),"")</f>
        <v/>
      </c>
    </row>
    <row r="68" ht="16.5" customHeight="1">
      <c r="B68" s="358"/>
      <c r="C68" s="100"/>
      <c r="D68" s="102">
        <f>IFERROR(__xludf.DUMMYFUNCTION("""COMPUTED_VALUE"""),2.0)</f>
        <v>2</v>
      </c>
      <c r="E68" s="103" t="str">
        <f>IFERROR(__xludf.DUMMYFUNCTION("""COMPUTED_VALUE"""),"BBL5")</f>
        <v>BBL5</v>
      </c>
      <c r="F68" s="104" t="str">
        <f>IFERROR(__xludf.DUMMYFUNCTION("""COMPUTED_VALUE"""),"Babylonia")</f>
        <v>Babylonia</v>
      </c>
      <c r="G68" s="108" t="str">
        <f>IFERROR(__xludf.DUMMYFUNCTION("""COMPUTED_VALUE"""),"Bog")</f>
        <v>Bog</v>
      </c>
      <c r="H68" s="109">
        <f>IFERROR(__xludf.DUMMYFUNCTION("""COMPUTED_VALUE"""),21.0)</f>
        <v>21</v>
      </c>
      <c r="I68" s="110">
        <f>IFERROR(__xludf.DUMMYFUNCTION("""COMPUTED_VALUE"""),47.32142857142857)</f>
        <v>47.32142857</v>
      </c>
      <c r="J68" s="112">
        <f>IFERROR(__xludf.DUMMYFUNCTION("""COMPUTED_VALUE"""),83.9)</f>
        <v>83.9</v>
      </c>
      <c r="K68" s="121" t="str">
        <f>IFERROR(__xludf.DUMMYFUNCTION("""COMPUTED_VALUE"""),"AP")</f>
        <v>AP</v>
      </c>
      <c r="L68" s="123">
        <f>IFERROR(__xludf.DUMMYFUNCTION("""COMPUTED_VALUE"""),25.0)</f>
        <v>25</v>
      </c>
      <c r="M68" s="121" t="str">
        <f>IFERROR(__xludf.DUMMYFUNCTION("""COMPUTED_VALUE"""),"％")</f>
        <v>％</v>
      </c>
      <c r="N68" s="109">
        <f>IFERROR(__xludf.DUMMYFUNCTION("""COMPUTED_VALUE"""),1782.0)</f>
        <v>1782</v>
      </c>
      <c r="O68" s="100"/>
      <c r="P68" s="93" t="str">
        <f>IFERROR(__xludf.DUMMYFUNCTION("""COMPUTED_VALUE"""),"")</f>
        <v/>
      </c>
      <c r="R68" s="358"/>
      <c r="S68" s="100"/>
      <c r="T68" s="102">
        <f>IFERROR(__xludf.DUMMYFUNCTION("""COMPUTED_VALUE"""),2.0)</f>
        <v>2</v>
      </c>
      <c r="U68" s="103" t="str">
        <f>IFERROR(__xludf.DUMMYFUNCTION("""COMPUTED_VALUE"""),"TRF23")</f>
        <v>TRF23</v>
      </c>
      <c r="V68" s="104" t="str">
        <f>IFERROR(__xludf.DUMMYFUNCTION("""COMPUTED_VALUE"""),"Chaldea Gate (Sat)")</f>
        <v>Chaldea Gate (Sat)</v>
      </c>
      <c r="W68" s="104" t="str">
        <f>IFERROR(__xludf.DUMMYFUNCTION("""COMPUTED_VALUE"""),"SAT Assassin Training Ground- Adv")</f>
        <v>SAT Assassin Training Ground- Adv</v>
      </c>
      <c r="X68" s="109">
        <f>IFERROR(__xludf.DUMMYFUNCTION("""COMPUTED_VALUE"""),30.0)</f>
        <v>30</v>
      </c>
      <c r="Y68" s="110">
        <f>IFERROR(__xludf.DUMMYFUNCTION("""COMPUTED_VALUE"""),18.958333333333332)</f>
        <v>18.95833333</v>
      </c>
      <c r="Z68" s="112">
        <f>IFERROR(__xludf.DUMMYFUNCTION("""COMPUTED_VALUE"""),20.4)</f>
        <v>20.4</v>
      </c>
      <c r="AA68" s="121" t="str">
        <f>IFERROR(__xludf.DUMMYFUNCTION("""COMPUTED_VALUE"""),"AP")</f>
        <v>AP</v>
      </c>
      <c r="AB68" s="123">
        <f>IFERROR(__xludf.DUMMYFUNCTION("""COMPUTED_VALUE"""),147.0)</f>
        <v>147</v>
      </c>
      <c r="AC68" s="121" t="str">
        <f>IFERROR(__xludf.DUMMYFUNCTION("""COMPUTED_VALUE"""),"％")</f>
        <v>％</v>
      </c>
      <c r="AD68" s="109">
        <f>IFERROR(__xludf.DUMMYFUNCTION("""COMPUTED_VALUE"""),741.0)</f>
        <v>741</v>
      </c>
      <c r="AE68" s="100"/>
      <c r="AF68" s="98" t="str">
        <f>IFERROR(__xludf.DUMMYFUNCTION("""COMPUTED_VALUE"""),"")</f>
        <v/>
      </c>
    </row>
    <row r="69" ht="16.5" customHeight="1">
      <c r="B69" s="358"/>
      <c r="C69" s="100"/>
      <c r="D69" s="130">
        <f>IFERROR(__xludf.DUMMYFUNCTION("""COMPUTED_VALUE"""),3.0)</f>
        <v>3</v>
      </c>
      <c r="E69" s="132" t="str">
        <f>IFERROR(__xludf.DUMMYFUNCTION("""COMPUTED_VALUE"""),"OKN5")</f>
        <v>OKN5</v>
      </c>
      <c r="F69" s="133" t="str">
        <f>IFERROR(__xludf.DUMMYFUNCTION("""COMPUTED_VALUE"""),"Okeanos")</f>
        <v>Okeanos</v>
      </c>
      <c r="G69" s="135" t="str">
        <f>IFERROR(__xludf.DUMMYFUNCTION("""COMPUTED_VALUE"""),"Sunken Rock Seas")</f>
        <v>Sunken Rock Seas</v>
      </c>
      <c r="H69" s="137">
        <f>IFERROR(__xludf.DUMMYFUNCTION("""COMPUTED_VALUE"""),17.0)</f>
        <v>17</v>
      </c>
      <c r="I69" s="139">
        <f>IFERROR(__xludf.DUMMYFUNCTION("""COMPUTED_VALUE"""),40.80882352941177)</f>
        <v>40.80882353</v>
      </c>
      <c r="J69" s="141">
        <f>IFERROR(__xludf.DUMMYFUNCTION("""COMPUTED_VALUE"""),107.2)</f>
        <v>107.2</v>
      </c>
      <c r="K69" s="143" t="str">
        <f>IFERROR(__xludf.DUMMYFUNCTION("""COMPUTED_VALUE"""),"AP")</f>
        <v>AP</v>
      </c>
      <c r="L69" s="145">
        <f>IFERROR(__xludf.DUMMYFUNCTION("""COMPUTED_VALUE"""),15.9)</f>
        <v>15.9</v>
      </c>
      <c r="M69" s="143" t="str">
        <f>IFERROR(__xludf.DUMMYFUNCTION("""COMPUTED_VALUE"""),"％")</f>
        <v>％</v>
      </c>
      <c r="N69" s="137">
        <f>IFERROR(__xludf.DUMMYFUNCTION("""COMPUTED_VALUE"""),1160.0)</f>
        <v>1160</v>
      </c>
      <c r="O69" s="100"/>
      <c r="P69" s="93" t="str">
        <f>IFERROR(__xludf.DUMMYFUNCTION("""COMPUTED_VALUE"""),"")</f>
        <v/>
      </c>
      <c r="R69" s="358"/>
      <c r="S69" s="100"/>
      <c r="T69" s="130">
        <f>IFERROR(__xludf.DUMMYFUNCTION("""COMPUTED_VALUE"""),3.0)</f>
        <v>3</v>
      </c>
      <c r="U69" s="132" t="str">
        <f>IFERROR(__xludf.DUMMYFUNCTION("""COMPUTED_VALUE"""),"TRF24")</f>
        <v>TRF24</v>
      </c>
      <c r="V69" s="133" t="str">
        <f>IFERROR(__xludf.DUMMYFUNCTION("""COMPUTED_VALUE"""),"Chaldea Gate (Sat)")</f>
        <v>Chaldea Gate (Sat)</v>
      </c>
      <c r="W69" s="133" t="str">
        <f>IFERROR(__xludf.DUMMYFUNCTION("""COMPUTED_VALUE"""),"SAT Assassin Training Ground- Exp")</f>
        <v>SAT Assassin Training Ground- Exp</v>
      </c>
      <c r="X69" s="137">
        <f>IFERROR(__xludf.DUMMYFUNCTION("""COMPUTED_VALUE"""),40.0)</f>
        <v>40</v>
      </c>
      <c r="Y69" s="139">
        <f>IFERROR(__xludf.DUMMYFUNCTION("""COMPUTED_VALUE"""),20.46875)</f>
        <v>20.46875</v>
      </c>
      <c r="Z69" s="141">
        <f>IFERROR(__xludf.DUMMYFUNCTION("""COMPUTED_VALUE"""),33.9)</f>
        <v>33.9</v>
      </c>
      <c r="AA69" s="143" t="str">
        <f>IFERROR(__xludf.DUMMYFUNCTION("""COMPUTED_VALUE"""),"AP")</f>
        <v>AP</v>
      </c>
      <c r="AB69" s="145">
        <f>IFERROR(__xludf.DUMMYFUNCTION("""COMPUTED_VALUE"""),118.1)</f>
        <v>118.1</v>
      </c>
      <c r="AC69" s="143" t="str">
        <f>IFERROR(__xludf.DUMMYFUNCTION("""COMPUTED_VALUE"""),"％")</f>
        <v>％</v>
      </c>
      <c r="AD69" s="137">
        <f>IFERROR(__xludf.DUMMYFUNCTION("""COMPUTED_VALUE"""),6919.0)</f>
        <v>6919</v>
      </c>
      <c r="AE69" s="100"/>
      <c r="AF69" s="98" t="str">
        <f>IFERROR(__xludf.DUMMYFUNCTION("""COMPUTED_VALUE"""),"")</f>
        <v/>
      </c>
    </row>
    <row r="70" ht="16.5" customHeight="1">
      <c r="B70" s="358"/>
      <c r="C70" s="100"/>
      <c r="D70" s="146">
        <f>IFERROR(__xludf.DUMMYFUNCTION("""COMPUTED_VALUE"""),4.0)</f>
        <v>4</v>
      </c>
      <c r="E70" s="148" t="str">
        <f>IFERROR(__xludf.DUMMYFUNCTION("""COMPUTED_VALUE"""),"TRF17")</f>
        <v>TRF17</v>
      </c>
      <c r="F70" s="150" t="str">
        <f>IFERROR(__xludf.DUMMYFUNCTION("""COMPUTED_VALUE"""),"Chaldea Gate (Fri)")</f>
        <v>Chaldea Gate (Fri)</v>
      </c>
      <c r="G70" s="150" t="str">
        <f>IFERROR(__xludf.DUMMYFUNCTION("""COMPUTED_VALUE"""),"FRI Caster Training Ground- Nov")</f>
        <v>FRI Caster Training Ground- Nov</v>
      </c>
      <c r="H70" s="154">
        <f>IFERROR(__xludf.DUMMYFUNCTION("""COMPUTED_VALUE"""),10.0)</f>
        <v>10</v>
      </c>
      <c r="I70" s="156">
        <f>IFERROR(__xludf.DUMMYFUNCTION("""COMPUTED_VALUE"""),19.375)</f>
        <v>19.375</v>
      </c>
      <c r="J70" s="158">
        <f>IFERROR(__xludf.DUMMYFUNCTION("""COMPUTED_VALUE"""),126.3)</f>
        <v>126.3</v>
      </c>
      <c r="K70" s="160" t="str">
        <f>IFERROR(__xludf.DUMMYFUNCTION("""COMPUTED_VALUE"""),"AP")</f>
        <v>AP</v>
      </c>
      <c r="L70" s="162">
        <f>IFERROR(__xludf.DUMMYFUNCTION("""COMPUTED_VALUE"""),7.9)</f>
        <v>7.9</v>
      </c>
      <c r="M70" s="160" t="str">
        <f>IFERROR(__xludf.DUMMYFUNCTION("""COMPUTED_VALUE"""),"％")</f>
        <v>％</v>
      </c>
      <c r="N70" s="154">
        <f>IFERROR(__xludf.DUMMYFUNCTION("""COMPUTED_VALUE"""),2818.0)</f>
        <v>2818</v>
      </c>
      <c r="O70" s="100"/>
      <c r="P70" s="93" t="str">
        <f>IFERROR(__xludf.DUMMYFUNCTION("""COMPUTED_VALUE"""),"")</f>
        <v/>
      </c>
      <c r="R70" s="358"/>
      <c r="S70" s="100"/>
      <c r="T70" s="146">
        <f>IFERROR(__xludf.DUMMYFUNCTION("""COMPUTED_VALUE"""),4.0)</f>
        <v>4</v>
      </c>
      <c r="U70" s="148" t="str">
        <f>IFERROR(__xludf.DUMMYFUNCTION("""COMPUTED_VALUE"""),"ANA11")</f>
        <v>ANA11</v>
      </c>
      <c r="V70" s="150" t="str">
        <f>IFERROR(__xludf.DUMMYFUNCTION("""COMPUTED_VALUE"""),"Anastasia")</f>
        <v>Anastasia</v>
      </c>
      <c r="W70" s="152" t="str">
        <f>IFERROR(__xludf.DUMMYFUNCTION("""COMPUTED_VALUE"""),"Yaga Moscow")</f>
        <v>Yaga Moscow</v>
      </c>
      <c r="X70" s="154">
        <f>IFERROR(__xludf.DUMMYFUNCTION("""COMPUTED_VALUE"""),21.0)</f>
        <v>21</v>
      </c>
      <c r="Y70" s="156">
        <f>IFERROR(__xludf.DUMMYFUNCTION("""COMPUTED_VALUE"""),49.70238095238095)</f>
        <v>49.70238095</v>
      </c>
      <c r="Z70" s="158">
        <f>IFERROR(__xludf.DUMMYFUNCTION("""COMPUTED_VALUE"""),45.7)</f>
        <v>45.7</v>
      </c>
      <c r="AA70" s="160" t="str">
        <f>IFERROR(__xludf.DUMMYFUNCTION("""COMPUTED_VALUE"""),"AP")</f>
        <v>AP</v>
      </c>
      <c r="AB70" s="162">
        <f>IFERROR(__xludf.DUMMYFUNCTION("""COMPUTED_VALUE"""),46.0)</f>
        <v>46</v>
      </c>
      <c r="AC70" s="160" t="str">
        <f>IFERROR(__xludf.DUMMYFUNCTION("""COMPUTED_VALUE"""),"％")</f>
        <v>％</v>
      </c>
      <c r="AD70" s="154">
        <f>IFERROR(__xludf.DUMMYFUNCTION("""COMPUTED_VALUE"""),6376.0)</f>
        <v>6376</v>
      </c>
      <c r="AE70" s="100"/>
      <c r="AF70" s="98" t="str">
        <f>IFERROR(__xludf.DUMMYFUNCTION("""COMPUTED_VALUE"""),"")</f>
        <v/>
      </c>
    </row>
    <row r="71" ht="16.5" customHeight="1">
      <c r="A71" s="166"/>
      <c r="B71" s="359"/>
      <c r="C71" s="168"/>
      <c r="D71" s="169">
        <f>IFERROR(__xludf.DUMMYFUNCTION("""COMPUTED_VALUE"""),5.0)</f>
        <v>5</v>
      </c>
      <c r="E71" s="170" t="str">
        <f>IFERROR(__xludf.DUMMYFUNCTION("""COMPUTED_VALUE"""),"TRF19")</f>
        <v>TRF19</v>
      </c>
      <c r="F71" s="51" t="str">
        <f>IFERROR(__xludf.DUMMYFUNCTION("""COMPUTED_VALUE"""),"Chaldea Gate (Fri)")</f>
        <v>Chaldea Gate (Fri)</v>
      </c>
      <c r="G71" s="51" t="str">
        <f>IFERROR(__xludf.DUMMYFUNCTION("""COMPUTED_VALUE"""),"FRI Caster Training Ground- Adv")</f>
        <v>FRI Caster Training Ground- Adv</v>
      </c>
      <c r="H71" s="172">
        <f>IFERROR(__xludf.DUMMYFUNCTION("""COMPUTED_VALUE"""),30.0)</f>
        <v>30</v>
      </c>
      <c r="I71" s="173">
        <f>IFERROR(__xludf.DUMMYFUNCTION("""COMPUTED_VALUE"""),18.958333333333332)</f>
        <v>18.95833333</v>
      </c>
      <c r="J71" s="174">
        <f>IFERROR(__xludf.DUMMYFUNCTION("""COMPUTED_VALUE"""),134.2)</f>
        <v>134.2</v>
      </c>
      <c r="K71" s="175" t="str">
        <f>IFERROR(__xludf.DUMMYFUNCTION("""COMPUTED_VALUE"""),"AP")</f>
        <v>AP</v>
      </c>
      <c r="L71" s="176">
        <f>IFERROR(__xludf.DUMMYFUNCTION("""COMPUTED_VALUE"""),22.4)</f>
        <v>22.4</v>
      </c>
      <c r="M71" s="175" t="str">
        <f>IFERROR(__xludf.DUMMYFUNCTION("""COMPUTED_VALUE"""),"％")</f>
        <v>％</v>
      </c>
      <c r="N71" s="172">
        <f>IFERROR(__xludf.DUMMYFUNCTION("""COMPUTED_VALUE"""),1241.0)</f>
        <v>1241</v>
      </c>
      <c r="O71" s="168"/>
      <c r="P71" s="93" t="str">
        <f>IFERROR(__xludf.DUMMYFUNCTION("""COMPUTED_VALUE"""),"")</f>
        <v/>
      </c>
      <c r="Q71" s="166"/>
      <c r="R71" s="359"/>
      <c r="S71" s="168"/>
      <c r="T71" s="169">
        <f>IFERROR(__xludf.DUMMYFUNCTION("""COMPUTED_VALUE"""),5.0)</f>
        <v>5</v>
      </c>
      <c r="U71" s="170" t="str">
        <f>IFERROR(__xludf.DUMMYFUNCTION("""COMPUTED_VALUE"""),"SIN11")</f>
        <v>SIN11</v>
      </c>
      <c r="V71" s="51" t="str">
        <f>IFERROR(__xludf.DUMMYFUNCTION("""COMPUTED_VALUE"""),"SIN")</f>
        <v>SIN</v>
      </c>
      <c r="W71" s="171" t="str">
        <f>IFERROR(__xludf.DUMMYFUNCTION("""COMPUTED_VALUE"""),"Eight Gates Cave")</f>
        <v>Eight Gates Cave</v>
      </c>
      <c r="X71" s="172">
        <f>IFERROR(__xludf.DUMMYFUNCTION("""COMPUTED_VALUE"""),21.0)</f>
        <v>21</v>
      </c>
      <c r="Y71" s="173">
        <f>IFERROR(__xludf.DUMMYFUNCTION("""COMPUTED_VALUE"""),50.892857142857146)</f>
        <v>50.89285714</v>
      </c>
      <c r="Z71" s="174">
        <f>IFERROR(__xludf.DUMMYFUNCTION("""COMPUTED_VALUE"""),46.5)</f>
        <v>46.5</v>
      </c>
      <c r="AA71" s="175" t="str">
        <f>IFERROR(__xludf.DUMMYFUNCTION("""COMPUTED_VALUE"""),"AP")</f>
        <v>AP</v>
      </c>
      <c r="AB71" s="176">
        <f>IFERROR(__xludf.DUMMYFUNCTION("""COMPUTED_VALUE"""),45.2)</f>
        <v>45.2</v>
      </c>
      <c r="AC71" s="175" t="str">
        <f>IFERROR(__xludf.DUMMYFUNCTION("""COMPUTED_VALUE"""),"％")</f>
        <v>％</v>
      </c>
      <c r="AD71" s="172">
        <f>IFERROR(__xludf.DUMMYFUNCTION("""COMPUTED_VALUE"""),22321.0)</f>
        <v>22321</v>
      </c>
      <c r="AE71" s="168"/>
      <c r="AF71" s="98" t="str">
        <f>IFERROR(__xludf.DUMMYFUNCTION("""COMPUTED_VALUE"""),"")</f>
        <v/>
      </c>
    </row>
    <row r="72" ht="16.5" customHeight="1">
      <c r="A72" s="61" t="str">
        <f>IFERROR(__xludf.DUMMYFUNCTION("""COMPUTED_VALUE"""),"")</f>
        <v/>
      </c>
      <c r="B72" s="179" t="str">
        <f>IFERROR(__xludf.DUMMYFUNCTION("""COMPUTED_VALUE"""),"A205")</f>
        <v>A205</v>
      </c>
      <c r="C72" s="197" t="str">
        <f>IFERROR(__xludf.DUMMYFUNCTION("""COMPUTED_VALUE"""),"Phoenix Feather")</f>
        <v>Phoenix Feather</v>
      </c>
      <c r="D72" s="181">
        <f>IFERROR(__xludf.DUMMYFUNCTION("""COMPUTED_VALUE"""),1.0)</f>
        <v>1</v>
      </c>
      <c r="E72" s="182" t="str">
        <f>IFERROR(__xludf.DUMMYFUNCTION("""COMPUTED_VALUE"""),"SLM3")</f>
        <v>SLM3</v>
      </c>
      <c r="F72" s="184" t="str">
        <f>IFERROR(__xludf.DUMMYFUNCTION("""COMPUTED_VALUE"""),"Salem")</f>
        <v>Salem</v>
      </c>
      <c r="G72" s="189" t="str">
        <f>IFERROR(__xludf.DUMMYFUNCTION("""COMPUTED_VALUE"""),"Town Hall")</f>
        <v>Town Hall</v>
      </c>
      <c r="H72" s="190">
        <f>IFERROR(__xludf.DUMMYFUNCTION("""COMPUTED_VALUE"""),21.0)</f>
        <v>21</v>
      </c>
      <c r="I72" s="191">
        <f>IFERROR(__xludf.DUMMYFUNCTION("""COMPUTED_VALUE"""),47.32142857142857)</f>
        <v>47.32142857</v>
      </c>
      <c r="J72" s="192">
        <f>IFERROR(__xludf.DUMMYFUNCTION("""COMPUTED_VALUE"""),59.3)</f>
        <v>59.3</v>
      </c>
      <c r="K72" s="194" t="str">
        <f>IFERROR(__xludf.DUMMYFUNCTION("""COMPUTED_VALUE"""),"AP")</f>
        <v>AP</v>
      </c>
      <c r="L72" s="192">
        <f>IFERROR(__xludf.DUMMYFUNCTION("""COMPUTED_VALUE"""),35.4)</f>
        <v>35.4</v>
      </c>
      <c r="M72" s="194" t="str">
        <f>IFERROR(__xludf.DUMMYFUNCTION("""COMPUTED_VALUE"""),"％")</f>
        <v>％</v>
      </c>
      <c r="N72" s="190">
        <f>IFERROR(__xludf.DUMMYFUNCTION("""COMPUTED_VALUE"""),27463.0)</f>
        <v>27463</v>
      </c>
      <c r="O72" s="197" t="str">
        <f>IFERROR(__xludf.DUMMYFUNCTION("""COMPUTED_VALUE"""),"Phoenix Feather")</f>
        <v>Phoenix Feather</v>
      </c>
      <c r="P72" s="93" t="str">
        <f>IFERROR(__xludf.DUMMYFUNCTION("""COMPUTED_VALUE"""),"")</f>
        <v/>
      </c>
      <c r="Q72" s="61" t="str">
        <f>IFERROR(__xludf.DUMMYFUNCTION("""COMPUTED_VALUE"""),"")</f>
        <v/>
      </c>
      <c r="R72" s="199" t="str">
        <f>IFERROR(__xludf.DUMMYFUNCTION("""COMPUTED_VALUE"""),"B117")</f>
        <v>B117</v>
      </c>
      <c r="S72" s="197" t="str">
        <f>IFERROR(__xludf.DUMMYFUNCTION("""COMPUTED_VALUE"""),"Magic Gem of Berserker")</f>
        <v>Magic Gem of Berserker</v>
      </c>
      <c r="T72" s="181">
        <f>IFERROR(__xludf.DUMMYFUNCTION("""COMPUTED_VALUE"""),1.0)</f>
        <v>1</v>
      </c>
      <c r="U72" s="182" t="str">
        <f>IFERROR(__xludf.DUMMYFUNCTION("""COMPUTED_VALUE"""),"TRF11")</f>
        <v>TRF11</v>
      </c>
      <c r="V72" s="184" t="str">
        <f>IFERROR(__xludf.DUMMYFUNCTION("""COMPUTED_VALUE"""),"Chaldea Gate (Wed)")</f>
        <v>Chaldea Gate (Wed)</v>
      </c>
      <c r="W72" s="184" t="str">
        <f>IFERROR(__xludf.DUMMYFUNCTION("""COMPUTED_VALUE"""),"WED Berserker Training Ground- Adv")</f>
        <v>WED Berserker Training Ground- Adv</v>
      </c>
      <c r="X72" s="190">
        <f>IFERROR(__xludf.DUMMYFUNCTION("""COMPUTED_VALUE"""),30.0)</f>
        <v>30</v>
      </c>
      <c r="Y72" s="191">
        <f>IFERROR(__xludf.DUMMYFUNCTION("""COMPUTED_VALUE"""),18.958333333333332)</f>
        <v>18.95833333</v>
      </c>
      <c r="Z72" s="192">
        <f>IFERROR(__xludf.DUMMYFUNCTION("""COMPUTED_VALUE"""),22.6)</f>
        <v>22.6</v>
      </c>
      <c r="AA72" s="194" t="str">
        <f>IFERROR(__xludf.DUMMYFUNCTION("""COMPUTED_VALUE"""),"AP")</f>
        <v>AP</v>
      </c>
      <c r="AB72" s="192">
        <f>IFERROR(__xludf.DUMMYFUNCTION("""COMPUTED_VALUE"""),132.8)</f>
        <v>132.8</v>
      </c>
      <c r="AC72" s="194" t="str">
        <f>IFERROR(__xludf.DUMMYFUNCTION("""COMPUTED_VALUE"""),"％")</f>
        <v>％</v>
      </c>
      <c r="AD72" s="190">
        <f>IFERROR(__xludf.DUMMYFUNCTION("""COMPUTED_VALUE"""),469.0)</f>
        <v>469</v>
      </c>
      <c r="AE72" s="197" t="str">
        <f>IFERROR(__xludf.DUMMYFUNCTION("""COMPUTED_VALUE"""),"Magic Gem of Berserker")</f>
        <v>Magic Gem of Berserker</v>
      </c>
      <c r="AF72" s="98" t="str">
        <f>IFERROR(__xludf.DUMMYFUNCTION("""COMPUTED_VALUE"""),"")</f>
        <v/>
      </c>
    </row>
    <row r="73" ht="16.5" customHeight="1">
      <c r="B73" s="203"/>
      <c r="C73" s="217"/>
      <c r="D73" s="205">
        <f>IFERROR(__xludf.DUMMYFUNCTION("""COMPUTED_VALUE"""),2.0)</f>
        <v>2</v>
      </c>
      <c r="E73" s="206" t="str">
        <f>IFERROR(__xludf.DUMMYFUNCTION("""COMPUTED_VALUE"""),"AGT10")</f>
        <v>AGT10</v>
      </c>
      <c r="F73" s="207" t="str">
        <f>IFERROR(__xludf.DUMMYFUNCTION("""COMPUTED_VALUE"""),"Agartha")</f>
        <v>Agartha</v>
      </c>
      <c r="G73" s="209" t="str">
        <f>IFERROR(__xludf.DUMMYFUNCTION("""COMPUTED_VALUE"""),"Great Underground River")</f>
        <v>Great Underground River</v>
      </c>
      <c r="H73" s="211">
        <f>IFERROR(__xludf.DUMMYFUNCTION("""COMPUTED_VALUE"""),21.0)</f>
        <v>21</v>
      </c>
      <c r="I73" s="213">
        <f>IFERROR(__xludf.DUMMYFUNCTION("""COMPUTED_VALUE"""),49.70238095238095)</f>
        <v>49.70238095</v>
      </c>
      <c r="J73" s="214">
        <f>IFERROR(__xludf.DUMMYFUNCTION("""COMPUTED_VALUE"""),69.7)</f>
        <v>69.7</v>
      </c>
      <c r="K73" s="215" t="str">
        <f>IFERROR(__xludf.DUMMYFUNCTION("""COMPUTED_VALUE"""),"AP")</f>
        <v>AP</v>
      </c>
      <c r="L73" s="214">
        <f>IFERROR(__xludf.DUMMYFUNCTION("""COMPUTED_VALUE"""),30.1)</f>
        <v>30.1</v>
      </c>
      <c r="M73" s="215" t="str">
        <f>IFERROR(__xludf.DUMMYFUNCTION("""COMPUTED_VALUE"""),"％")</f>
        <v>％</v>
      </c>
      <c r="N73" s="211">
        <f>IFERROR(__xludf.DUMMYFUNCTION("""COMPUTED_VALUE"""),26886.0)</f>
        <v>26886</v>
      </c>
      <c r="O73" s="217"/>
      <c r="P73" s="93" t="str">
        <f>IFERROR(__xludf.DUMMYFUNCTION("""COMPUTED_VALUE"""),"")</f>
        <v/>
      </c>
      <c r="R73" s="203"/>
      <c r="S73" s="217"/>
      <c r="T73" s="205">
        <f>IFERROR(__xludf.DUMMYFUNCTION("""COMPUTED_VALUE"""),2.0)</f>
        <v>2</v>
      </c>
      <c r="U73" s="206" t="str">
        <f>IFERROR(__xludf.DUMMYFUNCTION("""COMPUTED_VALUE"""),"TRF10")</f>
        <v>TRF10</v>
      </c>
      <c r="V73" s="207" t="str">
        <f>IFERROR(__xludf.DUMMYFUNCTION("""COMPUTED_VALUE"""),"Chaldea Gate (Wed)")</f>
        <v>Chaldea Gate (Wed)</v>
      </c>
      <c r="W73" s="207" t="str">
        <f>IFERROR(__xludf.DUMMYFUNCTION("""COMPUTED_VALUE"""),"WED Berserker Training Ground- Int")</f>
        <v>WED Berserker Training Ground- Int</v>
      </c>
      <c r="X73" s="211">
        <f>IFERROR(__xludf.DUMMYFUNCTION("""COMPUTED_VALUE"""),20.0)</f>
        <v>20</v>
      </c>
      <c r="Y73" s="213">
        <f>IFERROR(__xludf.DUMMYFUNCTION("""COMPUTED_VALUE"""),19.0625)</f>
        <v>19.0625</v>
      </c>
      <c r="Z73" s="214">
        <f>IFERROR(__xludf.DUMMYFUNCTION("""COMPUTED_VALUE"""),31.4)</f>
        <v>31.4</v>
      </c>
      <c r="AA73" s="215" t="str">
        <f>IFERROR(__xludf.DUMMYFUNCTION("""COMPUTED_VALUE"""),"AP")</f>
        <v>AP</v>
      </c>
      <c r="AB73" s="214">
        <f>IFERROR(__xludf.DUMMYFUNCTION("""COMPUTED_VALUE"""),63.7)</f>
        <v>63.7</v>
      </c>
      <c r="AC73" s="215" t="str">
        <f>IFERROR(__xludf.DUMMYFUNCTION("""COMPUTED_VALUE"""),"％")</f>
        <v>％</v>
      </c>
      <c r="AD73" s="211">
        <f>IFERROR(__xludf.DUMMYFUNCTION("""COMPUTED_VALUE"""),554.0)</f>
        <v>554</v>
      </c>
      <c r="AE73" s="217"/>
      <c r="AF73" s="98" t="str">
        <f>IFERROR(__xludf.DUMMYFUNCTION("""COMPUTED_VALUE"""),"")</f>
        <v/>
      </c>
    </row>
    <row r="74" ht="16.5" customHeight="1">
      <c r="B74" s="203"/>
      <c r="C74" s="217"/>
      <c r="D74" s="222">
        <f>IFERROR(__xludf.DUMMYFUNCTION("""COMPUTED_VALUE"""),3.0)</f>
        <v>3</v>
      </c>
      <c r="E74" s="223" t="str">
        <f>IFERROR(__xludf.DUMMYFUNCTION("""COMPUTED_VALUE"""),"AGT3")</f>
        <v>AGT3</v>
      </c>
      <c r="F74" s="224" t="str">
        <f>IFERROR(__xludf.DUMMYFUNCTION("""COMPUTED_VALUE"""),"Agartha")</f>
        <v>Agartha</v>
      </c>
      <c r="G74" s="226" t="str">
        <f>IFERROR(__xludf.DUMMYFUNCTION("""COMPUTED_VALUE"""),"Riverside Town")</f>
        <v>Riverside Town</v>
      </c>
      <c r="H74" s="228">
        <f>IFERROR(__xludf.DUMMYFUNCTION("""COMPUTED_VALUE"""),20.0)</f>
        <v>20</v>
      </c>
      <c r="I74" s="230">
        <f>IFERROR(__xludf.DUMMYFUNCTION("""COMPUTED_VALUE"""),48.4375)</f>
        <v>48.4375</v>
      </c>
      <c r="J74" s="231">
        <f>IFERROR(__xludf.DUMMYFUNCTION("""COMPUTED_VALUE"""),98.0)</f>
        <v>98</v>
      </c>
      <c r="K74" s="232" t="str">
        <f>IFERROR(__xludf.DUMMYFUNCTION("""COMPUTED_VALUE"""),"AP")</f>
        <v>AP</v>
      </c>
      <c r="L74" s="231">
        <f>IFERROR(__xludf.DUMMYFUNCTION("""COMPUTED_VALUE"""),20.4)</f>
        <v>20.4</v>
      </c>
      <c r="M74" s="232" t="str">
        <f>IFERROR(__xludf.DUMMYFUNCTION("""COMPUTED_VALUE"""),"％")</f>
        <v>％</v>
      </c>
      <c r="N74" s="228">
        <f>IFERROR(__xludf.DUMMYFUNCTION("""COMPUTED_VALUE"""),10369.0)</f>
        <v>10369</v>
      </c>
      <c r="O74" s="217"/>
      <c r="P74" s="93" t="str">
        <f>IFERROR(__xludf.DUMMYFUNCTION("""COMPUTED_VALUE"""),"")</f>
        <v/>
      </c>
      <c r="R74" s="203"/>
      <c r="S74" s="217"/>
      <c r="T74" s="222">
        <f>IFERROR(__xludf.DUMMYFUNCTION("""COMPUTED_VALUE"""),3.0)</f>
        <v>3</v>
      </c>
      <c r="U74" s="223" t="str">
        <f>IFERROR(__xludf.DUMMYFUNCTION("""COMPUTED_VALUE"""),"TRF12")</f>
        <v>TRF12</v>
      </c>
      <c r="V74" s="224" t="str">
        <f>IFERROR(__xludf.DUMMYFUNCTION("""COMPUTED_VALUE"""),"Chaldea Gate (Wed)")</f>
        <v>Chaldea Gate (Wed)</v>
      </c>
      <c r="W74" s="224" t="str">
        <f>IFERROR(__xludf.DUMMYFUNCTION("""COMPUTED_VALUE"""),"WED Berserker Training Ground- Exp")</f>
        <v>WED Berserker Training Ground- Exp</v>
      </c>
      <c r="X74" s="228">
        <f>IFERROR(__xludf.DUMMYFUNCTION("""COMPUTED_VALUE"""),40.0)</f>
        <v>40</v>
      </c>
      <c r="Y74" s="230">
        <f>IFERROR(__xludf.DUMMYFUNCTION("""COMPUTED_VALUE"""),20.46875)</f>
        <v>20.46875</v>
      </c>
      <c r="Z74" s="231">
        <f>IFERROR(__xludf.DUMMYFUNCTION("""COMPUTED_VALUE"""),35.5)</f>
        <v>35.5</v>
      </c>
      <c r="AA74" s="232" t="str">
        <f>IFERROR(__xludf.DUMMYFUNCTION("""COMPUTED_VALUE"""),"AP")</f>
        <v>AP</v>
      </c>
      <c r="AB74" s="231">
        <f>IFERROR(__xludf.DUMMYFUNCTION("""COMPUTED_VALUE"""),112.8)</f>
        <v>112.8</v>
      </c>
      <c r="AC74" s="232" t="str">
        <f>IFERROR(__xludf.DUMMYFUNCTION("""COMPUTED_VALUE"""),"％")</f>
        <v>％</v>
      </c>
      <c r="AD74" s="228">
        <f>IFERROR(__xludf.DUMMYFUNCTION("""COMPUTED_VALUE"""),3095.0)</f>
        <v>3095</v>
      </c>
      <c r="AE74" s="217"/>
      <c r="AF74" s="98" t="str">
        <f>IFERROR(__xludf.DUMMYFUNCTION("""COMPUTED_VALUE"""),"")</f>
        <v/>
      </c>
    </row>
    <row r="75" ht="16.5" customHeight="1">
      <c r="B75" s="203"/>
      <c r="C75" s="217"/>
      <c r="D75" s="238">
        <f>IFERROR(__xludf.DUMMYFUNCTION("""COMPUTED_VALUE"""),4.0)</f>
        <v>4</v>
      </c>
      <c r="E75" s="240" t="str">
        <f>IFERROR(__xludf.DUMMYFUNCTION("""COMPUTED_VALUE"""),"SLM9")</f>
        <v>SLM9</v>
      </c>
      <c r="F75" s="242" t="str">
        <f>IFERROR(__xludf.DUMMYFUNCTION("""COMPUTED_VALUE"""),"Salem")</f>
        <v>Salem</v>
      </c>
      <c r="G75" s="244" t="str">
        <f>IFERROR(__xludf.DUMMYFUNCTION("""COMPUTED_VALUE"""),"Vacant House")</f>
        <v>Vacant House</v>
      </c>
      <c r="H75" s="246">
        <f>IFERROR(__xludf.DUMMYFUNCTION("""COMPUTED_VALUE"""),21.0)</f>
        <v>21</v>
      </c>
      <c r="I75" s="248">
        <f>IFERROR(__xludf.DUMMYFUNCTION("""COMPUTED_VALUE"""),50.892857142857146)</f>
        <v>50.89285714</v>
      </c>
      <c r="J75" s="250">
        <f>IFERROR(__xludf.DUMMYFUNCTION("""COMPUTED_VALUE"""),103.0)</f>
        <v>103</v>
      </c>
      <c r="K75" s="252" t="str">
        <f>IFERROR(__xludf.DUMMYFUNCTION("""COMPUTED_VALUE"""),"AP")</f>
        <v>AP</v>
      </c>
      <c r="L75" s="250">
        <f>IFERROR(__xludf.DUMMYFUNCTION("""COMPUTED_VALUE"""),20.4)</f>
        <v>20.4</v>
      </c>
      <c r="M75" s="252" t="str">
        <f>IFERROR(__xludf.DUMMYFUNCTION("""COMPUTED_VALUE"""),"％")</f>
        <v>％</v>
      </c>
      <c r="N75" s="246">
        <f>IFERROR(__xludf.DUMMYFUNCTION("""COMPUTED_VALUE"""),6811.0)</f>
        <v>6811</v>
      </c>
      <c r="O75" s="217"/>
      <c r="P75" s="93" t="str">
        <f>IFERROR(__xludf.DUMMYFUNCTION("""COMPUTED_VALUE"""),"")</f>
        <v/>
      </c>
      <c r="R75" s="203"/>
      <c r="S75" s="217"/>
      <c r="T75" s="238">
        <f>IFERROR(__xludf.DUMMYFUNCTION("""COMPUTED_VALUE"""),4.0)</f>
        <v>4</v>
      </c>
      <c r="U75" s="240" t="str">
        <f>IFERROR(__xludf.DUMMYFUNCTION("""COMPUTED_VALUE"""),"GTT3")</f>
        <v>GTT3</v>
      </c>
      <c r="V75" s="242" t="str">
        <f>IFERROR(__xludf.DUMMYFUNCTION("""COMPUTED_VALUE"""),"Götterdämmerung")</f>
        <v>Götterdämmerung</v>
      </c>
      <c r="W75" s="244" t="str">
        <f>IFERROR(__xludf.DUMMYFUNCTION("""COMPUTED_VALUE"""),"Giants' Flower Patio")</f>
        <v>Giants' Flower Patio</v>
      </c>
      <c r="X75" s="246">
        <f>IFERROR(__xludf.DUMMYFUNCTION("""COMPUTED_VALUE"""),20.0)</f>
        <v>20</v>
      </c>
      <c r="Y75" s="248">
        <f>IFERROR(__xludf.DUMMYFUNCTION("""COMPUTED_VALUE"""),48.4375)</f>
        <v>48.4375</v>
      </c>
      <c r="Z75" s="250">
        <f>IFERROR(__xludf.DUMMYFUNCTION("""COMPUTED_VALUE"""),45.0)</f>
        <v>45</v>
      </c>
      <c r="AA75" s="252" t="str">
        <f>IFERROR(__xludf.DUMMYFUNCTION("""COMPUTED_VALUE"""),"AP")</f>
        <v>AP</v>
      </c>
      <c r="AB75" s="250">
        <f>IFERROR(__xludf.DUMMYFUNCTION("""COMPUTED_VALUE"""),44.5)</f>
        <v>44.5</v>
      </c>
      <c r="AC75" s="252" t="str">
        <f>IFERROR(__xludf.DUMMYFUNCTION("""COMPUTED_VALUE"""),"％")</f>
        <v>％</v>
      </c>
      <c r="AD75" s="246">
        <f>IFERROR(__xludf.DUMMYFUNCTION("""COMPUTED_VALUE"""),9123.0)</f>
        <v>9123</v>
      </c>
      <c r="AE75" s="217"/>
      <c r="AF75" s="98" t="str">
        <f>IFERROR(__xludf.DUMMYFUNCTION("""COMPUTED_VALUE"""),"")</f>
        <v/>
      </c>
    </row>
    <row r="76" ht="16.5" customHeight="1">
      <c r="A76" s="166"/>
      <c r="B76" s="254"/>
      <c r="C76" s="263"/>
      <c r="D76" s="256">
        <f>IFERROR(__xludf.DUMMYFUNCTION("""COMPUTED_VALUE"""),5.0)</f>
        <v>5</v>
      </c>
      <c r="E76" s="257" t="str">
        <f>IFERROR(__xludf.DUMMYFUNCTION("""COMPUTED_VALUE"""),"SLM4")</f>
        <v>SLM4</v>
      </c>
      <c r="F76" s="42" t="str">
        <f>IFERROR(__xludf.DUMMYFUNCTION("""COMPUTED_VALUE"""),"Salem")</f>
        <v>Salem</v>
      </c>
      <c r="G76" s="258" t="str">
        <f>IFERROR(__xludf.DUMMYFUNCTION("""COMPUTED_VALUE"""),"Quay")</f>
        <v>Quay</v>
      </c>
      <c r="H76" s="259">
        <f>IFERROR(__xludf.DUMMYFUNCTION("""COMPUTED_VALUE"""),21.0)</f>
        <v>21</v>
      </c>
      <c r="I76" s="260">
        <f>IFERROR(__xludf.DUMMYFUNCTION("""COMPUTED_VALUE"""),47.32142857142857)</f>
        <v>47.32142857</v>
      </c>
      <c r="J76" s="261">
        <f>IFERROR(__xludf.DUMMYFUNCTION("""COMPUTED_VALUE"""),103.4)</f>
        <v>103.4</v>
      </c>
      <c r="K76" s="262" t="str">
        <f>IFERROR(__xludf.DUMMYFUNCTION("""COMPUTED_VALUE"""),"AP")</f>
        <v>AP</v>
      </c>
      <c r="L76" s="261">
        <f>IFERROR(__xludf.DUMMYFUNCTION("""COMPUTED_VALUE"""),20.299999)</f>
        <v>20.299999</v>
      </c>
      <c r="M76" s="262" t="str">
        <f>IFERROR(__xludf.DUMMYFUNCTION("""COMPUTED_VALUE"""),"％")</f>
        <v>％</v>
      </c>
      <c r="N76" s="259">
        <f>IFERROR(__xludf.DUMMYFUNCTION("""COMPUTED_VALUE"""),25430.0)</f>
        <v>25430</v>
      </c>
      <c r="O76" s="263"/>
      <c r="P76" s="93" t="str">
        <f>IFERROR(__xludf.DUMMYFUNCTION("""COMPUTED_VALUE"""),"")</f>
        <v/>
      </c>
      <c r="Q76" s="166"/>
      <c r="R76" s="254"/>
      <c r="S76" s="263"/>
      <c r="T76" s="256">
        <f>IFERROR(__xludf.DUMMYFUNCTION("""COMPUTED_VALUE"""),5.0)</f>
        <v>5</v>
      </c>
      <c r="U76" s="257" t="str">
        <f>IFERROR(__xludf.DUMMYFUNCTION("""COMPUTED_VALUE"""),"GTT7")</f>
        <v>GTT7</v>
      </c>
      <c r="V76" s="42" t="str">
        <f>IFERROR(__xludf.DUMMYFUNCTION("""COMPUTED_VALUE"""),"Götterdämmerung")</f>
        <v>Götterdämmerung</v>
      </c>
      <c r="W76" s="258" t="str">
        <f>IFERROR(__xludf.DUMMYFUNCTION("""COMPUTED_VALUE"""),"Pathway Towards The Peak")</f>
        <v>Pathway Towards The Peak</v>
      </c>
      <c r="X76" s="259">
        <f>IFERROR(__xludf.DUMMYFUNCTION("""COMPUTED_VALUE"""),21.0)</f>
        <v>21</v>
      </c>
      <c r="Y76" s="260">
        <f>IFERROR(__xludf.DUMMYFUNCTION("""COMPUTED_VALUE"""),48.51190476190476)</f>
        <v>48.51190476</v>
      </c>
      <c r="Z76" s="261">
        <f>IFERROR(__xludf.DUMMYFUNCTION("""COMPUTED_VALUE"""),51.6)</f>
        <v>51.6</v>
      </c>
      <c r="AA76" s="262" t="str">
        <f>IFERROR(__xludf.DUMMYFUNCTION("""COMPUTED_VALUE"""),"AP")</f>
        <v>AP</v>
      </c>
      <c r="AB76" s="261">
        <f>IFERROR(__xludf.DUMMYFUNCTION("""COMPUTED_VALUE"""),40.7)</f>
        <v>40.7</v>
      </c>
      <c r="AC76" s="262" t="str">
        <f>IFERROR(__xludf.DUMMYFUNCTION("""COMPUTED_VALUE"""),"％")</f>
        <v>％</v>
      </c>
      <c r="AD76" s="259">
        <f>IFERROR(__xludf.DUMMYFUNCTION("""COMPUTED_VALUE"""),9083.0)</f>
        <v>9083</v>
      </c>
      <c r="AE76" s="263"/>
      <c r="AF76" s="98" t="str">
        <f>IFERROR(__xludf.DUMMYFUNCTION("""COMPUTED_VALUE"""),"")</f>
        <v/>
      </c>
    </row>
    <row r="77" ht="16.5" customHeight="1">
      <c r="A77" s="25" t="str">
        <f>IFERROR(__xludf.DUMMYFUNCTION("""COMPUTED_VALUE"""),"Item")</f>
        <v>Item</v>
      </c>
      <c r="B77" s="27"/>
      <c r="C77" s="28"/>
      <c r="D77" s="30" t="str">
        <f>IFERROR(__xludf.DUMMYFUNCTION("""COMPUTED_VALUE"""),"No.")</f>
        <v>No.</v>
      </c>
      <c r="E77" s="31" t="str">
        <f>IFERROR(__xludf.DUMMYFUNCTION("""COMPUTED_VALUE"""),"Node Code")</f>
        <v>Node Code</v>
      </c>
      <c r="F77" s="31" t="str">
        <f>IFERROR(__xludf.DUMMYFUNCTION("""COMPUTED_VALUE"""),"Area")</f>
        <v>Area</v>
      </c>
      <c r="G77" s="31" t="str">
        <f>IFERROR(__xludf.DUMMYFUNCTION("""COMPUTED_VALUE"""),"Quest")</f>
        <v>Quest</v>
      </c>
      <c r="H77" s="30" t="str">
        <f>IFERROR(__xludf.DUMMYFUNCTION("""COMPUTED_VALUE"""),"AP")</f>
        <v>AP</v>
      </c>
      <c r="I77" s="34" t="str">
        <f>IFERROR(__xludf.DUMMYFUNCTION("""COMPUTED_VALUE"""),"BP/AP")</f>
        <v>BP/AP</v>
      </c>
      <c r="J77" s="36" t="str">
        <f>IFERROR(__xludf.DUMMYFUNCTION("""COMPUTED_VALUE"""),"AP/Drop")</f>
        <v>AP/Drop</v>
      </c>
      <c r="K77" s="28"/>
      <c r="L77" s="36" t="str">
        <f>IFERROR(__xludf.DUMMYFUNCTION("""COMPUTED_VALUE"""),"Drop Chance")</f>
        <v>Drop Chance</v>
      </c>
      <c r="M77" s="28"/>
      <c r="N77" s="38" t="str">
        <f>IFERROR(__xludf.DUMMYFUNCTION("""COMPUTED_VALUE"""),"Runs")</f>
        <v>Runs</v>
      </c>
      <c r="O77" s="40" t="str">
        <f>IFERROR(__xludf.DUMMYFUNCTION("""COMPUTED_VALUE"""),"")</f>
        <v/>
      </c>
      <c r="P77" s="42" t="str">
        <f>IFERROR(__xludf.DUMMYFUNCTION("""COMPUTED_VALUE"""),"")</f>
        <v/>
      </c>
      <c r="Q77" s="25" t="str">
        <f>IFERROR(__xludf.DUMMYFUNCTION("""COMPUTED_VALUE"""),"Item")</f>
        <v>Item</v>
      </c>
      <c r="R77" s="27"/>
      <c r="S77" s="28"/>
      <c r="T77" s="30" t="str">
        <f>IFERROR(__xludf.DUMMYFUNCTION("""COMPUTED_VALUE"""),"No.")</f>
        <v>No.</v>
      </c>
      <c r="U77" s="31" t="str">
        <f>IFERROR(__xludf.DUMMYFUNCTION("""COMPUTED_VALUE"""),"Node Code")</f>
        <v>Node Code</v>
      </c>
      <c r="V77" s="31" t="str">
        <f>IFERROR(__xludf.DUMMYFUNCTION("""COMPUTED_VALUE"""),"Area")</f>
        <v>Area</v>
      </c>
      <c r="W77" s="31" t="str">
        <f>IFERROR(__xludf.DUMMYFUNCTION("""COMPUTED_VALUE"""),"Quest")</f>
        <v>Quest</v>
      </c>
      <c r="X77" s="30" t="str">
        <f>IFERROR(__xludf.DUMMYFUNCTION("""COMPUTED_VALUE"""),"AP")</f>
        <v>AP</v>
      </c>
      <c r="Y77" s="34" t="str">
        <f>IFERROR(__xludf.DUMMYFUNCTION("""COMPUTED_VALUE"""),"BP/AP")</f>
        <v>BP/AP</v>
      </c>
      <c r="Z77" s="36" t="str">
        <f>IFERROR(__xludf.DUMMYFUNCTION("""COMPUTED_VALUE"""),"AP/Drop")</f>
        <v>AP/Drop</v>
      </c>
      <c r="AA77" s="28"/>
      <c r="AB77" s="36" t="str">
        <f>IFERROR(__xludf.DUMMYFUNCTION("""COMPUTED_VALUE"""),"Drop Chance")</f>
        <v>Drop Chance</v>
      </c>
      <c r="AC77" s="28"/>
      <c r="AD77" s="38" t="str">
        <f>IFERROR(__xludf.DUMMYFUNCTION("""COMPUTED_VALUE"""),"Runs")</f>
        <v>Runs</v>
      </c>
      <c r="AE77" s="40" t="str">
        <f>IFERROR(__xludf.DUMMYFUNCTION("""COMPUTED_VALUE"""),"")</f>
        <v/>
      </c>
      <c r="AF77" s="51" t="str">
        <f>IFERROR(__xludf.DUMMYFUNCTION("""COMPUTED_VALUE"""),"")</f>
        <v/>
      </c>
    </row>
    <row r="78" ht="16.5" customHeight="1">
      <c r="A78" s="54"/>
      <c r="B78" s="55"/>
      <c r="C78" s="57"/>
      <c r="D78" s="57"/>
      <c r="E78" s="57"/>
      <c r="F78" s="57"/>
      <c r="G78" s="57"/>
      <c r="H78" s="57"/>
      <c r="I78" s="58" t="str">
        <f>IFERROR(__xludf.DUMMYFUNCTION("""COMPUTED_VALUE"""),"1P+1L+1T")</f>
        <v>1P+1L+1T</v>
      </c>
      <c r="J78" s="55"/>
      <c r="K78" s="57"/>
      <c r="L78" s="55"/>
      <c r="M78" s="57"/>
      <c r="N78" s="57"/>
      <c r="O78" s="57"/>
      <c r="P78" s="42" t="str">
        <f>IFERROR(__xludf.DUMMYFUNCTION("""COMPUTED_VALUE"""),"")</f>
        <v/>
      </c>
      <c r="Q78" s="54"/>
      <c r="R78" s="55"/>
      <c r="S78" s="57"/>
      <c r="T78" s="57"/>
      <c r="U78" s="57"/>
      <c r="V78" s="57"/>
      <c r="W78" s="57"/>
      <c r="X78" s="57"/>
      <c r="Y78" s="58" t="str">
        <f>IFERROR(__xludf.DUMMYFUNCTION("""COMPUTED_VALUE"""),"1P+1L+1T")</f>
        <v>1P+1L+1T</v>
      </c>
      <c r="Z78" s="55"/>
      <c r="AA78" s="57"/>
      <c r="AB78" s="55"/>
      <c r="AC78" s="57"/>
      <c r="AD78" s="57"/>
      <c r="AE78" s="57"/>
      <c r="AF78" s="51" t="str">
        <f>IFERROR(__xludf.DUMMYFUNCTION("""COMPUTED_VALUE"""),"")</f>
        <v/>
      </c>
    </row>
    <row r="79" ht="16.5" customHeight="1">
      <c r="A79" s="61" t="str">
        <f>IFERROR(__xludf.DUMMYFUNCTION("""COMPUTED_VALUE"""),"")</f>
        <v/>
      </c>
      <c r="B79" s="63" t="str">
        <f>IFERROR(__xludf.DUMMYFUNCTION("""COMPUTED_VALUE"""),"A206")</f>
        <v>A206</v>
      </c>
      <c r="C79" s="65" t="str">
        <f>IFERROR(__xludf.DUMMYFUNCTION("""COMPUTED_VALUE"""),"Eternal Gear")</f>
        <v>Eternal Gear</v>
      </c>
      <c r="D79" s="67">
        <f>IFERROR(__xludf.DUMMYFUNCTION("""COMPUTED_VALUE"""),1.0)</f>
        <v>1</v>
      </c>
      <c r="E79" s="69" t="str">
        <f>IFERROR(__xludf.DUMMYFUNCTION("""COMPUTED_VALUE"""),"SJK6")</f>
        <v>SJK6</v>
      </c>
      <c r="F79" s="71" t="str">
        <f>IFERROR(__xludf.DUMMYFUNCTION("""COMPUTED_VALUE"""),"Shinjuku")</f>
        <v>Shinjuku</v>
      </c>
      <c r="G79" s="78" t="str">
        <f>IFERROR(__xludf.DUMMYFUNCTION("""COMPUTED_VALUE"""),"Barrel Tower")</f>
        <v>Barrel Tower</v>
      </c>
      <c r="H79" s="80">
        <f>IFERROR(__xludf.DUMMYFUNCTION("""COMPUTED_VALUE"""),21.0)</f>
        <v>21</v>
      </c>
      <c r="I79" s="82">
        <f>IFERROR(__xludf.DUMMYFUNCTION("""COMPUTED_VALUE"""),48.51190476190476)</f>
        <v>48.51190476</v>
      </c>
      <c r="J79" s="84">
        <f>IFERROR(__xludf.DUMMYFUNCTION("""COMPUTED_VALUE"""),45.9)</f>
        <v>45.9</v>
      </c>
      <c r="K79" s="86" t="str">
        <f>IFERROR(__xludf.DUMMYFUNCTION("""COMPUTED_VALUE"""),"AP")</f>
        <v>AP</v>
      </c>
      <c r="L79" s="88">
        <f>IFERROR(__xludf.DUMMYFUNCTION("""COMPUTED_VALUE"""),45.7)</f>
        <v>45.7</v>
      </c>
      <c r="M79" s="86" t="str">
        <f>IFERROR(__xludf.DUMMYFUNCTION("""COMPUTED_VALUE"""),"％")</f>
        <v>％</v>
      </c>
      <c r="N79" s="80">
        <f>IFERROR(__xludf.DUMMYFUNCTION("""COMPUTED_VALUE"""),8283.0)</f>
        <v>8283</v>
      </c>
      <c r="O79" s="97" t="str">
        <f>IFERROR(__xludf.DUMMYFUNCTION("""COMPUTED_VALUE"""),"Eternal Gear")</f>
        <v>Eternal Gear</v>
      </c>
      <c r="P79" s="362" t="str">
        <f>IFERROR(__xludf.DUMMYFUNCTION("""COMPUTED_VALUE"""),"")</f>
        <v/>
      </c>
      <c r="Q79" s="61" t="str">
        <f>IFERROR(__xludf.DUMMYFUNCTION("""COMPUTED_VALUE"""),"")</f>
        <v/>
      </c>
      <c r="R79" s="363" t="str">
        <f>IFERROR(__xludf.DUMMYFUNCTION("""COMPUTED_VALUE"""),"B121")</f>
        <v>B121</v>
      </c>
      <c r="S79" s="65" t="str">
        <f>IFERROR(__xludf.DUMMYFUNCTION("""COMPUTED_VALUE"""),"Gem of Saber")</f>
        <v>Gem of Saber</v>
      </c>
      <c r="T79" s="67">
        <f>IFERROR(__xludf.DUMMYFUNCTION("""COMPUTED_VALUE"""),1.0)</f>
        <v>1</v>
      </c>
      <c r="U79" s="69" t="str">
        <f>IFERROR(__xludf.DUMMYFUNCTION("""COMPUTED_VALUE"""),"TRF25")</f>
        <v>TRF25</v>
      </c>
      <c r="V79" s="71" t="str">
        <f>IFERROR(__xludf.DUMMYFUNCTION("""COMPUTED_VALUE"""),"Chaldea Gate (Sun)")</f>
        <v>Chaldea Gate (Sun)</v>
      </c>
      <c r="W79" s="71" t="str">
        <f>IFERROR(__xludf.DUMMYFUNCTION("""COMPUTED_VALUE"""),"SUN Saber Training Ground- Nov")</f>
        <v>SUN Saber Training Ground- Nov</v>
      </c>
      <c r="X79" s="80">
        <f>IFERROR(__xludf.DUMMYFUNCTION("""COMPUTED_VALUE"""),10.0)</f>
        <v>10</v>
      </c>
      <c r="Y79" s="82">
        <f>IFERROR(__xludf.DUMMYFUNCTION("""COMPUTED_VALUE"""),19.375)</f>
        <v>19.375</v>
      </c>
      <c r="Z79" s="84">
        <f>IFERROR(__xludf.DUMMYFUNCTION("""COMPUTED_VALUE"""),7.7)</f>
        <v>7.7</v>
      </c>
      <c r="AA79" s="86" t="str">
        <f>IFERROR(__xludf.DUMMYFUNCTION("""COMPUTED_VALUE"""),"AP")</f>
        <v>AP</v>
      </c>
      <c r="AB79" s="88">
        <f>IFERROR(__xludf.DUMMYFUNCTION("""COMPUTED_VALUE"""),129.2)</f>
        <v>129.2</v>
      </c>
      <c r="AC79" s="86" t="str">
        <f>IFERROR(__xludf.DUMMYFUNCTION("""COMPUTED_VALUE"""),"％")</f>
        <v>％</v>
      </c>
      <c r="AD79" s="80">
        <f>IFERROR(__xludf.DUMMYFUNCTION("""COMPUTED_VALUE"""),4306.0)</f>
        <v>4306</v>
      </c>
      <c r="AE79" s="91" t="str">
        <f>IFERROR(__xludf.DUMMYFUNCTION("""COMPUTED_VALUE"""),"Gem of Saber")</f>
        <v>Gem of Saber</v>
      </c>
      <c r="AF79" s="364" t="str">
        <f>IFERROR(__xludf.DUMMYFUNCTION("""COMPUTED_VALUE"""),"")</f>
        <v/>
      </c>
    </row>
    <row r="80" ht="16.5" customHeight="1">
      <c r="B80" s="99"/>
      <c r="C80" s="100"/>
      <c r="D80" s="102">
        <f>IFERROR(__xludf.DUMMYFUNCTION("""COMPUTED_VALUE"""),2.0)</f>
        <v>2</v>
      </c>
      <c r="E80" s="103" t="str">
        <f>IFERROR(__xludf.DUMMYFUNCTION("""COMPUTED_VALUE"""),"EPU14")</f>
        <v>EPU14</v>
      </c>
      <c r="F80" s="104" t="str">
        <f>IFERROR(__xludf.DUMMYFUNCTION("""COMPUTED_VALUE"""),"E Pluribus Unum")</f>
        <v>E Pluribus Unum</v>
      </c>
      <c r="G80" s="108" t="str">
        <f>IFERROR(__xludf.DUMMYFUNCTION("""COMPUTED_VALUE"""),"Chicago")</f>
        <v>Chicago</v>
      </c>
      <c r="H80" s="109">
        <f>IFERROR(__xludf.DUMMYFUNCTION("""COMPUTED_VALUE"""),21.0)</f>
        <v>21</v>
      </c>
      <c r="I80" s="110">
        <f>IFERROR(__xludf.DUMMYFUNCTION("""COMPUTED_VALUE"""),48.51190476190476)</f>
        <v>48.51190476</v>
      </c>
      <c r="J80" s="112">
        <f>IFERROR(__xludf.DUMMYFUNCTION("""COMPUTED_VALUE"""),51.4)</f>
        <v>51.4</v>
      </c>
      <c r="K80" s="121" t="str">
        <f>IFERROR(__xludf.DUMMYFUNCTION("""COMPUTED_VALUE"""),"AP")</f>
        <v>AP</v>
      </c>
      <c r="L80" s="123">
        <f>IFERROR(__xludf.DUMMYFUNCTION("""COMPUTED_VALUE"""),40.8)</f>
        <v>40.8</v>
      </c>
      <c r="M80" s="121" t="str">
        <f>IFERROR(__xludf.DUMMYFUNCTION("""COMPUTED_VALUE"""),"％")</f>
        <v>％</v>
      </c>
      <c r="N80" s="109">
        <f>IFERROR(__xludf.DUMMYFUNCTION("""COMPUTED_VALUE"""),3079.0)</f>
        <v>3079</v>
      </c>
      <c r="O80" s="100"/>
      <c r="P80" s="362" t="str">
        <f>IFERROR(__xludf.DUMMYFUNCTION("""COMPUTED_VALUE"""),"")</f>
        <v/>
      </c>
      <c r="R80" s="99"/>
      <c r="S80" s="100"/>
      <c r="T80" s="102">
        <f>IFERROR(__xludf.DUMMYFUNCTION("""COMPUTED_VALUE"""),2.0)</f>
        <v>2</v>
      </c>
      <c r="U80" s="103" t="str">
        <f>IFERROR(__xludf.DUMMYFUNCTION("""COMPUTED_VALUE"""),"TRF26")</f>
        <v>TRF26</v>
      </c>
      <c r="V80" s="104" t="str">
        <f>IFERROR(__xludf.DUMMYFUNCTION("""COMPUTED_VALUE"""),"Chaldea Gate (Sun)")</f>
        <v>Chaldea Gate (Sun)</v>
      </c>
      <c r="W80" s="104" t="str">
        <f>IFERROR(__xludf.DUMMYFUNCTION("""COMPUTED_VALUE"""),"SUN Saber Training Ground- Int")</f>
        <v>SUN Saber Training Ground- Int</v>
      </c>
      <c r="X80" s="109">
        <f>IFERROR(__xludf.DUMMYFUNCTION("""COMPUTED_VALUE"""),20.0)</f>
        <v>20</v>
      </c>
      <c r="Y80" s="110">
        <f>IFERROR(__xludf.DUMMYFUNCTION("""COMPUTED_VALUE"""),19.0625)</f>
        <v>19.0625</v>
      </c>
      <c r="Z80" s="112">
        <f>IFERROR(__xludf.DUMMYFUNCTION("""COMPUTED_VALUE"""),18.8)</f>
        <v>18.8</v>
      </c>
      <c r="AA80" s="121" t="str">
        <f>IFERROR(__xludf.DUMMYFUNCTION("""COMPUTED_VALUE"""),"AP")</f>
        <v>AP</v>
      </c>
      <c r="AB80" s="123">
        <f>IFERROR(__xludf.DUMMYFUNCTION("""COMPUTED_VALUE"""),106.6)</f>
        <v>106.6</v>
      </c>
      <c r="AC80" s="121" t="str">
        <f>IFERROR(__xludf.DUMMYFUNCTION("""COMPUTED_VALUE"""),"％")</f>
        <v>％</v>
      </c>
      <c r="AD80" s="109">
        <f>IFERROR(__xludf.DUMMYFUNCTION("""COMPUTED_VALUE"""),365.0)</f>
        <v>365</v>
      </c>
      <c r="AE80" s="100"/>
      <c r="AF80" s="364" t="str">
        <f>IFERROR(__xludf.DUMMYFUNCTION("""COMPUTED_VALUE"""),"")</f>
        <v/>
      </c>
    </row>
    <row r="81" ht="16.5" customHeight="1">
      <c r="B81" s="99"/>
      <c r="C81" s="100"/>
      <c r="D81" s="130">
        <f>IFERROR(__xludf.DUMMYFUNCTION("""COMPUTED_VALUE"""),3.0)</f>
        <v>3</v>
      </c>
      <c r="E81" s="132" t="str">
        <f>IFERROR(__xludf.DUMMYFUNCTION("""COMPUTED_VALUE"""),"SIN1")</f>
        <v>SIN1</v>
      </c>
      <c r="F81" s="133" t="str">
        <f>IFERROR(__xludf.DUMMYFUNCTION("""COMPUTED_VALUE"""),"SIN")</f>
        <v>SIN</v>
      </c>
      <c r="G81" s="135" t="str">
        <f>IFERROR(__xludf.DUMMYFUNCTION("""COMPUTED_VALUE"""),"Seeding Point")</f>
        <v>Seeding Point</v>
      </c>
      <c r="H81" s="137">
        <f>IFERROR(__xludf.DUMMYFUNCTION("""COMPUTED_VALUE"""),20.0)</f>
        <v>20</v>
      </c>
      <c r="I81" s="139">
        <f>IFERROR(__xludf.DUMMYFUNCTION("""COMPUTED_VALUE"""),48.4375)</f>
        <v>48.4375</v>
      </c>
      <c r="J81" s="141">
        <f>IFERROR(__xludf.DUMMYFUNCTION("""COMPUTED_VALUE"""),66.6)</f>
        <v>66.6</v>
      </c>
      <c r="K81" s="143" t="str">
        <f>IFERROR(__xludf.DUMMYFUNCTION("""COMPUTED_VALUE"""),"AP")</f>
        <v>AP</v>
      </c>
      <c r="L81" s="145">
        <f>IFERROR(__xludf.DUMMYFUNCTION("""COMPUTED_VALUE"""),30.0)</f>
        <v>30</v>
      </c>
      <c r="M81" s="143" t="str">
        <f>IFERROR(__xludf.DUMMYFUNCTION("""COMPUTED_VALUE"""),"％")</f>
        <v>％</v>
      </c>
      <c r="N81" s="137">
        <f>IFERROR(__xludf.DUMMYFUNCTION("""COMPUTED_VALUE"""),10674.0)</f>
        <v>10674</v>
      </c>
      <c r="O81" s="100"/>
      <c r="P81" s="362" t="str">
        <f>IFERROR(__xludf.DUMMYFUNCTION("""COMPUTED_VALUE"""),"")</f>
        <v/>
      </c>
      <c r="R81" s="99"/>
      <c r="S81" s="100"/>
      <c r="T81" s="130">
        <f>IFERROR(__xludf.DUMMYFUNCTION("""COMPUTED_VALUE"""),3.0)</f>
        <v>3</v>
      </c>
      <c r="U81" s="132" t="str">
        <f>IFERROR(__xludf.DUMMYFUNCTION("""COMPUTED_VALUE"""),"FUY1")</f>
        <v>FUY1</v>
      </c>
      <c r="V81" s="133" t="str">
        <f>IFERROR(__xludf.DUMMYFUNCTION("""COMPUTED_VALUE"""),"Fuyuki")</f>
        <v>Fuyuki</v>
      </c>
      <c r="W81" s="135" t="str">
        <f>IFERROR(__xludf.DUMMYFUNCTION("""COMPUTED_VALUE"""),"Unknown Coordinates X-A")</f>
        <v>Unknown Coordinates X-A</v>
      </c>
      <c r="X81" s="137">
        <f>IFERROR(__xludf.DUMMYFUNCTION("""COMPUTED_VALUE"""),3.0)</f>
        <v>3</v>
      </c>
      <c r="Y81" s="139">
        <f>IFERROR(__xludf.DUMMYFUNCTION("""COMPUTED_VALUE"""),27.083333333333332)</f>
        <v>27.08333333</v>
      </c>
      <c r="Z81" s="141">
        <f>IFERROR(__xludf.DUMMYFUNCTION("""COMPUTED_VALUE"""),20.0)</f>
        <v>20</v>
      </c>
      <c r="AA81" s="143" t="str">
        <f>IFERROR(__xludf.DUMMYFUNCTION("""COMPUTED_VALUE"""),"AP")</f>
        <v>AP</v>
      </c>
      <c r="AB81" s="145">
        <f>IFERROR(__xludf.DUMMYFUNCTION("""COMPUTED_VALUE"""),15.0)</f>
        <v>15</v>
      </c>
      <c r="AC81" s="143" t="str">
        <f>IFERROR(__xludf.DUMMYFUNCTION("""COMPUTED_VALUE"""),"％")</f>
        <v>％</v>
      </c>
      <c r="AD81" s="137">
        <f>IFERROR(__xludf.DUMMYFUNCTION("""COMPUTED_VALUE"""),261877.0)</f>
        <v>261877</v>
      </c>
      <c r="AE81" s="100"/>
      <c r="AF81" s="364" t="str">
        <f>IFERROR(__xludf.DUMMYFUNCTION("""COMPUTED_VALUE"""),"")</f>
        <v/>
      </c>
    </row>
    <row r="82" ht="16.5" customHeight="1">
      <c r="B82" s="99"/>
      <c r="C82" s="100"/>
      <c r="D82" s="146">
        <f>IFERROR(__xludf.DUMMYFUNCTION("""COMPUTED_VALUE"""),4.0)</f>
        <v>4</v>
      </c>
      <c r="E82" s="148" t="str">
        <f>IFERROR(__xludf.DUMMYFUNCTION("""COMPUTED_VALUE"""),"SJK5")</f>
        <v>SJK5</v>
      </c>
      <c r="F82" s="150" t="str">
        <f>IFERROR(__xludf.DUMMYFUNCTION("""COMPUTED_VALUE"""),"Shinjuku")</f>
        <v>Shinjuku</v>
      </c>
      <c r="G82" s="152" t="str">
        <f>IFERROR(__xludf.DUMMYFUNCTION("""COMPUTED_VALUE"""),"Kabukicho")</f>
        <v>Kabukicho</v>
      </c>
      <c r="H82" s="154">
        <f>IFERROR(__xludf.DUMMYFUNCTION("""COMPUTED_VALUE"""),21.0)</f>
        <v>21</v>
      </c>
      <c r="I82" s="156">
        <f>IFERROR(__xludf.DUMMYFUNCTION("""COMPUTED_VALUE"""),48.51190476190476)</f>
        <v>48.51190476</v>
      </c>
      <c r="J82" s="158">
        <f>IFERROR(__xludf.DUMMYFUNCTION("""COMPUTED_VALUE"""),67.1)</f>
        <v>67.1</v>
      </c>
      <c r="K82" s="160" t="str">
        <f>IFERROR(__xludf.DUMMYFUNCTION("""COMPUTED_VALUE"""),"AP")</f>
        <v>AP</v>
      </c>
      <c r="L82" s="162">
        <f>IFERROR(__xludf.DUMMYFUNCTION("""COMPUTED_VALUE"""),31.3)</f>
        <v>31.3</v>
      </c>
      <c r="M82" s="160" t="str">
        <f>IFERROR(__xludf.DUMMYFUNCTION("""COMPUTED_VALUE"""),"％")</f>
        <v>％</v>
      </c>
      <c r="N82" s="154">
        <f>IFERROR(__xludf.DUMMYFUNCTION("""COMPUTED_VALUE"""),3832.0)</f>
        <v>3832</v>
      </c>
      <c r="O82" s="100"/>
      <c r="P82" s="362" t="str">
        <f>IFERROR(__xludf.DUMMYFUNCTION("""COMPUTED_VALUE"""),"")</f>
        <v/>
      </c>
      <c r="R82" s="99"/>
      <c r="S82" s="100"/>
      <c r="T82" s="146">
        <f>IFERROR(__xludf.DUMMYFUNCTION("""COMPUTED_VALUE"""),4.0)</f>
        <v>4</v>
      </c>
      <c r="U82" s="148" t="str">
        <f>IFERROR(__xludf.DUMMYFUNCTION("""COMPUTED_VALUE"""),"FUY3")</f>
        <v>FUY3</v>
      </c>
      <c r="V82" s="150" t="str">
        <f>IFERROR(__xludf.DUMMYFUNCTION("""COMPUTED_VALUE"""),"Fuyuki")</f>
        <v>Fuyuki</v>
      </c>
      <c r="W82" s="152" t="str">
        <f>IFERROR(__xludf.DUMMYFUNCTION("""COMPUTED_VALUE"""),"Unknown Coordinates X-C")</f>
        <v>Unknown Coordinates X-C</v>
      </c>
      <c r="X82" s="154">
        <f>IFERROR(__xludf.DUMMYFUNCTION("""COMPUTED_VALUE"""),4.0)</f>
        <v>4</v>
      </c>
      <c r="Y82" s="156">
        <f>IFERROR(__xludf.DUMMYFUNCTION("""COMPUTED_VALUE"""),23.4375)</f>
        <v>23.4375</v>
      </c>
      <c r="Z82" s="158">
        <f>IFERROR(__xludf.DUMMYFUNCTION("""COMPUTED_VALUE"""),20.6)</f>
        <v>20.6</v>
      </c>
      <c r="AA82" s="160" t="str">
        <f>IFERROR(__xludf.DUMMYFUNCTION("""COMPUTED_VALUE"""),"AP")</f>
        <v>AP</v>
      </c>
      <c r="AB82" s="162">
        <f>IFERROR(__xludf.DUMMYFUNCTION("""COMPUTED_VALUE"""),19.5)</f>
        <v>19.5</v>
      </c>
      <c r="AC82" s="160" t="str">
        <f>IFERROR(__xludf.DUMMYFUNCTION("""COMPUTED_VALUE"""),"％")</f>
        <v>％</v>
      </c>
      <c r="AD82" s="154">
        <f>IFERROR(__xludf.DUMMYFUNCTION("""COMPUTED_VALUE"""),34529.0)</f>
        <v>34529</v>
      </c>
      <c r="AE82" s="100"/>
      <c r="AF82" s="364" t="str">
        <f>IFERROR(__xludf.DUMMYFUNCTION("""COMPUTED_VALUE"""),"")</f>
        <v/>
      </c>
    </row>
    <row r="83" ht="16.5" customHeight="1">
      <c r="A83" s="166"/>
      <c r="B83" s="167"/>
      <c r="C83" s="168"/>
      <c r="D83" s="169">
        <f>IFERROR(__xludf.DUMMYFUNCTION("""COMPUTED_VALUE"""),5.0)</f>
        <v>5</v>
      </c>
      <c r="E83" s="170" t="str">
        <f>IFERROR(__xludf.DUMMYFUNCTION("""COMPUTED_VALUE"""),"SIN8")</f>
        <v>SIN8</v>
      </c>
      <c r="F83" s="51" t="str">
        <f>IFERROR(__xludf.DUMMYFUNCTION("""COMPUTED_VALUE"""),"SIN")</f>
        <v>SIN</v>
      </c>
      <c r="G83" s="171" t="str">
        <f>IFERROR(__xludf.DUMMYFUNCTION("""COMPUTED_VALUE"""),"Shiquan Gorge")</f>
        <v>Shiquan Gorge</v>
      </c>
      <c r="H83" s="172">
        <f>IFERROR(__xludf.DUMMYFUNCTION("""COMPUTED_VALUE"""),21.0)</f>
        <v>21</v>
      </c>
      <c r="I83" s="173">
        <f>IFERROR(__xludf.DUMMYFUNCTION("""COMPUTED_VALUE"""),49.70238095238095)</f>
        <v>49.70238095</v>
      </c>
      <c r="J83" s="174">
        <f>IFERROR(__xludf.DUMMYFUNCTION("""COMPUTED_VALUE"""),69.1)</f>
        <v>69.1</v>
      </c>
      <c r="K83" s="175" t="str">
        <f>IFERROR(__xludf.DUMMYFUNCTION("""COMPUTED_VALUE"""),"AP")</f>
        <v>AP</v>
      </c>
      <c r="L83" s="176">
        <f>IFERROR(__xludf.DUMMYFUNCTION("""COMPUTED_VALUE"""),30.4)</f>
        <v>30.4</v>
      </c>
      <c r="M83" s="175" t="str">
        <f>IFERROR(__xludf.DUMMYFUNCTION("""COMPUTED_VALUE"""),"％")</f>
        <v>％</v>
      </c>
      <c r="N83" s="172">
        <f>IFERROR(__xludf.DUMMYFUNCTION("""COMPUTED_VALUE"""),9582.0)</f>
        <v>9582</v>
      </c>
      <c r="O83" s="168"/>
      <c r="P83" s="362" t="str">
        <f>IFERROR(__xludf.DUMMYFUNCTION("""COMPUTED_VALUE"""),"")</f>
        <v/>
      </c>
      <c r="Q83" s="166"/>
      <c r="R83" s="167"/>
      <c r="S83" s="168"/>
      <c r="T83" s="169">
        <f>IFERROR(__xludf.DUMMYFUNCTION("""COMPUTED_VALUE"""),5.0)</f>
        <v>5</v>
      </c>
      <c r="U83" s="170" t="str">
        <f>IFERROR(__xludf.DUMMYFUNCTION("""COMPUTED_VALUE"""),"FUY4")</f>
        <v>FUY4</v>
      </c>
      <c r="V83" s="51" t="str">
        <f>IFERROR(__xludf.DUMMYFUNCTION("""COMPUTED_VALUE"""),"Fuyuki")</f>
        <v>Fuyuki</v>
      </c>
      <c r="W83" s="171" t="str">
        <f>IFERROR(__xludf.DUMMYFUNCTION("""COMPUTED_VALUE"""),"Unknown Coordinates X-D")</f>
        <v>Unknown Coordinates X-D</v>
      </c>
      <c r="X83" s="172">
        <f>IFERROR(__xludf.DUMMYFUNCTION("""COMPUTED_VALUE"""),5.0)</f>
        <v>5</v>
      </c>
      <c r="Y83" s="173">
        <f>IFERROR(__xludf.DUMMYFUNCTION("""COMPUTED_VALUE"""),23.75)</f>
        <v>23.75</v>
      </c>
      <c r="Z83" s="174">
        <f>IFERROR(__xludf.DUMMYFUNCTION("""COMPUTED_VALUE"""),21.5)</f>
        <v>21.5</v>
      </c>
      <c r="AA83" s="175" t="str">
        <f>IFERROR(__xludf.DUMMYFUNCTION("""COMPUTED_VALUE"""),"AP")</f>
        <v>AP</v>
      </c>
      <c r="AB83" s="176">
        <f>IFERROR(__xludf.DUMMYFUNCTION("""COMPUTED_VALUE"""),23.3)</f>
        <v>23.3</v>
      </c>
      <c r="AC83" s="175" t="str">
        <f>IFERROR(__xludf.DUMMYFUNCTION("""COMPUTED_VALUE"""),"％")</f>
        <v>％</v>
      </c>
      <c r="AD83" s="172">
        <f>IFERROR(__xludf.DUMMYFUNCTION("""COMPUTED_VALUE"""),2250.0)</f>
        <v>2250</v>
      </c>
      <c r="AE83" s="168"/>
      <c r="AF83" s="364" t="str">
        <f>IFERROR(__xludf.DUMMYFUNCTION("""COMPUTED_VALUE"""),"")</f>
        <v/>
      </c>
    </row>
    <row r="84" ht="16.5" customHeight="1">
      <c r="A84" s="61" t="str">
        <f>IFERROR(__xludf.DUMMYFUNCTION("""COMPUTED_VALUE"""),"")</f>
        <v/>
      </c>
      <c r="B84" s="366" t="str">
        <f>IFERROR(__xludf.DUMMYFUNCTION("""COMPUTED_VALUE"""),"A207")</f>
        <v>A207</v>
      </c>
      <c r="C84" s="180" t="str">
        <f>IFERROR(__xludf.DUMMYFUNCTION("""COMPUTED_VALUE"""),"Forbidden Page")</f>
        <v>Forbidden Page</v>
      </c>
      <c r="D84" s="181">
        <f>IFERROR(__xludf.DUMMYFUNCTION("""COMPUTED_VALUE"""),1.0)</f>
        <v>1</v>
      </c>
      <c r="E84" s="182" t="str">
        <f>IFERROR(__xludf.DUMMYFUNCTION("""COMPUTED_VALUE"""),"SJK10")</f>
        <v>SJK10</v>
      </c>
      <c r="F84" s="184" t="str">
        <f>IFERROR(__xludf.DUMMYFUNCTION("""COMPUTED_VALUE"""),"Shinjuku")</f>
        <v>Shinjuku</v>
      </c>
      <c r="G84" s="189" t="str">
        <f>IFERROR(__xludf.DUMMYFUNCTION("""COMPUTED_VALUE"""),"Shinjuku 2-chome")</f>
        <v>Shinjuku 2-chome</v>
      </c>
      <c r="H84" s="190">
        <f>IFERROR(__xludf.DUMMYFUNCTION("""COMPUTED_VALUE"""),21.0)</f>
        <v>21</v>
      </c>
      <c r="I84" s="191">
        <f>IFERROR(__xludf.DUMMYFUNCTION("""COMPUTED_VALUE"""),50.892857142857146)</f>
        <v>50.89285714</v>
      </c>
      <c r="J84" s="192">
        <f>IFERROR(__xludf.DUMMYFUNCTION("""COMPUTED_VALUE"""),69.0)</f>
        <v>69</v>
      </c>
      <c r="K84" s="194" t="str">
        <f>IFERROR(__xludf.DUMMYFUNCTION("""COMPUTED_VALUE"""),"AP")</f>
        <v>AP</v>
      </c>
      <c r="L84" s="192">
        <f>IFERROR(__xludf.DUMMYFUNCTION("""COMPUTED_VALUE"""),30.4)</f>
        <v>30.4</v>
      </c>
      <c r="M84" s="194" t="str">
        <f>IFERROR(__xludf.DUMMYFUNCTION("""COMPUTED_VALUE"""),"％")</f>
        <v>％</v>
      </c>
      <c r="N84" s="190">
        <f>IFERROR(__xludf.DUMMYFUNCTION("""COMPUTED_VALUE"""),38593.0)</f>
        <v>38593</v>
      </c>
      <c r="O84" s="197" t="str">
        <f>IFERROR(__xludf.DUMMYFUNCTION("""COMPUTED_VALUE"""),"Forbidden Page")</f>
        <v>Forbidden Page</v>
      </c>
      <c r="P84" s="93" t="str">
        <f>IFERROR(__xludf.DUMMYFUNCTION("""COMPUTED_VALUE"""),"")</f>
        <v/>
      </c>
      <c r="Q84" s="61" t="str">
        <f>IFERROR(__xludf.DUMMYFUNCTION("""COMPUTED_VALUE"""),"")</f>
        <v/>
      </c>
      <c r="R84" s="366" t="str">
        <f>IFERROR(__xludf.DUMMYFUNCTION("""COMPUTED_VALUE"""),"B122")</f>
        <v>B122</v>
      </c>
      <c r="S84" s="180" t="str">
        <f>IFERROR(__xludf.DUMMYFUNCTION("""COMPUTED_VALUE"""),"Gem of Archer")</f>
        <v>Gem of Archer</v>
      </c>
      <c r="T84" s="181">
        <f>IFERROR(__xludf.DUMMYFUNCTION("""COMPUTED_VALUE"""),1.0)</f>
        <v>1</v>
      </c>
      <c r="U84" s="182" t="str">
        <f>IFERROR(__xludf.DUMMYFUNCTION("""COMPUTED_VALUE"""),"TRF1")</f>
        <v>TRF1</v>
      </c>
      <c r="V84" s="184" t="str">
        <f>IFERROR(__xludf.DUMMYFUNCTION("""COMPUTED_VALUE"""),"Chaldea Gate (Mon)")</f>
        <v>Chaldea Gate (Mon)</v>
      </c>
      <c r="W84" s="184" t="str">
        <f>IFERROR(__xludf.DUMMYFUNCTION("""COMPUTED_VALUE"""),"MON Archer Training Ground- Nov")</f>
        <v>MON Archer Training Ground- Nov</v>
      </c>
      <c r="X84" s="190">
        <f>IFERROR(__xludf.DUMMYFUNCTION("""COMPUTED_VALUE"""),10.0)</f>
        <v>10</v>
      </c>
      <c r="Y84" s="191">
        <f>IFERROR(__xludf.DUMMYFUNCTION("""COMPUTED_VALUE"""),19.375)</f>
        <v>19.375</v>
      </c>
      <c r="Z84" s="192">
        <f>IFERROR(__xludf.DUMMYFUNCTION("""COMPUTED_VALUE"""),7.4)</f>
        <v>7.4</v>
      </c>
      <c r="AA84" s="194" t="str">
        <f>IFERROR(__xludf.DUMMYFUNCTION("""COMPUTED_VALUE"""),"AP")</f>
        <v>AP</v>
      </c>
      <c r="AB84" s="192">
        <f>IFERROR(__xludf.DUMMYFUNCTION("""COMPUTED_VALUE"""),135.2)</f>
        <v>135.2</v>
      </c>
      <c r="AC84" s="194" t="str">
        <f>IFERROR(__xludf.DUMMYFUNCTION("""COMPUTED_VALUE"""),"％")</f>
        <v>％</v>
      </c>
      <c r="AD84" s="190">
        <f>IFERROR(__xludf.DUMMYFUNCTION("""COMPUTED_VALUE"""),1558.0)</f>
        <v>1558</v>
      </c>
      <c r="AE84" s="197" t="str">
        <f>IFERROR(__xludf.DUMMYFUNCTION("""COMPUTED_VALUE"""),"Gem of Archer")</f>
        <v>Gem of Archer</v>
      </c>
      <c r="AF84" s="98" t="str">
        <f>IFERROR(__xludf.DUMMYFUNCTION("""COMPUTED_VALUE"""),"")</f>
        <v/>
      </c>
    </row>
    <row r="85" ht="16.5" customHeight="1">
      <c r="C85" s="204"/>
      <c r="D85" s="205">
        <f>IFERROR(__xludf.DUMMYFUNCTION("""COMPUTED_VALUE"""),2.0)</f>
        <v>2</v>
      </c>
      <c r="E85" s="206" t="str">
        <f>IFERROR(__xludf.DUMMYFUNCTION("""COMPUTED_VALUE"""),"LDN9")</f>
        <v>LDN9</v>
      </c>
      <c r="F85" s="207" t="str">
        <f>IFERROR(__xludf.DUMMYFUNCTION("""COMPUTED_VALUE"""),"London")</f>
        <v>London</v>
      </c>
      <c r="G85" s="209" t="str">
        <f>IFERROR(__xludf.DUMMYFUNCTION("""COMPUTED_VALUE"""),"Hyde Park")</f>
        <v>Hyde Park</v>
      </c>
      <c r="H85" s="211">
        <f>IFERROR(__xludf.DUMMYFUNCTION("""COMPUTED_VALUE"""),20.0)</f>
        <v>20</v>
      </c>
      <c r="I85" s="213">
        <f>IFERROR(__xludf.DUMMYFUNCTION("""COMPUTED_VALUE"""),45.9375)</f>
        <v>45.9375</v>
      </c>
      <c r="J85" s="214">
        <f>IFERROR(__xludf.DUMMYFUNCTION("""COMPUTED_VALUE"""),73.0)</f>
        <v>73</v>
      </c>
      <c r="K85" s="215" t="str">
        <f>IFERROR(__xludf.DUMMYFUNCTION("""COMPUTED_VALUE"""),"AP")</f>
        <v>AP</v>
      </c>
      <c r="L85" s="214">
        <f>IFERROR(__xludf.DUMMYFUNCTION("""COMPUTED_VALUE"""),27.4)</f>
        <v>27.4</v>
      </c>
      <c r="M85" s="215" t="str">
        <f>IFERROR(__xludf.DUMMYFUNCTION("""COMPUTED_VALUE"""),"％")</f>
        <v>％</v>
      </c>
      <c r="N85" s="211">
        <f>IFERROR(__xludf.DUMMYFUNCTION("""COMPUTED_VALUE"""),13147.0)</f>
        <v>13147</v>
      </c>
      <c r="O85" s="217"/>
      <c r="P85" s="93" t="str">
        <f>IFERROR(__xludf.DUMMYFUNCTION("""COMPUTED_VALUE"""),"")</f>
        <v/>
      </c>
      <c r="S85" s="204"/>
      <c r="T85" s="205">
        <f>IFERROR(__xludf.DUMMYFUNCTION("""COMPUTED_VALUE"""),2.0)</f>
        <v>2</v>
      </c>
      <c r="U85" s="206" t="str">
        <f>IFERROR(__xludf.DUMMYFUNCTION("""COMPUTED_VALUE"""),"TRF2")</f>
        <v>TRF2</v>
      </c>
      <c r="V85" s="207" t="str">
        <f>IFERROR(__xludf.DUMMYFUNCTION("""COMPUTED_VALUE"""),"Chaldea Gate (Mon)")</f>
        <v>Chaldea Gate (Mon)</v>
      </c>
      <c r="W85" s="207" t="str">
        <f>IFERROR(__xludf.DUMMYFUNCTION("""COMPUTED_VALUE"""),"MON Archer Training Ground- Int")</f>
        <v>MON Archer Training Ground- Int</v>
      </c>
      <c r="X85" s="211">
        <f>IFERROR(__xludf.DUMMYFUNCTION("""COMPUTED_VALUE"""),20.0)</f>
        <v>20</v>
      </c>
      <c r="Y85" s="213">
        <f>IFERROR(__xludf.DUMMYFUNCTION("""COMPUTED_VALUE"""),19.0625)</f>
        <v>19.0625</v>
      </c>
      <c r="Z85" s="214">
        <f>IFERROR(__xludf.DUMMYFUNCTION("""COMPUTED_VALUE"""),14.6)</f>
        <v>14.6</v>
      </c>
      <c r="AA85" s="215" t="str">
        <f>IFERROR(__xludf.DUMMYFUNCTION("""COMPUTED_VALUE"""),"AP")</f>
        <v>AP</v>
      </c>
      <c r="AB85" s="214">
        <f>IFERROR(__xludf.DUMMYFUNCTION("""COMPUTED_VALUE"""),136.5)</f>
        <v>136.5</v>
      </c>
      <c r="AC85" s="215" t="str">
        <f>IFERROR(__xludf.DUMMYFUNCTION("""COMPUTED_VALUE"""),"％")</f>
        <v>％</v>
      </c>
      <c r="AD85" s="211">
        <f>IFERROR(__xludf.DUMMYFUNCTION("""COMPUTED_VALUE"""),657.0)</f>
        <v>657</v>
      </c>
      <c r="AE85" s="217"/>
      <c r="AF85" s="98" t="str">
        <f>IFERROR(__xludf.DUMMYFUNCTION("""COMPUTED_VALUE"""),"")</f>
        <v/>
      </c>
    </row>
    <row r="86" ht="16.5" customHeight="1">
      <c r="C86" s="204"/>
      <c r="D86" s="222">
        <f>IFERROR(__xludf.DUMMYFUNCTION("""COMPUTED_VALUE"""),3.0)</f>
        <v>3</v>
      </c>
      <c r="E86" s="223" t="str">
        <f>IFERROR(__xludf.DUMMYFUNCTION("""COMPUTED_VALUE"""),"TRF19")</f>
        <v>TRF19</v>
      </c>
      <c r="F86" s="224" t="str">
        <f>IFERROR(__xludf.DUMMYFUNCTION("""COMPUTED_VALUE"""),"Chaldea Gate (Fri)")</f>
        <v>Chaldea Gate (Fri)</v>
      </c>
      <c r="G86" s="224" t="str">
        <f>IFERROR(__xludf.DUMMYFUNCTION("""COMPUTED_VALUE"""),"FRI Caster Training Ground- Adv")</f>
        <v>FRI Caster Training Ground- Adv</v>
      </c>
      <c r="H86" s="228">
        <f>IFERROR(__xludf.DUMMYFUNCTION("""COMPUTED_VALUE"""),30.0)</f>
        <v>30</v>
      </c>
      <c r="I86" s="230">
        <f>IFERROR(__xludf.DUMMYFUNCTION("""COMPUTED_VALUE"""),18.958333333333332)</f>
        <v>18.95833333</v>
      </c>
      <c r="J86" s="231">
        <f>IFERROR(__xludf.DUMMYFUNCTION("""COMPUTED_VALUE"""),195.3)</f>
        <v>195.3</v>
      </c>
      <c r="K86" s="232" t="str">
        <f>IFERROR(__xludf.DUMMYFUNCTION("""COMPUTED_VALUE"""),"AP")</f>
        <v>AP</v>
      </c>
      <c r="L86" s="231">
        <f>IFERROR(__xludf.DUMMYFUNCTION("""COMPUTED_VALUE"""),15.4)</f>
        <v>15.4</v>
      </c>
      <c r="M86" s="232" t="str">
        <f>IFERROR(__xludf.DUMMYFUNCTION("""COMPUTED_VALUE"""),"％")</f>
        <v>％</v>
      </c>
      <c r="N86" s="228">
        <f>IFERROR(__xludf.DUMMYFUNCTION("""COMPUTED_VALUE"""),1241.0)</f>
        <v>1241</v>
      </c>
      <c r="O86" s="217"/>
      <c r="P86" s="93" t="str">
        <f>IFERROR(__xludf.DUMMYFUNCTION("""COMPUTED_VALUE"""),"")</f>
        <v/>
      </c>
      <c r="S86" s="204"/>
      <c r="T86" s="222">
        <f>IFERROR(__xludf.DUMMYFUNCTION("""COMPUTED_VALUE"""),3.0)</f>
        <v>3</v>
      </c>
      <c r="U86" s="223" t="str">
        <f>IFERROR(__xludf.DUMMYFUNCTION("""COMPUTED_VALUE"""),"FUY4")</f>
        <v>FUY4</v>
      </c>
      <c r="V86" s="224" t="str">
        <f>IFERROR(__xludf.DUMMYFUNCTION("""COMPUTED_VALUE"""),"Fuyuki")</f>
        <v>Fuyuki</v>
      </c>
      <c r="W86" s="226" t="str">
        <f>IFERROR(__xludf.DUMMYFUNCTION("""COMPUTED_VALUE"""),"Unknown Coordinates X-D")</f>
        <v>Unknown Coordinates X-D</v>
      </c>
      <c r="X86" s="228">
        <f>IFERROR(__xludf.DUMMYFUNCTION("""COMPUTED_VALUE"""),5.0)</f>
        <v>5</v>
      </c>
      <c r="Y86" s="230">
        <f>IFERROR(__xludf.DUMMYFUNCTION("""COMPUTED_VALUE"""),23.75)</f>
        <v>23.75</v>
      </c>
      <c r="Z86" s="231">
        <f>IFERROR(__xludf.DUMMYFUNCTION("""COMPUTED_VALUE"""),24.7)</f>
        <v>24.7</v>
      </c>
      <c r="AA86" s="232" t="str">
        <f>IFERROR(__xludf.DUMMYFUNCTION("""COMPUTED_VALUE"""),"AP")</f>
        <v>AP</v>
      </c>
      <c r="AB86" s="231">
        <f>IFERROR(__xludf.DUMMYFUNCTION("""COMPUTED_VALUE"""),20.2)</f>
        <v>20.2</v>
      </c>
      <c r="AC86" s="232" t="str">
        <f>IFERROR(__xludf.DUMMYFUNCTION("""COMPUTED_VALUE"""),"％")</f>
        <v>％</v>
      </c>
      <c r="AD86" s="228">
        <f>IFERROR(__xludf.DUMMYFUNCTION("""COMPUTED_VALUE"""),2250.0)</f>
        <v>2250</v>
      </c>
      <c r="AE86" s="217"/>
      <c r="AF86" s="98" t="str">
        <f>IFERROR(__xludf.DUMMYFUNCTION("""COMPUTED_VALUE"""),"")</f>
        <v/>
      </c>
    </row>
    <row r="87" ht="16.5" customHeight="1">
      <c r="C87" s="204"/>
      <c r="D87" s="238">
        <f>IFERROR(__xludf.DUMMYFUNCTION("""COMPUTED_VALUE"""),4.0)</f>
        <v>4</v>
      </c>
      <c r="E87" s="240" t="str">
        <f>IFERROR(__xludf.DUMMYFUNCTION("""COMPUTED_VALUE"""),"TRF20")</f>
        <v>TRF20</v>
      </c>
      <c r="F87" s="242" t="str">
        <f>IFERROR(__xludf.DUMMYFUNCTION("""COMPUTED_VALUE"""),"Chaldea Gate (Fri)")</f>
        <v>Chaldea Gate (Fri)</v>
      </c>
      <c r="G87" s="242" t="str">
        <f>IFERROR(__xludf.DUMMYFUNCTION("""COMPUTED_VALUE"""),"FRI Caster Training Ground- Exp")</f>
        <v>FRI Caster Training Ground- Exp</v>
      </c>
      <c r="H87" s="246">
        <f>IFERROR(__xludf.DUMMYFUNCTION("""COMPUTED_VALUE"""),40.0)</f>
        <v>40</v>
      </c>
      <c r="I87" s="248">
        <f>IFERROR(__xludf.DUMMYFUNCTION("""COMPUTED_VALUE"""),20.46875)</f>
        <v>20.46875</v>
      </c>
      <c r="J87" s="250">
        <f>IFERROR(__xludf.DUMMYFUNCTION("""COMPUTED_VALUE"""),195.5)</f>
        <v>195.5</v>
      </c>
      <c r="K87" s="252" t="str">
        <f>IFERROR(__xludf.DUMMYFUNCTION("""COMPUTED_VALUE"""),"AP")</f>
        <v>AP</v>
      </c>
      <c r="L87" s="250">
        <f>IFERROR(__xludf.DUMMYFUNCTION("""COMPUTED_VALUE"""),20.5)</f>
        <v>20.5</v>
      </c>
      <c r="M87" s="252" t="str">
        <f>IFERROR(__xludf.DUMMYFUNCTION("""COMPUTED_VALUE"""),"％")</f>
        <v>％</v>
      </c>
      <c r="N87" s="246">
        <f>IFERROR(__xludf.DUMMYFUNCTION("""COMPUTED_VALUE"""),10906.0)</f>
        <v>10906</v>
      </c>
      <c r="O87" s="217"/>
      <c r="P87" s="93" t="str">
        <f>IFERROR(__xludf.DUMMYFUNCTION("""COMPUTED_VALUE"""),"")</f>
        <v/>
      </c>
      <c r="S87" s="204"/>
      <c r="T87" s="238">
        <f>IFERROR(__xludf.DUMMYFUNCTION("""COMPUTED_VALUE"""),4.0)</f>
        <v>4</v>
      </c>
      <c r="U87" s="240" t="str">
        <f>IFERROR(__xludf.DUMMYFUNCTION("""COMPUTED_VALUE"""),"EPU1")</f>
        <v>EPU1</v>
      </c>
      <c r="V87" s="242" t="str">
        <f>IFERROR(__xludf.DUMMYFUNCTION("""COMPUTED_VALUE"""),"E Pluribus Unum")</f>
        <v>E Pluribus Unum</v>
      </c>
      <c r="W87" s="244" t="str">
        <f>IFERROR(__xludf.DUMMYFUNCTION("""COMPUTED_VALUE"""),"Black Hills")</f>
        <v>Black Hills</v>
      </c>
      <c r="X87" s="246">
        <f>IFERROR(__xludf.DUMMYFUNCTION("""COMPUTED_VALUE"""),17.0)</f>
        <v>17</v>
      </c>
      <c r="Y87" s="248">
        <f>IFERROR(__xludf.DUMMYFUNCTION("""COMPUTED_VALUE"""),42.279411764705884)</f>
        <v>42.27941176</v>
      </c>
      <c r="Z87" s="250">
        <f>IFERROR(__xludf.DUMMYFUNCTION("""COMPUTED_VALUE"""),36.6)</f>
        <v>36.6</v>
      </c>
      <c r="AA87" s="252" t="str">
        <f>IFERROR(__xludf.DUMMYFUNCTION("""COMPUTED_VALUE"""),"AP")</f>
        <v>AP</v>
      </c>
      <c r="AB87" s="250">
        <f>IFERROR(__xludf.DUMMYFUNCTION("""COMPUTED_VALUE"""),46.5)</f>
        <v>46.5</v>
      </c>
      <c r="AC87" s="252" t="str">
        <f>IFERROR(__xludf.DUMMYFUNCTION("""COMPUTED_VALUE"""),"％")</f>
        <v>％</v>
      </c>
      <c r="AD87" s="246">
        <f>IFERROR(__xludf.DUMMYFUNCTION("""COMPUTED_VALUE"""),155.0)</f>
        <v>155</v>
      </c>
      <c r="AE87" s="217"/>
      <c r="AF87" s="98" t="str">
        <f>IFERROR(__xludf.DUMMYFUNCTION("""COMPUTED_VALUE"""),"")</f>
        <v/>
      </c>
    </row>
    <row r="88" ht="16.5" customHeight="1">
      <c r="A88" s="166"/>
      <c r="C88" s="255"/>
      <c r="D88" s="256">
        <f>IFERROR(__xludf.DUMMYFUNCTION("""COMPUTED_VALUE"""),5.0)</f>
        <v>5</v>
      </c>
      <c r="E88" s="257" t="str">
        <f>IFERROR(__xludf.DUMMYFUNCTION("""COMPUTED_VALUE"""),"TRF17")</f>
        <v>TRF17</v>
      </c>
      <c r="F88" s="42" t="str">
        <f>IFERROR(__xludf.DUMMYFUNCTION("""COMPUTED_VALUE"""),"Chaldea Gate (Fri)")</f>
        <v>Chaldea Gate (Fri)</v>
      </c>
      <c r="G88" s="42" t="str">
        <f>IFERROR(__xludf.DUMMYFUNCTION("""COMPUTED_VALUE"""),"FRI Caster Training Ground- Nov")</f>
        <v>FRI Caster Training Ground- Nov</v>
      </c>
      <c r="H88" s="259">
        <f>IFERROR(__xludf.DUMMYFUNCTION("""COMPUTED_VALUE"""),10.0)</f>
        <v>10</v>
      </c>
      <c r="I88" s="260">
        <f>IFERROR(__xludf.DUMMYFUNCTION("""COMPUTED_VALUE"""),19.375)</f>
        <v>19.375</v>
      </c>
      <c r="J88" s="261">
        <f>IFERROR(__xludf.DUMMYFUNCTION("""COMPUTED_VALUE"""),207.3)</f>
        <v>207.3</v>
      </c>
      <c r="K88" s="262" t="str">
        <f>IFERROR(__xludf.DUMMYFUNCTION("""COMPUTED_VALUE"""),"AP")</f>
        <v>AP</v>
      </c>
      <c r="L88" s="261">
        <f>IFERROR(__xludf.DUMMYFUNCTION("""COMPUTED_VALUE"""),4.8)</f>
        <v>4.8</v>
      </c>
      <c r="M88" s="262" t="str">
        <f>IFERROR(__xludf.DUMMYFUNCTION("""COMPUTED_VALUE"""),"％")</f>
        <v>％</v>
      </c>
      <c r="N88" s="259">
        <f>IFERROR(__xludf.DUMMYFUNCTION("""COMPUTED_VALUE"""),2818.0)</f>
        <v>2818</v>
      </c>
      <c r="O88" s="263"/>
      <c r="P88" s="93" t="str">
        <f>IFERROR(__xludf.DUMMYFUNCTION("""COMPUTED_VALUE"""),"")</f>
        <v/>
      </c>
      <c r="Q88" s="166"/>
      <c r="S88" s="255"/>
      <c r="T88" s="256">
        <f>IFERROR(__xludf.DUMMYFUNCTION("""COMPUTED_VALUE"""),5.0)</f>
        <v>5</v>
      </c>
      <c r="U88" s="257" t="str">
        <f>IFERROR(__xludf.DUMMYFUNCTION("""COMPUTED_VALUE"""),"SEP4")</f>
        <v>SEP4</v>
      </c>
      <c r="V88" s="42" t="str">
        <f>IFERROR(__xludf.DUMMYFUNCTION("""COMPUTED_VALUE"""),"Septem")</f>
        <v>Septem</v>
      </c>
      <c r="W88" s="258" t="str">
        <f>IFERROR(__xludf.DUMMYFUNCTION("""COMPUTED_VALUE"""),"Florence")</f>
        <v>Florence</v>
      </c>
      <c r="X88" s="259">
        <f>IFERROR(__xludf.DUMMYFUNCTION("""COMPUTED_VALUE"""),9.0)</f>
        <v>9</v>
      </c>
      <c r="Y88" s="260">
        <f>IFERROR(__xludf.DUMMYFUNCTION("""COMPUTED_VALUE"""),29.86111111111111)</f>
        <v>29.86111111</v>
      </c>
      <c r="Z88" s="261">
        <f>IFERROR(__xludf.DUMMYFUNCTION("""COMPUTED_VALUE"""),39.8)</f>
        <v>39.8</v>
      </c>
      <c r="AA88" s="262" t="str">
        <f>IFERROR(__xludf.DUMMYFUNCTION("""COMPUTED_VALUE"""),"AP")</f>
        <v>AP</v>
      </c>
      <c r="AB88" s="261">
        <f>IFERROR(__xludf.DUMMYFUNCTION("""COMPUTED_VALUE"""),22.6)</f>
        <v>22.6</v>
      </c>
      <c r="AC88" s="262" t="str">
        <f>IFERROR(__xludf.DUMMYFUNCTION("""COMPUTED_VALUE"""),"％")</f>
        <v>％</v>
      </c>
      <c r="AD88" s="259">
        <f>IFERROR(__xludf.DUMMYFUNCTION("""COMPUTED_VALUE"""),265.0)</f>
        <v>265</v>
      </c>
      <c r="AE88" s="263"/>
      <c r="AF88" s="98" t="str">
        <f>IFERROR(__xludf.DUMMYFUNCTION("""COMPUTED_VALUE"""),"")</f>
        <v/>
      </c>
    </row>
    <row r="89" ht="16.5" customHeight="1">
      <c r="A89" s="61" t="str">
        <f>IFERROR(__xludf.DUMMYFUNCTION("""COMPUTED_VALUE"""),"")</f>
        <v/>
      </c>
      <c r="B89" s="367" t="str">
        <f>IFERROR(__xludf.DUMMYFUNCTION("""COMPUTED_VALUE"""),"A208")</f>
        <v>A208</v>
      </c>
      <c r="C89" s="65" t="str">
        <f>IFERROR(__xludf.DUMMYFUNCTION("""COMPUTED_VALUE"""),"Homunculus Baby")</f>
        <v>Homunculus Baby</v>
      </c>
      <c r="D89" s="67">
        <f>IFERROR(__xludf.DUMMYFUNCTION("""COMPUTED_VALUE"""),1.0)</f>
        <v>1</v>
      </c>
      <c r="E89" s="69" t="str">
        <f>IFERROR(__xludf.DUMMYFUNCTION("""COMPUTED_VALUE"""),"SLM5")</f>
        <v>SLM5</v>
      </c>
      <c r="F89" s="71" t="str">
        <f>IFERROR(__xludf.DUMMYFUNCTION("""COMPUTED_VALUE"""),"Salem")</f>
        <v>Salem</v>
      </c>
      <c r="G89" s="78" t="str">
        <f>IFERROR(__xludf.DUMMYFUNCTION("""COMPUTED_VALUE"""),"Whateley House")</f>
        <v>Whateley House</v>
      </c>
      <c r="H89" s="80">
        <f>IFERROR(__xludf.DUMMYFUNCTION("""COMPUTED_VALUE"""),21.0)</f>
        <v>21</v>
      </c>
      <c r="I89" s="82">
        <f>IFERROR(__xludf.DUMMYFUNCTION("""COMPUTED_VALUE"""),48.51190476190476)</f>
        <v>48.51190476</v>
      </c>
      <c r="J89" s="84">
        <f>IFERROR(__xludf.DUMMYFUNCTION("""COMPUTED_VALUE"""),50.0)</f>
        <v>50</v>
      </c>
      <c r="K89" s="86" t="str">
        <f>IFERROR(__xludf.DUMMYFUNCTION("""COMPUTED_VALUE"""),"AP")</f>
        <v>AP</v>
      </c>
      <c r="L89" s="88">
        <f>IFERROR(__xludf.DUMMYFUNCTION("""COMPUTED_VALUE"""),42.0)</f>
        <v>42</v>
      </c>
      <c r="M89" s="86" t="str">
        <f>IFERROR(__xludf.DUMMYFUNCTION("""COMPUTED_VALUE"""),"％")</f>
        <v>％</v>
      </c>
      <c r="N89" s="80">
        <f>IFERROR(__xludf.DUMMYFUNCTION("""COMPUTED_VALUE"""),2483.0)</f>
        <v>2483</v>
      </c>
      <c r="O89" s="91" t="str">
        <f>IFERROR(__xludf.DUMMYFUNCTION("""COMPUTED_VALUE"""),"Homunculus Baby")</f>
        <v>Homunculus Baby</v>
      </c>
      <c r="P89" s="362" t="str">
        <f>IFERROR(__xludf.DUMMYFUNCTION("""COMPUTED_VALUE"""),"")</f>
        <v/>
      </c>
      <c r="Q89" s="61" t="str">
        <f>IFERROR(__xludf.DUMMYFUNCTION("""COMPUTED_VALUE"""),"")</f>
        <v/>
      </c>
      <c r="R89" s="367" t="str">
        <f>IFERROR(__xludf.DUMMYFUNCTION("""COMPUTED_VALUE"""),"B123")</f>
        <v>B123</v>
      </c>
      <c r="S89" s="65" t="str">
        <f>IFERROR(__xludf.DUMMYFUNCTION("""COMPUTED_VALUE"""),"Gem of Lancer")</f>
        <v>Gem of Lancer</v>
      </c>
      <c r="T89" s="67">
        <f>IFERROR(__xludf.DUMMYFUNCTION("""COMPUTED_VALUE"""),1.0)</f>
        <v>1</v>
      </c>
      <c r="U89" s="69" t="str">
        <f>IFERROR(__xludf.DUMMYFUNCTION("""COMPUTED_VALUE"""),"TRF5")</f>
        <v>TRF5</v>
      </c>
      <c r="V89" s="71" t="str">
        <f>IFERROR(__xludf.DUMMYFUNCTION("""COMPUTED_VALUE"""),"Chaldea Gate (Tue)")</f>
        <v>Chaldea Gate (Tue)</v>
      </c>
      <c r="W89" s="71" t="str">
        <f>IFERROR(__xludf.DUMMYFUNCTION("""COMPUTED_VALUE"""),"TUE Lancer Training Ground- Nov")</f>
        <v>TUE Lancer Training Ground- Nov</v>
      </c>
      <c r="X89" s="80">
        <f>IFERROR(__xludf.DUMMYFUNCTION("""COMPUTED_VALUE"""),10.0)</f>
        <v>10</v>
      </c>
      <c r="Y89" s="82">
        <f>IFERROR(__xludf.DUMMYFUNCTION("""COMPUTED_VALUE"""),19.375)</f>
        <v>19.375</v>
      </c>
      <c r="Z89" s="84">
        <f>IFERROR(__xludf.DUMMYFUNCTION("""COMPUTED_VALUE"""),8.5)</f>
        <v>8.5</v>
      </c>
      <c r="AA89" s="86" t="str">
        <f>IFERROR(__xludf.DUMMYFUNCTION("""COMPUTED_VALUE"""),"AP")</f>
        <v>AP</v>
      </c>
      <c r="AB89" s="88">
        <f>IFERROR(__xludf.DUMMYFUNCTION("""COMPUTED_VALUE"""),117.1)</f>
        <v>117.1</v>
      </c>
      <c r="AC89" s="86" t="str">
        <f>IFERROR(__xludf.DUMMYFUNCTION("""COMPUTED_VALUE"""),"％")</f>
        <v>％</v>
      </c>
      <c r="AD89" s="80">
        <f>IFERROR(__xludf.DUMMYFUNCTION("""COMPUTED_VALUE"""),1502.0)</f>
        <v>1502</v>
      </c>
      <c r="AE89" s="91" t="str">
        <f>IFERROR(__xludf.DUMMYFUNCTION("""COMPUTED_VALUE"""),"Gem of Lancer")</f>
        <v>Gem of Lancer</v>
      </c>
      <c r="AF89" s="364" t="str">
        <f>IFERROR(__xludf.DUMMYFUNCTION("""COMPUTED_VALUE"""),"")</f>
        <v/>
      </c>
    </row>
    <row r="90" ht="16.5" customHeight="1">
      <c r="C90" s="100"/>
      <c r="D90" s="102">
        <f>IFERROR(__xludf.DUMMYFUNCTION("""COMPUTED_VALUE"""),2.0)</f>
        <v>2</v>
      </c>
      <c r="E90" s="103" t="str">
        <f>IFERROR(__xludf.DUMMYFUNCTION("""COMPUTED_VALUE"""),"LDN8")</f>
        <v>LDN8</v>
      </c>
      <c r="F90" s="104" t="str">
        <f>IFERROR(__xludf.DUMMYFUNCTION("""COMPUTED_VALUE"""),"London")</f>
        <v>London</v>
      </c>
      <c r="G90" s="108" t="str">
        <f>IFERROR(__xludf.DUMMYFUNCTION("""COMPUTED_VALUE"""),"Southwark")</f>
        <v>Southwark</v>
      </c>
      <c r="H90" s="109">
        <f>IFERROR(__xludf.DUMMYFUNCTION("""COMPUTED_VALUE"""),19.0)</f>
        <v>19</v>
      </c>
      <c r="I90" s="110">
        <f>IFERROR(__xludf.DUMMYFUNCTION("""COMPUTED_VALUE"""),45.723684210526315)</f>
        <v>45.72368421</v>
      </c>
      <c r="J90" s="112">
        <f>IFERROR(__xludf.DUMMYFUNCTION("""COMPUTED_VALUE"""),62.5)</f>
        <v>62.5</v>
      </c>
      <c r="K90" s="121" t="str">
        <f>IFERROR(__xludf.DUMMYFUNCTION("""COMPUTED_VALUE"""),"AP")</f>
        <v>AP</v>
      </c>
      <c r="L90" s="123">
        <f>IFERROR(__xludf.DUMMYFUNCTION("""COMPUTED_VALUE"""),30.4)</f>
        <v>30.4</v>
      </c>
      <c r="M90" s="121" t="str">
        <f>IFERROR(__xludf.DUMMYFUNCTION("""COMPUTED_VALUE"""),"％")</f>
        <v>％</v>
      </c>
      <c r="N90" s="109">
        <f>IFERROR(__xludf.DUMMYFUNCTION("""COMPUTED_VALUE"""),5508.0)</f>
        <v>5508</v>
      </c>
      <c r="O90" s="100"/>
      <c r="P90" s="362" t="str">
        <f>IFERROR(__xludf.DUMMYFUNCTION("""COMPUTED_VALUE"""),"")</f>
        <v/>
      </c>
      <c r="S90" s="100"/>
      <c r="T90" s="102">
        <f>IFERROR(__xludf.DUMMYFUNCTION("""COMPUTED_VALUE"""),2.0)</f>
        <v>2</v>
      </c>
      <c r="U90" s="103" t="str">
        <f>IFERROR(__xludf.DUMMYFUNCTION("""COMPUTED_VALUE"""),"TRF6")</f>
        <v>TRF6</v>
      </c>
      <c r="V90" s="104" t="str">
        <f>IFERROR(__xludf.DUMMYFUNCTION("""COMPUTED_VALUE"""),"Chaldea Gate (Tue)")</f>
        <v>Chaldea Gate (Tue)</v>
      </c>
      <c r="W90" s="104" t="str">
        <f>IFERROR(__xludf.DUMMYFUNCTION("""COMPUTED_VALUE"""),"TUE Lancer Training Ground- Int")</f>
        <v>TUE Lancer Training Ground- Int</v>
      </c>
      <c r="X90" s="109">
        <f>IFERROR(__xludf.DUMMYFUNCTION("""COMPUTED_VALUE"""),20.0)</f>
        <v>20</v>
      </c>
      <c r="Y90" s="110">
        <f>IFERROR(__xludf.DUMMYFUNCTION("""COMPUTED_VALUE"""),19.0625)</f>
        <v>19.0625</v>
      </c>
      <c r="Z90" s="112">
        <f>IFERROR(__xludf.DUMMYFUNCTION("""COMPUTED_VALUE"""),16.8)</f>
        <v>16.8</v>
      </c>
      <c r="AA90" s="121" t="str">
        <f>IFERROR(__xludf.DUMMYFUNCTION("""COMPUTED_VALUE"""),"AP")</f>
        <v>AP</v>
      </c>
      <c r="AB90" s="123">
        <f>IFERROR(__xludf.DUMMYFUNCTION("""COMPUTED_VALUE"""),118.9)</f>
        <v>118.9</v>
      </c>
      <c r="AC90" s="121" t="str">
        <f>IFERROR(__xludf.DUMMYFUNCTION("""COMPUTED_VALUE"""),"％")</f>
        <v>％</v>
      </c>
      <c r="AD90" s="109">
        <f>IFERROR(__xludf.DUMMYFUNCTION("""COMPUTED_VALUE"""),338.0)</f>
        <v>338</v>
      </c>
      <c r="AE90" s="100"/>
      <c r="AF90" s="364" t="str">
        <f>IFERROR(__xludf.DUMMYFUNCTION("""COMPUTED_VALUE"""),"")</f>
        <v/>
      </c>
    </row>
    <row r="91" ht="16.5" customHeight="1">
      <c r="C91" s="100"/>
      <c r="D91" s="130">
        <f>IFERROR(__xludf.DUMMYFUNCTION("""COMPUTED_VALUE"""),3.0)</f>
        <v>3</v>
      </c>
      <c r="E91" s="132" t="str">
        <f>IFERROR(__xludf.DUMMYFUNCTION("""COMPUTED_VALUE"""),"LDN5")</f>
        <v>LDN5</v>
      </c>
      <c r="F91" s="133" t="str">
        <f>IFERROR(__xludf.DUMMYFUNCTION("""COMPUTED_VALUE"""),"London")</f>
        <v>London</v>
      </c>
      <c r="G91" s="135" t="str">
        <f>IFERROR(__xludf.DUMMYFUNCTION("""COMPUTED_VALUE"""),"Westminster")</f>
        <v>Westminster</v>
      </c>
      <c r="H91" s="137">
        <f>IFERROR(__xludf.DUMMYFUNCTION("""COMPUTED_VALUE"""),16.0)</f>
        <v>16</v>
      </c>
      <c r="I91" s="139">
        <f>IFERROR(__xludf.DUMMYFUNCTION("""COMPUTED_VALUE"""),38.671875)</f>
        <v>38.671875</v>
      </c>
      <c r="J91" s="141">
        <f>IFERROR(__xludf.DUMMYFUNCTION("""COMPUTED_VALUE"""),115.9)</f>
        <v>115.9</v>
      </c>
      <c r="K91" s="143" t="str">
        <f>IFERROR(__xludf.DUMMYFUNCTION("""COMPUTED_VALUE"""),"AP")</f>
        <v>AP</v>
      </c>
      <c r="L91" s="145">
        <f>IFERROR(__xludf.DUMMYFUNCTION("""COMPUTED_VALUE"""),13.8)</f>
        <v>13.8</v>
      </c>
      <c r="M91" s="143" t="str">
        <f>IFERROR(__xludf.DUMMYFUNCTION("""COMPUTED_VALUE"""),"％")</f>
        <v>％</v>
      </c>
      <c r="N91" s="137">
        <f>IFERROR(__xludf.DUMMYFUNCTION("""COMPUTED_VALUE"""),210.0)</f>
        <v>210</v>
      </c>
      <c r="O91" s="100"/>
      <c r="P91" s="362" t="str">
        <f>IFERROR(__xludf.DUMMYFUNCTION("""COMPUTED_VALUE"""),"")</f>
        <v/>
      </c>
      <c r="S91" s="100"/>
      <c r="T91" s="130">
        <f>IFERROR(__xludf.DUMMYFUNCTION("""COMPUTED_VALUE"""),3.0)</f>
        <v>3</v>
      </c>
      <c r="U91" s="132" t="str">
        <f>IFERROR(__xludf.DUMMYFUNCTION("""COMPUTED_VALUE"""),"ORL8")</f>
        <v>ORL8</v>
      </c>
      <c r="V91" s="133" t="str">
        <f>IFERROR(__xludf.DUMMYFUNCTION("""COMPUTED_VALUE"""),"Orleans")</f>
        <v>Orleans</v>
      </c>
      <c r="W91" s="135" t="str">
        <f>IFERROR(__xludf.DUMMYFUNCTION("""COMPUTED_VALUE"""),"Bordeaux")</f>
        <v>Bordeaux</v>
      </c>
      <c r="X91" s="137">
        <f>IFERROR(__xludf.DUMMYFUNCTION("""COMPUTED_VALUE"""),7.0)</f>
        <v>7</v>
      </c>
      <c r="Y91" s="139">
        <f>IFERROR(__xludf.DUMMYFUNCTION("""COMPUTED_VALUE"""),31.25)</f>
        <v>31.25</v>
      </c>
      <c r="Z91" s="141">
        <f>IFERROR(__xludf.DUMMYFUNCTION("""COMPUTED_VALUE"""),23.1)</f>
        <v>23.1</v>
      </c>
      <c r="AA91" s="143" t="str">
        <f>IFERROR(__xludf.DUMMYFUNCTION("""COMPUTED_VALUE"""),"AP")</f>
        <v>AP</v>
      </c>
      <c r="AB91" s="145">
        <f>IFERROR(__xludf.DUMMYFUNCTION("""COMPUTED_VALUE"""),30.3)</f>
        <v>30.3</v>
      </c>
      <c r="AC91" s="143" t="str">
        <f>IFERROR(__xludf.DUMMYFUNCTION("""COMPUTED_VALUE"""),"％")</f>
        <v>％</v>
      </c>
      <c r="AD91" s="137">
        <f>IFERROR(__xludf.DUMMYFUNCTION("""COMPUTED_VALUE"""),287.0)</f>
        <v>287</v>
      </c>
      <c r="AE91" s="100"/>
      <c r="AF91" s="364" t="str">
        <f>IFERROR(__xludf.DUMMYFUNCTION("""COMPUTED_VALUE"""),"")</f>
        <v/>
      </c>
    </row>
    <row r="92" ht="16.5" customHeight="1">
      <c r="C92" s="100"/>
      <c r="D92" s="146">
        <f>IFERROR(__xludf.DUMMYFUNCTION("""COMPUTED_VALUE"""),4.0)</f>
        <v>4</v>
      </c>
      <c r="E92" s="148" t="str">
        <f>IFERROR(__xludf.DUMMYFUNCTION("""COMPUTED_VALUE"""),"LDN3")</f>
        <v>LDN3</v>
      </c>
      <c r="F92" s="150" t="str">
        <f>IFERROR(__xludf.DUMMYFUNCTION("""COMPUTED_VALUE"""),"London")</f>
        <v>London</v>
      </c>
      <c r="G92" s="152" t="str">
        <f>IFERROR(__xludf.DUMMYFUNCTION("""COMPUTED_VALUE"""),"City of London")</f>
        <v>City of London</v>
      </c>
      <c r="H92" s="154">
        <f>IFERROR(__xludf.DUMMYFUNCTION("""COMPUTED_VALUE"""),15.0)</f>
        <v>15</v>
      </c>
      <c r="I92" s="156">
        <f>IFERROR(__xludf.DUMMYFUNCTION("""COMPUTED_VALUE"""),39.583333333333336)</f>
        <v>39.58333333</v>
      </c>
      <c r="J92" s="158">
        <f>IFERROR(__xludf.DUMMYFUNCTION("""COMPUTED_VALUE"""),127.1)</f>
        <v>127.1</v>
      </c>
      <c r="K92" s="160" t="str">
        <f>IFERROR(__xludf.DUMMYFUNCTION("""COMPUTED_VALUE"""),"AP")</f>
        <v>AP</v>
      </c>
      <c r="L92" s="162">
        <f>IFERROR(__xludf.DUMMYFUNCTION("""COMPUTED_VALUE"""),11.8)</f>
        <v>11.8</v>
      </c>
      <c r="M92" s="160" t="str">
        <f>IFERROR(__xludf.DUMMYFUNCTION("""COMPUTED_VALUE"""),"％")</f>
        <v>％</v>
      </c>
      <c r="N92" s="154">
        <f>IFERROR(__xludf.DUMMYFUNCTION("""COMPUTED_VALUE"""),144.0)</f>
        <v>144</v>
      </c>
      <c r="O92" s="100"/>
      <c r="P92" s="362" t="str">
        <f>IFERROR(__xludf.DUMMYFUNCTION("""COMPUTED_VALUE"""),"")</f>
        <v/>
      </c>
      <c r="S92" s="100"/>
      <c r="T92" s="146">
        <f>IFERROR(__xludf.DUMMYFUNCTION("""COMPUTED_VALUE"""),4.0)</f>
        <v>4</v>
      </c>
      <c r="U92" s="148" t="str">
        <f>IFERROR(__xludf.DUMMYFUNCTION("""COMPUTED_VALUE"""),"LDN3")</f>
        <v>LDN3</v>
      </c>
      <c r="V92" s="150" t="str">
        <f>IFERROR(__xludf.DUMMYFUNCTION("""COMPUTED_VALUE"""),"London")</f>
        <v>London</v>
      </c>
      <c r="W92" s="152" t="str">
        <f>IFERROR(__xludf.DUMMYFUNCTION("""COMPUTED_VALUE"""),"City of London")</f>
        <v>City of London</v>
      </c>
      <c r="X92" s="154">
        <f>IFERROR(__xludf.DUMMYFUNCTION("""COMPUTED_VALUE"""),15.0)</f>
        <v>15</v>
      </c>
      <c r="Y92" s="156">
        <f>IFERROR(__xludf.DUMMYFUNCTION("""COMPUTED_VALUE"""),39.583333333333336)</f>
        <v>39.58333333</v>
      </c>
      <c r="Z92" s="158">
        <f>IFERROR(__xludf.DUMMYFUNCTION("""COMPUTED_VALUE"""),24.8)</f>
        <v>24.8</v>
      </c>
      <c r="AA92" s="160" t="str">
        <f>IFERROR(__xludf.DUMMYFUNCTION("""COMPUTED_VALUE"""),"AP")</f>
        <v>AP</v>
      </c>
      <c r="AB92" s="162">
        <f>IFERROR(__xludf.DUMMYFUNCTION("""COMPUTED_VALUE"""),60.4)</f>
        <v>60.4</v>
      </c>
      <c r="AC92" s="160" t="str">
        <f>IFERROR(__xludf.DUMMYFUNCTION("""COMPUTED_VALUE"""),"％")</f>
        <v>％</v>
      </c>
      <c r="AD92" s="154">
        <f>IFERROR(__xludf.DUMMYFUNCTION("""COMPUTED_VALUE"""),144.0)</f>
        <v>144</v>
      </c>
      <c r="AE92" s="100"/>
      <c r="AF92" s="364" t="str">
        <f>IFERROR(__xludf.DUMMYFUNCTION("""COMPUTED_VALUE"""),"")</f>
        <v/>
      </c>
    </row>
    <row r="93" ht="16.5" customHeight="1">
      <c r="A93" s="166"/>
      <c r="C93" s="168"/>
      <c r="D93" s="169">
        <f>IFERROR(__xludf.DUMMYFUNCTION("""COMPUTED_VALUE"""),5.0)</f>
        <v>5</v>
      </c>
      <c r="E93" s="170" t="str">
        <f>IFERROR(__xludf.DUMMYFUNCTION("""COMPUTED_VALUE"""),"TRF7")</f>
        <v>TRF7</v>
      </c>
      <c r="F93" s="51" t="str">
        <f>IFERROR(__xludf.DUMMYFUNCTION("""COMPUTED_VALUE"""),"Chaldea Gate (Tue)")</f>
        <v>Chaldea Gate (Tue)</v>
      </c>
      <c r="G93" s="51" t="str">
        <f>IFERROR(__xludf.DUMMYFUNCTION("""COMPUTED_VALUE"""),"TUE Lancer Training Ground- Adv")</f>
        <v>TUE Lancer Training Ground- Adv</v>
      </c>
      <c r="H93" s="172">
        <f>IFERROR(__xludf.DUMMYFUNCTION("""COMPUTED_VALUE"""),30.0)</f>
        <v>30</v>
      </c>
      <c r="I93" s="173">
        <f>IFERROR(__xludf.DUMMYFUNCTION("""COMPUTED_VALUE"""),18.958333333333332)</f>
        <v>18.95833333</v>
      </c>
      <c r="J93" s="174">
        <f>IFERROR(__xludf.DUMMYFUNCTION("""COMPUTED_VALUE"""),168.5)</f>
        <v>168.5</v>
      </c>
      <c r="K93" s="175" t="str">
        <f>IFERROR(__xludf.DUMMYFUNCTION("""COMPUTED_VALUE"""),"AP")</f>
        <v>AP</v>
      </c>
      <c r="L93" s="176">
        <f>IFERROR(__xludf.DUMMYFUNCTION("""COMPUTED_VALUE"""),17.8)</f>
        <v>17.8</v>
      </c>
      <c r="M93" s="175" t="str">
        <f>IFERROR(__xludf.DUMMYFUNCTION("""COMPUTED_VALUE"""),"％")</f>
        <v>％</v>
      </c>
      <c r="N93" s="172">
        <f>IFERROR(__xludf.DUMMYFUNCTION("""COMPUTED_VALUE"""),1022.0)</f>
        <v>1022</v>
      </c>
      <c r="O93" s="168"/>
      <c r="P93" s="362" t="str">
        <f>IFERROR(__xludf.DUMMYFUNCTION("""COMPUTED_VALUE"""),"")</f>
        <v/>
      </c>
      <c r="Q93" s="166"/>
      <c r="S93" s="168"/>
      <c r="T93" s="169">
        <f>IFERROR(__xludf.DUMMYFUNCTION("""COMPUTED_VALUE"""),5.0)</f>
        <v>5</v>
      </c>
      <c r="U93" s="170" t="str">
        <f>IFERROR(__xludf.DUMMYFUNCTION("""COMPUTED_VALUE"""),"FUY3")</f>
        <v>FUY3</v>
      </c>
      <c r="V93" s="51" t="str">
        <f>IFERROR(__xludf.DUMMYFUNCTION("""COMPUTED_VALUE"""),"Fuyuki")</f>
        <v>Fuyuki</v>
      </c>
      <c r="W93" s="171" t="str">
        <f>IFERROR(__xludf.DUMMYFUNCTION("""COMPUTED_VALUE"""),"Unknown Coordinates X-C")</f>
        <v>Unknown Coordinates X-C</v>
      </c>
      <c r="X93" s="172">
        <f>IFERROR(__xludf.DUMMYFUNCTION("""COMPUTED_VALUE"""),4.0)</f>
        <v>4</v>
      </c>
      <c r="Y93" s="173">
        <f>IFERROR(__xludf.DUMMYFUNCTION("""COMPUTED_VALUE"""),23.4375)</f>
        <v>23.4375</v>
      </c>
      <c r="Z93" s="174">
        <f>IFERROR(__xludf.DUMMYFUNCTION("""COMPUTED_VALUE"""),26.7)</f>
        <v>26.7</v>
      </c>
      <c r="AA93" s="175" t="str">
        <f>IFERROR(__xludf.DUMMYFUNCTION("""COMPUTED_VALUE"""),"AP")</f>
        <v>AP</v>
      </c>
      <c r="AB93" s="176">
        <f>IFERROR(__xludf.DUMMYFUNCTION("""COMPUTED_VALUE"""),15.0)</f>
        <v>15</v>
      </c>
      <c r="AC93" s="175" t="str">
        <f>IFERROR(__xludf.DUMMYFUNCTION("""COMPUTED_VALUE"""),"％")</f>
        <v>％</v>
      </c>
      <c r="AD93" s="172">
        <f>IFERROR(__xludf.DUMMYFUNCTION("""COMPUTED_VALUE"""),34529.0)</f>
        <v>34529</v>
      </c>
      <c r="AE93" s="168"/>
      <c r="AF93" s="364" t="str">
        <f>IFERROR(__xludf.DUMMYFUNCTION("""COMPUTED_VALUE"""),"")</f>
        <v/>
      </c>
    </row>
    <row r="94" ht="16.5" customHeight="1">
      <c r="A94" s="61" t="str">
        <f>IFERROR(__xludf.DUMMYFUNCTION("""COMPUTED_VALUE"""),"")</f>
        <v/>
      </c>
      <c r="B94" s="366" t="str">
        <f>IFERROR(__xludf.DUMMYFUNCTION("""COMPUTED_VALUE"""),"A209")</f>
        <v>A209</v>
      </c>
      <c r="C94" s="180" t="str">
        <f>IFERROR(__xludf.DUMMYFUNCTION("""COMPUTED_VALUE"""),"Meteor Horseshoe")</f>
        <v>Meteor Horseshoe</v>
      </c>
      <c r="D94" s="181">
        <f>IFERROR(__xludf.DUMMYFUNCTION("""COMPUTED_VALUE"""),1.0)</f>
        <v>1</v>
      </c>
      <c r="E94" s="182" t="str">
        <f>IFERROR(__xludf.DUMMYFUNCTION("""COMPUTED_VALUE"""),"CML13")</f>
        <v>CML13</v>
      </c>
      <c r="F94" s="184" t="str">
        <f>IFERROR(__xludf.DUMMYFUNCTION("""COMPUTED_VALUE"""),"Camelot")</f>
        <v>Camelot</v>
      </c>
      <c r="G94" s="189" t="str">
        <f>IFERROR(__xludf.DUMMYFUNCTION("""COMPUTED_VALUE"""),"Land of the Void")</f>
        <v>Land of the Void</v>
      </c>
      <c r="H94" s="190">
        <f>IFERROR(__xludf.DUMMYFUNCTION("""COMPUTED_VALUE"""),22.0)</f>
        <v>22</v>
      </c>
      <c r="I94" s="191">
        <f>IFERROR(__xludf.DUMMYFUNCTION("""COMPUTED_VALUE"""),49.71590909090909)</f>
        <v>49.71590909</v>
      </c>
      <c r="J94" s="192">
        <f>IFERROR(__xludf.DUMMYFUNCTION("""COMPUTED_VALUE"""),48.8)</f>
        <v>48.8</v>
      </c>
      <c r="K94" s="194" t="str">
        <f>IFERROR(__xludf.DUMMYFUNCTION("""COMPUTED_VALUE"""),"AP")</f>
        <v>AP</v>
      </c>
      <c r="L94" s="192">
        <f>IFERROR(__xludf.DUMMYFUNCTION("""COMPUTED_VALUE"""),45.1)</f>
        <v>45.1</v>
      </c>
      <c r="M94" s="194" t="str">
        <f>IFERROR(__xludf.DUMMYFUNCTION("""COMPUTED_VALUE"""),"％")</f>
        <v>％</v>
      </c>
      <c r="N94" s="190">
        <f>IFERROR(__xludf.DUMMYFUNCTION("""COMPUTED_VALUE"""),4024.0)</f>
        <v>4024</v>
      </c>
      <c r="O94" s="197" t="str">
        <f>IFERROR(__xludf.DUMMYFUNCTION("""COMPUTED_VALUE"""),"Meteor Horseshoe")</f>
        <v>Meteor Horseshoe</v>
      </c>
      <c r="P94" s="362" t="str">
        <f>IFERROR(__xludf.DUMMYFUNCTION("""COMPUTED_VALUE"""),"")</f>
        <v/>
      </c>
      <c r="Q94" s="61" t="str">
        <f>IFERROR(__xludf.DUMMYFUNCTION("""COMPUTED_VALUE"""),"")</f>
        <v/>
      </c>
      <c r="R94" s="366" t="str">
        <f>IFERROR(__xludf.DUMMYFUNCTION("""COMPUTED_VALUE"""),"B124")</f>
        <v>B124</v>
      </c>
      <c r="S94" s="180" t="str">
        <f>IFERROR(__xludf.DUMMYFUNCTION("""COMPUTED_VALUE"""),"Gem of Rider")</f>
        <v>Gem of Rider</v>
      </c>
      <c r="T94" s="181">
        <f>IFERROR(__xludf.DUMMYFUNCTION("""COMPUTED_VALUE"""),1.0)</f>
        <v>1</v>
      </c>
      <c r="U94" s="182" t="str">
        <f>IFERROR(__xludf.DUMMYFUNCTION("""COMPUTED_VALUE"""),"TRF13")</f>
        <v>TRF13</v>
      </c>
      <c r="V94" s="184" t="str">
        <f>IFERROR(__xludf.DUMMYFUNCTION("""COMPUTED_VALUE"""),"Chaldea Gate (Thu)")</f>
        <v>Chaldea Gate (Thu)</v>
      </c>
      <c r="W94" s="184" t="str">
        <f>IFERROR(__xludf.DUMMYFUNCTION("""COMPUTED_VALUE"""),"THU Rider Training Ground- Nov")</f>
        <v>THU Rider Training Ground- Nov</v>
      </c>
      <c r="X94" s="190">
        <f>IFERROR(__xludf.DUMMYFUNCTION("""COMPUTED_VALUE"""),10.0)</f>
        <v>10</v>
      </c>
      <c r="Y94" s="191">
        <f>IFERROR(__xludf.DUMMYFUNCTION("""COMPUTED_VALUE"""),19.375)</f>
        <v>19.375</v>
      </c>
      <c r="Z94" s="192">
        <f>IFERROR(__xludf.DUMMYFUNCTION("""COMPUTED_VALUE"""),8.5)</f>
        <v>8.5</v>
      </c>
      <c r="AA94" s="194" t="str">
        <f>IFERROR(__xludf.DUMMYFUNCTION("""COMPUTED_VALUE"""),"AP")</f>
        <v>AP</v>
      </c>
      <c r="AB94" s="192">
        <f>IFERROR(__xludf.DUMMYFUNCTION("""COMPUTED_VALUE"""),117.9)</f>
        <v>117.9</v>
      </c>
      <c r="AC94" s="194" t="str">
        <f>IFERROR(__xludf.DUMMYFUNCTION("""COMPUTED_VALUE"""),"％")</f>
        <v>％</v>
      </c>
      <c r="AD94" s="190">
        <f>IFERROR(__xludf.DUMMYFUNCTION("""COMPUTED_VALUE"""),923.0)</f>
        <v>923</v>
      </c>
      <c r="AE94" s="197" t="str">
        <f>IFERROR(__xludf.DUMMYFUNCTION("""COMPUTED_VALUE"""),"Gem of Rider")</f>
        <v>Gem of Rider</v>
      </c>
      <c r="AF94" s="364" t="str">
        <f>IFERROR(__xludf.DUMMYFUNCTION("""COMPUTED_VALUE"""),"")</f>
        <v/>
      </c>
    </row>
    <row r="95" ht="16.5" customHeight="1">
      <c r="C95" s="204"/>
      <c r="D95" s="205">
        <f>IFERROR(__xludf.DUMMYFUNCTION("""COMPUTED_VALUE"""),2.0)</f>
        <v>2</v>
      </c>
      <c r="E95" s="206" t="str">
        <f>IFERROR(__xludf.DUMMYFUNCTION("""COMPUTED_VALUE"""),"OKN8")</f>
        <v>OKN8</v>
      </c>
      <c r="F95" s="207" t="str">
        <f>IFERROR(__xludf.DUMMYFUNCTION("""COMPUTED_VALUE"""),"Okeanos")</f>
        <v>Okeanos</v>
      </c>
      <c r="G95" s="209" t="str">
        <f>IFERROR(__xludf.DUMMYFUNCTION("""COMPUTED_VALUE"""),"Caldera Island")</f>
        <v>Caldera Island</v>
      </c>
      <c r="H95" s="211">
        <f>IFERROR(__xludf.DUMMYFUNCTION("""COMPUTED_VALUE"""),17.0)</f>
        <v>17</v>
      </c>
      <c r="I95" s="213">
        <f>IFERROR(__xludf.DUMMYFUNCTION("""COMPUTED_VALUE"""),43.75)</f>
        <v>43.75</v>
      </c>
      <c r="J95" s="214">
        <f>IFERROR(__xludf.DUMMYFUNCTION("""COMPUTED_VALUE"""),131.3)</f>
        <v>131.3</v>
      </c>
      <c r="K95" s="215" t="str">
        <f>IFERROR(__xludf.DUMMYFUNCTION("""COMPUTED_VALUE"""),"AP")</f>
        <v>AP</v>
      </c>
      <c r="L95" s="214">
        <f>IFERROR(__xludf.DUMMYFUNCTION("""COMPUTED_VALUE"""),12.9)</f>
        <v>12.9</v>
      </c>
      <c r="M95" s="215" t="str">
        <f>IFERROR(__xludf.DUMMYFUNCTION("""COMPUTED_VALUE"""),"％")</f>
        <v>％</v>
      </c>
      <c r="N95" s="211">
        <f>IFERROR(__xludf.DUMMYFUNCTION("""COMPUTED_VALUE"""),1483.0)</f>
        <v>1483</v>
      </c>
      <c r="O95" s="217"/>
      <c r="P95" s="362" t="str">
        <f>IFERROR(__xludf.DUMMYFUNCTION("""COMPUTED_VALUE"""),"")</f>
        <v/>
      </c>
      <c r="S95" s="204"/>
      <c r="T95" s="205">
        <f>IFERROR(__xludf.DUMMYFUNCTION("""COMPUTED_VALUE"""),2.0)</f>
        <v>2</v>
      </c>
      <c r="U95" s="206" t="str">
        <f>IFERROR(__xludf.DUMMYFUNCTION("""COMPUTED_VALUE"""),"ORL7")</f>
        <v>ORL7</v>
      </c>
      <c r="V95" s="207" t="str">
        <f>IFERROR(__xludf.DUMMYFUNCTION("""COMPUTED_VALUE"""),"Orleans")</f>
        <v>Orleans</v>
      </c>
      <c r="W95" s="209" t="str">
        <f>IFERROR(__xludf.DUMMYFUNCTION("""COMPUTED_VALUE"""),"Thiers")</f>
        <v>Thiers</v>
      </c>
      <c r="X95" s="211">
        <f>IFERROR(__xludf.DUMMYFUNCTION("""COMPUTED_VALUE"""),7.0)</f>
        <v>7</v>
      </c>
      <c r="Y95" s="213">
        <f>IFERROR(__xludf.DUMMYFUNCTION("""COMPUTED_VALUE"""),31.25)</f>
        <v>31.25</v>
      </c>
      <c r="Z95" s="214">
        <f>IFERROR(__xludf.DUMMYFUNCTION("""COMPUTED_VALUE"""),16.4)</f>
        <v>16.4</v>
      </c>
      <c r="AA95" s="215" t="str">
        <f>IFERROR(__xludf.DUMMYFUNCTION("""COMPUTED_VALUE"""),"AP")</f>
        <v>AP</v>
      </c>
      <c r="AB95" s="214">
        <f>IFERROR(__xludf.DUMMYFUNCTION("""COMPUTED_VALUE"""),42.6)</f>
        <v>42.6</v>
      </c>
      <c r="AC95" s="215" t="str">
        <f>IFERROR(__xludf.DUMMYFUNCTION("""COMPUTED_VALUE"""),"％")</f>
        <v>％</v>
      </c>
      <c r="AD95" s="211">
        <f>IFERROR(__xludf.DUMMYFUNCTION("""COMPUTED_VALUE"""),303.0)</f>
        <v>303</v>
      </c>
      <c r="AE95" s="217"/>
      <c r="AF95" s="364" t="str">
        <f>IFERROR(__xludf.DUMMYFUNCTION("""COMPUTED_VALUE"""),"")</f>
        <v/>
      </c>
    </row>
    <row r="96" ht="16.5" customHeight="1">
      <c r="C96" s="204"/>
      <c r="D96" s="222">
        <f>IFERROR(__xludf.DUMMYFUNCTION("""COMPUTED_VALUE"""),3.0)</f>
        <v>3</v>
      </c>
      <c r="E96" s="223" t="str">
        <f>IFERROR(__xludf.DUMMYFUNCTION("""COMPUTED_VALUE"""),"TRF14")</f>
        <v>TRF14</v>
      </c>
      <c r="F96" s="224" t="str">
        <f>IFERROR(__xludf.DUMMYFUNCTION("""COMPUTED_VALUE"""),"Chaldea Gate (Thu)")</f>
        <v>Chaldea Gate (Thu)</v>
      </c>
      <c r="G96" s="224" t="str">
        <f>IFERROR(__xludf.DUMMYFUNCTION("""COMPUTED_VALUE"""),"THU Rider Training Ground- Int")</f>
        <v>THU Rider Training Ground- Int</v>
      </c>
      <c r="H96" s="228">
        <f>IFERROR(__xludf.DUMMYFUNCTION("""COMPUTED_VALUE"""),20.0)</f>
        <v>20</v>
      </c>
      <c r="I96" s="230">
        <f>IFERROR(__xludf.DUMMYFUNCTION("""COMPUTED_VALUE"""),19.0625)</f>
        <v>19.0625</v>
      </c>
      <c r="J96" s="231">
        <f>IFERROR(__xludf.DUMMYFUNCTION("""COMPUTED_VALUE"""),187.4)</f>
        <v>187.4</v>
      </c>
      <c r="K96" s="232" t="str">
        <f>IFERROR(__xludf.DUMMYFUNCTION("""COMPUTED_VALUE"""),"AP")</f>
        <v>AP</v>
      </c>
      <c r="L96" s="231">
        <f>IFERROR(__xludf.DUMMYFUNCTION("""COMPUTED_VALUE"""),10.7)</f>
        <v>10.7</v>
      </c>
      <c r="M96" s="232" t="str">
        <f>IFERROR(__xludf.DUMMYFUNCTION("""COMPUTED_VALUE"""),"％")</f>
        <v>％</v>
      </c>
      <c r="N96" s="228">
        <f>IFERROR(__xludf.DUMMYFUNCTION("""COMPUTED_VALUE"""),712.0)</f>
        <v>712</v>
      </c>
      <c r="O96" s="217"/>
      <c r="P96" s="362" t="str">
        <f>IFERROR(__xludf.DUMMYFUNCTION("""COMPUTED_VALUE"""),"")</f>
        <v/>
      </c>
      <c r="S96" s="204"/>
      <c r="T96" s="222">
        <f>IFERROR(__xludf.DUMMYFUNCTION("""COMPUTED_VALUE"""),3.0)</f>
        <v>3</v>
      </c>
      <c r="U96" s="223" t="str">
        <f>IFERROR(__xludf.DUMMYFUNCTION("""COMPUTED_VALUE"""),"ORL3")</f>
        <v>ORL3</v>
      </c>
      <c r="V96" s="224" t="str">
        <f>IFERROR(__xludf.DUMMYFUNCTION("""COMPUTED_VALUE"""),"Orleans")</f>
        <v>Orleans</v>
      </c>
      <c r="W96" s="226" t="str">
        <f>IFERROR(__xludf.DUMMYFUNCTION("""COMPUTED_VALUE"""),"La Charite")</f>
        <v>La Charite</v>
      </c>
      <c r="X96" s="228">
        <f>IFERROR(__xludf.DUMMYFUNCTION("""COMPUTED_VALUE"""),7.0)</f>
        <v>7</v>
      </c>
      <c r="Y96" s="230">
        <f>IFERROR(__xludf.DUMMYFUNCTION("""COMPUTED_VALUE"""),27.678571428571427)</f>
        <v>27.67857143</v>
      </c>
      <c r="Z96" s="231">
        <f>IFERROR(__xludf.DUMMYFUNCTION("""COMPUTED_VALUE"""),21.1)</f>
        <v>21.1</v>
      </c>
      <c r="AA96" s="232" t="str">
        <f>IFERROR(__xludf.DUMMYFUNCTION("""COMPUTED_VALUE"""),"AP")</f>
        <v>AP</v>
      </c>
      <c r="AB96" s="231">
        <f>IFERROR(__xludf.DUMMYFUNCTION("""COMPUTED_VALUE"""),33.2)</f>
        <v>33.2</v>
      </c>
      <c r="AC96" s="232" t="str">
        <f>IFERROR(__xludf.DUMMYFUNCTION("""COMPUTED_VALUE"""),"％")</f>
        <v>％</v>
      </c>
      <c r="AD96" s="228">
        <f>IFERROR(__xludf.DUMMYFUNCTION("""COMPUTED_VALUE"""),235.0)</f>
        <v>235</v>
      </c>
      <c r="AE96" s="217"/>
      <c r="AF96" s="364" t="str">
        <f>IFERROR(__xludf.DUMMYFUNCTION("""COMPUTED_VALUE"""),"")</f>
        <v/>
      </c>
    </row>
    <row r="97" ht="16.5" customHeight="1">
      <c r="C97" s="204"/>
      <c r="D97" s="238">
        <f>IFERROR(__xludf.DUMMYFUNCTION("""COMPUTED_VALUE"""),4.0)</f>
        <v>4</v>
      </c>
      <c r="E97" s="240" t="str">
        <f>IFERROR(__xludf.DUMMYFUNCTION("""COMPUTED_VALUE"""),"TRF2")</f>
        <v>TRF2</v>
      </c>
      <c r="F97" s="242" t="str">
        <f>IFERROR(__xludf.DUMMYFUNCTION("""COMPUTED_VALUE"""),"Chaldea Gate (Mon)")</f>
        <v>Chaldea Gate (Mon)</v>
      </c>
      <c r="G97" s="242" t="str">
        <f>IFERROR(__xludf.DUMMYFUNCTION("""COMPUTED_VALUE"""),"MON Archer Training Ground- Int")</f>
        <v>MON Archer Training Ground- Int</v>
      </c>
      <c r="H97" s="246">
        <f>IFERROR(__xludf.DUMMYFUNCTION("""COMPUTED_VALUE"""),20.0)</f>
        <v>20</v>
      </c>
      <c r="I97" s="248">
        <f>IFERROR(__xludf.DUMMYFUNCTION("""COMPUTED_VALUE"""),19.0625)</f>
        <v>19.0625</v>
      </c>
      <c r="J97" s="250">
        <f>IFERROR(__xludf.DUMMYFUNCTION("""COMPUTED_VALUE"""),190.4)</f>
        <v>190.4</v>
      </c>
      <c r="K97" s="252" t="str">
        <f>IFERROR(__xludf.DUMMYFUNCTION("""COMPUTED_VALUE"""),"AP")</f>
        <v>AP</v>
      </c>
      <c r="L97" s="250">
        <f>IFERROR(__xludf.DUMMYFUNCTION("""COMPUTED_VALUE"""),10.5)</f>
        <v>10.5</v>
      </c>
      <c r="M97" s="252" t="str">
        <f>IFERROR(__xludf.DUMMYFUNCTION("""COMPUTED_VALUE"""),"％")</f>
        <v>％</v>
      </c>
      <c r="N97" s="246">
        <f>IFERROR(__xludf.DUMMYFUNCTION("""COMPUTED_VALUE"""),657.0)</f>
        <v>657</v>
      </c>
      <c r="O97" s="217"/>
      <c r="P97" s="368" t="str">
        <f>IFERROR(__xludf.DUMMYFUNCTION("""COMPUTED_VALUE"""),"")</f>
        <v/>
      </c>
      <c r="S97" s="204"/>
      <c r="T97" s="238">
        <f>IFERROR(__xludf.DUMMYFUNCTION("""COMPUTED_VALUE"""),4.0)</f>
        <v>4</v>
      </c>
      <c r="U97" s="240" t="str">
        <f>IFERROR(__xludf.DUMMYFUNCTION("""COMPUTED_VALUE"""),"TRF14")</f>
        <v>TRF14</v>
      </c>
      <c r="V97" s="242" t="str">
        <f>IFERROR(__xludf.DUMMYFUNCTION("""COMPUTED_VALUE"""),"Chaldea Gate (Thu)")</f>
        <v>Chaldea Gate (Thu)</v>
      </c>
      <c r="W97" s="242" t="str">
        <f>IFERROR(__xludf.DUMMYFUNCTION("""COMPUTED_VALUE"""),"THU Rider Training Ground- Int")</f>
        <v>THU Rider Training Ground- Int</v>
      </c>
      <c r="X97" s="246">
        <f>IFERROR(__xludf.DUMMYFUNCTION("""COMPUTED_VALUE"""),20.0)</f>
        <v>20</v>
      </c>
      <c r="Y97" s="248">
        <f>IFERROR(__xludf.DUMMYFUNCTION("""COMPUTED_VALUE"""),19.0625)</f>
        <v>19.0625</v>
      </c>
      <c r="Z97" s="250">
        <f>IFERROR(__xludf.DUMMYFUNCTION("""COMPUTED_VALUE"""),21.5)</f>
        <v>21.5</v>
      </c>
      <c r="AA97" s="252" t="str">
        <f>IFERROR(__xludf.DUMMYFUNCTION("""COMPUTED_VALUE"""),"AP")</f>
        <v>AP</v>
      </c>
      <c r="AB97" s="250">
        <f>IFERROR(__xludf.DUMMYFUNCTION("""COMPUTED_VALUE"""),92.8)</f>
        <v>92.8</v>
      </c>
      <c r="AC97" s="252" t="str">
        <f>IFERROR(__xludf.DUMMYFUNCTION("""COMPUTED_VALUE"""),"％")</f>
        <v>％</v>
      </c>
      <c r="AD97" s="246">
        <f>IFERROR(__xludf.DUMMYFUNCTION("""COMPUTED_VALUE"""),712.0)</f>
        <v>712</v>
      </c>
      <c r="AE97" s="217"/>
      <c r="AF97" s="364" t="str">
        <f>IFERROR(__xludf.DUMMYFUNCTION("""COMPUTED_VALUE"""),"")</f>
        <v/>
      </c>
    </row>
    <row r="98" ht="16.5" customHeight="1">
      <c r="A98" s="166"/>
      <c r="C98" s="255"/>
      <c r="D98" s="256">
        <f>IFERROR(__xludf.DUMMYFUNCTION("""COMPUTED_VALUE"""),5.0)</f>
        <v>5</v>
      </c>
      <c r="E98" s="257" t="str">
        <f>IFERROR(__xludf.DUMMYFUNCTION("""COMPUTED_VALUE"""),"TRF13")</f>
        <v>TRF13</v>
      </c>
      <c r="F98" s="42" t="str">
        <f>IFERROR(__xludf.DUMMYFUNCTION("""COMPUTED_VALUE"""),"Chaldea Gate (Thu)")</f>
        <v>Chaldea Gate (Thu)</v>
      </c>
      <c r="G98" s="42" t="str">
        <f>IFERROR(__xludf.DUMMYFUNCTION("""COMPUTED_VALUE"""),"THU Rider Training Ground- Nov")</f>
        <v>THU Rider Training Ground- Nov</v>
      </c>
      <c r="H98" s="259">
        <f>IFERROR(__xludf.DUMMYFUNCTION("""COMPUTED_VALUE"""),10.0)</f>
        <v>10</v>
      </c>
      <c r="I98" s="260">
        <f>IFERROR(__xludf.DUMMYFUNCTION("""COMPUTED_VALUE"""),19.375)</f>
        <v>19.375</v>
      </c>
      <c r="J98" s="261">
        <f>IFERROR(__xludf.DUMMYFUNCTION("""COMPUTED_VALUE"""),191.9)</f>
        <v>191.9</v>
      </c>
      <c r="K98" s="262" t="str">
        <f>IFERROR(__xludf.DUMMYFUNCTION("""COMPUTED_VALUE"""),"AP")</f>
        <v>AP</v>
      </c>
      <c r="L98" s="261">
        <f>IFERROR(__xludf.DUMMYFUNCTION("""COMPUTED_VALUE"""),5.2)</f>
        <v>5.2</v>
      </c>
      <c r="M98" s="262" t="str">
        <f>IFERROR(__xludf.DUMMYFUNCTION("""COMPUTED_VALUE"""),"％")</f>
        <v>％</v>
      </c>
      <c r="N98" s="259">
        <f>IFERROR(__xludf.DUMMYFUNCTION("""COMPUTED_VALUE"""),923.0)</f>
        <v>923</v>
      </c>
      <c r="O98" s="263"/>
      <c r="P98" s="368" t="str">
        <f>IFERROR(__xludf.DUMMYFUNCTION("""COMPUTED_VALUE"""),"")</f>
        <v/>
      </c>
      <c r="Q98" s="166"/>
      <c r="S98" s="255"/>
      <c r="T98" s="256">
        <f>IFERROR(__xludf.DUMMYFUNCTION("""COMPUTED_VALUE"""),5.0)</f>
        <v>5</v>
      </c>
      <c r="U98" s="257" t="str">
        <f>IFERROR(__xludf.DUMMYFUNCTION("""COMPUTED_VALUE"""),"OKN7")</f>
        <v>OKN7</v>
      </c>
      <c r="V98" s="42" t="str">
        <f>IFERROR(__xludf.DUMMYFUNCTION("""COMPUTED_VALUE"""),"Okeanos")</f>
        <v>Okeanos</v>
      </c>
      <c r="W98" s="258" t="str">
        <f>IFERROR(__xludf.DUMMYFUNCTION("""COMPUTED_VALUE"""),"Island of Wyverns")</f>
        <v>Island of Wyverns</v>
      </c>
      <c r="X98" s="259">
        <f>IFERROR(__xludf.DUMMYFUNCTION("""COMPUTED_VALUE"""),14.0)</f>
        <v>14</v>
      </c>
      <c r="Y98" s="260">
        <f>IFERROR(__xludf.DUMMYFUNCTION("""COMPUTED_VALUE"""),38.839285714285715)</f>
        <v>38.83928571</v>
      </c>
      <c r="Z98" s="261">
        <f>IFERROR(__xludf.DUMMYFUNCTION("""COMPUTED_VALUE"""),33.5)</f>
        <v>33.5</v>
      </c>
      <c r="AA98" s="262" t="str">
        <f>IFERROR(__xludf.DUMMYFUNCTION("""COMPUTED_VALUE"""),"AP")</f>
        <v>AP</v>
      </c>
      <c r="AB98" s="261">
        <f>IFERROR(__xludf.DUMMYFUNCTION("""COMPUTED_VALUE"""),41.8)</f>
        <v>41.8</v>
      </c>
      <c r="AC98" s="262" t="str">
        <f>IFERROR(__xludf.DUMMYFUNCTION("""COMPUTED_VALUE"""),"％")</f>
        <v>％</v>
      </c>
      <c r="AD98" s="259">
        <f>IFERROR(__xludf.DUMMYFUNCTION("""COMPUTED_VALUE"""),1154.0)</f>
        <v>1154</v>
      </c>
      <c r="AE98" s="263"/>
      <c r="AF98" s="364" t="str">
        <f>IFERROR(__xludf.DUMMYFUNCTION("""COMPUTED_VALUE"""),"")</f>
        <v/>
      </c>
    </row>
    <row r="99" ht="16.5" customHeight="1">
      <c r="A99" s="61" t="str">
        <f>IFERROR(__xludf.DUMMYFUNCTION("""COMPUTED_VALUE"""),"")</f>
        <v/>
      </c>
      <c r="B99" s="367" t="str">
        <f>IFERROR(__xludf.DUMMYFUNCTION("""COMPUTED_VALUE"""),"A210")</f>
        <v>A210</v>
      </c>
      <c r="C99" s="65" t="str">
        <f>IFERROR(__xludf.DUMMYFUNCTION("""COMPUTED_VALUE"""),"Great Knight Medal")</f>
        <v>Great Knight Medal</v>
      </c>
      <c r="D99" s="67">
        <f>IFERROR(__xludf.DUMMYFUNCTION("""COMPUTED_VALUE"""),1.0)</f>
        <v>1</v>
      </c>
      <c r="E99" s="69" t="str">
        <f>IFERROR(__xludf.DUMMYFUNCTION("""COMPUTED_VALUE"""),"CML12")</f>
        <v>CML12</v>
      </c>
      <c r="F99" s="71" t="str">
        <f>IFERROR(__xludf.DUMMYFUNCTION("""COMPUTED_VALUE"""),"Camelot")</f>
        <v>Camelot</v>
      </c>
      <c r="G99" s="78" t="str">
        <f>IFERROR(__xludf.DUMMYFUNCTION("""COMPUTED_VALUE"""),"Royal Castle")</f>
        <v>Royal Castle</v>
      </c>
      <c r="H99" s="80">
        <f>IFERROR(__xludf.DUMMYFUNCTION("""COMPUTED_VALUE"""),21.0)</f>
        <v>21</v>
      </c>
      <c r="I99" s="82">
        <f>IFERROR(__xludf.DUMMYFUNCTION("""COMPUTED_VALUE"""),50.892857142857146)</f>
        <v>50.89285714</v>
      </c>
      <c r="J99" s="84">
        <f>IFERROR(__xludf.DUMMYFUNCTION("""COMPUTED_VALUE"""),59.6)</f>
        <v>59.6</v>
      </c>
      <c r="K99" s="86" t="str">
        <f>IFERROR(__xludf.DUMMYFUNCTION("""COMPUTED_VALUE"""),"AP")</f>
        <v>AP</v>
      </c>
      <c r="L99" s="88">
        <f>IFERROR(__xludf.DUMMYFUNCTION("""COMPUTED_VALUE"""),35.2)</f>
        <v>35.2</v>
      </c>
      <c r="M99" s="86" t="str">
        <f>IFERROR(__xludf.DUMMYFUNCTION("""COMPUTED_VALUE"""),"％")</f>
        <v>％</v>
      </c>
      <c r="N99" s="80">
        <f>IFERROR(__xludf.DUMMYFUNCTION("""COMPUTED_VALUE"""),44258.0)</f>
        <v>44258</v>
      </c>
      <c r="O99" s="91" t="str">
        <f>IFERROR(__xludf.DUMMYFUNCTION("""COMPUTED_VALUE"""),"Great Knight Medal")</f>
        <v>Great Knight Medal</v>
      </c>
      <c r="P99" s="362" t="str">
        <f>IFERROR(__xludf.DUMMYFUNCTION("""COMPUTED_VALUE"""),"")</f>
        <v/>
      </c>
      <c r="Q99" s="61" t="str">
        <f>IFERROR(__xludf.DUMMYFUNCTION("""COMPUTED_VALUE"""),"")</f>
        <v/>
      </c>
      <c r="R99" s="367" t="str">
        <f>IFERROR(__xludf.DUMMYFUNCTION("""COMPUTED_VALUE"""),"B125")</f>
        <v>B125</v>
      </c>
      <c r="S99" s="65" t="str">
        <f>IFERROR(__xludf.DUMMYFUNCTION("""COMPUTED_VALUE"""),"Gem of Caster")</f>
        <v>Gem of Caster</v>
      </c>
      <c r="T99" s="67">
        <f>IFERROR(__xludf.DUMMYFUNCTION("""COMPUTED_VALUE"""),1.0)</f>
        <v>1</v>
      </c>
      <c r="U99" s="69" t="str">
        <f>IFERROR(__xludf.DUMMYFUNCTION("""COMPUTED_VALUE"""),"TRF17")</f>
        <v>TRF17</v>
      </c>
      <c r="V99" s="71" t="str">
        <f>IFERROR(__xludf.DUMMYFUNCTION("""COMPUTED_VALUE"""),"Chaldea Gate (Fri)")</f>
        <v>Chaldea Gate (Fri)</v>
      </c>
      <c r="W99" s="71" t="str">
        <f>IFERROR(__xludf.DUMMYFUNCTION("""COMPUTED_VALUE"""),"FRI Caster Training Ground- Nov")</f>
        <v>FRI Caster Training Ground- Nov</v>
      </c>
      <c r="X99" s="80">
        <f>IFERROR(__xludf.DUMMYFUNCTION("""COMPUTED_VALUE"""),10.0)</f>
        <v>10</v>
      </c>
      <c r="Y99" s="82">
        <f>IFERROR(__xludf.DUMMYFUNCTION("""COMPUTED_VALUE"""),19.375)</f>
        <v>19.375</v>
      </c>
      <c r="Z99" s="84">
        <f>IFERROR(__xludf.DUMMYFUNCTION("""COMPUTED_VALUE"""),8.1)</f>
        <v>8.1</v>
      </c>
      <c r="AA99" s="86" t="str">
        <f>IFERROR(__xludf.DUMMYFUNCTION("""COMPUTED_VALUE"""),"AP")</f>
        <v>AP</v>
      </c>
      <c r="AB99" s="88">
        <f>IFERROR(__xludf.DUMMYFUNCTION("""COMPUTED_VALUE"""),124.0)</f>
        <v>124</v>
      </c>
      <c r="AC99" s="86" t="str">
        <f>IFERROR(__xludf.DUMMYFUNCTION("""COMPUTED_VALUE"""),"％")</f>
        <v>％</v>
      </c>
      <c r="AD99" s="80">
        <f>IFERROR(__xludf.DUMMYFUNCTION("""COMPUTED_VALUE"""),2818.0)</f>
        <v>2818</v>
      </c>
      <c r="AE99" s="91" t="str">
        <f>IFERROR(__xludf.DUMMYFUNCTION("""COMPUTED_VALUE"""),"Gem of Caster")</f>
        <v>Gem of Caster</v>
      </c>
      <c r="AF99" s="364" t="str">
        <f>IFERROR(__xludf.DUMMYFUNCTION("""COMPUTED_VALUE"""),"")</f>
        <v/>
      </c>
    </row>
    <row r="100" ht="16.5" customHeight="1">
      <c r="C100" s="100"/>
      <c r="D100" s="102">
        <f>IFERROR(__xludf.DUMMYFUNCTION("""COMPUTED_VALUE"""),2.0)</f>
        <v>2</v>
      </c>
      <c r="E100" s="103" t="str">
        <f>IFERROR(__xludf.DUMMYFUNCTION("""COMPUTED_VALUE"""),"CML9")</f>
        <v>CML9</v>
      </c>
      <c r="F100" s="104" t="str">
        <f>IFERROR(__xludf.DUMMYFUNCTION("""COMPUTED_VALUE"""),"Camelot")</f>
        <v>Camelot</v>
      </c>
      <c r="G100" s="108" t="str">
        <f>IFERROR(__xludf.DUMMYFUNCTION("""COMPUTED_VALUE"""),"Main Gate")</f>
        <v>Main Gate</v>
      </c>
      <c r="H100" s="109">
        <f>IFERROR(__xludf.DUMMYFUNCTION("""COMPUTED_VALUE"""),20.0)</f>
        <v>20</v>
      </c>
      <c r="I100" s="110">
        <f>IFERROR(__xludf.DUMMYFUNCTION("""COMPUTED_VALUE"""),47.1875)</f>
        <v>47.1875</v>
      </c>
      <c r="J100" s="112">
        <f>IFERROR(__xludf.DUMMYFUNCTION("""COMPUTED_VALUE"""),64.3)</f>
        <v>64.3</v>
      </c>
      <c r="K100" s="121" t="str">
        <f>IFERROR(__xludf.DUMMYFUNCTION("""COMPUTED_VALUE"""),"AP")</f>
        <v>AP</v>
      </c>
      <c r="L100" s="123">
        <f>IFERROR(__xludf.DUMMYFUNCTION("""COMPUTED_VALUE"""),31.1)</f>
        <v>31.1</v>
      </c>
      <c r="M100" s="121" t="str">
        <f>IFERROR(__xludf.DUMMYFUNCTION("""COMPUTED_VALUE"""),"％")</f>
        <v>％</v>
      </c>
      <c r="N100" s="109">
        <f>IFERROR(__xludf.DUMMYFUNCTION("""COMPUTED_VALUE"""),12366.0)</f>
        <v>12366</v>
      </c>
      <c r="O100" s="100"/>
      <c r="P100" s="362" t="str">
        <f>IFERROR(__xludf.DUMMYFUNCTION("""COMPUTED_VALUE"""),"")</f>
        <v/>
      </c>
      <c r="S100" s="100"/>
      <c r="T100" s="102">
        <f>IFERROR(__xludf.DUMMYFUNCTION("""COMPUTED_VALUE"""),2.0)</f>
        <v>2</v>
      </c>
      <c r="U100" s="103" t="str">
        <f>IFERROR(__xludf.DUMMYFUNCTION("""COMPUTED_VALUE"""),"TRF18")</f>
        <v>TRF18</v>
      </c>
      <c r="V100" s="104" t="str">
        <f>IFERROR(__xludf.DUMMYFUNCTION("""COMPUTED_VALUE"""),"Chaldea Gate (Fri)")</f>
        <v>Chaldea Gate (Fri)</v>
      </c>
      <c r="W100" s="104" t="str">
        <f>IFERROR(__xludf.DUMMYFUNCTION("""COMPUTED_VALUE"""),"FRI Caster Training Ground- Int")</f>
        <v>FRI Caster Training Ground- Int</v>
      </c>
      <c r="X100" s="109">
        <f>IFERROR(__xludf.DUMMYFUNCTION("""COMPUTED_VALUE"""),20.0)</f>
        <v>20</v>
      </c>
      <c r="Y100" s="110">
        <f>IFERROR(__xludf.DUMMYFUNCTION("""COMPUTED_VALUE"""),19.0625)</f>
        <v>19.0625</v>
      </c>
      <c r="Z100" s="112">
        <f>IFERROR(__xludf.DUMMYFUNCTION("""COMPUTED_VALUE"""),20.7)</f>
        <v>20.7</v>
      </c>
      <c r="AA100" s="121" t="str">
        <f>IFERROR(__xludf.DUMMYFUNCTION("""COMPUTED_VALUE"""),"AP")</f>
        <v>AP</v>
      </c>
      <c r="AB100" s="123">
        <f>IFERROR(__xludf.DUMMYFUNCTION("""COMPUTED_VALUE"""),96.5)</f>
        <v>96.5</v>
      </c>
      <c r="AC100" s="121" t="str">
        <f>IFERROR(__xludf.DUMMYFUNCTION("""COMPUTED_VALUE"""),"％")</f>
        <v>％</v>
      </c>
      <c r="AD100" s="109">
        <f>IFERROR(__xludf.DUMMYFUNCTION("""COMPUTED_VALUE"""),893.0)</f>
        <v>893</v>
      </c>
      <c r="AE100" s="100"/>
      <c r="AF100" s="364" t="str">
        <f>IFERROR(__xludf.DUMMYFUNCTION("""COMPUTED_VALUE"""),"")</f>
        <v/>
      </c>
    </row>
    <row r="101" ht="16.5" customHeight="1">
      <c r="C101" s="100"/>
      <c r="D101" s="130">
        <f>IFERROR(__xludf.DUMMYFUNCTION("""COMPUTED_VALUE"""),3.0)</f>
        <v>3</v>
      </c>
      <c r="E101" s="132" t="str">
        <f>IFERROR(__xludf.DUMMYFUNCTION("""COMPUTED_VALUE"""),"CML5")</f>
        <v>CML5</v>
      </c>
      <c r="F101" s="133" t="str">
        <f>IFERROR(__xludf.DUMMYFUNCTION("""COMPUTED_VALUE"""),"Camelot")</f>
        <v>Camelot</v>
      </c>
      <c r="G101" s="135" t="str">
        <f>IFERROR(__xludf.DUMMYFUNCTION("""COMPUTED_VALUE"""),"Fortress of the Round Table")</f>
        <v>Fortress of the Round Table</v>
      </c>
      <c r="H101" s="137">
        <f>IFERROR(__xludf.DUMMYFUNCTION("""COMPUTED_VALUE"""),19.0)</f>
        <v>19</v>
      </c>
      <c r="I101" s="139">
        <f>IFERROR(__xludf.DUMMYFUNCTION("""COMPUTED_VALUE"""),47.03947368421053)</f>
        <v>47.03947368</v>
      </c>
      <c r="J101" s="141">
        <f>IFERROR(__xludf.DUMMYFUNCTION("""COMPUTED_VALUE"""),101.6)</f>
        <v>101.6</v>
      </c>
      <c r="K101" s="143" t="str">
        <f>IFERROR(__xludf.DUMMYFUNCTION("""COMPUTED_VALUE"""),"AP")</f>
        <v>AP</v>
      </c>
      <c r="L101" s="145">
        <f>IFERROR(__xludf.DUMMYFUNCTION("""COMPUTED_VALUE"""),18.7)</f>
        <v>18.7</v>
      </c>
      <c r="M101" s="143" t="str">
        <f>IFERROR(__xludf.DUMMYFUNCTION("""COMPUTED_VALUE"""),"％")</f>
        <v>％</v>
      </c>
      <c r="N101" s="137">
        <f>IFERROR(__xludf.DUMMYFUNCTION("""COMPUTED_VALUE"""),2106.0)</f>
        <v>2106</v>
      </c>
      <c r="O101" s="100"/>
      <c r="P101" s="362" t="str">
        <f>IFERROR(__xludf.DUMMYFUNCTION("""COMPUTED_VALUE"""),"")</f>
        <v/>
      </c>
      <c r="S101" s="100"/>
      <c r="T101" s="130">
        <f>IFERROR(__xludf.DUMMYFUNCTION("""COMPUTED_VALUE"""),3.0)</f>
        <v>3</v>
      </c>
      <c r="U101" s="132" t="str">
        <f>IFERROR(__xludf.DUMMYFUNCTION("""COMPUTED_VALUE"""),"SJK9")</f>
        <v>SJK9</v>
      </c>
      <c r="V101" s="133" t="str">
        <f>IFERROR(__xludf.DUMMYFUNCTION("""COMPUTED_VALUE"""),"Shinjuku")</f>
        <v>Shinjuku</v>
      </c>
      <c r="W101" s="135" t="str">
        <f>IFERROR(__xludf.DUMMYFUNCTION("""COMPUTED_VALUE"""),"Shinjuku Gyoen")</f>
        <v>Shinjuku Gyoen</v>
      </c>
      <c r="X101" s="137">
        <f>IFERROR(__xludf.DUMMYFUNCTION("""COMPUTED_VALUE"""),21.0)</f>
        <v>21</v>
      </c>
      <c r="Y101" s="139">
        <f>IFERROR(__xludf.DUMMYFUNCTION("""COMPUTED_VALUE"""),50.892857142857146)</f>
        <v>50.89285714</v>
      </c>
      <c r="Z101" s="141">
        <f>IFERROR(__xludf.DUMMYFUNCTION("""COMPUTED_VALUE"""),55.1)</f>
        <v>55.1</v>
      </c>
      <c r="AA101" s="143" t="str">
        <f>IFERROR(__xludf.DUMMYFUNCTION("""COMPUTED_VALUE"""),"AP")</f>
        <v>AP</v>
      </c>
      <c r="AB101" s="145">
        <f>IFERROR(__xludf.DUMMYFUNCTION("""COMPUTED_VALUE"""),38.1)</f>
        <v>38.1</v>
      </c>
      <c r="AC101" s="143" t="str">
        <f>IFERROR(__xludf.DUMMYFUNCTION("""COMPUTED_VALUE"""),"％")</f>
        <v>％</v>
      </c>
      <c r="AD101" s="137">
        <f>IFERROR(__xludf.DUMMYFUNCTION("""COMPUTED_VALUE"""),42877.0)</f>
        <v>42877</v>
      </c>
      <c r="AE101" s="100"/>
      <c r="AF101" s="364" t="str">
        <f>IFERROR(__xludf.DUMMYFUNCTION("""COMPUTED_VALUE"""),"")</f>
        <v/>
      </c>
    </row>
    <row r="102" ht="16.5" customHeight="1">
      <c r="C102" s="100"/>
      <c r="D102" s="146">
        <f>IFERROR(__xludf.DUMMYFUNCTION("""COMPUTED_VALUE"""),4.0)</f>
        <v>4</v>
      </c>
      <c r="E102" s="148" t="str">
        <f>IFERROR(__xludf.DUMMYFUNCTION("""COMPUTED_VALUE"""),"")</f>
        <v/>
      </c>
      <c r="F102" s="150" t="str">
        <f>IFERROR(__xludf.DUMMYFUNCTION("""COMPUTED_VALUE"""),"")</f>
        <v/>
      </c>
      <c r="G102" s="150" t="str">
        <f>IFERROR(__xludf.DUMMYFUNCTION("""COMPUTED_VALUE"""),"")</f>
        <v/>
      </c>
      <c r="H102" s="154" t="str">
        <f>IFERROR(__xludf.DUMMYFUNCTION("""COMPUTED_VALUE"""),"")</f>
        <v/>
      </c>
      <c r="I102" s="156" t="str">
        <f>IFERROR(__xludf.DUMMYFUNCTION("""COMPUTED_VALUE"""),"")</f>
        <v/>
      </c>
      <c r="J102" s="158" t="str">
        <f>IFERROR(__xludf.DUMMYFUNCTION("""COMPUTED_VALUE"""),"")</f>
        <v/>
      </c>
      <c r="K102" s="160" t="str">
        <f>IFERROR(__xludf.DUMMYFUNCTION("""COMPUTED_VALUE"""),"AP")</f>
        <v>AP</v>
      </c>
      <c r="L102" s="162" t="str">
        <f>IFERROR(__xludf.DUMMYFUNCTION("""COMPUTED_VALUE"""),"")</f>
        <v/>
      </c>
      <c r="M102" s="160" t="str">
        <f>IFERROR(__xludf.DUMMYFUNCTION("""COMPUTED_VALUE"""),"％")</f>
        <v>％</v>
      </c>
      <c r="N102" s="154" t="str">
        <f>IFERROR(__xludf.DUMMYFUNCTION("""COMPUTED_VALUE"""),"")</f>
        <v/>
      </c>
      <c r="O102" s="100"/>
      <c r="P102" s="362" t="str">
        <f>IFERROR(__xludf.DUMMYFUNCTION("""COMPUTED_VALUE"""),"")</f>
        <v/>
      </c>
      <c r="S102" s="100"/>
      <c r="T102" s="146">
        <f>IFERROR(__xludf.DUMMYFUNCTION("""COMPUTED_VALUE"""),4.0)</f>
        <v>4</v>
      </c>
      <c r="U102" s="148" t="str">
        <f>IFERROR(__xludf.DUMMYFUNCTION("""COMPUTED_VALUE"""),"SJK1")</f>
        <v>SJK1</v>
      </c>
      <c r="V102" s="150" t="str">
        <f>IFERROR(__xludf.DUMMYFUNCTION("""COMPUTED_VALUE"""),"Shinjuku")</f>
        <v>Shinjuku</v>
      </c>
      <c r="W102" s="152" t="str">
        <f>IFERROR(__xludf.DUMMYFUNCTION("""COMPUTED_VALUE"""),"Yoyogi 2-Chome")</f>
        <v>Yoyogi 2-Chome</v>
      </c>
      <c r="X102" s="154">
        <f>IFERROR(__xludf.DUMMYFUNCTION("""COMPUTED_VALUE"""),20.0)</f>
        <v>20</v>
      </c>
      <c r="Y102" s="156">
        <f>IFERROR(__xludf.DUMMYFUNCTION("""COMPUTED_VALUE"""),48.4375)</f>
        <v>48.4375</v>
      </c>
      <c r="Z102" s="158">
        <f>IFERROR(__xludf.DUMMYFUNCTION("""COMPUTED_VALUE"""),63.6)</f>
        <v>63.6</v>
      </c>
      <c r="AA102" s="160" t="str">
        <f>IFERROR(__xludf.DUMMYFUNCTION("""COMPUTED_VALUE"""),"AP")</f>
        <v>AP</v>
      </c>
      <c r="AB102" s="162">
        <f>IFERROR(__xludf.DUMMYFUNCTION("""COMPUTED_VALUE"""),31.4)</f>
        <v>31.4</v>
      </c>
      <c r="AC102" s="160" t="str">
        <f>IFERROR(__xludf.DUMMYFUNCTION("""COMPUTED_VALUE"""),"％")</f>
        <v>％</v>
      </c>
      <c r="AD102" s="154">
        <f>IFERROR(__xludf.DUMMYFUNCTION("""COMPUTED_VALUE"""),299.0)</f>
        <v>299</v>
      </c>
      <c r="AE102" s="100"/>
      <c r="AF102" s="364" t="str">
        <f>IFERROR(__xludf.DUMMYFUNCTION("""COMPUTED_VALUE"""),"")</f>
        <v/>
      </c>
    </row>
    <row r="103" ht="16.5" customHeight="1">
      <c r="A103" s="166"/>
      <c r="C103" s="168"/>
      <c r="D103" s="169">
        <f>IFERROR(__xludf.DUMMYFUNCTION("""COMPUTED_VALUE"""),5.0)</f>
        <v>5</v>
      </c>
      <c r="E103" s="170" t="str">
        <f>IFERROR(__xludf.DUMMYFUNCTION("""COMPUTED_VALUE"""),"")</f>
        <v/>
      </c>
      <c r="F103" s="51" t="str">
        <f>IFERROR(__xludf.DUMMYFUNCTION("""COMPUTED_VALUE"""),"")</f>
        <v/>
      </c>
      <c r="G103" s="51" t="str">
        <f>IFERROR(__xludf.DUMMYFUNCTION("""COMPUTED_VALUE"""),"")</f>
        <v/>
      </c>
      <c r="H103" s="172" t="str">
        <f>IFERROR(__xludf.DUMMYFUNCTION("""COMPUTED_VALUE"""),"")</f>
        <v/>
      </c>
      <c r="I103" s="173" t="str">
        <f>IFERROR(__xludf.DUMMYFUNCTION("""COMPUTED_VALUE"""),"")</f>
        <v/>
      </c>
      <c r="J103" s="174" t="str">
        <f>IFERROR(__xludf.DUMMYFUNCTION("""COMPUTED_VALUE"""),"")</f>
        <v/>
      </c>
      <c r="K103" s="175" t="str">
        <f>IFERROR(__xludf.DUMMYFUNCTION("""COMPUTED_VALUE"""),"AP")</f>
        <v>AP</v>
      </c>
      <c r="L103" s="176" t="str">
        <f>IFERROR(__xludf.DUMMYFUNCTION("""COMPUTED_VALUE"""),"")</f>
        <v/>
      </c>
      <c r="M103" s="175" t="str">
        <f>IFERROR(__xludf.DUMMYFUNCTION("""COMPUTED_VALUE"""),"％")</f>
        <v>％</v>
      </c>
      <c r="N103" s="172" t="str">
        <f>IFERROR(__xludf.DUMMYFUNCTION("""COMPUTED_VALUE"""),"")</f>
        <v/>
      </c>
      <c r="O103" s="168"/>
      <c r="P103" s="362" t="str">
        <f>IFERROR(__xludf.DUMMYFUNCTION("""COMPUTED_VALUE"""),"")</f>
        <v/>
      </c>
      <c r="Q103" s="166"/>
      <c r="S103" s="168"/>
      <c r="T103" s="169">
        <f>IFERROR(__xludf.DUMMYFUNCTION("""COMPUTED_VALUE"""),5.0)</f>
        <v>5</v>
      </c>
      <c r="U103" s="170" t="str">
        <f>IFERROR(__xludf.DUMMYFUNCTION("""COMPUTED_VALUE"""),"SJK4")</f>
        <v>SJK4</v>
      </c>
      <c r="V103" s="51" t="str">
        <f>IFERROR(__xludf.DUMMYFUNCTION("""COMPUTED_VALUE"""),"Shinjuku")</f>
        <v>Shinjuku</v>
      </c>
      <c r="W103" s="171" t="str">
        <f>IFERROR(__xludf.DUMMYFUNCTION("""COMPUTED_VALUE"""),"Shinjuku 4-Chome")</f>
        <v>Shinjuku 4-Chome</v>
      </c>
      <c r="X103" s="172">
        <f>IFERROR(__xludf.DUMMYFUNCTION("""COMPUTED_VALUE"""),21.0)</f>
        <v>21</v>
      </c>
      <c r="Y103" s="173">
        <f>IFERROR(__xludf.DUMMYFUNCTION("""COMPUTED_VALUE"""),47.32142857142857)</f>
        <v>47.32142857</v>
      </c>
      <c r="Z103" s="174">
        <f>IFERROR(__xludf.DUMMYFUNCTION("""COMPUTED_VALUE"""),84.9)</f>
        <v>84.9</v>
      </c>
      <c r="AA103" s="175" t="str">
        <f>IFERROR(__xludf.DUMMYFUNCTION("""COMPUTED_VALUE"""),"AP")</f>
        <v>AP</v>
      </c>
      <c r="AB103" s="176">
        <f>IFERROR(__xludf.DUMMYFUNCTION("""COMPUTED_VALUE"""),24.7)</f>
        <v>24.7</v>
      </c>
      <c r="AC103" s="175" t="str">
        <f>IFERROR(__xludf.DUMMYFUNCTION("""COMPUTED_VALUE"""),"％")</f>
        <v>％</v>
      </c>
      <c r="AD103" s="172">
        <f>IFERROR(__xludf.DUMMYFUNCTION("""COMPUTED_VALUE"""),36616.0)</f>
        <v>36616</v>
      </c>
      <c r="AE103" s="168"/>
      <c r="AF103" s="364" t="str">
        <f>IFERROR(__xludf.DUMMYFUNCTION("""COMPUTED_VALUE"""),"")</f>
        <v/>
      </c>
    </row>
    <row r="104" ht="16.5" customHeight="1">
      <c r="A104" s="61" t="str">
        <f>IFERROR(__xludf.DUMMYFUNCTION("""COMPUTED_VALUE"""),"")</f>
        <v/>
      </c>
      <c r="B104" s="366" t="str">
        <f>IFERROR(__xludf.DUMMYFUNCTION("""COMPUTED_VALUE"""),"A211")</f>
        <v>A211</v>
      </c>
      <c r="C104" s="197" t="str">
        <f>IFERROR(__xludf.DUMMYFUNCTION("""COMPUTED_VALUE"""),"Shell of Reminiscense")</f>
        <v>Shell of Reminiscense</v>
      </c>
      <c r="D104" s="181">
        <f>IFERROR(__xludf.DUMMYFUNCTION("""COMPUTED_VALUE"""),1.0)</f>
        <v>1</v>
      </c>
      <c r="E104" s="182" t="str">
        <f>IFERROR(__xludf.DUMMYFUNCTION("""COMPUTED_VALUE"""),"BBL8")</f>
        <v>BBL8</v>
      </c>
      <c r="F104" s="184" t="str">
        <f>IFERROR(__xludf.DUMMYFUNCTION("""COMPUTED_VALUE"""),"Babylonia")</f>
        <v>Babylonia</v>
      </c>
      <c r="G104" s="189" t="str">
        <f>IFERROR(__xludf.DUMMYFUNCTION("""COMPUTED_VALUE"""),"Observatory")</f>
        <v>Observatory</v>
      </c>
      <c r="H104" s="190">
        <f>IFERROR(__xludf.DUMMYFUNCTION("""COMPUTED_VALUE"""),21.0)</f>
        <v>21</v>
      </c>
      <c r="I104" s="191">
        <f>IFERROR(__xludf.DUMMYFUNCTION("""COMPUTED_VALUE"""),48.51190476190476)</f>
        <v>48.51190476</v>
      </c>
      <c r="J104" s="192">
        <f>IFERROR(__xludf.DUMMYFUNCTION("""COMPUTED_VALUE"""),52.0)</f>
        <v>52</v>
      </c>
      <c r="K104" s="194" t="str">
        <f>IFERROR(__xludf.DUMMYFUNCTION("""COMPUTED_VALUE"""),"AP")</f>
        <v>AP</v>
      </c>
      <c r="L104" s="192">
        <f>IFERROR(__xludf.DUMMYFUNCTION("""COMPUTED_VALUE"""),40.4)</f>
        <v>40.4</v>
      </c>
      <c r="M104" s="194" t="str">
        <f>IFERROR(__xludf.DUMMYFUNCTION("""COMPUTED_VALUE"""),"％")</f>
        <v>％</v>
      </c>
      <c r="N104" s="190">
        <f>IFERROR(__xludf.DUMMYFUNCTION("""COMPUTED_VALUE"""),22322.0)</f>
        <v>22322</v>
      </c>
      <c r="O104" s="197" t="str">
        <f>IFERROR(__xludf.DUMMYFUNCTION("""COMPUTED_VALUE"""),"Shell of Reminiscense")</f>
        <v>Shell of Reminiscense</v>
      </c>
      <c r="P104" s="362" t="str">
        <f>IFERROR(__xludf.DUMMYFUNCTION("""COMPUTED_VALUE"""),"")</f>
        <v/>
      </c>
      <c r="Q104" s="61" t="str">
        <f>IFERROR(__xludf.DUMMYFUNCTION("""COMPUTED_VALUE"""),"")</f>
        <v/>
      </c>
      <c r="R104" s="366" t="str">
        <f>IFERROR(__xludf.DUMMYFUNCTION("""COMPUTED_VALUE"""),"B126")</f>
        <v>B126</v>
      </c>
      <c r="S104" s="197" t="str">
        <f>IFERROR(__xludf.DUMMYFUNCTION("""COMPUTED_VALUE"""),"Gem of Assassin")</f>
        <v>Gem of Assassin</v>
      </c>
      <c r="T104" s="181">
        <f>IFERROR(__xludf.DUMMYFUNCTION("""COMPUTED_VALUE"""),1.0)</f>
        <v>1</v>
      </c>
      <c r="U104" s="182" t="str">
        <f>IFERROR(__xludf.DUMMYFUNCTION("""COMPUTED_VALUE"""),"TRF21")</f>
        <v>TRF21</v>
      </c>
      <c r="V104" s="184" t="str">
        <f>IFERROR(__xludf.DUMMYFUNCTION("""COMPUTED_VALUE"""),"Chaldea Gate (Sat)")</f>
        <v>Chaldea Gate (Sat)</v>
      </c>
      <c r="W104" s="184" t="str">
        <f>IFERROR(__xludf.DUMMYFUNCTION("""COMPUTED_VALUE"""),"SAT Assassin Training Ground- Nov")</f>
        <v>SAT Assassin Training Ground- Nov</v>
      </c>
      <c r="X104" s="190">
        <f>IFERROR(__xludf.DUMMYFUNCTION("""COMPUTED_VALUE"""),10.0)</f>
        <v>10</v>
      </c>
      <c r="Y104" s="191">
        <f>IFERROR(__xludf.DUMMYFUNCTION("""COMPUTED_VALUE"""),19.375)</f>
        <v>19.375</v>
      </c>
      <c r="Z104" s="192">
        <f>IFERROR(__xludf.DUMMYFUNCTION("""COMPUTED_VALUE"""),7.6)</f>
        <v>7.6</v>
      </c>
      <c r="AA104" s="194" t="str">
        <f>IFERROR(__xludf.DUMMYFUNCTION("""COMPUTED_VALUE"""),"AP")</f>
        <v>AP</v>
      </c>
      <c r="AB104" s="192">
        <f>IFERROR(__xludf.DUMMYFUNCTION("""COMPUTED_VALUE"""),130.9)</f>
        <v>130.9</v>
      </c>
      <c r="AC104" s="194" t="str">
        <f>IFERROR(__xludf.DUMMYFUNCTION("""COMPUTED_VALUE"""),"％")</f>
        <v>％</v>
      </c>
      <c r="AD104" s="190">
        <f>IFERROR(__xludf.DUMMYFUNCTION("""COMPUTED_VALUE"""),1054.0)</f>
        <v>1054</v>
      </c>
      <c r="AE104" s="197" t="str">
        <f>IFERROR(__xludf.DUMMYFUNCTION("""COMPUTED_VALUE"""),"Gem of Assassin")</f>
        <v>Gem of Assassin</v>
      </c>
      <c r="AF104" s="364" t="str">
        <f>IFERROR(__xludf.DUMMYFUNCTION("""COMPUTED_VALUE"""),"")</f>
        <v/>
      </c>
    </row>
    <row r="105" ht="16.5" customHeight="1">
      <c r="C105" s="217"/>
      <c r="D105" s="205">
        <f>IFERROR(__xludf.DUMMYFUNCTION("""COMPUTED_VALUE"""),2.0)</f>
        <v>2</v>
      </c>
      <c r="E105" s="206" t="str">
        <f>IFERROR(__xludf.DUMMYFUNCTION("""COMPUTED_VALUE"""),"OKN11")</f>
        <v>OKN11</v>
      </c>
      <c r="F105" s="207" t="str">
        <f>IFERROR(__xludf.DUMMYFUNCTION("""COMPUTED_VALUE"""),"Okeanos")</f>
        <v>Okeanos</v>
      </c>
      <c r="G105" s="209" t="str">
        <f>IFERROR(__xludf.DUMMYFUNCTION("""COMPUTED_VALUE"""),"Archipelago (Hidden island)")</f>
        <v>Archipelago (Hidden island)</v>
      </c>
      <c r="H105" s="211">
        <f>IFERROR(__xludf.DUMMYFUNCTION("""COMPUTED_VALUE"""),16.0)</f>
        <v>16</v>
      </c>
      <c r="I105" s="213">
        <f>IFERROR(__xludf.DUMMYFUNCTION("""COMPUTED_VALUE"""),40.234375)</f>
        <v>40.234375</v>
      </c>
      <c r="J105" s="214">
        <f>IFERROR(__xludf.DUMMYFUNCTION("""COMPUTED_VALUE"""),56.0)</f>
        <v>56</v>
      </c>
      <c r="K105" s="215" t="str">
        <f>IFERROR(__xludf.DUMMYFUNCTION("""COMPUTED_VALUE"""),"AP")</f>
        <v>AP</v>
      </c>
      <c r="L105" s="214">
        <f>IFERROR(__xludf.DUMMYFUNCTION("""COMPUTED_VALUE"""),28.5)</f>
        <v>28.5</v>
      </c>
      <c r="M105" s="215" t="str">
        <f>IFERROR(__xludf.DUMMYFUNCTION("""COMPUTED_VALUE"""),"％")</f>
        <v>％</v>
      </c>
      <c r="N105" s="211">
        <f>IFERROR(__xludf.DUMMYFUNCTION("""COMPUTED_VALUE"""),578.0)</f>
        <v>578</v>
      </c>
      <c r="O105" s="217"/>
      <c r="P105" s="362" t="str">
        <f>IFERROR(__xludf.DUMMYFUNCTION("""COMPUTED_VALUE"""),"")</f>
        <v/>
      </c>
      <c r="S105" s="217"/>
      <c r="T105" s="205">
        <f>IFERROR(__xludf.DUMMYFUNCTION("""COMPUTED_VALUE"""),2.0)</f>
        <v>2</v>
      </c>
      <c r="U105" s="206" t="str">
        <f>IFERROR(__xludf.DUMMYFUNCTION("""COMPUTED_VALUE"""),"TRF22")</f>
        <v>TRF22</v>
      </c>
      <c r="V105" s="207" t="str">
        <f>IFERROR(__xludf.DUMMYFUNCTION("""COMPUTED_VALUE"""),"Chaldea Gate (Sat)")</f>
        <v>Chaldea Gate (Sat)</v>
      </c>
      <c r="W105" s="207" t="str">
        <f>IFERROR(__xludf.DUMMYFUNCTION("""COMPUTED_VALUE"""),"SAT Assassin Training Ground- Int")</f>
        <v>SAT Assassin Training Ground- Int</v>
      </c>
      <c r="X105" s="211">
        <f>IFERROR(__xludf.DUMMYFUNCTION("""COMPUTED_VALUE"""),20.0)</f>
        <v>20</v>
      </c>
      <c r="Y105" s="213">
        <f>IFERROR(__xludf.DUMMYFUNCTION("""COMPUTED_VALUE"""),19.0625)</f>
        <v>19.0625</v>
      </c>
      <c r="Z105" s="214">
        <f>IFERROR(__xludf.DUMMYFUNCTION("""COMPUTED_VALUE"""),24.2)</f>
        <v>24.2</v>
      </c>
      <c r="AA105" s="215" t="str">
        <f>IFERROR(__xludf.DUMMYFUNCTION("""COMPUTED_VALUE"""),"AP")</f>
        <v>AP</v>
      </c>
      <c r="AB105" s="214">
        <f>IFERROR(__xludf.DUMMYFUNCTION("""COMPUTED_VALUE"""),82.7)</f>
        <v>82.7</v>
      </c>
      <c r="AC105" s="215" t="str">
        <f>IFERROR(__xludf.DUMMYFUNCTION("""COMPUTED_VALUE"""),"％")</f>
        <v>％</v>
      </c>
      <c r="AD105" s="211">
        <f>IFERROR(__xludf.DUMMYFUNCTION("""COMPUTED_VALUE"""),462.0)</f>
        <v>462</v>
      </c>
      <c r="AE105" s="217"/>
      <c r="AF105" s="364" t="str">
        <f>IFERROR(__xludf.DUMMYFUNCTION("""COMPUTED_VALUE"""),"")</f>
        <v/>
      </c>
    </row>
    <row r="106" ht="16.5" customHeight="1">
      <c r="C106" s="217"/>
      <c r="D106" s="222">
        <f>IFERROR(__xludf.DUMMYFUNCTION("""COMPUTED_VALUE"""),3.0)</f>
        <v>3</v>
      </c>
      <c r="E106" s="223" t="str">
        <f>IFERROR(__xludf.DUMMYFUNCTION("""COMPUTED_VALUE"""),"ANA3")</f>
        <v>ANA3</v>
      </c>
      <c r="F106" s="224" t="str">
        <f>IFERROR(__xludf.DUMMYFUNCTION("""COMPUTED_VALUE"""),"Anastasia")</f>
        <v>Anastasia</v>
      </c>
      <c r="G106" s="226" t="str">
        <f>IFERROR(__xludf.DUMMYFUNCTION("""COMPUTED_VALUE"""),"Icicles Grotto")</f>
        <v>Icicles Grotto</v>
      </c>
      <c r="H106" s="228">
        <f>IFERROR(__xludf.DUMMYFUNCTION("""COMPUTED_VALUE"""),20.0)</f>
        <v>20</v>
      </c>
      <c r="I106" s="230">
        <f>IFERROR(__xludf.DUMMYFUNCTION("""COMPUTED_VALUE"""),48.4375)</f>
        <v>48.4375</v>
      </c>
      <c r="J106" s="231">
        <f>IFERROR(__xludf.DUMMYFUNCTION("""COMPUTED_VALUE"""),79.3)</f>
        <v>79.3</v>
      </c>
      <c r="K106" s="232" t="str">
        <f>IFERROR(__xludf.DUMMYFUNCTION("""COMPUTED_VALUE"""),"AP")</f>
        <v>AP</v>
      </c>
      <c r="L106" s="231">
        <f>IFERROR(__xludf.DUMMYFUNCTION("""COMPUTED_VALUE"""),25.2)</f>
        <v>25.2</v>
      </c>
      <c r="M106" s="232" t="str">
        <f>IFERROR(__xludf.DUMMYFUNCTION("""COMPUTED_VALUE"""),"％")</f>
        <v>％</v>
      </c>
      <c r="N106" s="228">
        <f>IFERROR(__xludf.DUMMYFUNCTION("""COMPUTED_VALUE"""),42245.0)</f>
        <v>42245</v>
      </c>
      <c r="O106" s="217"/>
      <c r="P106" s="362" t="str">
        <f>IFERROR(__xludf.DUMMYFUNCTION("""COMPUTED_VALUE"""),"")</f>
        <v/>
      </c>
      <c r="S106" s="217"/>
      <c r="T106" s="222">
        <f>IFERROR(__xludf.DUMMYFUNCTION("""COMPUTED_VALUE"""),3.0)</f>
        <v>3</v>
      </c>
      <c r="U106" s="223" t="str">
        <f>IFERROR(__xludf.DUMMYFUNCTION("""COMPUTED_VALUE"""),"LDN1")</f>
        <v>LDN1</v>
      </c>
      <c r="V106" s="224" t="str">
        <f>IFERROR(__xludf.DUMMYFUNCTION("""COMPUTED_VALUE"""),"London")</f>
        <v>London</v>
      </c>
      <c r="W106" s="226" t="str">
        <f>IFERROR(__xludf.DUMMYFUNCTION("""COMPUTED_VALUE"""),"Old Street")</f>
        <v>Old Street</v>
      </c>
      <c r="X106" s="228">
        <f>IFERROR(__xludf.DUMMYFUNCTION("""COMPUTED_VALUE"""),15.0)</f>
        <v>15</v>
      </c>
      <c r="Y106" s="230">
        <f>IFERROR(__xludf.DUMMYFUNCTION("""COMPUTED_VALUE"""),39.583333333333336)</f>
        <v>39.58333333</v>
      </c>
      <c r="Z106" s="231">
        <f>IFERROR(__xludf.DUMMYFUNCTION("""COMPUTED_VALUE"""),25.3)</f>
        <v>25.3</v>
      </c>
      <c r="AA106" s="232" t="str">
        <f>IFERROR(__xludf.DUMMYFUNCTION("""COMPUTED_VALUE"""),"AP")</f>
        <v>AP</v>
      </c>
      <c r="AB106" s="231">
        <f>IFERROR(__xludf.DUMMYFUNCTION("""COMPUTED_VALUE"""),59.3)</f>
        <v>59.3</v>
      </c>
      <c r="AC106" s="232" t="str">
        <f>IFERROR(__xludf.DUMMYFUNCTION("""COMPUTED_VALUE"""),"％")</f>
        <v>％</v>
      </c>
      <c r="AD106" s="228">
        <f>IFERROR(__xludf.DUMMYFUNCTION("""COMPUTED_VALUE"""),140.0)</f>
        <v>140</v>
      </c>
      <c r="AE106" s="217"/>
      <c r="AF106" s="364" t="str">
        <f>IFERROR(__xludf.DUMMYFUNCTION("""COMPUTED_VALUE"""),"")</f>
        <v/>
      </c>
    </row>
    <row r="107" ht="16.5" customHeight="1">
      <c r="C107" s="217"/>
      <c r="D107" s="238">
        <f>IFERROR(__xludf.DUMMYFUNCTION("""COMPUTED_VALUE"""),4.0)</f>
        <v>4</v>
      </c>
      <c r="E107" s="240" t="str">
        <f>IFERROR(__xludf.DUMMYFUNCTION("""COMPUTED_VALUE"""),"ANA6")</f>
        <v>ANA6</v>
      </c>
      <c r="F107" s="242" t="str">
        <f>IFERROR(__xludf.DUMMYFUNCTION("""COMPUTED_VALUE"""),"Anastasia")</f>
        <v>Anastasia</v>
      </c>
      <c r="G107" s="244" t="str">
        <f>IFERROR(__xludf.DUMMYFUNCTION("""COMPUTED_VALUE"""),"Devastated Village")</f>
        <v>Devastated Village</v>
      </c>
      <c r="H107" s="246">
        <f>IFERROR(__xludf.DUMMYFUNCTION("""COMPUTED_VALUE"""),21.0)</f>
        <v>21</v>
      </c>
      <c r="I107" s="248">
        <f>IFERROR(__xludf.DUMMYFUNCTION("""COMPUTED_VALUE"""),47.32142857142857)</f>
        <v>47.32142857</v>
      </c>
      <c r="J107" s="250">
        <f>IFERROR(__xludf.DUMMYFUNCTION("""COMPUTED_VALUE"""),84.3)</f>
        <v>84.3</v>
      </c>
      <c r="K107" s="252" t="str">
        <f>IFERROR(__xludf.DUMMYFUNCTION("""COMPUTED_VALUE"""),"AP")</f>
        <v>AP</v>
      </c>
      <c r="L107" s="250">
        <f>IFERROR(__xludf.DUMMYFUNCTION("""COMPUTED_VALUE"""),24.9)</f>
        <v>24.9</v>
      </c>
      <c r="M107" s="252" t="str">
        <f>IFERROR(__xludf.DUMMYFUNCTION("""COMPUTED_VALUE"""),"％")</f>
        <v>％</v>
      </c>
      <c r="N107" s="246">
        <f>IFERROR(__xludf.DUMMYFUNCTION("""COMPUTED_VALUE"""),56810.0)</f>
        <v>56810</v>
      </c>
      <c r="O107" s="217"/>
      <c r="P107" s="362" t="str">
        <f>IFERROR(__xludf.DUMMYFUNCTION("""COMPUTED_VALUE"""),"")</f>
        <v/>
      </c>
      <c r="S107" s="217"/>
      <c r="T107" s="238">
        <f>IFERROR(__xludf.DUMMYFUNCTION("""COMPUTED_VALUE"""),4.0)</f>
        <v>4</v>
      </c>
      <c r="U107" s="240" t="str">
        <f>IFERROR(__xludf.DUMMYFUNCTION("""COMPUTED_VALUE"""),"SEP3")</f>
        <v>SEP3</v>
      </c>
      <c r="V107" s="242" t="str">
        <f>IFERROR(__xludf.DUMMYFUNCTION("""COMPUTED_VALUE"""),"Septem")</f>
        <v>Septem</v>
      </c>
      <c r="W107" s="244" t="str">
        <f>IFERROR(__xludf.DUMMYFUNCTION("""COMPUTED_VALUE"""),"Mt. Etna")</f>
        <v>Mt. Etna</v>
      </c>
      <c r="X107" s="246">
        <f>IFERROR(__xludf.DUMMYFUNCTION("""COMPUTED_VALUE"""),9.0)</f>
        <v>9</v>
      </c>
      <c r="Y107" s="248">
        <f>IFERROR(__xludf.DUMMYFUNCTION("""COMPUTED_VALUE"""),29.86111111111111)</f>
        <v>29.86111111</v>
      </c>
      <c r="Z107" s="250">
        <f>IFERROR(__xludf.DUMMYFUNCTION("""COMPUTED_VALUE"""),28.9)</f>
        <v>28.9</v>
      </c>
      <c r="AA107" s="252" t="str">
        <f>IFERROR(__xludf.DUMMYFUNCTION("""COMPUTED_VALUE"""),"AP")</f>
        <v>AP</v>
      </c>
      <c r="AB107" s="250">
        <f>IFERROR(__xludf.DUMMYFUNCTION("""COMPUTED_VALUE"""),31.2)</f>
        <v>31.2</v>
      </c>
      <c r="AC107" s="252" t="str">
        <f>IFERROR(__xludf.DUMMYFUNCTION("""COMPUTED_VALUE"""),"％")</f>
        <v>％</v>
      </c>
      <c r="AD107" s="246">
        <f>IFERROR(__xludf.DUMMYFUNCTION("""COMPUTED_VALUE"""),320.0)</f>
        <v>320</v>
      </c>
      <c r="AE107" s="217"/>
      <c r="AF107" s="364" t="str">
        <f>IFERROR(__xludf.DUMMYFUNCTION("""COMPUTED_VALUE"""),"")</f>
        <v/>
      </c>
    </row>
    <row r="108" ht="16.5" customHeight="1">
      <c r="A108" s="166"/>
      <c r="C108" s="263"/>
      <c r="D108" s="256">
        <f>IFERROR(__xludf.DUMMYFUNCTION("""COMPUTED_VALUE"""),5.0)</f>
        <v>5</v>
      </c>
      <c r="E108" s="257" t="str">
        <f>IFERROR(__xludf.DUMMYFUNCTION("""COMPUTED_VALUE"""),"ANA10")</f>
        <v>ANA10</v>
      </c>
      <c r="F108" s="42" t="str">
        <f>IFERROR(__xludf.DUMMYFUNCTION("""COMPUTED_VALUE"""),"Anastasia")</f>
        <v>Anastasia</v>
      </c>
      <c r="G108" s="258" t="str">
        <f>IFERROR(__xludf.DUMMYFUNCTION("""COMPUTED_VALUE"""),"Trampled Village")</f>
        <v>Trampled Village</v>
      </c>
      <c r="H108" s="259">
        <f>IFERROR(__xludf.DUMMYFUNCTION("""COMPUTED_VALUE"""),21.0)</f>
        <v>21</v>
      </c>
      <c r="I108" s="260">
        <f>IFERROR(__xludf.DUMMYFUNCTION("""COMPUTED_VALUE"""),49.70238095238095)</f>
        <v>49.70238095</v>
      </c>
      <c r="J108" s="261">
        <f>IFERROR(__xludf.DUMMYFUNCTION("""COMPUTED_VALUE"""),86.3)</f>
        <v>86.3</v>
      </c>
      <c r="K108" s="262" t="str">
        <f>IFERROR(__xludf.DUMMYFUNCTION("""COMPUTED_VALUE"""),"AP")</f>
        <v>AP</v>
      </c>
      <c r="L108" s="261">
        <f>IFERROR(__xludf.DUMMYFUNCTION("""COMPUTED_VALUE"""),24.3)</f>
        <v>24.3</v>
      </c>
      <c r="M108" s="262" t="str">
        <f>IFERROR(__xludf.DUMMYFUNCTION("""COMPUTED_VALUE"""),"％")</f>
        <v>％</v>
      </c>
      <c r="N108" s="259">
        <f>IFERROR(__xludf.DUMMYFUNCTION("""COMPUTED_VALUE"""),7732.0)</f>
        <v>7732</v>
      </c>
      <c r="O108" s="263"/>
      <c r="P108" s="362" t="str">
        <f>IFERROR(__xludf.DUMMYFUNCTION("""COMPUTED_VALUE"""),"")</f>
        <v/>
      </c>
      <c r="Q108" s="166"/>
      <c r="S108" s="263"/>
      <c r="T108" s="256">
        <f>IFERROR(__xludf.DUMMYFUNCTION("""COMPUTED_VALUE"""),5.0)</f>
        <v>5</v>
      </c>
      <c r="U108" s="257" t="str">
        <f>IFERROR(__xludf.DUMMYFUNCTION("""COMPUTED_VALUE"""),"OKN9")</f>
        <v>OKN9</v>
      </c>
      <c r="V108" s="42" t="str">
        <f>IFERROR(__xludf.DUMMYFUNCTION("""COMPUTED_VALUE"""),"Okeanos")</f>
        <v>Okeanos</v>
      </c>
      <c r="W108" s="258" t="str">
        <f>IFERROR(__xludf.DUMMYFUNCTION("""COMPUTED_VALUE"""),"Stormy Seas")</f>
        <v>Stormy Seas</v>
      </c>
      <c r="X108" s="259">
        <f>IFERROR(__xludf.DUMMYFUNCTION("""COMPUTED_VALUE"""),15.0)</f>
        <v>15</v>
      </c>
      <c r="Y108" s="260">
        <f>IFERROR(__xludf.DUMMYFUNCTION("""COMPUTED_VALUE"""),37.916666666666664)</f>
        <v>37.91666667</v>
      </c>
      <c r="Z108" s="261">
        <f>IFERROR(__xludf.DUMMYFUNCTION("""COMPUTED_VALUE"""),29.3)</f>
        <v>29.3</v>
      </c>
      <c r="AA108" s="262" t="str">
        <f>IFERROR(__xludf.DUMMYFUNCTION("""COMPUTED_VALUE"""),"AP")</f>
        <v>AP</v>
      </c>
      <c r="AB108" s="261">
        <f>IFERROR(__xludf.DUMMYFUNCTION("""COMPUTED_VALUE"""),51.1)</f>
        <v>51.1</v>
      </c>
      <c r="AC108" s="262" t="str">
        <f>IFERROR(__xludf.DUMMYFUNCTION("""COMPUTED_VALUE"""),"％")</f>
        <v>％</v>
      </c>
      <c r="AD108" s="259">
        <f>IFERROR(__xludf.DUMMYFUNCTION("""COMPUTED_VALUE"""),1542.0)</f>
        <v>1542</v>
      </c>
      <c r="AE108" s="263"/>
      <c r="AF108" s="364" t="str">
        <f>IFERROR(__xludf.DUMMYFUNCTION("""COMPUTED_VALUE"""),"")</f>
        <v/>
      </c>
    </row>
    <row r="109" ht="16.5" customHeight="1">
      <c r="A109" s="61" t="str">
        <f>IFERROR(__xludf.DUMMYFUNCTION("""COMPUTED_VALUE"""),"")</f>
        <v/>
      </c>
      <c r="B109" s="367" t="str">
        <f>IFERROR(__xludf.DUMMYFUNCTION("""COMPUTED_VALUE"""),"A212")</f>
        <v>A212</v>
      </c>
      <c r="C109" s="65" t="str">
        <f>IFERROR(__xludf.DUMMYFUNCTION("""COMPUTED_VALUE"""),"Refined Magatama")</f>
        <v>Refined Magatama</v>
      </c>
      <c r="D109" s="67">
        <f>IFERROR(__xludf.DUMMYFUNCTION("""COMPUTED_VALUE"""),1.0)</f>
        <v>1</v>
      </c>
      <c r="E109" s="69" t="str">
        <f>IFERROR(__xludf.DUMMYFUNCTION("""COMPUTED_VALUE"""),"SMS4")</f>
        <v>SMS4</v>
      </c>
      <c r="F109" s="71" t="str">
        <f>IFERROR(__xludf.DUMMYFUNCTION("""COMPUTED_VALUE"""),"Shimosa")</f>
        <v>Shimosa</v>
      </c>
      <c r="G109" s="78" t="str">
        <f>IFERROR(__xludf.DUMMYFUNCTION("""COMPUTED_VALUE"""),"Castle Town")</f>
        <v>Castle Town</v>
      </c>
      <c r="H109" s="80">
        <f>IFERROR(__xludf.DUMMYFUNCTION("""COMPUTED_VALUE"""),21.0)</f>
        <v>21</v>
      </c>
      <c r="I109" s="82">
        <f>IFERROR(__xludf.DUMMYFUNCTION("""COMPUTED_VALUE"""),48.51190476190476)</f>
        <v>48.51190476</v>
      </c>
      <c r="J109" s="84">
        <f>IFERROR(__xludf.DUMMYFUNCTION("""COMPUTED_VALUE"""),51.8)</f>
        <v>51.8</v>
      </c>
      <c r="K109" s="86" t="str">
        <f>IFERROR(__xludf.DUMMYFUNCTION("""COMPUTED_VALUE"""),"AP")</f>
        <v>AP</v>
      </c>
      <c r="L109" s="88">
        <f>IFERROR(__xludf.DUMMYFUNCTION("""COMPUTED_VALUE"""),40.5)</f>
        <v>40.5</v>
      </c>
      <c r="M109" s="86" t="str">
        <f>IFERROR(__xludf.DUMMYFUNCTION("""COMPUTED_VALUE"""),"％")</f>
        <v>％</v>
      </c>
      <c r="N109" s="80">
        <f>IFERROR(__xludf.DUMMYFUNCTION("""COMPUTED_VALUE"""),6883.0)</f>
        <v>6883</v>
      </c>
      <c r="O109" s="91" t="str">
        <f>IFERROR(__xludf.DUMMYFUNCTION("""COMPUTED_VALUE"""),"Refined Magatama")</f>
        <v>Refined Magatama</v>
      </c>
      <c r="P109" s="93" t="str">
        <f>IFERROR(__xludf.DUMMYFUNCTION("""COMPUTED_VALUE"""),"")</f>
        <v/>
      </c>
      <c r="Q109" s="61" t="str">
        <f>IFERROR(__xludf.DUMMYFUNCTION("""COMPUTED_VALUE"""),"")</f>
        <v/>
      </c>
      <c r="R109" s="367" t="str">
        <f>IFERROR(__xludf.DUMMYFUNCTION("""COMPUTED_VALUE"""),"B127")</f>
        <v>B127</v>
      </c>
      <c r="S109" s="65" t="str">
        <f>IFERROR(__xludf.DUMMYFUNCTION("""COMPUTED_VALUE"""),"Gem of Berserker")</f>
        <v>Gem of Berserker</v>
      </c>
      <c r="T109" s="67">
        <f>IFERROR(__xludf.DUMMYFUNCTION("""COMPUTED_VALUE"""),1.0)</f>
        <v>1</v>
      </c>
      <c r="U109" s="69" t="str">
        <f>IFERROR(__xludf.DUMMYFUNCTION("""COMPUTED_VALUE"""),"TRF9")</f>
        <v>TRF9</v>
      </c>
      <c r="V109" s="71" t="str">
        <f>IFERROR(__xludf.DUMMYFUNCTION("""COMPUTED_VALUE"""),"Chaldea Gate (Wed)")</f>
        <v>Chaldea Gate (Wed)</v>
      </c>
      <c r="W109" s="71" t="str">
        <f>IFERROR(__xludf.DUMMYFUNCTION("""COMPUTED_VALUE"""),"WED Berserker Training Ground- Nov")</f>
        <v>WED Berserker Training Ground- Nov</v>
      </c>
      <c r="X109" s="80">
        <f>IFERROR(__xludf.DUMMYFUNCTION("""COMPUTED_VALUE"""),10.0)</f>
        <v>10</v>
      </c>
      <c r="Y109" s="82">
        <f>IFERROR(__xludf.DUMMYFUNCTION("""COMPUTED_VALUE"""),19.375)</f>
        <v>19.375</v>
      </c>
      <c r="Z109" s="84">
        <f>IFERROR(__xludf.DUMMYFUNCTION("""COMPUTED_VALUE"""),7.5)</f>
        <v>7.5</v>
      </c>
      <c r="AA109" s="86" t="str">
        <f>IFERROR(__xludf.DUMMYFUNCTION("""COMPUTED_VALUE"""),"AP")</f>
        <v>AP</v>
      </c>
      <c r="AB109" s="88">
        <f>IFERROR(__xludf.DUMMYFUNCTION("""COMPUTED_VALUE"""),132.6)</f>
        <v>132.6</v>
      </c>
      <c r="AC109" s="86" t="str">
        <f>IFERROR(__xludf.DUMMYFUNCTION("""COMPUTED_VALUE"""),"％")</f>
        <v>％</v>
      </c>
      <c r="AD109" s="80">
        <f>IFERROR(__xludf.DUMMYFUNCTION("""COMPUTED_VALUE"""),821.0)</f>
        <v>821</v>
      </c>
      <c r="AE109" s="91" t="str">
        <f>IFERROR(__xludf.DUMMYFUNCTION("""COMPUTED_VALUE"""),"Gem of Berserker")</f>
        <v>Gem of Berserker</v>
      </c>
      <c r="AF109" s="98" t="str">
        <f>IFERROR(__xludf.DUMMYFUNCTION("""COMPUTED_VALUE"""),"")</f>
        <v/>
      </c>
    </row>
    <row r="110" ht="16.5" customHeight="1">
      <c r="C110" s="100"/>
      <c r="D110" s="102">
        <f>IFERROR(__xludf.DUMMYFUNCTION("""COMPUTED_VALUE"""),2.0)</f>
        <v>2</v>
      </c>
      <c r="E110" s="103" t="str">
        <f>IFERROR(__xludf.DUMMYFUNCTION("""COMPUTED_VALUE"""),"SMS6")</f>
        <v>SMS6</v>
      </c>
      <c r="F110" s="104" t="str">
        <f>IFERROR(__xludf.DUMMYFUNCTION("""COMPUTED_VALUE"""),"Shimosa")</f>
        <v>Shimosa</v>
      </c>
      <c r="G110" s="108" t="str">
        <f>IFERROR(__xludf.DUMMYFUNCTION("""COMPUTED_VALUE"""),"Toke Castle")</f>
        <v>Toke Castle</v>
      </c>
      <c r="H110" s="109">
        <f>IFERROR(__xludf.DUMMYFUNCTION("""COMPUTED_VALUE"""),21.0)</f>
        <v>21</v>
      </c>
      <c r="I110" s="110">
        <f>IFERROR(__xludf.DUMMYFUNCTION("""COMPUTED_VALUE"""),49.70238095238095)</f>
        <v>49.70238095</v>
      </c>
      <c r="J110" s="112">
        <f>IFERROR(__xludf.DUMMYFUNCTION("""COMPUTED_VALUE"""),78.9)</f>
        <v>78.9</v>
      </c>
      <c r="K110" s="121" t="str">
        <f>IFERROR(__xludf.DUMMYFUNCTION("""COMPUTED_VALUE"""),"AP")</f>
        <v>AP</v>
      </c>
      <c r="L110" s="123">
        <f>IFERROR(__xludf.DUMMYFUNCTION("""COMPUTED_VALUE"""),26.6)</f>
        <v>26.6</v>
      </c>
      <c r="M110" s="121" t="str">
        <f>IFERROR(__xludf.DUMMYFUNCTION("""COMPUTED_VALUE"""),"％")</f>
        <v>％</v>
      </c>
      <c r="N110" s="109">
        <f>IFERROR(__xludf.DUMMYFUNCTION("""COMPUTED_VALUE"""),2163.0)</f>
        <v>2163</v>
      </c>
      <c r="O110" s="100"/>
      <c r="P110" s="93" t="str">
        <f>IFERROR(__xludf.DUMMYFUNCTION("""COMPUTED_VALUE"""),"")</f>
        <v/>
      </c>
      <c r="S110" s="100"/>
      <c r="T110" s="102">
        <f>IFERROR(__xludf.DUMMYFUNCTION("""COMPUTED_VALUE"""),2.0)</f>
        <v>2</v>
      </c>
      <c r="U110" s="103" t="str">
        <f>IFERROR(__xludf.DUMMYFUNCTION("""COMPUTED_VALUE"""),"TRF10")</f>
        <v>TRF10</v>
      </c>
      <c r="V110" s="104" t="str">
        <f>IFERROR(__xludf.DUMMYFUNCTION("""COMPUTED_VALUE"""),"Chaldea Gate (Wed)")</f>
        <v>Chaldea Gate (Wed)</v>
      </c>
      <c r="W110" s="104" t="str">
        <f>IFERROR(__xludf.DUMMYFUNCTION("""COMPUTED_VALUE"""),"WED Berserker Training Ground- Int")</f>
        <v>WED Berserker Training Ground- Int</v>
      </c>
      <c r="X110" s="109">
        <f>IFERROR(__xludf.DUMMYFUNCTION("""COMPUTED_VALUE"""),20.0)</f>
        <v>20</v>
      </c>
      <c r="Y110" s="110">
        <f>IFERROR(__xludf.DUMMYFUNCTION("""COMPUTED_VALUE"""),19.0625)</f>
        <v>19.0625</v>
      </c>
      <c r="Z110" s="112">
        <f>IFERROR(__xludf.DUMMYFUNCTION("""COMPUTED_VALUE"""),16.1)</f>
        <v>16.1</v>
      </c>
      <c r="AA110" s="121" t="str">
        <f>IFERROR(__xludf.DUMMYFUNCTION("""COMPUTED_VALUE"""),"AP")</f>
        <v>AP</v>
      </c>
      <c r="AB110" s="123">
        <f>IFERROR(__xludf.DUMMYFUNCTION("""COMPUTED_VALUE"""),124.2)</f>
        <v>124.2</v>
      </c>
      <c r="AC110" s="121" t="str">
        <f>IFERROR(__xludf.DUMMYFUNCTION("""COMPUTED_VALUE"""),"％")</f>
        <v>％</v>
      </c>
      <c r="AD110" s="109">
        <f>IFERROR(__xludf.DUMMYFUNCTION("""COMPUTED_VALUE"""),554.0)</f>
        <v>554</v>
      </c>
      <c r="AE110" s="100"/>
      <c r="AF110" s="98" t="str">
        <f>IFERROR(__xludf.DUMMYFUNCTION("""COMPUTED_VALUE"""),"")</f>
        <v/>
      </c>
    </row>
    <row r="111" ht="16.5" customHeight="1">
      <c r="C111" s="100"/>
      <c r="D111" s="130">
        <f>IFERROR(__xludf.DUMMYFUNCTION("""COMPUTED_VALUE"""),3.0)</f>
        <v>3</v>
      </c>
      <c r="E111" s="132" t="str">
        <f>IFERROR(__xludf.DUMMYFUNCTION("""COMPUTED_VALUE"""),"SMS2")</f>
        <v>SMS2</v>
      </c>
      <c r="F111" s="133" t="str">
        <f>IFERROR(__xludf.DUMMYFUNCTION("""COMPUTED_VALUE"""),"Shimosa")</f>
        <v>Shimosa</v>
      </c>
      <c r="G111" s="135" t="str">
        <f>IFERROR(__xludf.DUMMYFUNCTION("""COMPUTED_VALUE"""),"Village")</f>
        <v>Village</v>
      </c>
      <c r="H111" s="137">
        <f>IFERROR(__xludf.DUMMYFUNCTION("""COMPUTED_VALUE"""),21.0)</f>
        <v>21</v>
      </c>
      <c r="I111" s="139">
        <f>IFERROR(__xludf.DUMMYFUNCTION("""COMPUTED_VALUE"""),47.32142857142857)</f>
        <v>47.32142857</v>
      </c>
      <c r="J111" s="141">
        <f>IFERROR(__xludf.DUMMYFUNCTION("""COMPUTED_VALUE"""),81.7)</f>
        <v>81.7</v>
      </c>
      <c r="K111" s="143" t="str">
        <f>IFERROR(__xludf.DUMMYFUNCTION("""COMPUTED_VALUE"""),"AP")</f>
        <v>AP</v>
      </c>
      <c r="L111" s="145">
        <f>IFERROR(__xludf.DUMMYFUNCTION("""COMPUTED_VALUE"""),25.7)</f>
        <v>25.7</v>
      </c>
      <c r="M111" s="143" t="str">
        <f>IFERROR(__xludf.DUMMYFUNCTION("""COMPUTED_VALUE"""),"％")</f>
        <v>％</v>
      </c>
      <c r="N111" s="137">
        <f>IFERROR(__xludf.DUMMYFUNCTION("""COMPUTED_VALUE"""),8454.0)</f>
        <v>8454</v>
      </c>
      <c r="O111" s="100"/>
      <c r="P111" s="93" t="str">
        <f>IFERROR(__xludf.DUMMYFUNCTION("""COMPUTED_VALUE"""),"")</f>
        <v/>
      </c>
      <c r="S111" s="100"/>
      <c r="T111" s="130">
        <f>IFERROR(__xludf.DUMMYFUNCTION("""COMPUTED_VALUE"""),3.0)</f>
        <v>3</v>
      </c>
      <c r="U111" s="132" t="str">
        <f>IFERROR(__xludf.DUMMYFUNCTION("""COMPUTED_VALUE"""),"YKS7")</f>
        <v>YKS7</v>
      </c>
      <c r="V111" s="133" t="str">
        <f>IFERROR(__xludf.DUMMYFUNCTION("""COMPUTED_VALUE"""),"Yuga Kshetra")</f>
        <v>Yuga Kshetra</v>
      </c>
      <c r="W111" s="135" t="str">
        <f>IFERROR(__xludf.DUMMYFUNCTION("""COMPUTED_VALUE"""),"Divine Sky Rock Ruins")</f>
        <v>Divine Sky Rock Ruins</v>
      </c>
      <c r="X111" s="137">
        <f>IFERROR(__xludf.DUMMYFUNCTION("""COMPUTED_VALUE"""),21.0)</f>
        <v>21</v>
      </c>
      <c r="Y111" s="139">
        <f>IFERROR(__xludf.DUMMYFUNCTION("""COMPUTED_VALUE"""),49.70238095238095)</f>
        <v>49.70238095</v>
      </c>
      <c r="Z111" s="141">
        <f>IFERROR(__xludf.DUMMYFUNCTION("""COMPUTED_VALUE"""),55.0)</f>
        <v>55</v>
      </c>
      <c r="AA111" s="143" t="str">
        <f>IFERROR(__xludf.DUMMYFUNCTION("""COMPUTED_VALUE"""),"AP")</f>
        <v>AP</v>
      </c>
      <c r="AB111" s="145">
        <f>IFERROR(__xludf.DUMMYFUNCTION("""COMPUTED_VALUE"""),38.2)</f>
        <v>38.2</v>
      </c>
      <c r="AC111" s="143" t="str">
        <f>IFERROR(__xludf.DUMMYFUNCTION("""COMPUTED_VALUE"""),"％")</f>
        <v>％</v>
      </c>
      <c r="AD111" s="137">
        <f>IFERROR(__xludf.DUMMYFUNCTION("""COMPUTED_VALUE"""),1530.0)</f>
        <v>1530</v>
      </c>
      <c r="AE111" s="100"/>
      <c r="AF111" s="98" t="str">
        <f>IFERROR(__xludf.DUMMYFUNCTION("""COMPUTED_VALUE"""),"")</f>
        <v/>
      </c>
    </row>
    <row r="112" ht="16.5" customHeight="1">
      <c r="C112" s="100"/>
      <c r="D112" s="146">
        <f>IFERROR(__xludf.DUMMYFUNCTION("""COMPUTED_VALUE"""),4.0)</f>
        <v>4</v>
      </c>
      <c r="E112" s="148" t="str">
        <f>IFERROR(__xludf.DUMMYFUNCTION("""COMPUTED_VALUE"""),"SMS5")</f>
        <v>SMS5</v>
      </c>
      <c r="F112" s="150" t="str">
        <f>IFERROR(__xludf.DUMMYFUNCTION("""COMPUTED_VALUE"""),"Shimosa")</f>
        <v>Shimosa</v>
      </c>
      <c r="G112" s="152" t="str">
        <f>IFERROR(__xludf.DUMMYFUNCTION("""COMPUTED_VALUE"""),"Battlefield")</f>
        <v>Battlefield</v>
      </c>
      <c r="H112" s="154">
        <f>IFERROR(__xludf.DUMMYFUNCTION("""COMPUTED_VALUE"""),21.0)</f>
        <v>21</v>
      </c>
      <c r="I112" s="156">
        <f>IFERROR(__xludf.DUMMYFUNCTION("""COMPUTED_VALUE"""),48.51190476190476)</f>
        <v>48.51190476</v>
      </c>
      <c r="J112" s="158">
        <f>IFERROR(__xludf.DUMMYFUNCTION("""COMPUTED_VALUE"""),83.2)</f>
        <v>83.2</v>
      </c>
      <c r="K112" s="160" t="str">
        <f>IFERROR(__xludf.DUMMYFUNCTION("""COMPUTED_VALUE"""),"AP")</f>
        <v>AP</v>
      </c>
      <c r="L112" s="162">
        <f>IFERROR(__xludf.DUMMYFUNCTION("""COMPUTED_VALUE"""),25.2)</f>
        <v>25.2</v>
      </c>
      <c r="M112" s="160" t="str">
        <f>IFERROR(__xludf.DUMMYFUNCTION("""COMPUTED_VALUE"""),"％")</f>
        <v>％</v>
      </c>
      <c r="N112" s="154">
        <f>IFERROR(__xludf.DUMMYFUNCTION("""COMPUTED_VALUE"""),55672.0)</f>
        <v>55672</v>
      </c>
      <c r="O112" s="100"/>
      <c r="P112" s="93" t="str">
        <f>IFERROR(__xludf.DUMMYFUNCTION("""COMPUTED_VALUE"""),"")</f>
        <v/>
      </c>
      <c r="S112" s="100"/>
      <c r="T112" s="146">
        <f>IFERROR(__xludf.DUMMYFUNCTION("""COMPUTED_VALUE"""),4.0)</f>
        <v>4</v>
      </c>
      <c r="U112" s="148" t="str">
        <f>IFERROR(__xludf.DUMMYFUNCTION("""COMPUTED_VALUE"""),"SEP8")</f>
        <v>SEP8</v>
      </c>
      <c r="V112" s="150" t="str">
        <f>IFERROR(__xludf.DUMMYFUNCTION("""COMPUTED_VALUE"""),"Septem")</f>
        <v>Septem</v>
      </c>
      <c r="W112" s="152" t="str">
        <f>IFERROR(__xludf.DUMMYFUNCTION("""COMPUTED_VALUE"""),"Gaul")</f>
        <v>Gaul</v>
      </c>
      <c r="X112" s="154">
        <f>IFERROR(__xludf.DUMMYFUNCTION("""COMPUTED_VALUE"""),9.0)</f>
        <v>9</v>
      </c>
      <c r="Y112" s="156">
        <f>IFERROR(__xludf.DUMMYFUNCTION("""COMPUTED_VALUE"""),32.638888888888886)</f>
        <v>32.63888889</v>
      </c>
      <c r="Z112" s="158">
        <f>IFERROR(__xludf.DUMMYFUNCTION("""COMPUTED_VALUE"""),58.8)</f>
        <v>58.8</v>
      </c>
      <c r="AA112" s="160" t="str">
        <f>IFERROR(__xludf.DUMMYFUNCTION("""COMPUTED_VALUE"""),"AP")</f>
        <v>AP</v>
      </c>
      <c r="AB112" s="162">
        <f>IFERROR(__xludf.DUMMYFUNCTION("""COMPUTED_VALUE"""),15.3)</f>
        <v>15.3</v>
      </c>
      <c r="AC112" s="160" t="str">
        <f>IFERROR(__xludf.DUMMYFUNCTION("""COMPUTED_VALUE"""),"％")</f>
        <v>％</v>
      </c>
      <c r="AD112" s="154">
        <f>IFERROR(__xludf.DUMMYFUNCTION("""COMPUTED_VALUE"""),634.0)</f>
        <v>634</v>
      </c>
      <c r="AE112" s="100"/>
      <c r="AF112" s="98" t="str">
        <f>IFERROR(__xludf.DUMMYFUNCTION("""COMPUTED_VALUE"""),"")</f>
        <v/>
      </c>
    </row>
    <row r="113" ht="16.5" customHeight="1">
      <c r="A113" s="166"/>
      <c r="C113" s="168"/>
      <c r="D113" s="169">
        <f>IFERROR(__xludf.DUMMYFUNCTION("""COMPUTED_VALUE"""),5.0)</f>
        <v>5</v>
      </c>
      <c r="E113" s="170" t="str">
        <f>IFERROR(__xludf.DUMMYFUNCTION("""COMPUTED_VALUE"""),"SMS3")</f>
        <v>SMS3</v>
      </c>
      <c r="F113" s="51" t="str">
        <f>IFERROR(__xludf.DUMMYFUNCTION("""COMPUTED_VALUE"""),"Shimosa")</f>
        <v>Shimosa</v>
      </c>
      <c r="G113" s="171" t="str">
        <f>IFERROR(__xludf.DUMMYFUNCTION("""COMPUTED_VALUE"""),"Monastery")</f>
        <v>Monastery</v>
      </c>
      <c r="H113" s="172">
        <f>IFERROR(__xludf.DUMMYFUNCTION("""COMPUTED_VALUE"""),21.0)</f>
        <v>21</v>
      </c>
      <c r="I113" s="173">
        <f>IFERROR(__xludf.DUMMYFUNCTION("""COMPUTED_VALUE"""),47.32142857142857)</f>
        <v>47.32142857</v>
      </c>
      <c r="J113" s="174">
        <f>IFERROR(__xludf.DUMMYFUNCTION("""COMPUTED_VALUE"""),83.4)</f>
        <v>83.4</v>
      </c>
      <c r="K113" s="175" t="str">
        <f>IFERROR(__xludf.DUMMYFUNCTION("""COMPUTED_VALUE"""),"AP")</f>
        <v>AP</v>
      </c>
      <c r="L113" s="176">
        <f>IFERROR(__xludf.DUMMYFUNCTION("""COMPUTED_VALUE"""),25.2)</f>
        <v>25.2</v>
      </c>
      <c r="M113" s="175" t="str">
        <f>IFERROR(__xludf.DUMMYFUNCTION("""COMPUTED_VALUE"""),"％")</f>
        <v>％</v>
      </c>
      <c r="N113" s="172">
        <f>IFERROR(__xludf.DUMMYFUNCTION("""COMPUTED_VALUE"""),9677.0)</f>
        <v>9677</v>
      </c>
      <c r="O113" s="168"/>
      <c r="P113" s="93" t="str">
        <f>IFERROR(__xludf.DUMMYFUNCTION("""COMPUTED_VALUE"""),"")</f>
        <v/>
      </c>
      <c r="Q113" s="166"/>
      <c r="S113" s="168"/>
      <c r="T113" s="169">
        <f>IFERROR(__xludf.DUMMYFUNCTION("""COMPUTED_VALUE"""),5.0)</f>
        <v>5</v>
      </c>
      <c r="U113" s="170" t="str">
        <f>IFERROR(__xludf.DUMMYFUNCTION("""COMPUTED_VALUE"""),"SLM7")</f>
        <v>SLM7</v>
      </c>
      <c r="V113" s="51" t="str">
        <f>IFERROR(__xludf.DUMMYFUNCTION("""COMPUTED_VALUE"""),"Salem")</f>
        <v>Salem</v>
      </c>
      <c r="W113" s="171" t="str">
        <f>IFERROR(__xludf.DUMMYFUNCTION("""COMPUTED_VALUE"""),"Gallow Hill")</f>
        <v>Gallow Hill</v>
      </c>
      <c r="X113" s="172">
        <f>IFERROR(__xludf.DUMMYFUNCTION("""COMPUTED_VALUE"""),21.0)</f>
        <v>21</v>
      </c>
      <c r="Y113" s="173">
        <f>IFERROR(__xludf.DUMMYFUNCTION("""COMPUTED_VALUE"""),49.70238095238095)</f>
        <v>49.70238095</v>
      </c>
      <c r="Z113" s="174">
        <f>IFERROR(__xludf.DUMMYFUNCTION("""COMPUTED_VALUE"""),60.9)</f>
        <v>60.9</v>
      </c>
      <c r="AA113" s="175" t="str">
        <f>IFERROR(__xludf.DUMMYFUNCTION("""COMPUTED_VALUE"""),"AP")</f>
        <v>AP</v>
      </c>
      <c r="AB113" s="176">
        <f>IFERROR(__xludf.DUMMYFUNCTION("""COMPUTED_VALUE"""),34.5)</f>
        <v>34.5</v>
      </c>
      <c r="AC113" s="175" t="str">
        <f>IFERROR(__xludf.DUMMYFUNCTION("""COMPUTED_VALUE"""),"％")</f>
        <v>％</v>
      </c>
      <c r="AD113" s="172">
        <f>IFERROR(__xludf.DUMMYFUNCTION("""COMPUTED_VALUE"""),8007.0)</f>
        <v>8007</v>
      </c>
      <c r="AE113" s="168"/>
      <c r="AF113" s="98" t="str">
        <f>IFERROR(__xludf.DUMMYFUNCTION("""COMPUTED_VALUE"""),"")</f>
        <v/>
      </c>
    </row>
    <row r="114" ht="16.5" customHeight="1">
      <c r="A114" s="25" t="str">
        <f>IFERROR(__xludf.DUMMYFUNCTION("""COMPUTED_VALUE"""),"Item")</f>
        <v>Item</v>
      </c>
      <c r="B114" s="27"/>
      <c r="C114" s="28"/>
      <c r="D114" s="30" t="str">
        <f>IFERROR(__xludf.DUMMYFUNCTION("""COMPUTED_VALUE"""),"No.")</f>
        <v>No.</v>
      </c>
      <c r="E114" s="31" t="str">
        <f>IFERROR(__xludf.DUMMYFUNCTION("""COMPUTED_VALUE"""),"Node Code")</f>
        <v>Node Code</v>
      </c>
      <c r="F114" s="31" t="str">
        <f>IFERROR(__xludf.DUMMYFUNCTION("""COMPUTED_VALUE"""),"Area")</f>
        <v>Area</v>
      </c>
      <c r="G114" s="31" t="str">
        <f>IFERROR(__xludf.DUMMYFUNCTION("""COMPUTED_VALUE"""),"Quest")</f>
        <v>Quest</v>
      </c>
      <c r="H114" s="30" t="str">
        <f>IFERROR(__xludf.DUMMYFUNCTION("""COMPUTED_VALUE"""),"AP")</f>
        <v>AP</v>
      </c>
      <c r="I114" s="34" t="str">
        <f>IFERROR(__xludf.DUMMYFUNCTION("""COMPUTED_VALUE"""),"BP/AP")</f>
        <v>BP/AP</v>
      </c>
      <c r="J114" s="36" t="str">
        <f>IFERROR(__xludf.DUMMYFUNCTION("""COMPUTED_VALUE"""),"AP/Drop")</f>
        <v>AP/Drop</v>
      </c>
      <c r="K114" s="28"/>
      <c r="L114" s="36" t="str">
        <f>IFERROR(__xludf.DUMMYFUNCTION("""COMPUTED_VALUE"""),"Drop Chance")</f>
        <v>Drop Chance</v>
      </c>
      <c r="M114" s="28"/>
      <c r="N114" s="38" t="str">
        <f>IFERROR(__xludf.DUMMYFUNCTION("""COMPUTED_VALUE"""),"Runs")</f>
        <v>Runs</v>
      </c>
      <c r="O114" s="40" t="str">
        <f>IFERROR(__xludf.DUMMYFUNCTION("""COMPUTED_VALUE"""),"")</f>
        <v/>
      </c>
      <c r="P114" s="42" t="str">
        <f>IFERROR(__xludf.DUMMYFUNCTION("""COMPUTED_VALUE"""),"")</f>
        <v/>
      </c>
      <c r="Q114" s="25" t="str">
        <f>IFERROR(__xludf.DUMMYFUNCTION("""COMPUTED_VALUE"""),"Item")</f>
        <v>Item</v>
      </c>
      <c r="R114" s="27"/>
      <c r="S114" s="28"/>
      <c r="T114" s="30" t="str">
        <f>IFERROR(__xludf.DUMMYFUNCTION("""COMPUTED_VALUE"""),"No.")</f>
        <v>No.</v>
      </c>
      <c r="U114" s="31" t="str">
        <f>IFERROR(__xludf.DUMMYFUNCTION("""COMPUTED_VALUE"""),"Node Code")</f>
        <v>Node Code</v>
      </c>
      <c r="V114" s="31" t="str">
        <f>IFERROR(__xludf.DUMMYFUNCTION("""COMPUTED_VALUE"""),"Area")</f>
        <v>Area</v>
      </c>
      <c r="W114" s="31" t="str">
        <f>IFERROR(__xludf.DUMMYFUNCTION("""COMPUTED_VALUE"""),"Quest")</f>
        <v>Quest</v>
      </c>
      <c r="X114" s="30" t="str">
        <f>IFERROR(__xludf.DUMMYFUNCTION("""COMPUTED_VALUE"""),"AP")</f>
        <v>AP</v>
      </c>
      <c r="Y114" s="34" t="str">
        <f>IFERROR(__xludf.DUMMYFUNCTION("""COMPUTED_VALUE"""),"BP/AP")</f>
        <v>BP/AP</v>
      </c>
      <c r="Z114" s="36" t="str">
        <f>IFERROR(__xludf.DUMMYFUNCTION("""COMPUTED_VALUE"""),"AP/Drop")</f>
        <v>AP/Drop</v>
      </c>
      <c r="AA114" s="28"/>
      <c r="AB114" s="36" t="str">
        <f>IFERROR(__xludf.DUMMYFUNCTION("""COMPUTED_VALUE"""),"Drop Chance")</f>
        <v>Drop Chance</v>
      </c>
      <c r="AC114" s="28"/>
      <c r="AD114" s="369" t="str">
        <f>IFERROR(__xludf.DUMMYFUNCTION("""COMPUTED_VALUE"""),"Runs")</f>
        <v>Runs</v>
      </c>
      <c r="AE114" s="369" t="str">
        <f>IFERROR(__xludf.DUMMYFUNCTION("""COMPUTED_VALUE"""),"")</f>
        <v/>
      </c>
      <c r="AF114" s="51" t="str">
        <f>IFERROR(__xludf.DUMMYFUNCTION("""COMPUTED_VALUE"""),"")</f>
        <v/>
      </c>
    </row>
    <row r="115" ht="16.5" customHeight="1">
      <c r="A115" s="54"/>
      <c r="B115" s="55"/>
      <c r="C115" s="57"/>
      <c r="D115" s="57"/>
      <c r="E115" s="57"/>
      <c r="F115" s="57"/>
      <c r="G115" s="57"/>
      <c r="H115" s="57"/>
      <c r="I115" s="58" t="str">
        <f>IFERROR(__xludf.DUMMYFUNCTION("""COMPUTED_VALUE"""),"1P+1L+1T")</f>
        <v>1P+1L+1T</v>
      </c>
      <c r="J115" s="55"/>
      <c r="K115" s="57"/>
      <c r="L115" s="55"/>
      <c r="M115" s="57"/>
      <c r="N115" s="57"/>
      <c r="O115" s="57"/>
      <c r="P115" s="42" t="str">
        <f>IFERROR(__xludf.DUMMYFUNCTION("""COMPUTED_VALUE"""),"")</f>
        <v/>
      </c>
      <c r="Q115" s="54"/>
      <c r="R115" s="55"/>
      <c r="S115" s="57"/>
      <c r="T115" s="57"/>
      <c r="U115" s="57"/>
      <c r="V115" s="57"/>
      <c r="W115" s="57"/>
      <c r="X115" s="57"/>
      <c r="Y115" s="58" t="str">
        <f>IFERROR(__xludf.DUMMYFUNCTION("""COMPUTED_VALUE"""),"1P+1L+1T")</f>
        <v>1P+1L+1T</v>
      </c>
      <c r="Z115" s="55"/>
      <c r="AA115" s="57"/>
      <c r="AB115" s="55"/>
      <c r="AC115" s="57"/>
      <c r="AD115" s="370"/>
      <c r="AE115" s="370"/>
      <c r="AF115" s="51" t="str">
        <f>IFERROR(__xludf.DUMMYFUNCTION("""COMPUTED_VALUE"""),"")</f>
        <v/>
      </c>
    </row>
    <row r="116" ht="16.5" customHeight="1">
      <c r="A116" s="61" t="str">
        <f>IFERROR(__xludf.DUMMYFUNCTION("""COMPUTED_VALUE"""),"")</f>
        <v/>
      </c>
      <c r="B116" s="366" t="str">
        <f>IFERROR(__xludf.DUMMYFUNCTION("""COMPUTED_VALUE"""),"A213")</f>
        <v>A213</v>
      </c>
      <c r="C116" s="180" t="str">
        <f>IFERROR(__xludf.DUMMYFUNCTION("""COMPUTED_VALUE"""),"Eternal Ice")</f>
        <v>Eternal Ice</v>
      </c>
      <c r="D116" s="181">
        <f>IFERROR(__xludf.DUMMYFUNCTION("""COMPUTED_VALUE"""),1.0)</f>
        <v>1</v>
      </c>
      <c r="E116" s="182" t="str">
        <f>IFERROR(__xludf.DUMMYFUNCTION("""COMPUTED_VALUE"""),"ANA11")</f>
        <v>ANA11</v>
      </c>
      <c r="F116" s="184" t="str">
        <f>IFERROR(__xludf.DUMMYFUNCTION("""COMPUTED_VALUE"""),"Anastasia")</f>
        <v>Anastasia</v>
      </c>
      <c r="G116" s="189" t="str">
        <f>IFERROR(__xludf.DUMMYFUNCTION("""COMPUTED_VALUE"""),"Yaga Moscow")</f>
        <v>Yaga Moscow</v>
      </c>
      <c r="H116" s="190">
        <f>IFERROR(__xludf.DUMMYFUNCTION("""COMPUTED_VALUE"""),21.0)</f>
        <v>21</v>
      </c>
      <c r="I116" s="191">
        <f>IFERROR(__xludf.DUMMYFUNCTION("""COMPUTED_VALUE"""),49.70238095238095)</f>
        <v>49.70238095</v>
      </c>
      <c r="J116" s="192">
        <f>IFERROR(__xludf.DUMMYFUNCTION("""COMPUTED_VALUE"""),46.0)</f>
        <v>46</v>
      </c>
      <c r="K116" s="194" t="str">
        <f>IFERROR(__xludf.DUMMYFUNCTION("""COMPUTED_VALUE"""),"AP")</f>
        <v>AP</v>
      </c>
      <c r="L116" s="192">
        <f>IFERROR(__xludf.DUMMYFUNCTION("""COMPUTED_VALUE"""),45.6)</f>
        <v>45.6</v>
      </c>
      <c r="M116" s="194" t="str">
        <f>IFERROR(__xludf.DUMMYFUNCTION("""COMPUTED_VALUE"""),"％")</f>
        <v>％</v>
      </c>
      <c r="N116" s="190">
        <f>IFERROR(__xludf.DUMMYFUNCTION("""COMPUTED_VALUE"""),6376.0)</f>
        <v>6376</v>
      </c>
      <c r="O116" s="197" t="str">
        <f>IFERROR(__xludf.DUMMYFUNCTION("""COMPUTED_VALUE"""),"Eternal Ice")</f>
        <v>Eternal Ice</v>
      </c>
      <c r="P116" s="371" t="str">
        <f>IFERROR(__xludf.DUMMYFUNCTION("""COMPUTED_VALUE"""),"")</f>
        <v/>
      </c>
      <c r="Q116" s="61" t="str">
        <f>IFERROR(__xludf.DUMMYFUNCTION("""COMPUTED_VALUE"""),"")</f>
        <v/>
      </c>
      <c r="R116" s="202" t="str">
        <f>IFERROR(__xludf.DUMMYFUNCTION("""COMPUTED_VALUE"""),"B201")</f>
        <v>B201</v>
      </c>
      <c r="S116" s="180" t="str">
        <f>IFERROR(__xludf.DUMMYFUNCTION("""COMPUTED_VALUE"""),"Saber Monument")</f>
        <v>Saber Monument</v>
      </c>
      <c r="T116" s="181">
        <f>IFERROR(__xludf.DUMMYFUNCTION("""COMPUTED_VALUE"""),1.0)</f>
        <v>1</v>
      </c>
      <c r="U116" s="182" t="str">
        <f>IFERROR(__xludf.DUMMYFUNCTION("""COMPUTED_VALUE"""),"TRF28")</f>
        <v>TRF28</v>
      </c>
      <c r="V116" s="184" t="str">
        <f>IFERROR(__xludf.DUMMYFUNCTION("""COMPUTED_VALUE"""),"Chaldea Gate (Sun)")</f>
        <v>Chaldea Gate (Sun)</v>
      </c>
      <c r="W116" s="184" t="str">
        <f>IFERROR(__xludf.DUMMYFUNCTION("""COMPUTED_VALUE"""),"SUN Saber Training Ground- Exp")</f>
        <v>SUN Saber Training Ground- Exp</v>
      </c>
      <c r="X116" s="190">
        <f>IFERROR(__xludf.DUMMYFUNCTION("""COMPUTED_VALUE"""),40.0)</f>
        <v>40</v>
      </c>
      <c r="Y116" s="191">
        <f>IFERROR(__xludf.DUMMYFUNCTION("""COMPUTED_VALUE"""),20.46875)</f>
        <v>20.46875</v>
      </c>
      <c r="Z116" s="192">
        <f>IFERROR(__xludf.DUMMYFUNCTION("""COMPUTED_VALUE"""),74.6)</f>
        <v>74.6</v>
      </c>
      <c r="AA116" s="194" t="str">
        <f>IFERROR(__xludf.DUMMYFUNCTION("""COMPUTED_VALUE"""),"AP")</f>
        <v>AP</v>
      </c>
      <c r="AB116" s="192">
        <f>IFERROR(__xludf.DUMMYFUNCTION("""COMPUTED_VALUE"""),53.6)</f>
        <v>53.6</v>
      </c>
      <c r="AC116" s="194" t="str">
        <f>IFERROR(__xludf.DUMMYFUNCTION("""COMPUTED_VALUE"""),"％")</f>
        <v>％</v>
      </c>
      <c r="AD116" s="190">
        <f>IFERROR(__xludf.DUMMYFUNCTION("""COMPUTED_VALUE"""),21334.0)</f>
        <v>21334</v>
      </c>
      <c r="AE116" s="197" t="str">
        <f>IFERROR(__xludf.DUMMYFUNCTION("""COMPUTED_VALUE"""),"Saber Monument")</f>
        <v>Saber Monument</v>
      </c>
      <c r="AF116" s="372" t="str">
        <f>IFERROR(__xludf.DUMMYFUNCTION("""COMPUTED_VALUE"""),"")</f>
        <v/>
      </c>
    </row>
    <row r="117" ht="16.5" customHeight="1">
      <c r="C117" s="204"/>
      <c r="D117" s="205">
        <f>IFERROR(__xludf.DUMMYFUNCTION("""COMPUTED_VALUE"""),2.0)</f>
        <v>2</v>
      </c>
      <c r="E117" s="206" t="str">
        <f>IFERROR(__xludf.DUMMYFUNCTION("""COMPUTED_VALUE"""),"ANA10")</f>
        <v>ANA10</v>
      </c>
      <c r="F117" s="207" t="str">
        <f>IFERROR(__xludf.DUMMYFUNCTION("""COMPUTED_VALUE"""),"Anastasia")</f>
        <v>Anastasia</v>
      </c>
      <c r="G117" s="209" t="str">
        <f>IFERROR(__xludf.DUMMYFUNCTION("""COMPUTED_VALUE"""),"Trampled Village")</f>
        <v>Trampled Village</v>
      </c>
      <c r="H117" s="211">
        <f>IFERROR(__xludf.DUMMYFUNCTION("""COMPUTED_VALUE"""),21.0)</f>
        <v>21</v>
      </c>
      <c r="I117" s="213">
        <f>IFERROR(__xludf.DUMMYFUNCTION("""COMPUTED_VALUE"""),49.70238095238095)</f>
        <v>49.70238095</v>
      </c>
      <c r="J117" s="214">
        <f>IFERROR(__xludf.DUMMYFUNCTION("""COMPUTED_VALUE"""),82.1)</f>
        <v>82.1</v>
      </c>
      <c r="K117" s="215" t="str">
        <f>IFERROR(__xludf.DUMMYFUNCTION("""COMPUTED_VALUE"""),"AP")</f>
        <v>AP</v>
      </c>
      <c r="L117" s="214">
        <f>IFERROR(__xludf.DUMMYFUNCTION("""COMPUTED_VALUE"""),25.6)</f>
        <v>25.6</v>
      </c>
      <c r="M117" s="215" t="str">
        <f>IFERROR(__xludf.DUMMYFUNCTION("""COMPUTED_VALUE"""),"％")</f>
        <v>％</v>
      </c>
      <c r="N117" s="211">
        <f>IFERROR(__xludf.DUMMYFUNCTION("""COMPUTED_VALUE"""),7732.0)</f>
        <v>7732</v>
      </c>
      <c r="O117" s="217"/>
      <c r="P117" s="371" t="str">
        <f>IFERROR(__xludf.DUMMYFUNCTION("""COMPUTED_VALUE"""),"")</f>
        <v/>
      </c>
      <c r="R117" s="203"/>
      <c r="S117" s="204"/>
      <c r="T117" s="205">
        <f>IFERROR(__xludf.DUMMYFUNCTION("""COMPUTED_VALUE"""),2.0)</f>
        <v>2</v>
      </c>
      <c r="U117" s="206" t="str">
        <f>IFERROR(__xludf.DUMMYFUNCTION("""COMPUTED_VALUE"""),"TRF27")</f>
        <v>TRF27</v>
      </c>
      <c r="V117" s="207" t="str">
        <f>IFERROR(__xludf.DUMMYFUNCTION("""COMPUTED_VALUE"""),"Chaldea Gate (Sun)")</f>
        <v>Chaldea Gate (Sun)</v>
      </c>
      <c r="W117" s="207" t="str">
        <f>IFERROR(__xludf.DUMMYFUNCTION("""COMPUTED_VALUE"""),"SUN Saber Training Ground- Adv")</f>
        <v>SUN Saber Training Ground- Adv</v>
      </c>
      <c r="X117" s="211">
        <f>IFERROR(__xludf.DUMMYFUNCTION("""COMPUTED_VALUE"""),30.0)</f>
        <v>30</v>
      </c>
      <c r="Y117" s="213">
        <f>IFERROR(__xludf.DUMMYFUNCTION("""COMPUTED_VALUE"""),18.958333333333332)</f>
        <v>18.95833333</v>
      </c>
      <c r="Z117" s="214">
        <f>IFERROR(__xludf.DUMMYFUNCTION("""COMPUTED_VALUE"""),86.4)</f>
        <v>86.4</v>
      </c>
      <c r="AA117" s="215" t="str">
        <f>IFERROR(__xludf.DUMMYFUNCTION("""COMPUTED_VALUE"""),"AP")</f>
        <v>AP</v>
      </c>
      <c r="AB117" s="214">
        <f>IFERROR(__xludf.DUMMYFUNCTION("""COMPUTED_VALUE"""),34.7)</f>
        <v>34.7</v>
      </c>
      <c r="AC117" s="215" t="str">
        <f>IFERROR(__xludf.DUMMYFUNCTION("""COMPUTED_VALUE"""),"％")</f>
        <v>％</v>
      </c>
      <c r="AD117" s="211">
        <f>IFERROR(__xludf.DUMMYFUNCTION("""COMPUTED_VALUE"""),3782.0)</f>
        <v>3782</v>
      </c>
      <c r="AE117" s="217"/>
      <c r="AF117" s="372" t="str">
        <f>IFERROR(__xludf.DUMMYFUNCTION("""COMPUTED_VALUE"""),"")</f>
        <v/>
      </c>
    </row>
    <row r="118" ht="16.5" customHeight="1">
      <c r="C118" s="204"/>
      <c r="D118" s="222">
        <f>IFERROR(__xludf.DUMMYFUNCTION("""COMPUTED_VALUE"""),3.0)</f>
        <v>3</v>
      </c>
      <c r="E118" s="223" t="str">
        <f>IFERROR(__xludf.DUMMYFUNCTION("""COMPUTED_VALUE"""),"ANA14")</f>
        <v>ANA14</v>
      </c>
      <c r="F118" s="224" t="str">
        <f>IFERROR(__xludf.DUMMYFUNCTION("""COMPUTED_VALUE"""),"Anastasia")</f>
        <v>Anastasia</v>
      </c>
      <c r="G118" s="226" t="str">
        <f>IFERROR(__xludf.DUMMYFUNCTION("""COMPUTED_VALUE"""),"Yaga Ryazan")</f>
        <v>Yaga Ryazan</v>
      </c>
      <c r="H118" s="228">
        <f>IFERROR(__xludf.DUMMYFUNCTION("""COMPUTED_VALUE"""),21.0)</f>
        <v>21</v>
      </c>
      <c r="I118" s="230">
        <f>IFERROR(__xludf.DUMMYFUNCTION("""COMPUTED_VALUE"""),50.892857142857146)</f>
        <v>50.89285714</v>
      </c>
      <c r="J118" s="231">
        <f>IFERROR(__xludf.DUMMYFUNCTION("""COMPUTED_VALUE"""),86.4)</f>
        <v>86.4</v>
      </c>
      <c r="K118" s="232" t="str">
        <f>IFERROR(__xludf.DUMMYFUNCTION("""COMPUTED_VALUE"""),"AP")</f>
        <v>AP</v>
      </c>
      <c r="L118" s="231">
        <f>IFERROR(__xludf.DUMMYFUNCTION("""COMPUTED_VALUE"""),24.3)</f>
        <v>24.3</v>
      </c>
      <c r="M118" s="232" t="str">
        <f>IFERROR(__xludf.DUMMYFUNCTION("""COMPUTED_VALUE"""),"％")</f>
        <v>％</v>
      </c>
      <c r="N118" s="228">
        <f>IFERROR(__xludf.DUMMYFUNCTION("""COMPUTED_VALUE"""),15091.0)</f>
        <v>15091</v>
      </c>
      <c r="O118" s="217"/>
      <c r="P118" s="371" t="str">
        <f>IFERROR(__xludf.DUMMYFUNCTION("""COMPUTED_VALUE"""),"")</f>
        <v/>
      </c>
      <c r="R118" s="203"/>
      <c r="S118" s="204"/>
      <c r="T118" s="222">
        <f>IFERROR(__xludf.DUMMYFUNCTION("""COMPUTED_VALUE"""),3.0)</f>
        <v>3</v>
      </c>
      <c r="U118" s="223" t="str">
        <f>IFERROR(__xludf.DUMMYFUNCTION("""COMPUTED_VALUE"""),"TRF26")</f>
        <v>TRF26</v>
      </c>
      <c r="V118" s="224" t="str">
        <f>IFERROR(__xludf.DUMMYFUNCTION("""COMPUTED_VALUE"""),"Chaldea Gate (Sun)")</f>
        <v>Chaldea Gate (Sun)</v>
      </c>
      <c r="W118" s="224" t="str">
        <f>IFERROR(__xludf.DUMMYFUNCTION("""COMPUTED_VALUE"""),"SUN Saber Training Ground- Int")</f>
        <v>SUN Saber Training Ground- Int</v>
      </c>
      <c r="X118" s="228">
        <f>IFERROR(__xludf.DUMMYFUNCTION("""COMPUTED_VALUE"""),20.0)</f>
        <v>20</v>
      </c>
      <c r="Y118" s="230">
        <f>IFERROR(__xludf.DUMMYFUNCTION("""COMPUTED_VALUE"""),19.0625)</f>
        <v>19.0625</v>
      </c>
      <c r="Z118" s="231">
        <f>IFERROR(__xludf.DUMMYFUNCTION("""COMPUTED_VALUE"""),235.5)</f>
        <v>235.5</v>
      </c>
      <c r="AA118" s="232" t="str">
        <f>IFERROR(__xludf.DUMMYFUNCTION("""COMPUTED_VALUE"""),"AP")</f>
        <v>AP</v>
      </c>
      <c r="AB118" s="231">
        <f>IFERROR(__xludf.DUMMYFUNCTION("""COMPUTED_VALUE"""),8.5)</f>
        <v>8.5</v>
      </c>
      <c r="AC118" s="232" t="str">
        <f>IFERROR(__xludf.DUMMYFUNCTION("""COMPUTED_VALUE"""),"％")</f>
        <v>％</v>
      </c>
      <c r="AD118" s="228">
        <f>IFERROR(__xludf.DUMMYFUNCTION("""COMPUTED_VALUE"""),365.0)</f>
        <v>365</v>
      </c>
      <c r="AE118" s="217"/>
      <c r="AF118" s="372" t="str">
        <f>IFERROR(__xludf.DUMMYFUNCTION("""COMPUTED_VALUE"""),"")</f>
        <v/>
      </c>
    </row>
    <row r="119" ht="16.5" customHeight="1">
      <c r="C119" s="204"/>
      <c r="D119" s="238">
        <f>IFERROR(__xludf.DUMMYFUNCTION("""COMPUTED_VALUE"""),4.0)</f>
        <v>4</v>
      </c>
      <c r="E119" s="240" t="str">
        <f>IFERROR(__xludf.DUMMYFUNCTION("""COMPUTED_VALUE"""),"ANA8")</f>
        <v>ANA8</v>
      </c>
      <c r="F119" s="242" t="str">
        <f>IFERROR(__xludf.DUMMYFUNCTION("""COMPUTED_VALUE"""),"Anastasia")</f>
        <v>Anastasia</v>
      </c>
      <c r="G119" s="244" t="str">
        <f>IFERROR(__xludf.DUMMYFUNCTION("""COMPUTED_VALUE"""),"Yaga Demensk")</f>
        <v>Yaga Demensk</v>
      </c>
      <c r="H119" s="246">
        <f>IFERROR(__xludf.DUMMYFUNCTION("""COMPUTED_VALUE"""),21.0)</f>
        <v>21</v>
      </c>
      <c r="I119" s="248">
        <f>IFERROR(__xludf.DUMMYFUNCTION("""COMPUTED_VALUE"""),48.51190476190476)</f>
        <v>48.51190476</v>
      </c>
      <c r="J119" s="250">
        <f>IFERROR(__xludf.DUMMYFUNCTION("""COMPUTED_VALUE"""),94.0)</f>
        <v>94</v>
      </c>
      <c r="K119" s="252" t="str">
        <f>IFERROR(__xludf.DUMMYFUNCTION("""COMPUTED_VALUE"""),"AP")</f>
        <v>AP</v>
      </c>
      <c r="L119" s="250">
        <f>IFERROR(__xludf.DUMMYFUNCTION("""COMPUTED_VALUE"""),22.3)</f>
        <v>22.3</v>
      </c>
      <c r="M119" s="252" t="str">
        <f>IFERROR(__xludf.DUMMYFUNCTION("""COMPUTED_VALUE"""),"％")</f>
        <v>％</v>
      </c>
      <c r="N119" s="246">
        <f>IFERROR(__xludf.DUMMYFUNCTION("""COMPUTED_VALUE"""),452.0)</f>
        <v>452</v>
      </c>
      <c r="O119" s="217"/>
      <c r="P119" s="371" t="str">
        <f>IFERROR(__xludf.DUMMYFUNCTION("""COMPUTED_VALUE"""),"")</f>
        <v/>
      </c>
      <c r="R119" s="203"/>
      <c r="S119" s="204"/>
      <c r="T119" s="238">
        <f>IFERROR(__xludf.DUMMYFUNCTION("""COMPUTED_VALUE"""),4.0)</f>
        <v>4</v>
      </c>
      <c r="U119" s="240" t="str">
        <f>IFERROR(__xludf.DUMMYFUNCTION("""COMPUTED_VALUE"""),"TRF25")</f>
        <v>TRF25</v>
      </c>
      <c r="V119" s="242" t="str">
        <f>IFERROR(__xludf.DUMMYFUNCTION("""COMPUTED_VALUE"""),"Chaldea Gate (Sun)")</f>
        <v>Chaldea Gate (Sun)</v>
      </c>
      <c r="W119" s="242" t="str">
        <f>IFERROR(__xludf.DUMMYFUNCTION("""COMPUTED_VALUE"""),"SUN Saber Training Ground- Nov")</f>
        <v>SUN Saber Training Ground- Nov</v>
      </c>
      <c r="X119" s="246">
        <f>IFERROR(__xludf.DUMMYFUNCTION("""COMPUTED_VALUE"""),10.0)</f>
        <v>10</v>
      </c>
      <c r="Y119" s="248">
        <f>IFERROR(__xludf.DUMMYFUNCTION("""COMPUTED_VALUE"""),19.375)</f>
        <v>19.375</v>
      </c>
      <c r="Z119" s="250">
        <f>IFERROR(__xludf.DUMMYFUNCTION("""COMPUTED_VALUE"""),486.7)</f>
        <v>486.7</v>
      </c>
      <c r="AA119" s="252" t="str">
        <f>IFERROR(__xludf.DUMMYFUNCTION("""COMPUTED_VALUE"""),"AP")</f>
        <v>AP</v>
      </c>
      <c r="AB119" s="250">
        <f>IFERROR(__xludf.DUMMYFUNCTION("""COMPUTED_VALUE"""),2.1)</f>
        <v>2.1</v>
      </c>
      <c r="AC119" s="252" t="str">
        <f>IFERROR(__xludf.DUMMYFUNCTION("""COMPUTED_VALUE"""),"％")</f>
        <v>％</v>
      </c>
      <c r="AD119" s="246">
        <f>IFERROR(__xludf.DUMMYFUNCTION("""COMPUTED_VALUE"""),4306.0)</f>
        <v>4306</v>
      </c>
      <c r="AE119" s="217"/>
      <c r="AF119" s="372" t="str">
        <f>IFERROR(__xludf.DUMMYFUNCTION("""COMPUTED_VALUE"""),"")</f>
        <v/>
      </c>
    </row>
    <row r="120" ht="16.5" customHeight="1">
      <c r="A120" s="166"/>
      <c r="C120" s="255"/>
      <c r="D120" s="256">
        <f>IFERROR(__xludf.DUMMYFUNCTION("""COMPUTED_VALUE"""),5.0)</f>
        <v>5</v>
      </c>
      <c r="E120" s="257" t="str">
        <f>IFERROR(__xludf.DUMMYFUNCTION("""COMPUTED_VALUE"""),"ANA9")</f>
        <v>ANA9</v>
      </c>
      <c r="F120" s="42" t="str">
        <f>IFERROR(__xludf.DUMMYFUNCTION("""COMPUTED_VALUE"""),"Anastasia")</f>
        <v>Anastasia</v>
      </c>
      <c r="G120" s="258" t="str">
        <f>IFERROR(__xludf.DUMMYFUNCTION("""COMPUTED_VALUE"""),"Yaga Tula")</f>
        <v>Yaga Tula</v>
      </c>
      <c r="H120" s="259">
        <f>IFERROR(__xludf.DUMMYFUNCTION("""COMPUTED_VALUE"""),21.0)</f>
        <v>21</v>
      </c>
      <c r="I120" s="260">
        <f>IFERROR(__xludf.DUMMYFUNCTION("""COMPUTED_VALUE"""),48.51190476190476)</f>
        <v>48.51190476</v>
      </c>
      <c r="J120" s="261">
        <f>IFERROR(__xludf.DUMMYFUNCTION("""COMPUTED_VALUE"""),103.0)</f>
        <v>103</v>
      </c>
      <c r="K120" s="262" t="str">
        <f>IFERROR(__xludf.DUMMYFUNCTION("""COMPUTED_VALUE"""),"AP")</f>
        <v>AP</v>
      </c>
      <c r="L120" s="261">
        <f>IFERROR(__xludf.DUMMYFUNCTION("""COMPUTED_VALUE"""),20.4)</f>
        <v>20.4</v>
      </c>
      <c r="M120" s="262" t="str">
        <f>IFERROR(__xludf.DUMMYFUNCTION("""COMPUTED_VALUE"""),"％")</f>
        <v>％</v>
      </c>
      <c r="N120" s="259">
        <f>IFERROR(__xludf.DUMMYFUNCTION("""COMPUTED_VALUE"""),9991.0)</f>
        <v>9991</v>
      </c>
      <c r="O120" s="263"/>
      <c r="P120" s="371" t="str">
        <f>IFERROR(__xludf.DUMMYFUNCTION("""COMPUTED_VALUE"""),"")</f>
        <v/>
      </c>
      <c r="Q120" s="166"/>
      <c r="R120" s="254"/>
      <c r="S120" s="255"/>
      <c r="T120" s="256">
        <f>IFERROR(__xludf.DUMMYFUNCTION("""COMPUTED_VALUE"""),5.0)</f>
        <v>5</v>
      </c>
      <c r="U120" s="257" t="str">
        <f>IFERROR(__xludf.DUMMYFUNCTION("""COMPUTED_VALUE"""),"CML12")</f>
        <v>CML12</v>
      </c>
      <c r="V120" s="42" t="str">
        <f>IFERROR(__xludf.DUMMYFUNCTION("""COMPUTED_VALUE"""),"Camelot")</f>
        <v>Camelot</v>
      </c>
      <c r="W120" s="258" t="str">
        <f>IFERROR(__xludf.DUMMYFUNCTION("""COMPUTED_VALUE"""),"Royal Castle")</f>
        <v>Royal Castle</v>
      </c>
      <c r="X120" s="259">
        <f>IFERROR(__xludf.DUMMYFUNCTION("""COMPUTED_VALUE"""),21.0)</f>
        <v>21</v>
      </c>
      <c r="Y120" s="260">
        <f>IFERROR(__xludf.DUMMYFUNCTION("""COMPUTED_VALUE"""),50.892857142857146)</f>
        <v>50.89285714</v>
      </c>
      <c r="Z120" s="261">
        <f>IFERROR(__xludf.DUMMYFUNCTION("""COMPUTED_VALUE"""),508.4)</f>
        <v>508.4</v>
      </c>
      <c r="AA120" s="262" t="str">
        <f>IFERROR(__xludf.DUMMYFUNCTION("""COMPUTED_VALUE"""),"AP")</f>
        <v>AP</v>
      </c>
      <c r="AB120" s="261">
        <f>IFERROR(__xludf.DUMMYFUNCTION("""COMPUTED_VALUE"""),4.1)</f>
        <v>4.1</v>
      </c>
      <c r="AC120" s="262" t="str">
        <f>IFERROR(__xludf.DUMMYFUNCTION("""COMPUTED_VALUE"""),"％")</f>
        <v>％</v>
      </c>
      <c r="AD120" s="259">
        <f>IFERROR(__xludf.DUMMYFUNCTION("""COMPUTED_VALUE"""),44258.0)</f>
        <v>44258</v>
      </c>
      <c r="AE120" s="263"/>
      <c r="AF120" s="372" t="str">
        <f>IFERROR(__xludf.DUMMYFUNCTION("""COMPUTED_VALUE"""),"")</f>
        <v/>
      </c>
    </row>
    <row r="121" ht="16.5" customHeight="1">
      <c r="A121" s="61" t="str">
        <f>IFERROR(__xludf.DUMMYFUNCTION("""COMPUTED_VALUE"""),"")</f>
        <v/>
      </c>
      <c r="B121" s="367" t="str">
        <f>IFERROR(__xludf.DUMMYFUNCTION("""COMPUTED_VALUE"""),"A214")</f>
        <v>A214</v>
      </c>
      <c r="C121" s="65" t="str">
        <f>IFERROR(__xludf.DUMMYFUNCTION("""COMPUTED_VALUE"""),"Giant's Ring")</f>
        <v>Giant's Ring</v>
      </c>
      <c r="D121" s="67">
        <f>IFERROR(__xludf.DUMMYFUNCTION("""COMPUTED_VALUE"""),1.0)</f>
        <v>1</v>
      </c>
      <c r="E121" s="69" t="str">
        <f>IFERROR(__xludf.DUMMYFUNCTION("""COMPUTED_VALUE"""),"GTT3")</f>
        <v>GTT3</v>
      </c>
      <c r="F121" s="71" t="str">
        <f>IFERROR(__xludf.DUMMYFUNCTION("""COMPUTED_VALUE"""),"Götterdämmerung")</f>
        <v>Götterdämmerung</v>
      </c>
      <c r="G121" s="78" t="str">
        <f>IFERROR(__xludf.DUMMYFUNCTION("""COMPUTED_VALUE"""),"Giants' Flower Patio")</f>
        <v>Giants' Flower Patio</v>
      </c>
      <c r="H121" s="80">
        <f>IFERROR(__xludf.DUMMYFUNCTION("""COMPUTED_VALUE"""),20.0)</f>
        <v>20</v>
      </c>
      <c r="I121" s="82">
        <f>IFERROR(__xludf.DUMMYFUNCTION("""COMPUTED_VALUE"""),48.4375)</f>
        <v>48.4375</v>
      </c>
      <c r="J121" s="84">
        <f>IFERROR(__xludf.DUMMYFUNCTION("""COMPUTED_VALUE"""),48.9)</f>
        <v>48.9</v>
      </c>
      <c r="K121" s="86" t="str">
        <f>IFERROR(__xludf.DUMMYFUNCTION("""COMPUTED_VALUE"""),"AP")</f>
        <v>AP</v>
      </c>
      <c r="L121" s="88">
        <f>IFERROR(__xludf.DUMMYFUNCTION("""COMPUTED_VALUE"""),40.9)</f>
        <v>40.9</v>
      </c>
      <c r="M121" s="86" t="str">
        <f>IFERROR(__xludf.DUMMYFUNCTION("""COMPUTED_VALUE"""),"％")</f>
        <v>％</v>
      </c>
      <c r="N121" s="80">
        <f>IFERROR(__xludf.DUMMYFUNCTION("""COMPUTED_VALUE"""),9123.0)</f>
        <v>9123</v>
      </c>
      <c r="O121" s="91" t="str">
        <f>IFERROR(__xludf.DUMMYFUNCTION("""COMPUTED_VALUE"""),"Giant's Ring")</f>
        <v>Giant's Ring</v>
      </c>
      <c r="P121" s="371" t="str">
        <f>IFERROR(__xludf.DUMMYFUNCTION("""COMPUTED_VALUE"""),"")</f>
        <v/>
      </c>
      <c r="Q121" s="61" t="str">
        <f>IFERROR(__xludf.DUMMYFUNCTION("""COMPUTED_VALUE"""),"")</f>
        <v/>
      </c>
      <c r="R121" s="357" t="str">
        <f>IFERROR(__xludf.DUMMYFUNCTION("""COMPUTED_VALUE"""),"B202")</f>
        <v>B202</v>
      </c>
      <c r="S121" s="65" t="str">
        <f>IFERROR(__xludf.DUMMYFUNCTION("""COMPUTED_VALUE"""),"Archer Monument")</f>
        <v>Archer Monument</v>
      </c>
      <c r="T121" s="67">
        <f>IFERROR(__xludf.DUMMYFUNCTION("""COMPUTED_VALUE"""),1.0)</f>
        <v>1</v>
      </c>
      <c r="U121" s="69" t="str">
        <f>IFERROR(__xludf.DUMMYFUNCTION("""COMPUTED_VALUE"""),"TRF4")</f>
        <v>TRF4</v>
      </c>
      <c r="V121" s="71" t="str">
        <f>IFERROR(__xludf.DUMMYFUNCTION("""COMPUTED_VALUE"""),"Chaldea Gate (Mon)")</f>
        <v>Chaldea Gate (Mon)</v>
      </c>
      <c r="W121" s="71" t="str">
        <f>IFERROR(__xludf.DUMMYFUNCTION("""COMPUTED_VALUE"""),"MON Archer Training Ground- Exp")</f>
        <v>MON Archer Training Ground- Exp</v>
      </c>
      <c r="X121" s="80">
        <f>IFERROR(__xludf.DUMMYFUNCTION("""COMPUTED_VALUE"""),40.0)</f>
        <v>40</v>
      </c>
      <c r="Y121" s="82">
        <f>IFERROR(__xludf.DUMMYFUNCTION("""COMPUTED_VALUE"""),20.46875)</f>
        <v>20.46875</v>
      </c>
      <c r="Z121" s="84">
        <f>IFERROR(__xludf.DUMMYFUNCTION("""COMPUTED_VALUE"""),68.8)</f>
        <v>68.8</v>
      </c>
      <c r="AA121" s="86" t="str">
        <f>IFERROR(__xludf.DUMMYFUNCTION("""COMPUTED_VALUE"""),"AP")</f>
        <v>AP</v>
      </c>
      <c r="AB121" s="88">
        <f>IFERROR(__xludf.DUMMYFUNCTION("""COMPUTED_VALUE"""),58.1)</f>
        <v>58.1</v>
      </c>
      <c r="AC121" s="86" t="str">
        <f>IFERROR(__xludf.DUMMYFUNCTION("""COMPUTED_VALUE"""),"％")</f>
        <v>％</v>
      </c>
      <c r="AD121" s="80">
        <f>IFERROR(__xludf.DUMMYFUNCTION("""COMPUTED_VALUE"""),9159.0)</f>
        <v>9159</v>
      </c>
      <c r="AE121" s="91" t="str">
        <f>IFERROR(__xludf.DUMMYFUNCTION("""COMPUTED_VALUE"""),"Archer Monument")</f>
        <v>Archer Monument</v>
      </c>
      <c r="AF121" s="372" t="str">
        <f>IFERROR(__xludf.DUMMYFUNCTION("""COMPUTED_VALUE"""),"")</f>
        <v/>
      </c>
    </row>
    <row r="122" ht="16.5" customHeight="1">
      <c r="C122" s="100"/>
      <c r="D122" s="102">
        <f>IFERROR(__xludf.DUMMYFUNCTION("""COMPUTED_VALUE"""),2.0)</f>
        <v>2</v>
      </c>
      <c r="E122" s="103" t="str">
        <f>IFERROR(__xludf.DUMMYFUNCTION("""COMPUTED_VALUE"""),"SIN2")</f>
        <v>SIN2</v>
      </c>
      <c r="F122" s="104" t="str">
        <f>IFERROR(__xludf.DUMMYFUNCTION("""COMPUTED_VALUE"""),"SIN")</f>
        <v>SIN</v>
      </c>
      <c r="G122" s="108" t="str">
        <f>IFERROR(__xludf.DUMMYFUNCTION("""COMPUTED_VALUE"""),"Neighboring Village")</f>
        <v>Neighboring Village</v>
      </c>
      <c r="H122" s="109">
        <f>IFERROR(__xludf.DUMMYFUNCTION("""COMPUTED_VALUE"""),20.0)</f>
        <v>20</v>
      </c>
      <c r="I122" s="110">
        <f>IFERROR(__xludf.DUMMYFUNCTION("""COMPUTED_VALUE"""),48.4375)</f>
        <v>48.4375</v>
      </c>
      <c r="J122" s="112">
        <f>IFERROR(__xludf.DUMMYFUNCTION("""COMPUTED_VALUE"""),77.8)</f>
        <v>77.8</v>
      </c>
      <c r="K122" s="121" t="str">
        <f>IFERROR(__xludf.DUMMYFUNCTION("""COMPUTED_VALUE"""),"AP")</f>
        <v>AP</v>
      </c>
      <c r="L122" s="123">
        <f>IFERROR(__xludf.DUMMYFUNCTION("""COMPUTED_VALUE"""),25.7)</f>
        <v>25.7</v>
      </c>
      <c r="M122" s="121" t="str">
        <f>IFERROR(__xludf.DUMMYFUNCTION("""COMPUTED_VALUE"""),"％")</f>
        <v>％</v>
      </c>
      <c r="N122" s="109">
        <f>IFERROR(__xludf.DUMMYFUNCTION("""COMPUTED_VALUE"""),5855.0)</f>
        <v>5855</v>
      </c>
      <c r="O122" s="100"/>
      <c r="P122" s="371" t="str">
        <f>IFERROR(__xludf.DUMMYFUNCTION("""COMPUTED_VALUE"""),"")</f>
        <v/>
      </c>
      <c r="R122" s="358"/>
      <c r="S122" s="100"/>
      <c r="T122" s="102">
        <f>IFERROR(__xludf.DUMMYFUNCTION("""COMPUTED_VALUE"""),2.0)</f>
        <v>2</v>
      </c>
      <c r="U122" s="103" t="str">
        <f>IFERROR(__xludf.DUMMYFUNCTION("""COMPUTED_VALUE"""),"TRF3")</f>
        <v>TRF3</v>
      </c>
      <c r="V122" s="104" t="str">
        <f>IFERROR(__xludf.DUMMYFUNCTION("""COMPUTED_VALUE"""),"Chaldea Gate (Mon)")</f>
        <v>Chaldea Gate (Mon)</v>
      </c>
      <c r="W122" s="104" t="str">
        <f>IFERROR(__xludf.DUMMYFUNCTION("""COMPUTED_VALUE"""),"MON Archer Training Ground- Adv")</f>
        <v>MON Archer Training Ground- Adv</v>
      </c>
      <c r="X122" s="109">
        <f>IFERROR(__xludf.DUMMYFUNCTION("""COMPUTED_VALUE"""),30.0)</f>
        <v>30</v>
      </c>
      <c r="Y122" s="110">
        <f>IFERROR(__xludf.DUMMYFUNCTION("""COMPUTED_VALUE"""),18.958333333333332)</f>
        <v>18.95833333</v>
      </c>
      <c r="Z122" s="112">
        <f>IFERROR(__xludf.DUMMYFUNCTION("""COMPUTED_VALUE"""),84.9)</f>
        <v>84.9</v>
      </c>
      <c r="AA122" s="121" t="str">
        <f>IFERROR(__xludf.DUMMYFUNCTION("""COMPUTED_VALUE"""),"AP")</f>
        <v>AP</v>
      </c>
      <c r="AB122" s="123">
        <f>IFERROR(__xludf.DUMMYFUNCTION("""COMPUTED_VALUE"""),35.3)</f>
        <v>35.3</v>
      </c>
      <c r="AC122" s="121" t="str">
        <f>IFERROR(__xludf.DUMMYFUNCTION("""COMPUTED_VALUE"""),"％")</f>
        <v>％</v>
      </c>
      <c r="AD122" s="109">
        <f>IFERROR(__xludf.DUMMYFUNCTION("""COMPUTED_VALUE"""),817.0)</f>
        <v>817</v>
      </c>
      <c r="AE122" s="100"/>
      <c r="AF122" s="372" t="str">
        <f>IFERROR(__xludf.DUMMYFUNCTION("""COMPUTED_VALUE"""),"")</f>
        <v/>
      </c>
    </row>
    <row r="123" ht="16.5" customHeight="1">
      <c r="C123" s="100"/>
      <c r="D123" s="130">
        <f>IFERROR(__xludf.DUMMYFUNCTION("""COMPUTED_VALUE"""),3.0)</f>
        <v>3</v>
      </c>
      <c r="E123" s="132" t="str">
        <f>IFERROR(__xludf.DUMMYFUNCTION("""COMPUTED_VALUE"""),"GTT2")</f>
        <v>GTT2</v>
      </c>
      <c r="F123" s="133" t="str">
        <f>IFERROR(__xludf.DUMMYFUNCTION("""COMPUTED_VALUE"""),"Götterdämmerung")</f>
        <v>Götterdämmerung</v>
      </c>
      <c r="G123" s="135" t="str">
        <f>IFERROR(__xludf.DUMMYFUNCTION("""COMPUTED_VALUE"""),"Knoll of Thin Ice")</f>
        <v>Knoll of Thin Ice</v>
      </c>
      <c r="H123" s="137">
        <f>IFERROR(__xludf.DUMMYFUNCTION("""COMPUTED_VALUE"""),20.0)</f>
        <v>20</v>
      </c>
      <c r="I123" s="139">
        <f>IFERROR(__xludf.DUMMYFUNCTION("""COMPUTED_VALUE"""),48.4375)</f>
        <v>48.4375</v>
      </c>
      <c r="J123" s="141">
        <f>IFERROR(__xludf.DUMMYFUNCTION("""COMPUTED_VALUE"""),80.2)</f>
        <v>80.2</v>
      </c>
      <c r="K123" s="143" t="str">
        <f>IFERROR(__xludf.DUMMYFUNCTION("""COMPUTED_VALUE"""),"AP")</f>
        <v>AP</v>
      </c>
      <c r="L123" s="145">
        <f>IFERROR(__xludf.DUMMYFUNCTION("""COMPUTED_VALUE"""),24.9)</f>
        <v>24.9</v>
      </c>
      <c r="M123" s="143" t="str">
        <f>IFERROR(__xludf.DUMMYFUNCTION("""COMPUTED_VALUE"""),"％")</f>
        <v>％</v>
      </c>
      <c r="N123" s="137">
        <f>IFERROR(__xludf.DUMMYFUNCTION("""COMPUTED_VALUE"""),2210.0)</f>
        <v>2210</v>
      </c>
      <c r="O123" s="100"/>
      <c r="P123" s="371" t="str">
        <f>IFERROR(__xludf.DUMMYFUNCTION("""COMPUTED_VALUE"""),"")</f>
        <v/>
      </c>
      <c r="R123" s="358"/>
      <c r="S123" s="100"/>
      <c r="T123" s="130">
        <f>IFERROR(__xludf.DUMMYFUNCTION("""COMPUTED_VALUE"""),3.0)</f>
        <v>3</v>
      </c>
      <c r="U123" s="132" t="str">
        <f>IFERROR(__xludf.DUMMYFUNCTION("""COMPUTED_VALUE"""),"TRF2")</f>
        <v>TRF2</v>
      </c>
      <c r="V123" s="133" t="str">
        <f>IFERROR(__xludf.DUMMYFUNCTION("""COMPUTED_VALUE"""),"Chaldea Gate (Mon)")</f>
        <v>Chaldea Gate (Mon)</v>
      </c>
      <c r="W123" s="133" t="str">
        <f>IFERROR(__xludf.DUMMYFUNCTION("""COMPUTED_VALUE"""),"MON Archer Training Ground- Int")</f>
        <v>MON Archer Training Ground- Int</v>
      </c>
      <c r="X123" s="137">
        <f>IFERROR(__xludf.DUMMYFUNCTION("""COMPUTED_VALUE"""),20.0)</f>
        <v>20</v>
      </c>
      <c r="Y123" s="139">
        <f>IFERROR(__xludf.DUMMYFUNCTION("""COMPUTED_VALUE"""),19.0625)</f>
        <v>19.0625</v>
      </c>
      <c r="Z123" s="141">
        <f>IFERROR(__xludf.DUMMYFUNCTION("""COMPUTED_VALUE"""),305.6)</f>
        <v>305.6</v>
      </c>
      <c r="AA123" s="143" t="str">
        <f>IFERROR(__xludf.DUMMYFUNCTION("""COMPUTED_VALUE"""),"AP")</f>
        <v>AP</v>
      </c>
      <c r="AB123" s="145">
        <f>IFERROR(__xludf.DUMMYFUNCTION("""COMPUTED_VALUE"""),6.5)</f>
        <v>6.5</v>
      </c>
      <c r="AC123" s="143" t="str">
        <f>IFERROR(__xludf.DUMMYFUNCTION("""COMPUTED_VALUE"""),"％")</f>
        <v>％</v>
      </c>
      <c r="AD123" s="137">
        <f>IFERROR(__xludf.DUMMYFUNCTION("""COMPUTED_VALUE"""),657.0)</f>
        <v>657</v>
      </c>
      <c r="AE123" s="100"/>
      <c r="AF123" s="372" t="str">
        <f>IFERROR(__xludf.DUMMYFUNCTION("""COMPUTED_VALUE"""),"")</f>
        <v/>
      </c>
    </row>
    <row r="124" ht="16.5" customHeight="1">
      <c r="C124" s="100"/>
      <c r="D124" s="146">
        <f>IFERROR(__xludf.DUMMYFUNCTION("""COMPUTED_VALUE"""),4.0)</f>
        <v>4</v>
      </c>
      <c r="E124" s="148" t="str">
        <f>IFERROR(__xludf.DUMMYFUNCTION("""COMPUTED_VALUE"""),"GTT10")</f>
        <v>GTT10</v>
      </c>
      <c r="F124" s="150" t="str">
        <f>IFERROR(__xludf.DUMMYFUNCTION("""COMPUTED_VALUE"""),"Götterdämmerung")</f>
        <v>Götterdämmerung</v>
      </c>
      <c r="G124" s="152" t="str">
        <f>IFERROR(__xludf.DUMMYFUNCTION("""COMPUTED_VALUE"""),"Northern Boundary")</f>
        <v>Northern Boundary</v>
      </c>
      <c r="H124" s="154">
        <f>IFERROR(__xludf.DUMMYFUNCTION("""COMPUTED_VALUE"""),21.0)</f>
        <v>21</v>
      </c>
      <c r="I124" s="156">
        <f>IFERROR(__xludf.DUMMYFUNCTION("""COMPUTED_VALUE"""),50.892857142857146)</f>
        <v>50.89285714</v>
      </c>
      <c r="J124" s="158">
        <f>IFERROR(__xludf.DUMMYFUNCTION("""COMPUTED_VALUE"""),81.6)</f>
        <v>81.6</v>
      </c>
      <c r="K124" s="160" t="str">
        <f>IFERROR(__xludf.DUMMYFUNCTION("""COMPUTED_VALUE"""),"AP")</f>
        <v>AP</v>
      </c>
      <c r="L124" s="162">
        <f>IFERROR(__xludf.DUMMYFUNCTION("""COMPUTED_VALUE"""),25.7)</f>
        <v>25.7</v>
      </c>
      <c r="M124" s="160" t="str">
        <f>IFERROR(__xludf.DUMMYFUNCTION("""COMPUTED_VALUE"""),"％")</f>
        <v>％</v>
      </c>
      <c r="N124" s="154">
        <f>IFERROR(__xludf.DUMMYFUNCTION("""COMPUTED_VALUE"""),3576.0)</f>
        <v>3576</v>
      </c>
      <c r="O124" s="100"/>
      <c r="P124" s="371" t="str">
        <f>IFERROR(__xludf.DUMMYFUNCTION("""COMPUTED_VALUE"""),"")</f>
        <v/>
      </c>
      <c r="R124" s="358"/>
      <c r="S124" s="100"/>
      <c r="T124" s="146">
        <f>IFERROR(__xludf.DUMMYFUNCTION("""COMPUTED_VALUE"""),4.0)</f>
        <v>4</v>
      </c>
      <c r="U124" s="148" t="str">
        <f>IFERROR(__xludf.DUMMYFUNCTION("""COMPUTED_VALUE"""),"EPU8")</f>
        <v>EPU8</v>
      </c>
      <c r="V124" s="150" t="str">
        <f>IFERROR(__xludf.DUMMYFUNCTION("""COMPUTED_VALUE"""),"E Pluribus Unum")</f>
        <v>E Pluribus Unum</v>
      </c>
      <c r="W124" s="152" t="str">
        <f>IFERROR(__xludf.DUMMYFUNCTION("""COMPUTED_VALUE"""),"Montgomery")</f>
        <v>Montgomery</v>
      </c>
      <c r="X124" s="154">
        <f>IFERROR(__xludf.DUMMYFUNCTION("""COMPUTED_VALUE"""),18.0)</f>
        <v>18</v>
      </c>
      <c r="Y124" s="156">
        <f>IFERROR(__xludf.DUMMYFUNCTION("""COMPUTED_VALUE"""),44.09722222222222)</f>
        <v>44.09722222</v>
      </c>
      <c r="Z124" s="158">
        <f>IFERROR(__xludf.DUMMYFUNCTION("""COMPUTED_VALUE"""),406.3)</f>
        <v>406.3</v>
      </c>
      <c r="AA124" s="160" t="str">
        <f>IFERROR(__xludf.DUMMYFUNCTION("""COMPUTED_VALUE"""),"AP")</f>
        <v>AP</v>
      </c>
      <c r="AB124" s="162">
        <f>IFERROR(__xludf.DUMMYFUNCTION("""COMPUTED_VALUE"""),4.4)</f>
        <v>4.4</v>
      </c>
      <c r="AC124" s="160" t="str">
        <f>IFERROR(__xludf.DUMMYFUNCTION("""COMPUTED_VALUE"""),"％")</f>
        <v>％</v>
      </c>
      <c r="AD124" s="154">
        <f>IFERROR(__xludf.DUMMYFUNCTION("""COMPUTED_VALUE"""),2068.0)</f>
        <v>2068</v>
      </c>
      <c r="AE124" s="100"/>
      <c r="AF124" s="372" t="str">
        <f>IFERROR(__xludf.DUMMYFUNCTION("""COMPUTED_VALUE"""),"")</f>
        <v/>
      </c>
    </row>
    <row r="125" ht="16.5" customHeight="1">
      <c r="A125" s="166"/>
      <c r="C125" s="168"/>
      <c r="D125" s="169">
        <f>IFERROR(__xludf.DUMMYFUNCTION("""COMPUTED_VALUE"""),5.0)</f>
        <v>5</v>
      </c>
      <c r="E125" s="170" t="str">
        <f>IFERROR(__xludf.DUMMYFUNCTION("""COMPUTED_VALUE"""),"GTT8")</f>
        <v>GTT8</v>
      </c>
      <c r="F125" s="51" t="str">
        <f>IFERROR(__xludf.DUMMYFUNCTION("""COMPUTED_VALUE"""),"Götterdämmerung")</f>
        <v>Götterdämmerung</v>
      </c>
      <c r="G125" s="171" t="str">
        <f>IFERROR(__xludf.DUMMYFUNCTION("""COMPUTED_VALUE"""),"Ablazed Mansion")</f>
        <v>Ablazed Mansion</v>
      </c>
      <c r="H125" s="172">
        <f>IFERROR(__xludf.DUMMYFUNCTION("""COMPUTED_VALUE"""),21.0)</f>
        <v>21</v>
      </c>
      <c r="I125" s="173">
        <f>IFERROR(__xludf.DUMMYFUNCTION("""COMPUTED_VALUE"""),49.70238095238095)</f>
        <v>49.70238095</v>
      </c>
      <c r="J125" s="174">
        <f>IFERROR(__xludf.DUMMYFUNCTION("""COMPUTED_VALUE"""),81.8)</f>
        <v>81.8</v>
      </c>
      <c r="K125" s="175" t="str">
        <f>IFERROR(__xludf.DUMMYFUNCTION("""COMPUTED_VALUE"""),"AP")</f>
        <v>AP</v>
      </c>
      <c r="L125" s="176">
        <f>IFERROR(__xludf.DUMMYFUNCTION("""COMPUTED_VALUE"""),25.689999999999998)</f>
        <v>25.69</v>
      </c>
      <c r="M125" s="175" t="str">
        <f>IFERROR(__xludf.DUMMYFUNCTION("""COMPUTED_VALUE"""),"％")</f>
        <v>％</v>
      </c>
      <c r="N125" s="172">
        <f>IFERROR(__xludf.DUMMYFUNCTION("""COMPUTED_VALUE"""),14129.0)</f>
        <v>14129</v>
      </c>
      <c r="O125" s="168"/>
      <c r="P125" s="371" t="str">
        <f>IFERROR(__xludf.DUMMYFUNCTION("""COMPUTED_VALUE"""),"")</f>
        <v/>
      </c>
      <c r="Q125" s="166"/>
      <c r="R125" s="359"/>
      <c r="S125" s="168"/>
      <c r="T125" s="169">
        <f>IFERROR(__xludf.DUMMYFUNCTION("""COMPUTED_VALUE"""),5.0)</f>
        <v>5</v>
      </c>
      <c r="U125" s="170" t="str">
        <f>IFERROR(__xludf.DUMMYFUNCTION("""COMPUTED_VALUE"""),"TRF1")</f>
        <v>TRF1</v>
      </c>
      <c r="V125" s="51" t="str">
        <f>IFERROR(__xludf.DUMMYFUNCTION("""COMPUTED_VALUE"""),"Chaldea Gate (Mon)")</f>
        <v>Chaldea Gate (Mon)</v>
      </c>
      <c r="W125" s="51" t="str">
        <f>IFERROR(__xludf.DUMMYFUNCTION("""COMPUTED_VALUE"""),"MON Archer Training Ground- Nov")</f>
        <v>MON Archer Training Ground- Nov</v>
      </c>
      <c r="X125" s="172">
        <f>IFERROR(__xludf.DUMMYFUNCTION("""COMPUTED_VALUE"""),10.0)</f>
        <v>10</v>
      </c>
      <c r="Y125" s="173">
        <f>IFERROR(__xludf.DUMMYFUNCTION("""COMPUTED_VALUE"""),19.375)</f>
        <v>19.375</v>
      </c>
      <c r="Z125" s="174">
        <f>IFERROR(__xludf.DUMMYFUNCTION("""COMPUTED_VALUE"""),556.4)</f>
        <v>556.4</v>
      </c>
      <c r="AA125" s="175" t="str">
        <f>IFERROR(__xludf.DUMMYFUNCTION("""COMPUTED_VALUE"""),"AP")</f>
        <v>AP</v>
      </c>
      <c r="AB125" s="176">
        <f>IFERROR(__xludf.DUMMYFUNCTION("""COMPUTED_VALUE"""),1.8)</f>
        <v>1.8</v>
      </c>
      <c r="AC125" s="175" t="str">
        <f>IFERROR(__xludf.DUMMYFUNCTION("""COMPUTED_VALUE"""),"％")</f>
        <v>％</v>
      </c>
      <c r="AD125" s="172">
        <f>IFERROR(__xludf.DUMMYFUNCTION("""COMPUTED_VALUE"""),1558.0)</f>
        <v>1558</v>
      </c>
      <c r="AE125" s="168"/>
      <c r="AF125" s="372" t="str">
        <f>IFERROR(__xludf.DUMMYFUNCTION("""COMPUTED_VALUE"""),"")</f>
        <v/>
      </c>
    </row>
    <row r="126" ht="16.5" customHeight="1">
      <c r="A126" s="61" t="str">
        <f>IFERROR(__xludf.DUMMYFUNCTION("""COMPUTED_VALUE"""),"")</f>
        <v/>
      </c>
      <c r="B126" s="366" t="str">
        <f>IFERROR(__xludf.DUMMYFUNCTION("""COMPUTED_VALUE"""),"A215")</f>
        <v>A215</v>
      </c>
      <c r="C126" s="180" t="str">
        <f>IFERROR(__xludf.DUMMYFUNCTION("""COMPUTED_VALUE"""),"Aurora Steel")</f>
        <v>Aurora Steel</v>
      </c>
      <c r="D126" s="181">
        <f>IFERROR(__xludf.DUMMYFUNCTION("""COMPUTED_VALUE"""),1.0)</f>
        <v>1</v>
      </c>
      <c r="E126" s="182" t="str">
        <f>IFERROR(__xludf.DUMMYFUNCTION("""COMPUTED_VALUE"""),"GTT6")</f>
        <v>GTT6</v>
      </c>
      <c r="F126" s="184" t="str">
        <f>IFERROR(__xludf.DUMMYFUNCTION("""COMPUTED_VALUE"""),"Götterdämmerung")</f>
        <v>Götterdämmerung</v>
      </c>
      <c r="G126" s="189" t="str">
        <f>IFERROR(__xludf.DUMMYFUNCTION("""COMPUTED_VALUE"""),"Castle of Ice and Snow")</f>
        <v>Castle of Ice and Snow</v>
      </c>
      <c r="H126" s="190">
        <f>IFERROR(__xludf.DUMMYFUNCTION("""COMPUTED_VALUE"""),21.0)</f>
        <v>21</v>
      </c>
      <c r="I126" s="191">
        <f>IFERROR(__xludf.DUMMYFUNCTION("""COMPUTED_VALUE"""),48.51190476190476)</f>
        <v>48.51190476</v>
      </c>
      <c r="J126" s="192">
        <f>IFERROR(__xludf.DUMMYFUNCTION("""COMPUTED_VALUE"""),54.0)</f>
        <v>54</v>
      </c>
      <c r="K126" s="194" t="str">
        <f>IFERROR(__xludf.DUMMYFUNCTION("""COMPUTED_VALUE"""),"AP")</f>
        <v>AP</v>
      </c>
      <c r="L126" s="192">
        <f>IFERROR(__xludf.DUMMYFUNCTION("""COMPUTED_VALUE"""),38.9)</f>
        <v>38.9</v>
      </c>
      <c r="M126" s="194" t="str">
        <f>IFERROR(__xludf.DUMMYFUNCTION("""COMPUTED_VALUE"""),"％")</f>
        <v>％</v>
      </c>
      <c r="N126" s="190">
        <f>IFERROR(__xludf.DUMMYFUNCTION("""COMPUTED_VALUE"""),8569.0)</f>
        <v>8569</v>
      </c>
      <c r="O126" s="197" t="str">
        <f>IFERROR(__xludf.DUMMYFUNCTION("""COMPUTED_VALUE"""),"Aurora Steel")</f>
        <v>Aurora Steel</v>
      </c>
      <c r="P126" s="371" t="str">
        <f>IFERROR(__xludf.DUMMYFUNCTION("""COMPUTED_VALUE"""),"")</f>
        <v/>
      </c>
      <c r="Q126" s="61" t="str">
        <f>IFERROR(__xludf.DUMMYFUNCTION("""COMPUTED_VALUE"""),"")</f>
        <v/>
      </c>
      <c r="R126" s="199" t="str">
        <f>IFERROR(__xludf.DUMMYFUNCTION("""COMPUTED_VALUE"""),"B203")</f>
        <v>B203</v>
      </c>
      <c r="S126" s="180" t="str">
        <f>IFERROR(__xludf.DUMMYFUNCTION("""COMPUTED_VALUE"""),"Lancer Monument")</f>
        <v>Lancer Monument</v>
      </c>
      <c r="T126" s="181">
        <f>IFERROR(__xludf.DUMMYFUNCTION("""COMPUTED_VALUE"""),1.0)</f>
        <v>1</v>
      </c>
      <c r="U126" s="182" t="str">
        <f>IFERROR(__xludf.DUMMYFUNCTION("""COMPUTED_VALUE"""),"TRF8")</f>
        <v>TRF8</v>
      </c>
      <c r="V126" s="184" t="str">
        <f>IFERROR(__xludf.DUMMYFUNCTION("""COMPUTED_VALUE"""),"Chaldea Gate (Tue)")</f>
        <v>Chaldea Gate (Tue)</v>
      </c>
      <c r="W126" s="184" t="str">
        <f>IFERROR(__xludf.DUMMYFUNCTION("""COMPUTED_VALUE"""),"TUE Lancer Training Ground- Exp")</f>
        <v>TUE Lancer Training Ground- Exp</v>
      </c>
      <c r="X126" s="190">
        <f>IFERROR(__xludf.DUMMYFUNCTION("""COMPUTED_VALUE"""),40.0)</f>
        <v>40</v>
      </c>
      <c r="Y126" s="191">
        <f>IFERROR(__xludf.DUMMYFUNCTION("""COMPUTED_VALUE"""),20.46875)</f>
        <v>20.46875</v>
      </c>
      <c r="Z126" s="192">
        <f>IFERROR(__xludf.DUMMYFUNCTION("""COMPUTED_VALUE"""),72.2)</f>
        <v>72.2</v>
      </c>
      <c r="AA126" s="194" t="str">
        <f>IFERROR(__xludf.DUMMYFUNCTION("""COMPUTED_VALUE"""),"AP")</f>
        <v>AP</v>
      </c>
      <c r="AB126" s="192">
        <f>IFERROR(__xludf.DUMMYFUNCTION("""COMPUTED_VALUE"""),55.4)</f>
        <v>55.4</v>
      </c>
      <c r="AC126" s="194" t="str">
        <f>IFERROR(__xludf.DUMMYFUNCTION("""COMPUTED_VALUE"""),"％")</f>
        <v>％</v>
      </c>
      <c r="AD126" s="190">
        <f>IFERROR(__xludf.DUMMYFUNCTION("""COMPUTED_VALUE"""),5650.0)</f>
        <v>5650</v>
      </c>
      <c r="AE126" s="197" t="str">
        <f>IFERROR(__xludf.DUMMYFUNCTION("""COMPUTED_VALUE"""),"Lancer Monument")</f>
        <v>Lancer Monument</v>
      </c>
      <c r="AF126" s="372" t="str">
        <f>IFERROR(__xludf.DUMMYFUNCTION("""COMPUTED_VALUE"""),"")</f>
        <v/>
      </c>
    </row>
    <row r="127" ht="16.5" customHeight="1">
      <c r="C127" s="204"/>
      <c r="D127" s="205">
        <f>IFERROR(__xludf.DUMMYFUNCTION("""COMPUTED_VALUE"""),2.0)</f>
        <v>2</v>
      </c>
      <c r="E127" s="206" t="str">
        <f>IFERROR(__xludf.DUMMYFUNCTION("""COMPUTED_VALUE"""),"GTT9")</f>
        <v>GTT9</v>
      </c>
      <c r="F127" s="207" t="str">
        <f>IFERROR(__xludf.DUMMYFUNCTION("""COMPUTED_VALUE"""),"Götterdämmerung")</f>
        <v>Götterdämmerung</v>
      </c>
      <c r="G127" s="209" t="str">
        <f>IFERROR(__xludf.DUMMYFUNCTION("""COMPUTED_VALUE"""),"67th Settlement")</f>
        <v>67th Settlement</v>
      </c>
      <c r="H127" s="211">
        <f>IFERROR(__xludf.DUMMYFUNCTION("""COMPUTED_VALUE"""),21.0)</f>
        <v>21</v>
      </c>
      <c r="I127" s="213">
        <f>IFERROR(__xludf.DUMMYFUNCTION("""COMPUTED_VALUE"""),49.70238095238095)</f>
        <v>49.70238095</v>
      </c>
      <c r="J127" s="214">
        <f>IFERROR(__xludf.DUMMYFUNCTION("""COMPUTED_VALUE"""),82.7)</f>
        <v>82.7</v>
      </c>
      <c r="K127" s="215" t="str">
        <f>IFERROR(__xludf.DUMMYFUNCTION("""COMPUTED_VALUE"""),"AP")</f>
        <v>AP</v>
      </c>
      <c r="L127" s="214">
        <f>IFERROR(__xludf.DUMMYFUNCTION("""COMPUTED_VALUE"""),25.4)</f>
        <v>25.4</v>
      </c>
      <c r="M127" s="215" t="str">
        <f>IFERROR(__xludf.DUMMYFUNCTION("""COMPUTED_VALUE"""),"％")</f>
        <v>％</v>
      </c>
      <c r="N127" s="211">
        <f>IFERROR(__xludf.DUMMYFUNCTION("""COMPUTED_VALUE"""),1000.0)</f>
        <v>1000</v>
      </c>
      <c r="O127" s="217"/>
      <c r="P127" s="371" t="str">
        <f>IFERROR(__xludf.DUMMYFUNCTION("""COMPUTED_VALUE"""),"")</f>
        <v/>
      </c>
      <c r="R127" s="203"/>
      <c r="S127" s="204"/>
      <c r="T127" s="205">
        <f>IFERROR(__xludf.DUMMYFUNCTION("""COMPUTED_VALUE"""),2.0)</f>
        <v>2</v>
      </c>
      <c r="U127" s="206" t="str">
        <f>IFERROR(__xludf.DUMMYFUNCTION("""COMPUTED_VALUE"""),"TRF7")</f>
        <v>TRF7</v>
      </c>
      <c r="V127" s="207" t="str">
        <f>IFERROR(__xludf.DUMMYFUNCTION("""COMPUTED_VALUE"""),"Chaldea Gate (Tue)")</f>
        <v>Chaldea Gate (Tue)</v>
      </c>
      <c r="W127" s="207" t="str">
        <f>IFERROR(__xludf.DUMMYFUNCTION("""COMPUTED_VALUE"""),"TUE Lancer Training Ground- Adv")</f>
        <v>TUE Lancer Training Ground- Adv</v>
      </c>
      <c r="X127" s="211">
        <f>IFERROR(__xludf.DUMMYFUNCTION("""COMPUTED_VALUE"""),30.0)</f>
        <v>30</v>
      </c>
      <c r="Y127" s="213">
        <f>IFERROR(__xludf.DUMMYFUNCTION("""COMPUTED_VALUE"""),18.958333333333332)</f>
        <v>18.95833333</v>
      </c>
      <c r="Z127" s="214">
        <f>IFERROR(__xludf.DUMMYFUNCTION("""COMPUTED_VALUE"""),85.3)</f>
        <v>85.3</v>
      </c>
      <c r="AA127" s="215" t="str">
        <f>IFERROR(__xludf.DUMMYFUNCTION("""COMPUTED_VALUE"""),"AP")</f>
        <v>AP</v>
      </c>
      <c r="AB127" s="214">
        <f>IFERROR(__xludf.DUMMYFUNCTION("""COMPUTED_VALUE"""),35.2)</f>
        <v>35.2</v>
      </c>
      <c r="AC127" s="215" t="str">
        <f>IFERROR(__xludf.DUMMYFUNCTION("""COMPUTED_VALUE"""),"％")</f>
        <v>％</v>
      </c>
      <c r="AD127" s="211">
        <f>IFERROR(__xludf.DUMMYFUNCTION("""COMPUTED_VALUE"""),1022.0)</f>
        <v>1022</v>
      </c>
      <c r="AE127" s="217"/>
      <c r="AF127" s="372" t="str">
        <f>IFERROR(__xludf.DUMMYFUNCTION("""COMPUTED_VALUE"""),"")</f>
        <v/>
      </c>
    </row>
    <row r="128" ht="16.5" customHeight="1">
      <c r="C128" s="204"/>
      <c r="D128" s="222">
        <f>IFERROR(__xludf.DUMMYFUNCTION("""COMPUTED_VALUE"""),3.0)</f>
        <v>3</v>
      </c>
      <c r="E128" s="223" t="str">
        <f>IFERROR(__xludf.DUMMYFUNCTION("""COMPUTED_VALUE"""),"GTT4")</f>
        <v>GTT4</v>
      </c>
      <c r="F128" s="224" t="str">
        <f>IFERROR(__xludf.DUMMYFUNCTION("""COMPUTED_VALUE"""),"Götterdämmerung")</f>
        <v>Götterdämmerung</v>
      </c>
      <c r="G128" s="226" t="str">
        <f>IFERROR(__xludf.DUMMYFUNCTION("""COMPUTED_VALUE"""),"23rd Settlement")</f>
        <v>23rd Settlement</v>
      </c>
      <c r="H128" s="228">
        <f>IFERROR(__xludf.DUMMYFUNCTION("""COMPUTED_VALUE"""),21.0)</f>
        <v>21</v>
      </c>
      <c r="I128" s="230">
        <f>IFERROR(__xludf.DUMMYFUNCTION("""COMPUTED_VALUE"""),47.32142857142857)</f>
        <v>47.32142857</v>
      </c>
      <c r="J128" s="231">
        <f>IFERROR(__xludf.DUMMYFUNCTION("""COMPUTED_VALUE"""),83.8)</f>
        <v>83.8</v>
      </c>
      <c r="K128" s="232" t="str">
        <f>IFERROR(__xludf.DUMMYFUNCTION("""COMPUTED_VALUE"""),"AP")</f>
        <v>AP</v>
      </c>
      <c r="L128" s="231">
        <f>IFERROR(__xludf.DUMMYFUNCTION("""COMPUTED_VALUE"""),25.0)</f>
        <v>25</v>
      </c>
      <c r="M128" s="232" t="str">
        <f>IFERROR(__xludf.DUMMYFUNCTION("""COMPUTED_VALUE"""),"％")</f>
        <v>％</v>
      </c>
      <c r="N128" s="228">
        <f>IFERROR(__xludf.DUMMYFUNCTION("""COMPUTED_VALUE"""),555.0)</f>
        <v>555</v>
      </c>
      <c r="O128" s="217"/>
      <c r="P128" s="371" t="str">
        <f>IFERROR(__xludf.DUMMYFUNCTION("""COMPUTED_VALUE"""),"")</f>
        <v/>
      </c>
      <c r="R128" s="203"/>
      <c r="S128" s="204"/>
      <c r="T128" s="222">
        <f>IFERROR(__xludf.DUMMYFUNCTION("""COMPUTED_VALUE"""),3.0)</f>
        <v>3</v>
      </c>
      <c r="U128" s="223" t="str">
        <f>IFERROR(__xludf.DUMMYFUNCTION("""COMPUTED_VALUE"""),"TRF6")</f>
        <v>TRF6</v>
      </c>
      <c r="V128" s="224" t="str">
        <f>IFERROR(__xludf.DUMMYFUNCTION("""COMPUTED_VALUE"""),"Chaldea Gate (Tue)")</f>
        <v>Chaldea Gate (Tue)</v>
      </c>
      <c r="W128" s="224" t="str">
        <f>IFERROR(__xludf.DUMMYFUNCTION("""COMPUTED_VALUE"""),"TUE Lancer Training Ground- Int")</f>
        <v>TUE Lancer Training Ground- Int</v>
      </c>
      <c r="X128" s="228">
        <f>IFERROR(__xludf.DUMMYFUNCTION("""COMPUTED_VALUE"""),20.0)</f>
        <v>20</v>
      </c>
      <c r="Y128" s="230">
        <f>IFERROR(__xludf.DUMMYFUNCTION("""COMPUTED_VALUE"""),19.0625)</f>
        <v>19.0625</v>
      </c>
      <c r="Z128" s="231">
        <f>IFERROR(__xludf.DUMMYFUNCTION("""COMPUTED_VALUE"""),241.4)</f>
        <v>241.4</v>
      </c>
      <c r="AA128" s="232" t="str">
        <f>IFERROR(__xludf.DUMMYFUNCTION("""COMPUTED_VALUE"""),"AP")</f>
        <v>AP</v>
      </c>
      <c r="AB128" s="231">
        <f>IFERROR(__xludf.DUMMYFUNCTION("""COMPUTED_VALUE"""),8.3)</f>
        <v>8.3</v>
      </c>
      <c r="AC128" s="232" t="str">
        <f>IFERROR(__xludf.DUMMYFUNCTION("""COMPUTED_VALUE"""),"％")</f>
        <v>％</v>
      </c>
      <c r="AD128" s="228">
        <f>IFERROR(__xludf.DUMMYFUNCTION("""COMPUTED_VALUE"""),338.0)</f>
        <v>338</v>
      </c>
      <c r="AE128" s="217"/>
      <c r="AF128" s="372" t="str">
        <f>IFERROR(__xludf.DUMMYFUNCTION("""COMPUTED_VALUE"""),"")</f>
        <v/>
      </c>
    </row>
    <row r="129" ht="16.5" customHeight="1">
      <c r="C129" s="204"/>
      <c r="D129" s="238">
        <f>IFERROR(__xludf.DUMMYFUNCTION("""COMPUTED_VALUE"""),4.0)</f>
        <v>4</v>
      </c>
      <c r="E129" s="240" t="str">
        <f>IFERROR(__xludf.DUMMYFUNCTION("""COMPUTED_VALUE"""),"GTT8")</f>
        <v>GTT8</v>
      </c>
      <c r="F129" s="242" t="str">
        <f>IFERROR(__xludf.DUMMYFUNCTION("""COMPUTED_VALUE"""),"Götterdämmerung")</f>
        <v>Götterdämmerung</v>
      </c>
      <c r="G129" s="244" t="str">
        <f>IFERROR(__xludf.DUMMYFUNCTION("""COMPUTED_VALUE"""),"Ablazed Mansion")</f>
        <v>Ablazed Mansion</v>
      </c>
      <c r="H129" s="246">
        <f>IFERROR(__xludf.DUMMYFUNCTION("""COMPUTED_VALUE"""),21.0)</f>
        <v>21</v>
      </c>
      <c r="I129" s="248">
        <f>IFERROR(__xludf.DUMMYFUNCTION("""COMPUTED_VALUE"""),49.70238095238095)</f>
        <v>49.70238095</v>
      </c>
      <c r="J129" s="250">
        <f>IFERROR(__xludf.DUMMYFUNCTION("""COMPUTED_VALUE"""),84.9)</f>
        <v>84.9</v>
      </c>
      <c r="K129" s="252" t="str">
        <f>IFERROR(__xludf.DUMMYFUNCTION("""COMPUTED_VALUE"""),"AP")</f>
        <v>AP</v>
      </c>
      <c r="L129" s="250">
        <f>IFERROR(__xludf.DUMMYFUNCTION("""COMPUTED_VALUE"""),24.7)</f>
        <v>24.7</v>
      </c>
      <c r="M129" s="252" t="str">
        <f>IFERROR(__xludf.DUMMYFUNCTION("""COMPUTED_VALUE"""),"％")</f>
        <v>％</v>
      </c>
      <c r="N129" s="246">
        <f>IFERROR(__xludf.DUMMYFUNCTION("""COMPUTED_VALUE"""),14129.0)</f>
        <v>14129</v>
      </c>
      <c r="O129" s="217"/>
      <c r="P129" s="371" t="str">
        <f>IFERROR(__xludf.DUMMYFUNCTION("""COMPUTED_VALUE"""),"")</f>
        <v/>
      </c>
      <c r="R129" s="203"/>
      <c r="S129" s="204"/>
      <c r="T129" s="238">
        <f>IFERROR(__xludf.DUMMYFUNCTION("""COMPUTED_VALUE"""),4.0)</f>
        <v>4</v>
      </c>
      <c r="U129" s="240" t="str">
        <f>IFERROR(__xludf.DUMMYFUNCTION("""COMPUTED_VALUE"""),"EPU2")</f>
        <v>EPU2</v>
      </c>
      <c r="V129" s="242" t="str">
        <f>IFERROR(__xludf.DUMMYFUNCTION("""COMPUTED_VALUE"""),"E Pluribus Unum")</f>
        <v>E Pluribus Unum</v>
      </c>
      <c r="W129" s="244" t="str">
        <f>IFERROR(__xludf.DUMMYFUNCTION("""COMPUTED_VALUE"""),"Riverton")</f>
        <v>Riverton</v>
      </c>
      <c r="X129" s="246">
        <f>IFERROR(__xludf.DUMMYFUNCTION("""COMPUTED_VALUE"""),17.0)</f>
        <v>17</v>
      </c>
      <c r="Y129" s="248">
        <f>IFERROR(__xludf.DUMMYFUNCTION("""COMPUTED_VALUE"""),42.279411764705884)</f>
        <v>42.27941176</v>
      </c>
      <c r="Z129" s="250">
        <f>IFERROR(__xludf.DUMMYFUNCTION("""COMPUTED_VALUE"""),248.3)</f>
        <v>248.3</v>
      </c>
      <c r="AA129" s="252" t="str">
        <f>IFERROR(__xludf.DUMMYFUNCTION("""COMPUTED_VALUE"""),"AP")</f>
        <v>AP</v>
      </c>
      <c r="AB129" s="250">
        <f>IFERROR(__xludf.DUMMYFUNCTION("""COMPUTED_VALUE"""),6.8)</f>
        <v>6.8</v>
      </c>
      <c r="AC129" s="252" t="str">
        <f>IFERROR(__xludf.DUMMYFUNCTION("""COMPUTED_VALUE"""),"％")</f>
        <v>％</v>
      </c>
      <c r="AD129" s="246">
        <f>IFERROR(__xludf.DUMMYFUNCTION("""COMPUTED_VALUE"""),336.0)</f>
        <v>336</v>
      </c>
      <c r="AE129" s="217"/>
      <c r="AF129" s="372" t="str">
        <f>IFERROR(__xludf.DUMMYFUNCTION("""COMPUTED_VALUE"""),"")</f>
        <v/>
      </c>
    </row>
    <row r="130" ht="16.5" customHeight="1">
      <c r="A130" s="166"/>
      <c r="C130" s="255"/>
      <c r="D130" s="256">
        <f>IFERROR(__xludf.DUMMYFUNCTION("""COMPUTED_VALUE"""),5.0)</f>
        <v>5</v>
      </c>
      <c r="E130" s="257" t="str">
        <f>IFERROR(__xludf.DUMMYFUNCTION("""COMPUTED_VALUE"""),"GTT11")</f>
        <v>GTT11</v>
      </c>
      <c r="F130" s="42" t="str">
        <f>IFERROR(__xludf.DUMMYFUNCTION("""COMPUTED_VALUE"""),"Götterdämmerung")</f>
        <v>Götterdämmerung</v>
      </c>
      <c r="G130" s="258" t="str">
        <f>IFERROR(__xludf.DUMMYFUNCTION("""COMPUTED_VALUE"""),"Forgotten Temple")</f>
        <v>Forgotten Temple</v>
      </c>
      <c r="H130" s="259">
        <f>IFERROR(__xludf.DUMMYFUNCTION("""COMPUTED_VALUE"""),21.0)</f>
        <v>21</v>
      </c>
      <c r="I130" s="260">
        <f>IFERROR(__xludf.DUMMYFUNCTION("""COMPUTED_VALUE"""),50.892857142857146)</f>
        <v>50.89285714</v>
      </c>
      <c r="J130" s="261">
        <f>IFERROR(__xludf.DUMMYFUNCTION("""COMPUTED_VALUE"""),87.1)</f>
        <v>87.1</v>
      </c>
      <c r="K130" s="262" t="str">
        <f>IFERROR(__xludf.DUMMYFUNCTION("""COMPUTED_VALUE"""),"AP")</f>
        <v>AP</v>
      </c>
      <c r="L130" s="261">
        <f>IFERROR(__xludf.DUMMYFUNCTION("""COMPUTED_VALUE"""),24.1)</f>
        <v>24.1</v>
      </c>
      <c r="M130" s="262" t="str">
        <f>IFERROR(__xludf.DUMMYFUNCTION("""COMPUTED_VALUE"""),"％")</f>
        <v>％</v>
      </c>
      <c r="N130" s="259">
        <f>IFERROR(__xludf.DUMMYFUNCTION("""COMPUTED_VALUE"""),3740.0)</f>
        <v>3740</v>
      </c>
      <c r="O130" s="263"/>
      <c r="P130" s="371" t="str">
        <f>IFERROR(__xludf.DUMMYFUNCTION("""COMPUTED_VALUE"""),"")</f>
        <v/>
      </c>
      <c r="Q130" s="166"/>
      <c r="R130" s="254"/>
      <c r="S130" s="255"/>
      <c r="T130" s="256">
        <f>IFERROR(__xludf.DUMMYFUNCTION("""COMPUTED_VALUE"""),5.0)</f>
        <v>5</v>
      </c>
      <c r="U130" s="257" t="str">
        <f>IFERROR(__xludf.DUMMYFUNCTION("""COMPUTED_VALUE"""),"EPU7")</f>
        <v>EPU7</v>
      </c>
      <c r="V130" s="42" t="str">
        <f>IFERROR(__xludf.DUMMYFUNCTION("""COMPUTED_VALUE"""),"E Pluribus Unum")</f>
        <v>E Pluribus Unum</v>
      </c>
      <c r="W130" s="258" t="str">
        <f>IFERROR(__xludf.DUMMYFUNCTION("""COMPUTED_VALUE"""),"Des Moines")</f>
        <v>Des Moines</v>
      </c>
      <c r="X130" s="259">
        <f>IFERROR(__xludf.DUMMYFUNCTION("""COMPUTED_VALUE"""),18.0)</f>
        <v>18</v>
      </c>
      <c r="Y130" s="260">
        <f>IFERROR(__xludf.DUMMYFUNCTION("""COMPUTED_VALUE"""),42.708333333333336)</f>
        <v>42.70833333</v>
      </c>
      <c r="Z130" s="261">
        <f>IFERROR(__xludf.DUMMYFUNCTION("""COMPUTED_VALUE"""),363.8)</f>
        <v>363.8</v>
      </c>
      <c r="AA130" s="262" t="str">
        <f>IFERROR(__xludf.DUMMYFUNCTION("""COMPUTED_VALUE"""),"AP")</f>
        <v>AP</v>
      </c>
      <c r="AB130" s="261">
        <f>IFERROR(__xludf.DUMMYFUNCTION("""COMPUTED_VALUE"""),4.9)</f>
        <v>4.9</v>
      </c>
      <c r="AC130" s="262" t="str">
        <f>IFERROR(__xludf.DUMMYFUNCTION("""COMPUTED_VALUE"""),"％")</f>
        <v>％</v>
      </c>
      <c r="AD130" s="259">
        <f>IFERROR(__xludf.DUMMYFUNCTION("""COMPUTED_VALUE"""),18244.0)</f>
        <v>18244</v>
      </c>
      <c r="AE130" s="263"/>
      <c r="AF130" s="372" t="str">
        <f>IFERROR(__xludf.DUMMYFUNCTION("""COMPUTED_VALUE"""),"")</f>
        <v/>
      </c>
    </row>
    <row r="131" ht="16.5" customHeight="1">
      <c r="A131" s="61" t="str">
        <f>IFERROR(__xludf.DUMMYFUNCTION("""COMPUTED_VALUE"""),"")</f>
        <v/>
      </c>
      <c r="B131" s="367" t="str">
        <f>IFERROR(__xludf.DUMMYFUNCTION("""COMPUTED_VALUE"""),"A216")</f>
        <v>A216</v>
      </c>
      <c r="C131" s="65" t="str">
        <f>IFERROR(__xludf.DUMMYFUNCTION("""COMPUTED_VALUE"""),"Ancient Bell of Tranquility")</f>
        <v>Ancient Bell of Tranquility</v>
      </c>
      <c r="D131" s="67">
        <f>IFERROR(__xludf.DUMMYFUNCTION("""COMPUTED_VALUE"""),1.0)</f>
        <v>1</v>
      </c>
      <c r="E131" s="69" t="str">
        <f>IFERROR(__xludf.DUMMYFUNCTION("""COMPUTED_VALUE"""),"SIN11")</f>
        <v>SIN11</v>
      </c>
      <c r="F131" s="71" t="str">
        <f>IFERROR(__xludf.DUMMYFUNCTION("""COMPUTED_VALUE"""),"SIN")</f>
        <v>SIN</v>
      </c>
      <c r="G131" s="78" t="str">
        <f>IFERROR(__xludf.DUMMYFUNCTION("""COMPUTED_VALUE"""),"Eight Gates Cave")</f>
        <v>Eight Gates Cave</v>
      </c>
      <c r="H131" s="80">
        <f>IFERROR(__xludf.DUMMYFUNCTION("""COMPUTED_VALUE"""),21.0)</f>
        <v>21</v>
      </c>
      <c r="I131" s="82">
        <f>IFERROR(__xludf.DUMMYFUNCTION("""COMPUTED_VALUE"""),50.892857142857146)</f>
        <v>50.89285714</v>
      </c>
      <c r="J131" s="84">
        <f>IFERROR(__xludf.DUMMYFUNCTION("""COMPUTED_VALUE"""),53.4)</f>
        <v>53.4</v>
      </c>
      <c r="K131" s="86" t="str">
        <f>IFERROR(__xludf.DUMMYFUNCTION("""COMPUTED_VALUE"""),"AP")</f>
        <v>AP</v>
      </c>
      <c r="L131" s="88">
        <f>IFERROR(__xludf.DUMMYFUNCTION("""COMPUTED_VALUE"""),39.3)</f>
        <v>39.3</v>
      </c>
      <c r="M131" s="86" t="str">
        <f>IFERROR(__xludf.DUMMYFUNCTION("""COMPUTED_VALUE"""),"％")</f>
        <v>％</v>
      </c>
      <c r="N131" s="80">
        <f>IFERROR(__xludf.DUMMYFUNCTION("""COMPUTED_VALUE"""),22321.0)</f>
        <v>22321</v>
      </c>
      <c r="O131" s="91" t="str">
        <f>IFERROR(__xludf.DUMMYFUNCTION("""COMPUTED_VALUE"""),"Ancient Bell of Tranquility")</f>
        <v>Ancient Bell of Tranquility</v>
      </c>
      <c r="P131" s="371" t="str">
        <f>IFERROR(__xludf.DUMMYFUNCTION("""COMPUTED_VALUE"""),"")</f>
        <v/>
      </c>
      <c r="Q131" s="61" t="str">
        <f>IFERROR(__xludf.DUMMYFUNCTION("""COMPUTED_VALUE"""),"")</f>
        <v/>
      </c>
      <c r="R131" s="357" t="str">
        <f>IFERROR(__xludf.DUMMYFUNCTION("""COMPUTED_VALUE"""),"B204")</f>
        <v>B204</v>
      </c>
      <c r="S131" s="65" t="str">
        <f>IFERROR(__xludf.DUMMYFUNCTION("""COMPUTED_VALUE"""),"Rider Monument")</f>
        <v>Rider Monument</v>
      </c>
      <c r="T131" s="67">
        <f>IFERROR(__xludf.DUMMYFUNCTION("""COMPUTED_VALUE"""),1.0)</f>
        <v>1</v>
      </c>
      <c r="U131" s="69" t="str">
        <f>IFERROR(__xludf.DUMMYFUNCTION("""COMPUTED_VALUE"""),"TRF16")</f>
        <v>TRF16</v>
      </c>
      <c r="V131" s="71" t="str">
        <f>IFERROR(__xludf.DUMMYFUNCTION("""COMPUTED_VALUE"""),"Chaldea Gate (Thu)")</f>
        <v>Chaldea Gate (Thu)</v>
      </c>
      <c r="W131" s="71" t="str">
        <f>IFERROR(__xludf.DUMMYFUNCTION("""COMPUTED_VALUE"""),"THU Rider Training Ground- Exp")</f>
        <v>THU Rider Training Ground- Exp</v>
      </c>
      <c r="X131" s="80">
        <f>IFERROR(__xludf.DUMMYFUNCTION("""COMPUTED_VALUE"""),40.0)</f>
        <v>40</v>
      </c>
      <c r="Y131" s="82">
        <f>IFERROR(__xludf.DUMMYFUNCTION("""COMPUTED_VALUE"""),20.46875)</f>
        <v>20.46875</v>
      </c>
      <c r="Z131" s="84">
        <f>IFERROR(__xludf.DUMMYFUNCTION("""COMPUTED_VALUE"""),68.5)</f>
        <v>68.5</v>
      </c>
      <c r="AA131" s="86" t="str">
        <f>IFERROR(__xludf.DUMMYFUNCTION("""COMPUTED_VALUE"""),"AP")</f>
        <v>AP</v>
      </c>
      <c r="AB131" s="88">
        <f>IFERROR(__xludf.DUMMYFUNCTION("""COMPUTED_VALUE"""),58.4)</f>
        <v>58.4</v>
      </c>
      <c r="AC131" s="86" t="str">
        <f>IFERROR(__xludf.DUMMYFUNCTION("""COMPUTED_VALUE"""),"％")</f>
        <v>％</v>
      </c>
      <c r="AD131" s="80">
        <f>IFERROR(__xludf.DUMMYFUNCTION("""COMPUTED_VALUE"""),3420.0)</f>
        <v>3420</v>
      </c>
      <c r="AE131" s="91" t="str">
        <f>IFERROR(__xludf.DUMMYFUNCTION("""COMPUTED_VALUE"""),"Rider Monument")</f>
        <v>Rider Monument</v>
      </c>
      <c r="AF131" s="372" t="str">
        <f>IFERROR(__xludf.DUMMYFUNCTION("""COMPUTED_VALUE"""),"")</f>
        <v/>
      </c>
    </row>
    <row r="132" ht="16.5" customHeight="1">
      <c r="C132" s="100"/>
      <c r="D132" s="102">
        <f>IFERROR(__xludf.DUMMYFUNCTION("""COMPUTED_VALUE"""),2.0)</f>
        <v>2</v>
      </c>
      <c r="E132" s="103" t="str">
        <f>IFERROR(__xludf.DUMMYFUNCTION("""COMPUTED_VALUE"""),"SIN7")</f>
        <v>SIN7</v>
      </c>
      <c r="F132" s="104" t="str">
        <f>IFERROR(__xludf.DUMMYFUNCTION("""COMPUTED_VALUE"""),"SIN")</f>
        <v>SIN</v>
      </c>
      <c r="G132" s="108" t="str">
        <f>IFERROR(__xludf.DUMMYFUNCTION("""COMPUTED_VALUE"""),"Detention Centre")</f>
        <v>Detention Centre</v>
      </c>
      <c r="H132" s="109">
        <f>IFERROR(__xludf.DUMMYFUNCTION("""COMPUTED_VALUE"""),21.0)</f>
        <v>21</v>
      </c>
      <c r="I132" s="110">
        <f>IFERROR(__xludf.DUMMYFUNCTION("""COMPUTED_VALUE"""),48.51190476190476)</f>
        <v>48.51190476</v>
      </c>
      <c r="J132" s="112">
        <f>IFERROR(__xludf.DUMMYFUNCTION("""COMPUTED_VALUE"""),82.7)</f>
        <v>82.7</v>
      </c>
      <c r="K132" s="121" t="str">
        <f>IFERROR(__xludf.DUMMYFUNCTION("""COMPUTED_VALUE"""),"AP")</f>
        <v>AP</v>
      </c>
      <c r="L132" s="123">
        <f>IFERROR(__xludf.DUMMYFUNCTION("""COMPUTED_VALUE"""),25.4)</f>
        <v>25.4</v>
      </c>
      <c r="M132" s="121" t="str">
        <f>IFERROR(__xludf.DUMMYFUNCTION("""COMPUTED_VALUE"""),"％")</f>
        <v>％</v>
      </c>
      <c r="N132" s="109">
        <f>IFERROR(__xludf.DUMMYFUNCTION("""COMPUTED_VALUE"""),57337.0)</f>
        <v>57337</v>
      </c>
      <c r="O132" s="100"/>
      <c r="P132" s="371" t="str">
        <f>IFERROR(__xludf.DUMMYFUNCTION("""COMPUTED_VALUE"""),"")</f>
        <v/>
      </c>
      <c r="R132" s="358"/>
      <c r="S132" s="100"/>
      <c r="T132" s="102">
        <f>IFERROR(__xludf.DUMMYFUNCTION("""COMPUTED_VALUE"""),2.0)</f>
        <v>2</v>
      </c>
      <c r="U132" s="103" t="str">
        <f>IFERROR(__xludf.DUMMYFUNCTION("""COMPUTED_VALUE"""),"TRF15")</f>
        <v>TRF15</v>
      </c>
      <c r="V132" s="104" t="str">
        <f>IFERROR(__xludf.DUMMYFUNCTION("""COMPUTED_VALUE"""),"Chaldea Gate (Thu)")</f>
        <v>Chaldea Gate (Thu)</v>
      </c>
      <c r="W132" s="104" t="str">
        <f>IFERROR(__xludf.DUMMYFUNCTION("""COMPUTED_VALUE"""),"THU Rider Training Ground- Adv")</f>
        <v>THU Rider Training Ground- Adv</v>
      </c>
      <c r="X132" s="109">
        <f>IFERROR(__xludf.DUMMYFUNCTION("""COMPUTED_VALUE"""),30.0)</f>
        <v>30</v>
      </c>
      <c r="Y132" s="110">
        <f>IFERROR(__xludf.DUMMYFUNCTION("""COMPUTED_VALUE"""),18.958333333333332)</f>
        <v>18.95833333</v>
      </c>
      <c r="Z132" s="112">
        <f>IFERROR(__xludf.DUMMYFUNCTION("""COMPUTED_VALUE"""),77.3)</f>
        <v>77.3</v>
      </c>
      <c r="AA132" s="121" t="str">
        <f>IFERROR(__xludf.DUMMYFUNCTION("""COMPUTED_VALUE"""),"AP")</f>
        <v>AP</v>
      </c>
      <c r="AB132" s="123">
        <f>IFERROR(__xludf.DUMMYFUNCTION("""COMPUTED_VALUE"""),40.7)</f>
        <v>40.7</v>
      </c>
      <c r="AC132" s="121" t="str">
        <f>IFERROR(__xludf.DUMMYFUNCTION("""COMPUTED_VALUE"""),"％")</f>
        <v>％</v>
      </c>
      <c r="AD132" s="109">
        <f>IFERROR(__xludf.DUMMYFUNCTION("""COMPUTED_VALUE"""),721.0)</f>
        <v>721</v>
      </c>
      <c r="AE132" s="100"/>
      <c r="AF132" s="372" t="str">
        <f>IFERROR(__xludf.DUMMYFUNCTION("""COMPUTED_VALUE"""),"")</f>
        <v/>
      </c>
    </row>
    <row r="133" ht="16.5" customHeight="1">
      <c r="C133" s="100"/>
      <c r="D133" s="130">
        <f>IFERROR(__xludf.DUMMYFUNCTION("""COMPUTED_VALUE"""),3.0)</f>
        <v>3</v>
      </c>
      <c r="E133" s="132" t="str">
        <f>IFERROR(__xludf.DUMMYFUNCTION("""COMPUTED_VALUE"""),"SIN9")</f>
        <v>SIN9</v>
      </c>
      <c r="F133" s="133" t="str">
        <f>IFERROR(__xludf.DUMMYFUNCTION("""COMPUTED_VALUE"""),"SIN")</f>
        <v>SIN</v>
      </c>
      <c r="G133" s="135" t="str">
        <f>IFERROR(__xludf.DUMMYFUNCTION("""COMPUTED_VALUE"""),"Dapingyu")</f>
        <v>Dapingyu</v>
      </c>
      <c r="H133" s="137">
        <f>IFERROR(__xludf.DUMMYFUNCTION("""COMPUTED_VALUE"""),21.0)</f>
        <v>21</v>
      </c>
      <c r="I133" s="139">
        <f>IFERROR(__xludf.DUMMYFUNCTION("""COMPUTED_VALUE"""),49.70238095238095)</f>
        <v>49.70238095</v>
      </c>
      <c r="J133" s="141">
        <f>IFERROR(__xludf.DUMMYFUNCTION("""COMPUTED_VALUE"""),83.6)</f>
        <v>83.6</v>
      </c>
      <c r="K133" s="143" t="str">
        <f>IFERROR(__xludf.DUMMYFUNCTION("""COMPUTED_VALUE"""),"AP")</f>
        <v>AP</v>
      </c>
      <c r="L133" s="145">
        <f>IFERROR(__xludf.DUMMYFUNCTION("""COMPUTED_VALUE"""),25.1)</f>
        <v>25.1</v>
      </c>
      <c r="M133" s="143" t="str">
        <f>IFERROR(__xludf.DUMMYFUNCTION("""COMPUTED_VALUE"""),"％")</f>
        <v>％</v>
      </c>
      <c r="N133" s="137">
        <f>IFERROR(__xludf.DUMMYFUNCTION("""COMPUTED_VALUE"""),8397.0)</f>
        <v>8397</v>
      </c>
      <c r="O133" s="100"/>
      <c r="P133" s="371" t="str">
        <f>IFERROR(__xludf.DUMMYFUNCTION("""COMPUTED_VALUE"""),"")</f>
        <v/>
      </c>
      <c r="R133" s="358"/>
      <c r="S133" s="100"/>
      <c r="T133" s="130">
        <f>IFERROR(__xludf.DUMMYFUNCTION("""COMPUTED_VALUE"""),3.0)</f>
        <v>3</v>
      </c>
      <c r="U133" s="132" t="str">
        <f>IFERROR(__xludf.DUMMYFUNCTION("""COMPUTED_VALUE"""),"TRF14")</f>
        <v>TRF14</v>
      </c>
      <c r="V133" s="133" t="str">
        <f>IFERROR(__xludf.DUMMYFUNCTION("""COMPUTED_VALUE"""),"Chaldea Gate (Thu)")</f>
        <v>Chaldea Gate (Thu)</v>
      </c>
      <c r="W133" s="133" t="str">
        <f>IFERROR(__xludf.DUMMYFUNCTION("""COMPUTED_VALUE"""),"THU Rider Training Ground- Int")</f>
        <v>THU Rider Training Ground- Int</v>
      </c>
      <c r="X133" s="137">
        <f>IFERROR(__xludf.DUMMYFUNCTION("""COMPUTED_VALUE"""),20.0)</f>
        <v>20</v>
      </c>
      <c r="Y133" s="139">
        <f>IFERROR(__xludf.DUMMYFUNCTION("""COMPUTED_VALUE"""),19.0625)</f>
        <v>19.0625</v>
      </c>
      <c r="Z133" s="141">
        <f>IFERROR(__xludf.DUMMYFUNCTION("""COMPUTED_VALUE"""),288.3)</f>
        <v>288.3</v>
      </c>
      <c r="AA133" s="143" t="str">
        <f>IFERROR(__xludf.DUMMYFUNCTION("""COMPUTED_VALUE"""),"AP")</f>
        <v>AP</v>
      </c>
      <c r="AB133" s="145">
        <f>IFERROR(__xludf.DUMMYFUNCTION("""COMPUTED_VALUE"""),6.9)</f>
        <v>6.9</v>
      </c>
      <c r="AC133" s="143" t="str">
        <f>IFERROR(__xludf.DUMMYFUNCTION("""COMPUTED_VALUE"""),"％")</f>
        <v>％</v>
      </c>
      <c r="AD133" s="137">
        <f>IFERROR(__xludf.DUMMYFUNCTION("""COMPUTED_VALUE"""),712.0)</f>
        <v>712</v>
      </c>
      <c r="AE133" s="100"/>
      <c r="AF133" s="372" t="str">
        <f>IFERROR(__xludf.DUMMYFUNCTION("""COMPUTED_VALUE"""),"")</f>
        <v/>
      </c>
    </row>
    <row r="134" ht="16.5" customHeight="1">
      <c r="C134" s="100"/>
      <c r="D134" s="146">
        <f>IFERROR(__xludf.DUMMYFUNCTION("""COMPUTED_VALUE"""),4.0)</f>
        <v>4</v>
      </c>
      <c r="E134" s="148" t="str">
        <f>IFERROR(__xludf.DUMMYFUNCTION("""COMPUTED_VALUE"""),"SIN10")</f>
        <v>SIN10</v>
      </c>
      <c r="F134" s="150" t="str">
        <f>IFERROR(__xludf.DUMMYFUNCTION("""COMPUTED_VALUE"""),"SIN")</f>
        <v>SIN</v>
      </c>
      <c r="G134" s="152" t="str">
        <f>IFERROR(__xludf.DUMMYFUNCTION("""COMPUTED_VALUE"""),"Xianyang")</f>
        <v>Xianyang</v>
      </c>
      <c r="H134" s="154">
        <f>IFERROR(__xludf.DUMMYFUNCTION("""COMPUTED_VALUE"""),21.0)</f>
        <v>21</v>
      </c>
      <c r="I134" s="156">
        <f>IFERROR(__xludf.DUMMYFUNCTION("""COMPUTED_VALUE"""),50.892857142857146)</f>
        <v>50.89285714</v>
      </c>
      <c r="J134" s="158">
        <f>IFERROR(__xludf.DUMMYFUNCTION("""COMPUTED_VALUE"""),107.6)</f>
        <v>107.6</v>
      </c>
      <c r="K134" s="160" t="str">
        <f>IFERROR(__xludf.DUMMYFUNCTION("""COMPUTED_VALUE"""),"AP")</f>
        <v>AP</v>
      </c>
      <c r="L134" s="162">
        <f>IFERROR(__xludf.DUMMYFUNCTION("""COMPUTED_VALUE"""),19.5)</f>
        <v>19.5</v>
      </c>
      <c r="M134" s="160" t="str">
        <f>IFERROR(__xludf.DUMMYFUNCTION("""COMPUTED_VALUE"""),"％")</f>
        <v>％</v>
      </c>
      <c r="N134" s="154">
        <f>IFERROR(__xludf.DUMMYFUNCTION("""COMPUTED_VALUE"""),7993.0)</f>
        <v>7993</v>
      </c>
      <c r="O134" s="100"/>
      <c r="P134" s="371" t="str">
        <f>IFERROR(__xludf.DUMMYFUNCTION("""COMPUTED_VALUE"""),"")</f>
        <v/>
      </c>
      <c r="R134" s="358"/>
      <c r="S134" s="100"/>
      <c r="T134" s="146">
        <f>IFERROR(__xludf.DUMMYFUNCTION("""COMPUTED_VALUE"""),4.0)</f>
        <v>4</v>
      </c>
      <c r="U134" s="148" t="str">
        <f>IFERROR(__xludf.DUMMYFUNCTION("""COMPUTED_VALUE"""),"TRF13")</f>
        <v>TRF13</v>
      </c>
      <c r="V134" s="150" t="str">
        <f>IFERROR(__xludf.DUMMYFUNCTION("""COMPUTED_VALUE"""),"Chaldea Gate (Thu)")</f>
        <v>Chaldea Gate (Thu)</v>
      </c>
      <c r="W134" s="150" t="str">
        <f>IFERROR(__xludf.DUMMYFUNCTION("""COMPUTED_VALUE"""),"THU Rider Training Ground- Nov")</f>
        <v>THU Rider Training Ground- Nov</v>
      </c>
      <c r="X134" s="154">
        <f>IFERROR(__xludf.DUMMYFUNCTION("""COMPUTED_VALUE"""),10.0)</f>
        <v>10</v>
      </c>
      <c r="Y134" s="156">
        <f>IFERROR(__xludf.DUMMYFUNCTION("""COMPUTED_VALUE"""),19.375)</f>
        <v>19.375</v>
      </c>
      <c r="Z134" s="158">
        <f>IFERROR(__xludf.DUMMYFUNCTION("""COMPUTED_VALUE"""),563.1)</f>
        <v>563.1</v>
      </c>
      <c r="AA134" s="160" t="str">
        <f>IFERROR(__xludf.DUMMYFUNCTION("""COMPUTED_VALUE"""),"AP")</f>
        <v>AP</v>
      </c>
      <c r="AB134" s="162">
        <f>IFERROR(__xludf.DUMMYFUNCTION("""COMPUTED_VALUE"""),1.8)</f>
        <v>1.8</v>
      </c>
      <c r="AC134" s="160" t="str">
        <f>IFERROR(__xludf.DUMMYFUNCTION("""COMPUTED_VALUE"""),"％")</f>
        <v>％</v>
      </c>
      <c r="AD134" s="154">
        <f>IFERROR(__xludf.DUMMYFUNCTION("""COMPUTED_VALUE"""),923.0)</f>
        <v>923</v>
      </c>
      <c r="AE134" s="100"/>
      <c r="AF134" s="372" t="str">
        <f>IFERROR(__xludf.DUMMYFUNCTION("""COMPUTED_VALUE"""),"")</f>
        <v/>
      </c>
    </row>
    <row r="135" ht="16.5" customHeight="1">
      <c r="A135" s="166"/>
      <c r="C135" s="168"/>
      <c r="D135" s="169">
        <f>IFERROR(__xludf.DUMMYFUNCTION("""COMPUTED_VALUE"""),5.0)</f>
        <v>5</v>
      </c>
      <c r="E135" s="170" t="str">
        <f>IFERROR(__xludf.DUMMYFUNCTION("""COMPUTED_VALUE"""),"")</f>
        <v/>
      </c>
      <c r="F135" s="51" t="str">
        <f>IFERROR(__xludf.DUMMYFUNCTION("""COMPUTED_VALUE"""),"")</f>
        <v/>
      </c>
      <c r="G135" s="51" t="str">
        <f>IFERROR(__xludf.DUMMYFUNCTION("""COMPUTED_VALUE"""),"")</f>
        <v/>
      </c>
      <c r="H135" s="172" t="str">
        <f>IFERROR(__xludf.DUMMYFUNCTION("""COMPUTED_VALUE"""),"")</f>
        <v/>
      </c>
      <c r="I135" s="173" t="str">
        <f>IFERROR(__xludf.DUMMYFUNCTION("""COMPUTED_VALUE"""),"")</f>
        <v/>
      </c>
      <c r="J135" s="174" t="str">
        <f>IFERROR(__xludf.DUMMYFUNCTION("""COMPUTED_VALUE"""),"")</f>
        <v/>
      </c>
      <c r="K135" s="175" t="str">
        <f>IFERROR(__xludf.DUMMYFUNCTION("""COMPUTED_VALUE"""),"AP")</f>
        <v>AP</v>
      </c>
      <c r="L135" s="176" t="str">
        <f>IFERROR(__xludf.DUMMYFUNCTION("""COMPUTED_VALUE"""),"")</f>
        <v/>
      </c>
      <c r="M135" s="175" t="str">
        <f>IFERROR(__xludf.DUMMYFUNCTION("""COMPUTED_VALUE"""),"％")</f>
        <v>％</v>
      </c>
      <c r="N135" s="172" t="str">
        <f>IFERROR(__xludf.DUMMYFUNCTION("""COMPUTED_VALUE"""),"")</f>
        <v/>
      </c>
      <c r="O135" s="168"/>
      <c r="P135" s="371" t="str">
        <f>IFERROR(__xludf.DUMMYFUNCTION("""COMPUTED_VALUE"""),"")</f>
        <v/>
      </c>
      <c r="Q135" s="166"/>
      <c r="R135" s="359"/>
      <c r="S135" s="168"/>
      <c r="T135" s="169">
        <f>IFERROR(__xludf.DUMMYFUNCTION("""COMPUTED_VALUE"""),5.0)</f>
        <v>5</v>
      </c>
      <c r="U135" s="170" t="str">
        <f>IFERROR(__xludf.DUMMYFUNCTION("""COMPUTED_VALUE"""),"OKN2")</f>
        <v>OKN2</v>
      </c>
      <c r="V135" s="51" t="str">
        <f>IFERROR(__xludf.DUMMYFUNCTION("""COMPUTED_VALUE"""),"Okeanos")</f>
        <v>Okeanos</v>
      </c>
      <c r="W135" s="171" t="str">
        <f>IFERROR(__xludf.DUMMYFUNCTION("""COMPUTED_VALUE"""),"Pirate Island")</f>
        <v>Pirate Island</v>
      </c>
      <c r="X135" s="172">
        <f>IFERROR(__xludf.DUMMYFUNCTION("""COMPUTED_VALUE"""),13.0)</f>
        <v>13</v>
      </c>
      <c r="Y135" s="173">
        <f>IFERROR(__xludf.DUMMYFUNCTION("""COMPUTED_VALUE"""),34.13461538461539)</f>
        <v>34.13461538</v>
      </c>
      <c r="Z135" s="174">
        <f>IFERROR(__xludf.DUMMYFUNCTION("""COMPUTED_VALUE"""),612.4)</f>
        <v>612.4</v>
      </c>
      <c r="AA135" s="175" t="str">
        <f>IFERROR(__xludf.DUMMYFUNCTION("""COMPUTED_VALUE"""),"AP")</f>
        <v>AP</v>
      </c>
      <c r="AB135" s="176">
        <f>IFERROR(__xludf.DUMMYFUNCTION("""COMPUTED_VALUE"""),2.1)</f>
        <v>2.1</v>
      </c>
      <c r="AC135" s="175" t="str">
        <f>IFERROR(__xludf.DUMMYFUNCTION("""COMPUTED_VALUE"""),"％")</f>
        <v>％</v>
      </c>
      <c r="AD135" s="172">
        <f>IFERROR(__xludf.DUMMYFUNCTION("""COMPUTED_VALUE"""),424.0)</f>
        <v>424</v>
      </c>
      <c r="AE135" s="168"/>
      <c r="AF135" s="372" t="str">
        <f>IFERROR(__xludf.DUMMYFUNCTION("""COMPUTED_VALUE"""),"")</f>
        <v/>
      </c>
    </row>
    <row r="136" ht="16.5" customHeight="1">
      <c r="A136" s="61" t="str">
        <f>IFERROR(__xludf.DUMMYFUNCTION("""COMPUTED_VALUE"""),"")</f>
        <v/>
      </c>
      <c r="B136" s="366" t="str">
        <f>IFERROR(__xludf.DUMMYFUNCTION("""COMPUTED_VALUE"""),"A217")</f>
        <v>A217</v>
      </c>
      <c r="C136" s="180" t="str">
        <f>IFERROR(__xludf.DUMMYFUNCTION("""COMPUTED_VALUE"""),"Arrowhead of Disastrous Sin")</f>
        <v>Arrowhead of Disastrous Sin</v>
      </c>
      <c r="D136" s="181">
        <f>IFERROR(__xludf.DUMMYFUNCTION("""COMPUTED_VALUE"""),1.0)</f>
        <v>1</v>
      </c>
      <c r="E136" s="182" t="str">
        <f>IFERROR(__xludf.DUMMYFUNCTION("""COMPUTED_VALUE"""),"YKS7")</f>
        <v>YKS7</v>
      </c>
      <c r="F136" s="184" t="str">
        <f>IFERROR(__xludf.DUMMYFUNCTION("""COMPUTED_VALUE"""),"Yuga Kshetra")</f>
        <v>Yuga Kshetra</v>
      </c>
      <c r="G136" s="189" t="str">
        <f>IFERROR(__xludf.DUMMYFUNCTION("""COMPUTED_VALUE"""),"Divine Sky Rock Ruins")</f>
        <v>Divine Sky Rock Ruins</v>
      </c>
      <c r="H136" s="190">
        <f>IFERROR(__xludf.DUMMYFUNCTION("""COMPUTED_VALUE"""),21.0)</f>
        <v>21</v>
      </c>
      <c r="I136" s="191">
        <f>IFERROR(__xludf.DUMMYFUNCTION("""COMPUTED_VALUE"""),49.70238095238095)</f>
        <v>49.70238095</v>
      </c>
      <c r="J136" s="192">
        <f>IFERROR(__xludf.DUMMYFUNCTION("""COMPUTED_VALUE"""),53.0)</f>
        <v>53</v>
      </c>
      <c r="K136" s="194" t="str">
        <f>IFERROR(__xludf.DUMMYFUNCTION("""COMPUTED_VALUE"""),"AP")</f>
        <v>AP</v>
      </c>
      <c r="L136" s="192">
        <f>IFERROR(__xludf.DUMMYFUNCTION("""COMPUTED_VALUE"""),39.6)</f>
        <v>39.6</v>
      </c>
      <c r="M136" s="194" t="str">
        <f>IFERROR(__xludf.DUMMYFUNCTION("""COMPUTED_VALUE"""),"％")</f>
        <v>％</v>
      </c>
      <c r="N136" s="190">
        <f>IFERROR(__xludf.DUMMYFUNCTION("""COMPUTED_VALUE"""),1530.0)</f>
        <v>1530</v>
      </c>
      <c r="O136" s="197" t="str">
        <f>IFERROR(__xludf.DUMMYFUNCTION("""COMPUTED_VALUE"""),"Arrowhead of Disastrous Sin")</f>
        <v>Arrowhead of Disastrous Sin</v>
      </c>
      <c r="P136" s="371" t="str">
        <f>IFERROR(__xludf.DUMMYFUNCTION("""COMPUTED_VALUE"""),"")</f>
        <v/>
      </c>
      <c r="Q136" s="61" t="str">
        <f>IFERROR(__xludf.DUMMYFUNCTION("""COMPUTED_VALUE"""),"")</f>
        <v/>
      </c>
      <c r="R136" s="199" t="str">
        <f>IFERROR(__xludf.DUMMYFUNCTION("""COMPUTED_VALUE"""),"B205")</f>
        <v>B205</v>
      </c>
      <c r="S136" s="180" t="str">
        <f>IFERROR(__xludf.DUMMYFUNCTION("""COMPUTED_VALUE"""),"Caster Monument")</f>
        <v>Caster Monument</v>
      </c>
      <c r="T136" s="181">
        <f>IFERROR(__xludf.DUMMYFUNCTION("""COMPUTED_VALUE"""),1.0)</f>
        <v>1</v>
      </c>
      <c r="U136" s="182" t="str">
        <f>IFERROR(__xludf.DUMMYFUNCTION("""COMPUTED_VALUE"""),"TRF20")</f>
        <v>TRF20</v>
      </c>
      <c r="V136" s="184" t="str">
        <f>IFERROR(__xludf.DUMMYFUNCTION("""COMPUTED_VALUE"""),"Chaldea Gate (Fri)")</f>
        <v>Chaldea Gate (Fri)</v>
      </c>
      <c r="W136" s="184" t="str">
        <f>IFERROR(__xludf.DUMMYFUNCTION("""COMPUTED_VALUE"""),"FRI Caster Training Ground- Exp")</f>
        <v>FRI Caster Training Ground- Exp</v>
      </c>
      <c r="X136" s="190">
        <f>IFERROR(__xludf.DUMMYFUNCTION("""COMPUTED_VALUE"""),40.0)</f>
        <v>40</v>
      </c>
      <c r="Y136" s="191">
        <f>IFERROR(__xludf.DUMMYFUNCTION("""COMPUTED_VALUE"""),20.46875)</f>
        <v>20.46875</v>
      </c>
      <c r="Z136" s="192">
        <f>IFERROR(__xludf.DUMMYFUNCTION("""COMPUTED_VALUE"""),70.3)</f>
        <v>70.3</v>
      </c>
      <c r="AA136" s="194" t="str">
        <f>IFERROR(__xludf.DUMMYFUNCTION("""COMPUTED_VALUE"""),"AP")</f>
        <v>AP</v>
      </c>
      <c r="AB136" s="192">
        <f>IFERROR(__xludf.DUMMYFUNCTION("""COMPUTED_VALUE"""),56.9)</f>
        <v>56.9</v>
      </c>
      <c r="AC136" s="194" t="str">
        <f>IFERROR(__xludf.DUMMYFUNCTION("""COMPUTED_VALUE"""),"％")</f>
        <v>％</v>
      </c>
      <c r="AD136" s="190">
        <f>IFERROR(__xludf.DUMMYFUNCTION("""COMPUTED_VALUE"""),10906.0)</f>
        <v>10906</v>
      </c>
      <c r="AE136" s="197" t="str">
        <f>IFERROR(__xludf.DUMMYFUNCTION("""COMPUTED_VALUE"""),"Caster Monument")</f>
        <v>Caster Monument</v>
      </c>
      <c r="AF136" s="372" t="str">
        <f>IFERROR(__xludf.DUMMYFUNCTION("""COMPUTED_VALUE"""),"")</f>
        <v/>
      </c>
    </row>
    <row r="137" ht="16.5" customHeight="1">
      <c r="C137" s="204"/>
      <c r="D137" s="205">
        <f>IFERROR(__xludf.DUMMYFUNCTION("""COMPUTED_VALUE"""),2.0)</f>
        <v>2</v>
      </c>
      <c r="E137" s="206" t="str">
        <f>IFERROR(__xludf.DUMMYFUNCTION("""COMPUTED_VALUE"""),"YKS1")</f>
        <v>YKS1</v>
      </c>
      <c r="F137" s="207" t="str">
        <f>IFERROR(__xludf.DUMMYFUNCTION("""COMPUTED_VALUE"""),"Yuga Kshetra")</f>
        <v>Yuga Kshetra</v>
      </c>
      <c r="G137" s="209" t="str">
        <f>IFERROR(__xludf.DUMMYFUNCTION("""COMPUTED_VALUE"""),"Initiate Point")</f>
        <v>Initiate Point</v>
      </c>
      <c r="H137" s="211">
        <f>IFERROR(__xludf.DUMMYFUNCTION("""COMPUTED_VALUE"""),20.0)</f>
        <v>20</v>
      </c>
      <c r="I137" s="213">
        <f>IFERROR(__xludf.DUMMYFUNCTION("""COMPUTED_VALUE"""),48.4375)</f>
        <v>48.4375</v>
      </c>
      <c r="J137" s="214">
        <f>IFERROR(__xludf.DUMMYFUNCTION("""COMPUTED_VALUE"""),57.0)</f>
        <v>57</v>
      </c>
      <c r="K137" s="215" t="str">
        <f>IFERROR(__xludf.DUMMYFUNCTION("""COMPUTED_VALUE"""),"AP")</f>
        <v>AP</v>
      </c>
      <c r="L137" s="214">
        <f>IFERROR(__xludf.DUMMYFUNCTION("""COMPUTED_VALUE"""),35.1)</f>
        <v>35.1</v>
      </c>
      <c r="M137" s="215" t="str">
        <f>IFERROR(__xludf.DUMMYFUNCTION("""COMPUTED_VALUE"""),"％")</f>
        <v>％</v>
      </c>
      <c r="N137" s="211">
        <f>IFERROR(__xludf.DUMMYFUNCTION("""COMPUTED_VALUE"""),1430.0)</f>
        <v>1430</v>
      </c>
      <c r="O137" s="217"/>
      <c r="P137" s="371" t="str">
        <f>IFERROR(__xludf.DUMMYFUNCTION("""COMPUTED_VALUE"""),"")</f>
        <v/>
      </c>
      <c r="R137" s="203"/>
      <c r="S137" s="204"/>
      <c r="T137" s="205">
        <f>IFERROR(__xludf.DUMMYFUNCTION("""COMPUTED_VALUE"""),2.0)</f>
        <v>2</v>
      </c>
      <c r="U137" s="206" t="str">
        <f>IFERROR(__xludf.DUMMYFUNCTION("""COMPUTED_VALUE"""),"TRF19")</f>
        <v>TRF19</v>
      </c>
      <c r="V137" s="207" t="str">
        <f>IFERROR(__xludf.DUMMYFUNCTION("""COMPUTED_VALUE"""),"Chaldea Gate (Fri)")</f>
        <v>Chaldea Gate (Fri)</v>
      </c>
      <c r="W137" s="207" t="str">
        <f>IFERROR(__xludf.DUMMYFUNCTION("""COMPUTED_VALUE"""),"FRI Caster Training Ground- Adv")</f>
        <v>FRI Caster Training Ground- Adv</v>
      </c>
      <c r="X137" s="211">
        <f>IFERROR(__xludf.DUMMYFUNCTION("""COMPUTED_VALUE"""),30.0)</f>
        <v>30</v>
      </c>
      <c r="Y137" s="213">
        <f>IFERROR(__xludf.DUMMYFUNCTION("""COMPUTED_VALUE"""),18.958333333333332)</f>
        <v>18.95833333</v>
      </c>
      <c r="Z137" s="214">
        <f>IFERROR(__xludf.DUMMYFUNCTION("""COMPUTED_VALUE"""),93.2)</f>
        <v>93.2</v>
      </c>
      <c r="AA137" s="215" t="str">
        <f>IFERROR(__xludf.DUMMYFUNCTION("""COMPUTED_VALUE"""),"AP")</f>
        <v>AP</v>
      </c>
      <c r="AB137" s="214">
        <f>IFERROR(__xludf.DUMMYFUNCTION("""COMPUTED_VALUE"""),32.2)</f>
        <v>32.2</v>
      </c>
      <c r="AC137" s="215" t="str">
        <f>IFERROR(__xludf.DUMMYFUNCTION("""COMPUTED_VALUE"""),"％")</f>
        <v>％</v>
      </c>
      <c r="AD137" s="211">
        <f>IFERROR(__xludf.DUMMYFUNCTION("""COMPUTED_VALUE"""),1241.0)</f>
        <v>1241</v>
      </c>
      <c r="AE137" s="217"/>
      <c r="AF137" s="372" t="str">
        <f>IFERROR(__xludf.DUMMYFUNCTION("""COMPUTED_VALUE"""),"")</f>
        <v/>
      </c>
    </row>
    <row r="138" ht="16.5" customHeight="1">
      <c r="C138" s="204"/>
      <c r="D138" s="222">
        <f>IFERROR(__xludf.DUMMYFUNCTION("""COMPUTED_VALUE"""),3.0)</f>
        <v>3</v>
      </c>
      <c r="E138" s="223" t="str">
        <f>IFERROR(__xludf.DUMMYFUNCTION("""COMPUTED_VALUE"""),"YKS3")</f>
        <v>YKS3</v>
      </c>
      <c r="F138" s="224" t="str">
        <f>IFERROR(__xludf.DUMMYFUNCTION("""COMPUTED_VALUE"""),"Yuga Kshetra")</f>
        <v>Yuga Kshetra</v>
      </c>
      <c r="G138" s="226" t="str">
        <f>IFERROR(__xludf.DUMMYFUNCTION("""COMPUTED_VALUE"""),"Secluded Grotto")</f>
        <v>Secluded Grotto</v>
      </c>
      <c r="H138" s="228">
        <f>IFERROR(__xludf.DUMMYFUNCTION("""COMPUTED_VALUE"""),21.0)</f>
        <v>21</v>
      </c>
      <c r="I138" s="230">
        <f>IFERROR(__xludf.DUMMYFUNCTION("""COMPUTED_VALUE"""),47.32142857142857)</f>
        <v>47.32142857</v>
      </c>
      <c r="J138" s="231">
        <f>IFERROR(__xludf.DUMMYFUNCTION("""COMPUTED_VALUE"""),73.4)</f>
        <v>73.4</v>
      </c>
      <c r="K138" s="232" t="str">
        <f>IFERROR(__xludf.DUMMYFUNCTION("""COMPUTED_VALUE"""),"AP")</f>
        <v>AP</v>
      </c>
      <c r="L138" s="231">
        <f>IFERROR(__xludf.DUMMYFUNCTION("""COMPUTED_VALUE"""),28.6)</f>
        <v>28.6</v>
      </c>
      <c r="M138" s="232" t="str">
        <f>IFERROR(__xludf.DUMMYFUNCTION("""COMPUTED_VALUE"""),"％")</f>
        <v>％</v>
      </c>
      <c r="N138" s="228">
        <f>IFERROR(__xludf.DUMMYFUNCTION("""COMPUTED_VALUE"""),374.0)</f>
        <v>374</v>
      </c>
      <c r="O138" s="217"/>
      <c r="P138" s="371" t="str">
        <f>IFERROR(__xludf.DUMMYFUNCTION("""COMPUTED_VALUE"""),"")</f>
        <v/>
      </c>
      <c r="R138" s="203"/>
      <c r="S138" s="204"/>
      <c r="T138" s="222">
        <f>IFERROR(__xludf.DUMMYFUNCTION("""COMPUTED_VALUE"""),3.0)</f>
        <v>3</v>
      </c>
      <c r="U138" s="223" t="str">
        <f>IFERROR(__xludf.DUMMYFUNCTION("""COMPUTED_VALUE"""),"TRF18")</f>
        <v>TRF18</v>
      </c>
      <c r="V138" s="224" t="str">
        <f>IFERROR(__xludf.DUMMYFUNCTION("""COMPUTED_VALUE"""),"Chaldea Gate (Fri)")</f>
        <v>Chaldea Gate (Fri)</v>
      </c>
      <c r="W138" s="224" t="str">
        <f>IFERROR(__xludf.DUMMYFUNCTION("""COMPUTED_VALUE"""),"FRI Caster Training Ground- Int")</f>
        <v>FRI Caster Training Ground- Int</v>
      </c>
      <c r="X138" s="228">
        <f>IFERROR(__xludf.DUMMYFUNCTION("""COMPUTED_VALUE"""),20.0)</f>
        <v>20</v>
      </c>
      <c r="Y138" s="230">
        <f>IFERROR(__xludf.DUMMYFUNCTION("""COMPUTED_VALUE"""),19.0625)</f>
        <v>19.0625</v>
      </c>
      <c r="Z138" s="231">
        <f>IFERROR(__xludf.DUMMYFUNCTION("""COMPUTED_VALUE"""),279.7)</f>
        <v>279.7</v>
      </c>
      <c r="AA138" s="232" t="str">
        <f>IFERROR(__xludf.DUMMYFUNCTION("""COMPUTED_VALUE"""),"AP")</f>
        <v>AP</v>
      </c>
      <c r="AB138" s="231">
        <f>IFERROR(__xludf.DUMMYFUNCTION("""COMPUTED_VALUE"""),7.2)</f>
        <v>7.2</v>
      </c>
      <c r="AC138" s="232" t="str">
        <f>IFERROR(__xludf.DUMMYFUNCTION("""COMPUTED_VALUE"""),"％")</f>
        <v>％</v>
      </c>
      <c r="AD138" s="228">
        <f>IFERROR(__xludf.DUMMYFUNCTION("""COMPUTED_VALUE"""),893.0)</f>
        <v>893</v>
      </c>
      <c r="AE138" s="217"/>
      <c r="AF138" s="372" t="str">
        <f>IFERROR(__xludf.DUMMYFUNCTION("""COMPUTED_VALUE"""),"")</f>
        <v/>
      </c>
    </row>
    <row r="139" ht="16.5" customHeight="1">
      <c r="C139" s="204"/>
      <c r="D139" s="238">
        <f>IFERROR(__xludf.DUMMYFUNCTION("""COMPUTED_VALUE"""),4.0)</f>
        <v>4</v>
      </c>
      <c r="E139" s="240" t="str">
        <f>IFERROR(__xludf.DUMMYFUNCTION("""COMPUTED_VALUE"""),"YKS5")</f>
        <v>YKS5</v>
      </c>
      <c r="F139" s="242" t="str">
        <f>IFERROR(__xludf.DUMMYFUNCTION("""COMPUTED_VALUE"""),"Yuga Kshetra")</f>
        <v>Yuga Kshetra</v>
      </c>
      <c r="G139" s="244" t="str">
        <f>IFERROR(__xludf.DUMMYFUNCTION("""COMPUTED_VALUE"""),"Western Fault")</f>
        <v>Western Fault</v>
      </c>
      <c r="H139" s="246">
        <f>IFERROR(__xludf.DUMMYFUNCTION("""COMPUTED_VALUE"""),21.0)</f>
        <v>21</v>
      </c>
      <c r="I139" s="248">
        <f>IFERROR(__xludf.DUMMYFUNCTION("""COMPUTED_VALUE"""),48.51190476190476)</f>
        <v>48.51190476</v>
      </c>
      <c r="J139" s="250">
        <f>IFERROR(__xludf.DUMMYFUNCTION("""COMPUTED_VALUE"""),80.8)</f>
        <v>80.8</v>
      </c>
      <c r="K139" s="252" t="str">
        <f>IFERROR(__xludf.DUMMYFUNCTION("""COMPUTED_VALUE"""),"AP")</f>
        <v>AP</v>
      </c>
      <c r="L139" s="250">
        <f>IFERROR(__xludf.DUMMYFUNCTION("""COMPUTED_VALUE"""),26.0)</f>
        <v>26</v>
      </c>
      <c r="M139" s="252" t="str">
        <f>IFERROR(__xludf.DUMMYFUNCTION("""COMPUTED_VALUE"""),"％")</f>
        <v>％</v>
      </c>
      <c r="N139" s="246">
        <f>IFERROR(__xludf.DUMMYFUNCTION("""COMPUTED_VALUE"""),4610.0)</f>
        <v>4610</v>
      </c>
      <c r="O139" s="217"/>
      <c r="P139" s="371" t="str">
        <f>IFERROR(__xludf.DUMMYFUNCTION("""COMPUTED_VALUE"""),"")</f>
        <v/>
      </c>
      <c r="R139" s="203"/>
      <c r="S139" s="204"/>
      <c r="T139" s="238">
        <f>IFERROR(__xludf.DUMMYFUNCTION("""COMPUTED_VALUE"""),4.0)</f>
        <v>4</v>
      </c>
      <c r="U139" s="240" t="str">
        <f>IFERROR(__xludf.DUMMYFUNCTION("""COMPUTED_VALUE"""),"LDN5")</f>
        <v>LDN5</v>
      </c>
      <c r="V139" s="242" t="str">
        <f>IFERROR(__xludf.DUMMYFUNCTION("""COMPUTED_VALUE"""),"London")</f>
        <v>London</v>
      </c>
      <c r="W139" s="244" t="str">
        <f>IFERROR(__xludf.DUMMYFUNCTION("""COMPUTED_VALUE"""),"Westminster")</f>
        <v>Westminster</v>
      </c>
      <c r="X139" s="246">
        <f>IFERROR(__xludf.DUMMYFUNCTION("""COMPUTED_VALUE"""),16.0)</f>
        <v>16</v>
      </c>
      <c r="Y139" s="248">
        <f>IFERROR(__xludf.DUMMYFUNCTION("""COMPUTED_VALUE"""),38.671875)</f>
        <v>38.671875</v>
      </c>
      <c r="Z139" s="250">
        <f>IFERROR(__xludf.DUMMYFUNCTION("""COMPUTED_VALUE"""),280.0)</f>
        <v>280</v>
      </c>
      <c r="AA139" s="252" t="str">
        <f>IFERROR(__xludf.DUMMYFUNCTION("""COMPUTED_VALUE"""),"AP")</f>
        <v>AP</v>
      </c>
      <c r="AB139" s="250">
        <f>IFERROR(__xludf.DUMMYFUNCTION("""COMPUTED_VALUE"""),5.7)</f>
        <v>5.7</v>
      </c>
      <c r="AC139" s="252" t="str">
        <f>IFERROR(__xludf.DUMMYFUNCTION("""COMPUTED_VALUE"""),"％")</f>
        <v>％</v>
      </c>
      <c r="AD139" s="246">
        <f>IFERROR(__xludf.DUMMYFUNCTION("""COMPUTED_VALUE"""),210.0)</f>
        <v>210</v>
      </c>
      <c r="AE139" s="217"/>
      <c r="AF139" s="372" t="str">
        <f>IFERROR(__xludf.DUMMYFUNCTION("""COMPUTED_VALUE"""),"")</f>
        <v/>
      </c>
    </row>
    <row r="140" ht="16.5" customHeight="1">
      <c r="A140" s="166"/>
      <c r="C140" s="255"/>
      <c r="D140" s="256">
        <f>IFERROR(__xludf.DUMMYFUNCTION("""COMPUTED_VALUE"""),5.0)</f>
        <v>5</v>
      </c>
      <c r="E140" s="257" t="str">
        <f>IFERROR(__xludf.DUMMYFUNCTION("""COMPUTED_VALUE"""),"YKS6")</f>
        <v>YKS6</v>
      </c>
      <c r="F140" s="42" t="str">
        <f>IFERROR(__xludf.DUMMYFUNCTION("""COMPUTED_VALUE"""),"Yuga Kshetra")</f>
        <v>Yuga Kshetra</v>
      </c>
      <c r="G140" s="258" t="str">
        <f>IFERROR(__xludf.DUMMYFUNCTION("""COMPUTED_VALUE"""),"Deewar")</f>
        <v>Deewar</v>
      </c>
      <c r="H140" s="259">
        <f>IFERROR(__xludf.DUMMYFUNCTION("""COMPUTED_VALUE"""),21.0)</f>
        <v>21</v>
      </c>
      <c r="I140" s="260">
        <f>IFERROR(__xludf.DUMMYFUNCTION("""COMPUTED_VALUE"""),48.51190476190476)</f>
        <v>48.51190476</v>
      </c>
      <c r="J140" s="261">
        <f>IFERROR(__xludf.DUMMYFUNCTION("""COMPUTED_VALUE"""),82.5)</f>
        <v>82.5</v>
      </c>
      <c r="K140" s="262" t="str">
        <f>IFERROR(__xludf.DUMMYFUNCTION("""COMPUTED_VALUE"""),"AP")</f>
        <v>AP</v>
      </c>
      <c r="L140" s="261">
        <f>IFERROR(__xludf.DUMMYFUNCTION("""COMPUTED_VALUE"""),25.5)</f>
        <v>25.5</v>
      </c>
      <c r="M140" s="262" t="str">
        <f>IFERROR(__xludf.DUMMYFUNCTION("""COMPUTED_VALUE"""),"％")</f>
        <v>％</v>
      </c>
      <c r="N140" s="259">
        <f>IFERROR(__xludf.DUMMYFUNCTION("""COMPUTED_VALUE"""),56066.0)</f>
        <v>56066</v>
      </c>
      <c r="O140" s="263"/>
      <c r="P140" s="371" t="str">
        <f>IFERROR(__xludf.DUMMYFUNCTION("""COMPUTED_VALUE"""),"")</f>
        <v/>
      </c>
      <c r="Q140" s="166"/>
      <c r="R140" s="254"/>
      <c r="S140" s="255"/>
      <c r="T140" s="256">
        <f>IFERROR(__xludf.DUMMYFUNCTION("""COMPUTED_VALUE"""),5.0)</f>
        <v>5</v>
      </c>
      <c r="U140" s="257" t="str">
        <f>IFERROR(__xludf.DUMMYFUNCTION("""COMPUTED_VALUE"""),"LDN4")</f>
        <v>LDN4</v>
      </c>
      <c r="V140" s="42" t="str">
        <f>IFERROR(__xludf.DUMMYFUNCTION("""COMPUTED_VALUE"""),"London")</f>
        <v>London</v>
      </c>
      <c r="W140" s="258" t="str">
        <f>IFERROR(__xludf.DUMMYFUNCTION("""COMPUTED_VALUE"""),"Soho")</f>
        <v>Soho</v>
      </c>
      <c r="X140" s="259">
        <f>IFERROR(__xludf.DUMMYFUNCTION("""COMPUTED_VALUE"""),16.0)</f>
        <v>16</v>
      </c>
      <c r="Y140" s="260">
        <f>IFERROR(__xludf.DUMMYFUNCTION("""COMPUTED_VALUE"""),38.671875)</f>
        <v>38.671875</v>
      </c>
      <c r="Z140" s="261">
        <f>IFERROR(__xludf.DUMMYFUNCTION("""COMPUTED_VALUE"""),361.1)</f>
        <v>361.1</v>
      </c>
      <c r="AA140" s="262" t="str">
        <f>IFERROR(__xludf.DUMMYFUNCTION("""COMPUTED_VALUE"""),"AP")</f>
        <v>AP</v>
      </c>
      <c r="AB140" s="261">
        <f>IFERROR(__xludf.DUMMYFUNCTION("""COMPUTED_VALUE"""),4.4)</f>
        <v>4.4</v>
      </c>
      <c r="AC140" s="262" t="str">
        <f>IFERROR(__xludf.DUMMYFUNCTION("""COMPUTED_VALUE"""),"％")</f>
        <v>％</v>
      </c>
      <c r="AD140" s="259">
        <f>IFERROR(__xludf.DUMMYFUNCTION("""COMPUTED_VALUE"""),316.0)</f>
        <v>316</v>
      </c>
      <c r="AE140" s="263"/>
      <c r="AF140" s="372" t="str">
        <f>IFERROR(__xludf.DUMMYFUNCTION("""COMPUTED_VALUE"""),"")</f>
        <v/>
      </c>
    </row>
    <row r="141" ht="16.5" customHeight="1">
      <c r="A141" s="61" t="str">
        <f>IFERROR(__xludf.DUMMYFUNCTION("""COMPUTED_VALUE"""),"")</f>
        <v/>
      </c>
      <c r="B141" s="367" t="str">
        <f>IFERROR(__xludf.DUMMYFUNCTION("""COMPUTED_VALUE"""),"A101")</f>
        <v>A101</v>
      </c>
      <c r="C141" s="65" t="str">
        <f>IFERROR(__xludf.DUMMYFUNCTION("""COMPUTED_VALUE"""),"Claw of Chaos")</f>
        <v>Claw of Chaos</v>
      </c>
      <c r="D141" s="67">
        <f>IFERROR(__xludf.DUMMYFUNCTION("""COMPUTED_VALUE"""),1.0)</f>
        <v>1</v>
      </c>
      <c r="E141" s="69" t="str">
        <f>IFERROR(__xludf.DUMMYFUNCTION("""COMPUTED_VALUE"""),"EPU7")</f>
        <v>EPU7</v>
      </c>
      <c r="F141" s="71" t="str">
        <f>IFERROR(__xludf.DUMMYFUNCTION("""COMPUTED_VALUE"""),"E Pluribus Unum")</f>
        <v>E Pluribus Unum</v>
      </c>
      <c r="G141" s="78" t="str">
        <f>IFERROR(__xludf.DUMMYFUNCTION("""COMPUTED_VALUE"""),"Des Moines")</f>
        <v>Des Moines</v>
      </c>
      <c r="H141" s="80">
        <f>IFERROR(__xludf.DUMMYFUNCTION("""COMPUTED_VALUE"""),18.0)</f>
        <v>18</v>
      </c>
      <c r="I141" s="82">
        <f>IFERROR(__xludf.DUMMYFUNCTION("""COMPUTED_VALUE"""),42.708333333333336)</f>
        <v>42.70833333</v>
      </c>
      <c r="J141" s="84">
        <f>IFERROR(__xludf.DUMMYFUNCTION("""COMPUTED_VALUE"""),89.5)</f>
        <v>89.5</v>
      </c>
      <c r="K141" s="86" t="str">
        <f>IFERROR(__xludf.DUMMYFUNCTION("""COMPUTED_VALUE"""),"AP")</f>
        <v>AP</v>
      </c>
      <c r="L141" s="88">
        <f>IFERROR(__xludf.DUMMYFUNCTION("""COMPUTED_VALUE"""),20.1)</f>
        <v>20.1</v>
      </c>
      <c r="M141" s="86" t="str">
        <f>IFERROR(__xludf.DUMMYFUNCTION("""COMPUTED_VALUE"""),"％")</f>
        <v>％</v>
      </c>
      <c r="N141" s="80">
        <f>IFERROR(__xludf.DUMMYFUNCTION("""COMPUTED_VALUE"""),18244.0)</f>
        <v>18244</v>
      </c>
      <c r="O141" s="91" t="str">
        <f>IFERROR(__xludf.DUMMYFUNCTION("""COMPUTED_VALUE"""),"Claw of Chaos")</f>
        <v>Claw of Chaos</v>
      </c>
      <c r="P141" s="371" t="str">
        <f>IFERROR(__xludf.DUMMYFUNCTION("""COMPUTED_VALUE"""),"")</f>
        <v/>
      </c>
      <c r="Q141" s="61" t="str">
        <f>IFERROR(__xludf.DUMMYFUNCTION("""COMPUTED_VALUE"""),"")</f>
        <v/>
      </c>
      <c r="R141" s="357" t="str">
        <f>IFERROR(__xludf.DUMMYFUNCTION("""COMPUTED_VALUE"""),"B206")</f>
        <v>B206</v>
      </c>
      <c r="S141" s="65" t="str">
        <f>IFERROR(__xludf.DUMMYFUNCTION("""COMPUTED_VALUE"""),"Assassin Monument")</f>
        <v>Assassin Monument</v>
      </c>
      <c r="T141" s="67">
        <f>IFERROR(__xludf.DUMMYFUNCTION("""COMPUTED_VALUE"""),1.0)</f>
        <v>1</v>
      </c>
      <c r="U141" s="69" t="str">
        <f>IFERROR(__xludf.DUMMYFUNCTION("""COMPUTED_VALUE"""),"TRF24")</f>
        <v>TRF24</v>
      </c>
      <c r="V141" s="71" t="str">
        <f>IFERROR(__xludf.DUMMYFUNCTION("""COMPUTED_VALUE"""),"Chaldea Gate (Sat)")</f>
        <v>Chaldea Gate (Sat)</v>
      </c>
      <c r="W141" s="71" t="str">
        <f>IFERROR(__xludf.DUMMYFUNCTION("""COMPUTED_VALUE"""),"SAT Assassin Training Ground- Exp")</f>
        <v>SAT Assassin Training Ground- Exp</v>
      </c>
      <c r="X141" s="80">
        <f>IFERROR(__xludf.DUMMYFUNCTION("""COMPUTED_VALUE"""),40.0)</f>
        <v>40</v>
      </c>
      <c r="Y141" s="82">
        <f>IFERROR(__xludf.DUMMYFUNCTION("""COMPUTED_VALUE"""),20.46875)</f>
        <v>20.46875</v>
      </c>
      <c r="Z141" s="84">
        <f>IFERROR(__xludf.DUMMYFUNCTION("""COMPUTED_VALUE"""),69.7)</f>
        <v>69.7</v>
      </c>
      <c r="AA141" s="86" t="str">
        <f>IFERROR(__xludf.DUMMYFUNCTION("""COMPUTED_VALUE"""),"AP")</f>
        <v>AP</v>
      </c>
      <c r="AB141" s="88">
        <f>IFERROR(__xludf.DUMMYFUNCTION("""COMPUTED_VALUE"""),57.4)</f>
        <v>57.4</v>
      </c>
      <c r="AC141" s="86" t="str">
        <f>IFERROR(__xludf.DUMMYFUNCTION("""COMPUTED_VALUE"""),"％")</f>
        <v>％</v>
      </c>
      <c r="AD141" s="80">
        <f>IFERROR(__xludf.DUMMYFUNCTION("""COMPUTED_VALUE"""),6919.0)</f>
        <v>6919</v>
      </c>
      <c r="AE141" s="91" t="str">
        <f>IFERROR(__xludf.DUMMYFUNCTION("""COMPUTED_VALUE"""),"Assassin Monument")</f>
        <v>Assassin Monument</v>
      </c>
      <c r="AF141" s="372" t="str">
        <f>IFERROR(__xludf.DUMMYFUNCTION("""COMPUTED_VALUE"""),"")</f>
        <v/>
      </c>
    </row>
    <row r="142" ht="16.5" customHeight="1">
      <c r="C142" s="100"/>
      <c r="D142" s="102">
        <f>IFERROR(__xludf.DUMMYFUNCTION("""COMPUTED_VALUE"""),2.0)</f>
        <v>2</v>
      </c>
      <c r="E142" s="103" t="str">
        <f>IFERROR(__xludf.DUMMYFUNCTION("""COMPUTED_VALUE"""),"AGT1")</f>
        <v>AGT1</v>
      </c>
      <c r="F142" s="104" t="str">
        <f>IFERROR(__xludf.DUMMYFUNCTION("""COMPUTED_VALUE"""),"Agartha")</f>
        <v>Agartha</v>
      </c>
      <c r="G142" s="108" t="str">
        <f>IFERROR(__xludf.DUMMYFUNCTION("""COMPUTED_VALUE"""),"Underground Plains")</f>
        <v>Underground Plains</v>
      </c>
      <c r="H142" s="109">
        <f>IFERROR(__xludf.DUMMYFUNCTION("""COMPUTED_VALUE"""),20.0)</f>
        <v>20</v>
      </c>
      <c r="I142" s="110">
        <f>IFERROR(__xludf.DUMMYFUNCTION("""COMPUTED_VALUE"""),48.4375)</f>
        <v>48.4375</v>
      </c>
      <c r="J142" s="112">
        <f>IFERROR(__xludf.DUMMYFUNCTION("""COMPUTED_VALUE"""),97.3)</f>
        <v>97.3</v>
      </c>
      <c r="K142" s="121" t="str">
        <f>IFERROR(__xludf.DUMMYFUNCTION("""COMPUTED_VALUE"""),"AP")</f>
        <v>AP</v>
      </c>
      <c r="L142" s="123">
        <f>IFERROR(__xludf.DUMMYFUNCTION("""COMPUTED_VALUE"""),20.6)</f>
        <v>20.6</v>
      </c>
      <c r="M142" s="121" t="str">
        <f>IFERROR(__xludf.DUMMYFUNCTION("""COMPUTED_VALUE"""),"％")</f>
        <v>％</v>
      </c>
      <c r="N142" s="109">
        <f>IFERROR(__xludf.DUMMYFUNCTION("""COMPUTED_VALUE"""),18427.0)</f>
        <v>18427</v>
      </c>
      <c r="O142" s="100"/>
      <c r="P142" s="371" t="str">
        <f>IFERROR(__xludf.DUMMYFUNCTION("""COMPUTED_VALUE"""),"")</f>
        <v/>
      </c>
      <c r="R142" s="358"/>
      <c r="S142" s="100"/>
      <c r="T142" s="102">
        <f>IFERROR(__xludf.DUMMYFUNCTION("""COMPUTED_VALUE"""),2.0)</f>
        <v>2</v>
      </c>
      <c r="U142" s="103" t="str">
        <f>IFERROR(__xludf.DUMMYFUNCTION("""COMPUTED_VALUE"""),"TRF23")</f>
        <v>TRF23</v>
      </c>
      <c r="V142" s="104" t="str">
        <f>IFERROR(__xludf.DUMMYFUNCTION("""COMPUTED_VALUE"""),"Chaldea Gate (Sat)")</f>
        <v>Chaldea Gate (Sat)</v>
      </c>
      <c r="W142" s="104" t="str">
        <f>IFERROR(__xludf.DUMMYFUNCTION("""COMPUTED_VALUE"""),"SAT Assassin Training Ground- Adv")</f>
        <v>SAT Assassin Training Ground- Adv</v>
      </c>
      <c r="X142" s="109">
        <f>IFERROR(__xludf.DUMMYFUNCTION("""COMPUTED_VALUE"""),30.0)</f>
        <v>30</v>
      </c>
      <c r="Y142" s="110">
        <f>IFERROR(__xludf.DUMMYFUNCTION("""COMPUTED_VALUE"""),18.958333333333332)</f>
        <v>18.95833333</v>
      </c>
      <c r="Z142" s="112">
        <f>IFERROR(__xludf.DUMMYFUNCTION("""COMPUTED_VALUE"""),79.4)</f>
        <v>79.4</v>
      </c>
      <c r="AA142" s="121" t="str">
        <f>IFERROR(__xludf.DUMMYFUNCTION("""COMPUTED_VALUE"""),"AP")</f>
        <v>AP</v>
      </c>
      <c r="AB142" s="123">
        <f>IFERROR(__xludf.DUMMYFUNCTION("""COMPUTED_VALUE"""),37.8)</f>
        <v>37.8</v>
      </c>
      <c r="AC142" s="121" t="str">
        <f>IFERROR(__xludf.DUMMYFUNCTION("""COMPUTED_VALUE"""),"％")</f>
        <v>％</v>
      </c>
      <c r="AD142" s="109">
        <f>IFERROR(__xludf.DUMMYFUNCTION("""COMPUTED_VALUE"""),741.0)</f>
        <v>741</v>
      </c>
      <c r="AE142" s="100"/>
      <c r="AF142" s="372" t="str">
        <f>IFERROR(__xludf.DUMMYFUNCTION("""COMPUTED_VALUE"""),"")</f>
        <v/>
      </c>
    </row>
    <row r="143" ht="16.5" customHeight="1">
      <c r="C143" s="100"/>
      <c r="D143" s="130">
        <f>IFERROR(__xludf.DUMMYFUNCTION("""COMPUTED_VALUE"""),3.0)</f>
        <v>3</v>
      </c>
      <c r="E143" s="132" t="str">
        <f>IFERROR(__xludf.DUMMYFUNCTION("""COMPUTED_VALUE"""),"ANA14")</f>
        <v>ANA14</v>
      </c>
      <c r="F143" s="133" t="str">
        <f>IFERROR(__xludf.DUMMYFUNCTION("""COMPUTED_VALUE"""),"Anastasia")</f>
        <v>Anastasia</v>
      </c>
      <c r="G143" s="135" t="str">
        <f>IFERROR(__xludf.DUMMYFUNCTION("""COMPUTED_VALUE"""),"Yaga Ryazan")</f>
        <v>Yaga Ryazan</v>
      </c>
      <c r="H143" s="137">
        <f>IFERROR(__xludf.DUMMYFUNCTION("""COMPUTED_VALUE"""),21.0)</f>
        <v>21</v>
      </c>
      <c r="I143" s="139">
        <f>IFERROR(__xludf.DUMMYFUNCTION("""COMPUTED_VALUE"""),50.892857142857146)</f>
        <v>50.89285714</v>
      </c>
      <c r="J143" s="141">
        <f>IFERROR(__xludf.DUMMYFUNCTION("""COMPUTED_VALUE"""),101.0)</f>
        <v>101</v>
      </c>
      <c r="K143" s="143" t="str">
        <f>IFERROR(__xludf.DUMMYFUNCTION("""COMPUTED_VALUE"""),"AP")</f>
        <v>AP</v>
      </c>
      <c r="L143" s="145">
        <f>IFERROR(__xludf.DUMMYFUNCTION("""COMPUTED_VALUE"""),20.8)</f>
        <v>20.8</v>
      </c>
      <c r="M143" s="143" t="str">
        <f>IFERROR(__xludf.DUMMYFUNCTION("""COMPUTED_VALUE"""),"％")</f>
        <v>％</v>
      </c>
      <c r="N143" s="137">
        <f>IFERROR(__xludf.DUMMYFUNCTION("""COMPUTED_VALUE"""),15091.0)</f>
        <v>15091</v>
      </c>
      <c r="O143" s="100"/>
      <c r="P143" s="371" t="str">
        <f>IFERROR(__xludf.DUMMYFUNCTION("""COMPUTED_VALUE"""),"")</f>
        <v/>
      </c>
      <c r="R143" s="358"/>
      <c r="S143" s="100"/>
      <c r="T143" s="130">
        <f>IFERROR(__xludf.DUMMYFUNCTION("""COMPUTED_VALUE"""),3.0)</f>
        <v>3</v>
      </c>
      <c r="U143" s="132" t="str">
        <f>IFERROR(__xludf.DUMMYFUNCTION("""COMPUTED_VALUE"""),"TRF22")</f>
        <v>TRF22</v>
      </c>
      <c r="V143" s="133" t="str">
        <f>IFERROR(__xludf.DUMMYFUNCTION("""COMPUTED_VALUE"""),"Chaldea Gate (Sat)")</f>
        <v>Chaldea Gate (Sat)</v>
      </c>
      <c r="W143" s="133" t="str">
        <f>IFERROR(__xludf.DUMMYFUNCTION("""COMPUTED_VALUE"""),"SAT Assassin Training Ground- Int")</f>
        <v>SAT Assassin Training Ground- Int</v>
      </c>
      <c r="X143" s="137">
        <f>IFERROR(__xludf.DUMMYFUNCTION("""COMPUTED_VALUE"""),20.0)</f>
        <v>20</v>
      </c>
      <c r="Y143" s="139">
        <f>IFERROR(__xludf.DUMMYFUNCTION("""COMPUTED_VALUE"""),19.0625)</f>
        <v>19.0625</v>
      </c>
      <c r="Z143" s="141">
        <f>IFERROR(__xludf.DUMMYFUNCTION("""COMPUTED_VALUE"""),238.9)</f>
        <v>238.9</v>
      </c>
      <c r="AA143" s="143" t="str">
        <f>IFERROR(__xludf.DUMMYFUNCTION("""COMPUTED_VALUE"""),"AP")</f>
        <v>AP</v>
      </c>
      <c r="AB143" s="145">
        <f>IFERROR(__xludf.DUMMYFUNCTION("""COMPUTED_VALUE"""),8.4)</f>
        <v>8.4</v>
      </c>
      <c r="AC143" s="143" t="str">
        <f>IFERROR(__xludf.DUMMYFUNCTION("""COMPUTED_VALUE"""),"％")</f>
        <v>％</v>
      </c>
      <c r="AD143" s="137">
        <f>IFERROR(__xludf.DUMMYFUNCTION("""COMPUTED_VALUE"""),462.0)</f>
        <v>462</v>
      </c>
      <c r="AE143" s="100"/>
      <c r="AF143" s="372" t="str">
        <f>IFERROR(__xludf.DUMMYFUNCTION("""COMPUTED_VALUE"""),"")</f>
        <v/>
      </c>
    </row>
    <row r="144" ht="16.5" customHeight="1">
      <c r="C144" s="100"/>
      <c r="D144" s="146">
        <f>IFERROR(__xludf.DUMMYFUNCTION("""COMPUTED_VALUE"""),4.0)</f>
        <v>4</v>
      </c>
      <c r="E144" s="148" t="str">
        <f>IFERROR(__xludf.DUMMYFUNCTION("""COMPUTED_VALUE"""),"YKS5")</f>
        <v>YKS5</v>
      </c>
      <c r="F144" s="150" t="str">
        <f>IFERROR(__xludf.DUMMYFUNCTION("""COMPUTED_VALUE"""),"Yuga Kshetra")</f>
        <v>Yuga Kshetra</v>
      </c>
      <c r="G144" s="152" t="str">
        <f>IFERROR(__xludf.DUMMYFUNCTION("""COMPUTED_VALUE"""),"Western Fault")</f>
        <v>Western Fault</v>
      </c>
      <c r="H144" s="154">
        <f>IFERROR(__xludf.DUMMYFUNCTION("""COMPUTED_VALUE"""),21.0)</f>
        <v>21</v>
      </c>
      <c r="I144" s="156">
        <f>IFERROR(__xludf.DUMMYFUNCTION("""COMPUTED_VALUE"""),48.51190476190476)</f>
        <v>48.51190476</v>
      </c>
      <c r="J144" s="158">
        <f>IFERROR(__xludf.DUMMYFUNCTION("""COMPUTED_VALUE"""),102.7)</f>
        <v>102.7</v>
      </c>
      <c r="K144" s="160" t="str">
        <f>IFERROR(__xludf.DUMMYFUNCTION("""COMPUTED_VALUE"""),"AP")</f>
        <v>AP</v>
      </c>
      <c r="L144" s="162">
        <f>IFERROR(__xludf.DUMMYFUNCTION("""COMPUTED_VALUE"""),20.5)</f>
        <v>20.5</v>
      </c>
      <c r="M144" s="160" t="str">
        <f>IFERROR(__xludf.DUMMYFUNCTION("""COMPUTED_VALUE"""),"％")</f>
        <v>％</v>
      </c>
      <c r="N144" s="154">
        <f>IFERROR(__xludf.DUMMYFUNCTION("""COMPUTED_VALUE"""),4610.0)</f>
        <v>4610</v>
      </c>
      <c r="O144" s="100"/>
      <c r="P144" s="371" t="str">
        <f>IFERROR(__xludf.DUMMYFUNCTION("""COMPUTED_VALUE"""),"")</f>
        <v/>
      </c>
      <c r="R144" s="358"/>
      <c r="S144" s="100"/>
      <c r="T144" s="146">
        <f>IFERROR(__xludf.DUMMYFUNCTION("""COMPUTED_VALUE"""),4.0)</f>
        <v>4</v>
      </c>
      <c r="U144" s="148" t="str">
        <f>IFERROR(__xludf.DUMMYFUNCTION("""COMPUTED_VALUE"""),"TRF21")</f>
        <v>TRF21</v>
      </c>
      <c r="V144" s="150" t="str">
        <f>IFERROR(__xludf.DUMMYFUNCTION("""COMPUTED_VALUE"""),"Chaldea Gate (Sat)")</f>
        <v>Chaldea Gate (Sat)</v>
      </c>
      <c r="W144" s="150" t="str">
        <f>IFERROR(__xludf.DUMMYFUNCTION("""COMPUTED_VALUE"""),"SAT Assassin Training Ground- Nov")</f>
        <v>SAT Assassin Training Ground- Nov</v>
      </c>
      <c r="X144" s="154">
        <f>IFERROR(__xludf.DUMMYFUNCTION("""COMPUTED_VALUE"""),10.0)</f>
        <v>10</v>
      </c>
      <c r="Y144" s="156">
        <f>IFERROR(__xludf.DUMMYFUNCTION("""COMPUTED_VALUE"""),19.375)</f>
        <v>19.375</v>
      </c>
      <c r="Z144" s="158">
        <f>IFERROR(__xludf.DUMMYFUNCTION("""COMPUTED_VALUE"""),403.8)</f>
        <v>403.8</v>
      </c>
      <c r="AA144" s="160" t="str">
        <f>IFERROR(__xludf.DUMMYFUNCTION("""COMPUTED_VALUE"""),"AP")</f>
        <v>AP</v>
      </c>
      <c r="AB144" s="162">
        <f>IFERROR(__xludf.DUMMYFUNCTION("""COMPUTED_VALUE"""),2.5)</f>
        <v>2.5</v>
      </c>
      <c r="AC144" s="160" t="str">
        <f>IFERROR(__xludf.DUMMYFUNCTION("""COMPUTED_VALUE"""),"％")</f>
        <v>％</v>
      </c>
      <c r="AD144" s="154">
        <f>IFERROR(__xludf.DUMMYFUNCTION("""COMPUTED_VALUE"""),1054.0)</f>
        <v>1054</v>
      </c>
      <c r="AE144" s="100"/>
      <c r="AF144" s="372" t="str">
        <f>IFERROR(__xludf.DUMMYFUNCTION("""COMPUTED_VALUE"""),"")</f>
        <v/>
      </c>
    </row>
    <row r="145" ht="16.5" customHeight="1">
      <c r="A145" s="166"/>
      <c r="C145" s="168"/>
      <c r="D145" s="169">
        <f>IFERROR(__xludf.DUMMYFUNCTION("""COMPUTED_VALUE"""),5.0)</f>
        <v>5</v>
      </c>
      <c r="E145" s="170" t="str">
        <f>IFERROR(__xludf.DUMMYFUNCTION("""COMPUTED_VALUE"""),"SJK4")</f>
        <v>SJK4</v>
      </c>
      <c r="F145" s="51" t="str">
        <f>IFERROR(__xludf.DUMMYFUNCTION("""COMPUTED_VALUE"""),"Shinjuku")</f>
        <v>Shinjuku</v>
      </c>
      <c r="G145" s="171" t="str">
        <f>IFERROR(__xludf.DUMMYFUNCTION("""COMPUTED_VALUE"""),"Shinjuku 4-Chome")</f>
        <v>Shinjuku 4-Chome</v>
      </c>
      <c r="H145" s="172">
        <f>IFERROR(__xludf.DUMMYFUNCTION("""COMPUTED_VALUE"""),21.0)</f>
        <v>21</v>
      </c>
      <c r="I145" s="173">
        <f>IFERROR(__xludf.DUMMYFUNCTION("""COMPUTED_VALUE"""),47.32142857142857)</f>
        <v>47.32142857</v>
      </c>
      <c r="J145" s="174">
        <f>IFERROR(__xludf.DUMMYFUNCTION("""COMPUTED_VALUE"""),115.9)</f>
        <v>115.9</v>
      </c>
      <c r="K145" s="175" t="str">
        <f>IFERROR(__xludf.DUMMYFUNCTION("""COMPUTED_VALUE"""),"AP")</f>
        <v>AP</v>
      </c>
      <c r="L145" s="176">
        <f>IFERROR(__xludf.DUMMYFUNCTION("""COMPUTED_VALUE"""),18.0999999)</f>
        <v>18.0999999</v>
      </c>
      <c r="M145" s="175" t="str">
        <f>IFERROR(__xludf.DUMMYFUNCTION("""COMPUTED_VALUE"""),"％")</f>
        <v>％</v>
      </c>
      <c r="N145" s="172">
        <f>IFERROR(__xludf.DUMMYFUNCTION("""COMPUTED_VALUE"""),36616.0)</f>
        <v>36616</v>
      </c>
      <c r="O145" s="168"/>
      <c r="P145" s="371" t="str">
        <f>IFERROR(__xludf.DUMMYFUNCTION("""COMPUTED_VALUE"""),"")</f>
        <v/>
      </c>
      <c r="Q145" s="166"/>
      <c r="R145" s="359"/>
      <c r="S145" s="168"/>
      <c r="T145" s="169">
        <f>IFERROR(__xludf.DUMMYFUNCTION("""COMPUTED_VALUE"""),5.0)</f>
        <v>5</v>
      </c>
      <c r="U145" s="170" t="str">
        <f>IFERROR(__xludf.DUMMYFUNCTION("""COMPUTED_VALUE"""),"CML7")</f>
        <v>CML7</v>
      </c>
      <c r="V145" s="51" t="str">
        <f>IFERROR(__xludf.DUMMYFUNCTION("""COMPUTED_VALUE"""),"Camelot")</f>
        <v>Camelot</v>
      </c>
      <c r="W145" s="171" t="str">
        <f>IFERROR(__xludf.DUMMYFUNCTION("""COMPUTED_VALUE"""),"West Village Ruins")</f>
        <v>West Village Ruins</v>
      </c>
      <c r="X145" s="172">
        <f>IFERROR(__xludf.DUMMYFUNCTION("""COMPUTED_VALUE"""),20.0)</f>
        <v>20</v>
      </c>
      <c r="Y145" s="173">
        <f>IFERROR(__xludf.DUMMYFUNCTION("""COMPUTED_VALUE"""),44.6875)</f>
        <v>44.6875</v>
      </c>
      <c r="Z145" s="174">
        <f>IFERROR(__xludf.DUMMYFUNCTION("""COMPUTED_VALUE"""),551.1)</f>
        <v>551.1</v>
      </c>
      <c r="AA145" s="175" t="str">
        <f>IFERROR(__xludf.DUMMYFUNCTION("""COMPUTED_VALUE"""),"AP")</f>
        <v>AP</v>
      </c>
      <c r="AB145" s="176">
        <f>IFERROR(__xludf.DUMMYFUNCTION("""COMPUTED_VALUE"""),3.6)</f>
        <v>3.6</v>
      </c>
      <c r="AC145" s="175" t="str">
        <f>IFERROR(__xludf.DUMMYFUNCTION("""COMPUTED_VALUE"""),"％")</f>
        <v>％</v>
      </c>
      <c r="AD145" s="172">
        <f>IFERROR(__xludf.DUMMYFUNCTION("""COMPUTED_VALUE"""),731.0)</f>
        <v>731</v>
      </c>
      <c r="AE145" s="168"/>
      <c r="AF145" s="372" t="str">
        <f>IFERROR(__xludf.DUMMYFUNCTION("""COMPUTED_VALUE"""),"")</f>
        <v/>
      </c>
    </row>
    <row r="146" ht="16.5" customHeight="1">
      <c r="A146" s="61" t="str">
        <f>IFERROR(__xludf.DUMMYFUNCTION("""COMPUTED_VALUE"""),"")</f>
        <v/>
      </c>
      <c r="B146" s="366" t="str">
        <f>IFERROR(__xludf.DUMMYFUNCTION("""COMPUTED_VALUE"""),"A102")</f>
        <v>A102</v>
      </c>
      <c r="C146" s="197" t="str">
        <f>IFERROR(__xludf.DUMMYFUNCTION("""COMPUTED_VALUE"""),"Heart of the Foreign God")</f>
        <v>Heart of the Foreign God</v>
      </c>
      <c r="D146" s="181">
        <f>IFERROR(__xludf.DUMMYFUNCTION("""COMPUTED_VALUE"""),1.0)</f>
        <v>1</v>
      </c>
      <c r="E146" s="182" t="str">
        <f>IFERROR(__xludf.DUMMYFUNCTION("""COMPUTED_VALUE"""),"SLM2")</f>
        <v>SLM2</v>
      </c>
      <c r="F146" s="184" t="str">
        <f>IFERROR(__xludf.DUMMYFUNCTION("""COMPUTED_VALUE"""),"Salem")</f>
        <v>Salem</v>
      </c>
      <c r="G146" s="189" t="str">
        <f>IFERROR(__xludf.DUMMYFUNCTION("""COMPUTED_VALUE"""),"Carter House")</f>
        <v>Carter House</v>
      </c>
      <c r="H146" s="190">
        <f>IFERROR(__xludf.DUMMYFUNCTION("""COMPUTED_VALUE"""),20.0)</f>
        <v>20</v>
      </c>
      <c r="I146" s="191">
        <f>IFERROR(__xludf.DUMMYFUNCTION("""COMPUTED_VALUE"""),48.4375)</f>
        <v>48.4375</v>
      </c>
      <c r="J146" s="192">
        <f>IFERROR(__xludf.DUMMYFUNCTION("""COMPUTED_VALUE"""),162.2)</f>
        <v>162.2</v>
      </c>
      <c r="K146" s="194" t="str">
        <f>IFERROR(__xludf.DUMMYFUNCTION("""COMPUTED_VALUE"""),"AP")</f>
        <v>AP</v>
      </c>
      <c r="L146" s="192">
        <f>IFERROR(__xludf.DUMMYFUNCTION("""COMPUTED_VALUE"""),12.299990000000001)</f>
        <v>12.29999</v>
      </c>
      <c r="M146" s="194" t="str">
        <f>IFERROR(__xludf.DUMMYFUNCTION("""COMPUTED_VALUE"""),"％")</f>
        <v>％</v>
      </c>
      <c r="N146" s="190">
        <f>IFERROR(__xludf.DUMMYFUNCTION("""COMPUTED_VALUE"""),84431.0)</f>
        <v>84431</v>
      </c>
      <c r="O146" s="197" t="str">
        <f>IFERROR(__xludf.DUMMYFUNCTION("""COMPUTED_VALUE"""),"Heart of the Foreign God")</f>
        <v>Heart of the Foreign God</v>
      </c>
      <c r="P146" s="371" t="str">
        <f>IFERROR(__xludf.DUMMYFUNCTION("""COMPUTED_VALUE"""),"")</f>
        <v/>
      </c>
      <c r="Q146" s="61" t="str">
        <f>IFERROR(__xludf.DUMMYFUNCTION("""COMPUTED_VALUE"""),"")</f>
        <v/>
      </c>
      <c r="R146" s="199" t="str">
        <f>IFERROR(__xludf.DUMMYFUNCTION("""COMPUTED_VALUE"""),"B207")</f>
        <v>B207</v>
      </c>
      <c r="S146" s="197" t="str">
        <f>IFERROR(__xludf.DUMMYFUNCTION("""COMPUTED_VALUE"""),"Berserker Monument")</f>
        <v>Berserker Monument</v>
      </c>
      <c r="T146" s="181">
        <f>IFERROR(__xludf.DUMMYFUNCTION("""COMPUTED_VALUE"""),1.0)</f>
        <v>1</v>
      </c>
      <c r="U146" s="182" t="str">
        <f>IFERROR(__xludf.DUMMYFUNCTION("""COMPUTED_VALUE"""),"TRF12")</f>
        <v>TRF12</v>
      </c>
      <c r="V146" s="184" t="str">
        <f>IFERROR(__xludf.DUMMYFUNCTION("""COMPUTED_VALUE"""),"Chaldea Gate (Wed)")</f>
        <v>Chaldea Gate (Wed)</v>
      </c>
      <c r="W146" s="184" t="str">
        <f>IFERROR(__xludf.DUMMYFUNCTION("""COMPUTED_VALUE"""),"WED Berserker Training Ground- Exp")</f>
        <v>WED Berserker Training Ground- Exp</v>
      </c>
      <c r="X146" s="190">
        <f>IFERROR(__xludf.DUMMYFUNCTION("""COMPUTED_VALUE"""),40.0)</f>
        <v>40</v>
      </c>
      <c r="Y146" s="191">
        <f>IFERROR(__xludf.DUMMYFUNCTION("""COMPUTED_VALUE"""),20.46875)</f>
        <v>20.46875</v>
      </c>
      <c r="Z146" s="192">
        <f>IFERROR(__xludf.DUMMYFUNCTION("""COMPUTED_VALUE"""),72.5)</f>
        <v>72.5</v>
      </c>
      <c r="AA146" s="194" t="str">
        <f>IFERROR(__xludf.DUMMYFUNCTION("""COMPUTED_VALUE"""),"AP")</f>
        <v>AP</v>
      </c>
      <c r="AB146" s="192">
        <f>IFERROR(__xludf.DUMMYFUNCTION("""COMPUTED_VALUE"""),55.1)</f>
        <v>55.1</v>
      </c>
      <c r="AC146" s="194" t="str">
        <f>IFERROR(__xludf.DUMMYFUNCTION("""COMPUTED_VALUE"""),"％")</f>
        <v>％</v>
      </c>
      <c r="AD146" s="190">
        <f>IFERROR(__xludf.DUMMYFUNCTION("""COMPUTED_VALUE"""),3095.0)</f>
        <v>3095</v>
      </c>
      <c r="AE146" s="197" t="str">
        <f>IFERROR(__xludf.DUMMYFUNCTION("""COMPUTED_VALUE"""),"Berserker Monument")</f>
        <v>Berserker Monument</v>
      </c>
      <c r="AF146" s="372" t="str">
        <f>IFERROR(__xludf.DUMMYFUNCTION("""COMPUTED_VALUE"""),"")</f>
        <v/>
      </c>
    </row>
    <row r="147" ht="16.5" customHeight="1">
      <c r="C147" s="217"/>
      <c r="D147" s="205">
        <f>IFERROR(__xludf.DUMMYFUNCTION("""COMPUTED_VALUE"""),2.0)</f>
        <v>2</v>
      </c>
      <c r="E147" s="206" t="str">
        <f>IFERROR(__xludf.DUMMYFUNCTION("""COMPUTED_VALUE"""),"SJK9")</f>
        <v>SJK9</v>
      </c>
      <c r="F147" s="207" t="str">
        <f>IFERROR(__xludf.DUMMYFUNCTION("""COMPUTED_VALUE"""),"Shinjuku")</f>
        <v>Shinjuku</v>
      </c>
      <c r="G147" s="209" t="str">
        <f>IFERROR(__xludf.DUMMYFUNCTION("""COMPUTED_VALUE"""),"Shinjuku Gyoen")</f>
        <v>Shinjuku Gyoen</v>
      </c>
      <c r="H147" s="211">
        <f>IFERROR(__xludf.DUMMYFUNCTION("""COMPUTED_VALUE"""),21.0)</f>
        <v>21</v>
      </c>
      <c r="I147" s="213">
        <f>IFERROR(__xludf.DUMMYFUNCTION("""COMPUTED_VALUE"""),50.892857142857146)</f>
        <v>50.89285714</v>
      </c>
      <c r="J147" s="214">
        <f>IFERROR(__xludf.DUMMYFUNCTION("""COMPUTED_VALUE"""),174.8)</f>
        <v>174.8</v>
      </c>
      <c r="K147" s="215" t="str">
        <f>IFERROR(__xludf.DUMMYFUNCTION("""COMPUTED_VALUE"""),"AP")</f>
        <v>AP</v>
      </c>
      <c r="L147" s="214">
        <f>IFERROR(__xludf.DUMMYFUNCTION("""COMPUTED_VALUE"""),12.0)</f>
        <v>12</v>
      </c>
      <c r="M147" s="215" t="str">
        <f>IFERROR(__xludf.DUMMYFUNCTION("""COMPUTED_VALUE"""),"％")</f>
        <v>％</v>
      </c>
      <c r="N147" s="211">
        <f>IFERROR(__xludf.DUMMYFUNCTION("""COMPUTED_VALUE"""),42877.0)</f>
        <v>42877</v>
      </c>
      <c r="O147" s="217"/>
      <c r="P147" s="371" t="str">
        <f>IFERROR(__xludf.DUMMYFUNCTION("""COMPUTED_VALUE"""),"")</f>
        <v/>
      </c>
      <c r="R147" s="203"/>
      <c r="S147" s="217"/>
      <c r="T147" s="205">
        <f>IFERROR(__xludf.DUMMYFUNCTION("""COMPUTED_VALUE"""),2.0)</f>
        <v>2</v>
      </c>
      <c r="U147" s="206" t="str">
        <f>IFERROR(__xludf.DUMMYFUNCTION("""COMPUTED_VALUE"""),"TRF11")</f>
        <v>TRF11</v>
      </c>
      <c r="V147" s="207" t="str">
        <f>IFERROR(__xludf.DUMMYFUNCTION("""COMPUTED_VALUE"""),"Chaldea Gate (Wed)")</f>
        <v>Chaldea Gate (Wed)</v>
      </c>
      <c r="W147" s="207" t="str">
        <f>IFERROR(__xludf.DUMMYFUNCTION("""COMPUTED_VALUE"""),"WED Berserker Training Ground- Adv")</f>
        <v>WED Berserker Training Ground- Adv</v>
      </c>
      <c r="X147" s="211">
        <f>IFERROR(__xludf.DUMMYFUNCTION("""COMPUTED_VALUE"""),30.0)</f>
        <v>30</v>
      </c>
      <c r="Y147" s="213">
        <f>IFERROR(__xludf.DUMMYFUNCTION("""COMPUTED_VALUE"""),18.958333333333332)</f>
        <v>18.95833333</v>
      </c>
      <c r="Z147" s="214">
        <f>IFERROR(__xludf.DUMMYFUNCTION("""COMPUTED_VALUE"""),73.7)</f>
        <v>73.7</v>
      </c>
      <c r="AA147" s="215" t="str">
        <f>IFERROR(__xludf.DUMMYFUNCTION("""COMPUTED_VALUE"""),"AP")</f>
        <v>AP</v>
      </c>
      <c r="AB147" s="214">
        <f>IFERROR(__xludf.DUMMYFUNCTION("""COMPUTED_VALUE"""),40.7)</f>
        <v>40.7</v>
      </c>
      <c r="AC147" s="215" t="str">
        <f>IFERROR(__xludf.DUMMYFUNCTION("""COMPUTED_VALUE"""),"％")</f>
        <v>％</v>
      </c>
      <c r="AD147" s="211">
        <f>IFERROR(__xludf.DUMMYFUNCTION("""COMPUTED_VALUE"""),469.0)</f>
        <v>469</v>
      </c>
      <c r="AE147" s="217"/>
      <c r="AF147" s="372" t="str">
        <f>IFERROR(__xludf.DUMMYFUNCTION("""COMPUTED_VALUE"""),"")</f>
        <v/>
      </c>
    </row>
    <row r="148" ht="16.5" customHeight="1">
      <c r="C148" s="217"/>
      <c r="D148" s="222">
        <f>IFERROR(__xludf.DUMMYFUNCTION("""COMPUTED_VALUE"""),3.0)</f>
        <v>3</v>
      </c>
      <c r="E148" s="223" t="str">
        <f>IFERROR(__xludf.DUMMYFUNCTION("""COMPUTED_VALUE"""),"TRF20")</f>
        <v>TRF20</v>
      </c>
      <c r="F148" s="224" t="str">
        <f>IFERROR(__xludf.DUMMYFUNCTION("""COMPUTED_VALUE"""),"Chaldea Gate (Fri)")</f>
        <v>Chaldea Gate (Fri)</v>
      </c>
      <c r="G148" s="224" t="str">
        <f>IFERROR(__xludf.DUMMYFUNCTION("""COMPUTED_VALUE"""),"FRI Caster Training Ground- Exp")</f>
        <v>FRI Caster Training Ground- Exp</v>
      </c>
      <c r="H148" s="228">
        <f>IFERROR(__xludf.DUMMYFUNCTION("""COMPUTED_VALUE"""),40.0)</f>
        <v>40</v>
      </c>
      <c r="I148" s="230">
        <f>IFERROR(__xludf.DUMMYFUNCTION("""COMPUTED_VALUE"""),20.46875)</f>
        <v>20.46875</v>
      </c>
      <c r="J148" s="231">
        <f>IFERROR(__xludf.DUMMYFUNCTION("""COMPUTED_VALUE"""),635.1)</f>
        <v>635.1</v>
      </c>
      <c r="K148" s="232" t="str">
        <f>IFERROR(__xludf.DUMMYFUNCTION("""COMPUTED_VALUE"""),"AP")</f>
        <v>AP</v>
      </c>
      <c r="L148" s="231">
        <f>IFERROR(__xludf.DUMMYFUNCTION("""COMPUTED_VALUE"""),6.3)</f>
        <v>6.3</v>
      </c>
      <c r="M148" s="232" t="str">
        <f>IFERROR(__xludf.DUMMYFUNCTION("""COMPUTED_VALUE"""),"％")</f>
        <v>％</v>
      </c>
      <c r="N148" s="228">
        <f>IFERROR(__xludf.DUMMYFUNCTION("""COMPUTED_VALUE"""),10906.0)</f>
        <v>10906</v>
      </c>
      <c r="O148" s="217"/>
      <c r="P148" s="371" t="str">
        <f>IFERROR(__xludf.DUMMYFUNCTION("""COMPUTED_VALUE"""),"")</f>
        <v/>
      </c>
      <c r="R148" s="203"/>
      <c r="S148" s="217"/>
      <c r="T148" s="222">
        <f>IFERROR(__xludf.DUMMYFUNCTION("""COMPUTED_VALUE"""),3.0)</f>
        <v>3</v>
      </c>
      <c r="U148" s="223" t="str">
        <f>IFERROR(__xludf.DUMMYFUNCTION("""COMPUTED_VALUE"""),"EPU12")</f>
        <v>EPU12</v>
      </c>
      <c r="V148" s="224" t="str">
        <f>IFERROR(__xludf.DUMMYFUNCTION("""COMPUTED_VALUE"""),"E Pluribus Unum")</f>
        <v>E Pluribus Unum</v>
      </c>
      <c r="W148" s="226" t="str">
        <f>IFERROR(__xludf.DUMMYFUNCTION("""COMPUTED_VALUE"""),"Charlotte")</f>
        <v>Charlotte</v>
      </c>
      <c r="X148" s="228">
        <f>IFERROR(__xludf.DUMMYFUNCTION("""COMPUTED_VALUE"""),20.0)</f>
        <v>20</v>
      </c>
      <c r="Y148" s="230">
        <f>IFERROR(__xludf.DUMMYFUNCTION("""COMPUTED_VALUE"""),47.1875)</f>
        <v>47.1875</v>
      </c>
      <c r="Z148" s="231">
        <f>IFERROR(__xludf.DUMMYFUNCTION("""COMPUTED_VALUE"""),156.8)</f>
        <v>156.8</v>
      </c>
      <c r="AA148" s="232" t="str">
        <f>IFERROR(__xludf.DUMMYFUNCTION("""COMPUTED_VALUE"""),"AP")</f>
        <v>AP</v>
      </c>
      <c r="AB148" s="231">
        <f>IFERROR(__xludf.DUMMYFUNCTION("""COMPUTED_VALUE"""),12.8)</f>
        <v>12.8</v>
      </c>
      <c r="AC148" s="232" t="str">
        <f>IFERROR(__xludf.DUMMYFUNCTION("""COMPUTED_VALUE"""),"％")</f>
        <v>％</v>
      </c>
      <c r="AD148" s="228">
        <f>IFERROR(__xludf.DUMMYFUNCTION("""COMPUTED_VALUE"""),153252.0)</f>
        <v>153252</v>
      </c>
      <c r="AE148" s="217"/>
      <c r="AF148" s="372" t="str">
        <f>IFERROR(__xludf.DUMMYFUNCTION("""COMPUTED_VALUE"""),"")</f>
        <v/>
      </c>
    </row>
    <row r="149" ht="16.5" customHeight="1">
      <c r="C149" s="217"/>
      <c r="D149" s="238">
        <f>IFERROR(__xludf.DUMMYFUNCTION("""COMPUTED_VALUE"""),4.0)</f>
        <v>4</v>
      </c>
      <c r="E149" s="240" t="str">
        <f>IFERROR(__xludf.DUMMYFUNCTION("""COMPUTED_VALUE"""),"TRF19")</f>
        <v>TRF19</v>
      </c>
      <c r="F149" s="242" t="str">
        <f>IFERROR(__xludf.DUMMYFUNCTION("""COMPUTED_VALUE"""),"Chaldea Gate (Fri)")</f>
        <v>Chaldea Gate (Fri)</v>
      </c>
      <c r="G149" s="242" t="str">
        <f>IFERROR(__xludf.DUMMYFUNCTION("""COMPUTED_VALUE"""),"FRI Caster Training Ground- Adv")</f>
        <v>FRI Caster Training Ground- Adv</v>
      </c>
      <c r="H149" s="246">
        <f>IFERROR(__xludf.DUMMYFUNCTION("""COMPUTED_VALUE"""),30.0)</f>
        <v>30</v>
      </c>
      <c r="I149" s="248">
        <f>IFERROR(__xludf.DUMMYFUNCTION("""COMPUTED_VALUE"""),18.958333333333332)</f>
        <v>18.95833333</v>
      </c>
      <c r="J149" s="250">
        <f>IFERROR(__xludf.DUMMYFUNCTION("""COMPUTED_VALUE"""),769.4)</f>
        <v>769.4</v>
      </c>
      <c r="K149" s="252" t="str">
        <f>IFERROR(__xludf.DUMMYFUNCTION("""COMPUTED_VALUE"""),"AP")</f>
        <v>AP</v>
      </c>
      <c r="L149" s="250">
        <f>IFERROR(__xludf.DUMMYFUNCTION("""COMPUTED_VALUE"""),3.9)</f>
        <v>3.9</v>
      </c>
      <c r="M149" s="252" t="str">
        <f>IFERROR(__xludf.DUMMYFUNCTION("""COMPUTED_VALUE"""),"％")</f>
        <v>％</v>
      </c>
      <c r="N149" s="246">
        <f>IFERROR(__xludf.DUMMYFUNCTION("""COMPUTED_VALUE"""),1241.0)</f>
        <v>1241</v>
      </c>
      <c r="O149" s="217"/>
      <c r="P149" s="371" t="str">
        <f>IFERROR(__xludf.DUMMYFUNCTION("""COMPUTED_VALUE"""),"")</f>
        <v/>
      </c>
      <c r="R149" s="203"/>
      <c r="S149" s="217"/>
      <c r="T149" s="238">
        <f>IFERROR(__xludf.DUMMYFUNCTION("""COMPUTED_VALUE"""),4.0)</f>
        <v>4</v>
      </c>
      <c r="U149" s="240" t="str">
        <f>IFERROR(__xludf.DUMMYFUNCTION("""COMPUTED_VALUE"""),"TRF10")</f>
        <v>TRF10</v>
      </c>
      <c r="V149" s="242" t="str">
        <f>IFERROR(__xludf.DUMMYFUNCTION("""COMPUTED_VALUE"""),"Chaldea Gate (Wed)")</f>
        <v>Chaldea Gate (Wed)</v>
      </c>
      <c r="W149" s="242" t="str">
        <f>IFERROR(__xludf.DUMMYFUNCTION("""COMPUTED_VALUE"""),"WED Berserker Training Ground- Int")</f>
        <v>WED Berserker Training Ground- Int</v>
      </c>
      <c r="X149" s="246">
        <f>IFERROR(__xludf.DUMMYFUNCTION("""COMPUTED_VALUE"""),20.0)</f>
        <v>20</v>
      </c>
      <c r="Y149" s="248">
        <f>IFERROR(__xludf.DUMMYFUNCTION("""COMPUTED_VALUE"""),19.0625)</f>
        <v>19.0625</v>
      </c>
      <c r="Z149" s="250">
        <f>IFERROR(__xludf.DUMMYFUNCTION("""COMPUTED_VALUE"""),257.7)</f>
        <v>257.7</v>
      </c>
      <c r="AA149" s="252" t="str">
        <f>IFERROR(__xludf.DUMMYFUNCTION("""COMPUTED_VALUE"""),"AP")</f>
        <v>AP</v>
      </c>
      <c r="AB149" s="250">
        <f>IFERROR(__xludf.DUMMYFUNCTION("""COMPUTED_VALUE"""),7.8)</f>
        <v>7.8</v>
      </c>
      <c r="AC149" s="252" t="str">
        <f>IFERROR(__xludf.DUMMYFUNCTION("""COMPUTED_VALUE"""),"％")</f>
        <v>％</v>
      </c>
      <c r="AD149" s="246">
        <f>IFERROR(__xludf.DUMMYFUNCTION("""COMPUTED_VALUE"""),554.0)</f>
        <v>554</v>
      </c>
      <c r="AE149" s="217"/>
      <c r="AF149" s="372" t="str">
        <f>IFERROR(__xludf.DUMMYFUNCTION("""COMPUTED_VALUE"""),"")</f>
        <v/>
      </c>
    </row>
    <row r="150" ht="16.5" customHeight="1">
      <c r="A150" s="166"/>
      <c r="C150" s="263"/>
      <c r="D150" s="256">
        <f>IFERROR(__xludf.DUMMYFUNCTION("""COMPUTED_VALUE"""),5.0)</f>
        <v>5</v>
      </c>
      <c r="E150" s="257" t="str">
        <f>IFERROR(__xludf.DUMMYFUNCTION("""COMPUTED_VALUE"""),"")</f>
        <v/>
      </c>
      <c r="F150" s="42" t="str">
        <f>IFERROR(__xludf.DUMMYFUNCTION("""COMPUTED_VALUE"""),"")</f>
        <v/>
      </c>
      <c r="G150" s="42" t="str">
        <f>IFERROR(__xludf.DUMMYFUNCTION("""COMPUTED_VALUE"""),"")</f>
        <v/>
      </c>
      <c r="H150" s="259" t="str">
        <f>IFERROR(__xludf.DUMMYFUNCTION("""COMPUTED_VALUE"""),"")</f>
        <v/>
      </c>
      <c r="I150" s="260" t="str">
        <f>IFERROR(__xludf.DUMMYFUNCTION("""COMPUTED_VALUE"""),"")</f>
        <v/>
      </c>
      <c r="J150" s="261" t="str">
        <f>IFERROR(__xludf.DUMMYFUNCTION("""COMPUTED_VALUE"""),"")</f>
        <v/>
      </c>
      <c r="K150" s="262" t="str">
        <f>IFERROR(__xludf.DUMMYFUNCTION("""COMPUTED_VALUE"""),"AP")</f>
        <v>AP</v>
      </c>
      <c r="L150" s="261" t="str">
        <f>IFERROR(__xludf.DUMMYFUNCTION("""COMPUTED_VALUE"""),"")</f>
        <v/>
      </c>
      <c r="M150" s="262" t="str">
        <f>IFERROR(__xludf.DUMMYFUNCTION("""COMPUTED_VALUE"""),"％")</f>
        <v>％</v>
      </c>
      <c r="N150" s="259" t="str">
        <f>IFERROR(__xludf.DUMMYFUNCTION("""COMPUTED_VALUE"""),"")</f>
        <v/>
      </c>
      <c r="O150" s="263"/>
      <c r="P150" s="371" t="str">
        <f>IFERROR(__xludf.DUMMYFUNCTION("""COMPUTED_VALUE"""),"")</f>
        <v/>
      </c>
      <c r="Q150" s="166"/>
      <c r="R150" s="254"/>
      <c r="S150" s="263"/>
      <c r="T150" s="374">
        <f>IFERROR(__xludf.DUMMYFUNCTION("""COMPUTED_VALUE"""),5.0)</f>
        <v>5</v>
      </c>
      <c r="U150" s="257" t="str">
        <f>IFERROR(__xludf.DUMMYFUNCTION("""COMPUTED_VALUE"""),"TRF9")</f>
        <v>TRF9</v>
      </c>
      <c r="V150" s="42" t="str">
        <f>IFERROR(__xludf.DUMMYFUNCTION("""COMPUTED_VALUE"""),"Chaldea Gate (Wed)")</f>
        <v>Chaldea Gate (Wed)</v>
      </c>
      <c r="W150" s="42" t="str">
        <f>IFERROR(__xludf.DUMMYFUNCTION("""COMPUTED_VALUE"""),"WED Berserker Training Ground- Nov")</f>
        <v>WED Berserker Training Ground- Nov</v>
      </c>
      <c r="X150" s="259">
        <f>IFERROR(__xludf.DUMMYFUNCTION("""COMPUTED_VALUE"""),10.0)</f>
        <v>10</v>
      </c>
      <c r="Y150" s="260">
        <f>IFERROR(__xludf.DUMMYFUNCTION("""COMPUTED_VALUE"""),19.375)</f>
        <v>19.375</v>
      </c>
      <c r="Z150" s="261">
        <f>IFERROR(__xludf.DUMMYFUNCTION("""COMPUTED_VALUE"""),640.8)</f>
        <v>640.8</v>
      </c>
      <c r="AA150" s="262" t="str">
        <f>IFERROR(__xludf.DUMMYFUNCTION("""COMPUTED_VALUE"""),"AP")</f>
        <v>AP</v>
      </c>
      <c r="AB150" s="261">
        <f>IFERROR(__xludf.DUMMYFUNCTION("""COMPUTED_VALUE"""),1.6)</f>
        <v>1.6</v>
      </c>
      <c r="AC150" s="262" t="str">
        <f>IFERROR(__xludf.DUMMYFUNCTION("""COMPUTED_VALUE"""),"％")</f>
        <v>％</v>
      </c>
      <c r="AD150" s="259">
        <f>IFERROR(__xludf.DUMMYFUNCTION("""COMPUTED_VALUE"""),821.0)</f>
        <v>821</v>
      </c>
      <c r="AE150" s="263"/>
      <c r="AF150" s="372" t="str">
        <f>IFERROR(__xludf.DUMMYFUNCTION("""COMPUTED_VALUE"""),"")</f>
        <v/>
      </c>
    </row>
    <row r="151" ht="16.5" customHeight="1">
      <c r="A151" s="25" t="str">
        <f>IFERROR(__xludf.DUMMYFUNCTION("""COMPUTED_VALUE"""),"Item")</f>
        <v>Item</v>
      </c>
      <c r="B151" s="27"/>
      <c r="C151" s="28"/>
      <c r="D151" s="30" t="str">
        <f>IFERROR(__xludf.DUMMYFUNCTION("""COMPUTED_VALUE"""),"No.")</f>
        <v>No.</v>
      </c>
      <c r="E151" s="31" t="str">
        <f>IFERROR(__xludf.DUMMYFUNCTION("""COMPUTED_VALUE"""),"Node Code")</f>
        <v>Node Code</v>
      </c>
      <c r="F151" s="31" t="str">
        <f>IFERROR(__xludf.DUMMYFUNCTION("""COMPUTED_VALUE"""),"Area")</f>
        <v>Area</v>
      </c>
      <c r="G151" s="31" t="str">
        <f>IFERROR(__xludf.DUMMYFUNCTION("""COMPUTED_VALUE"""),"Quest")</f>
        <v>Quest</v>
      </c>
      <c r="H151" s="30" t="str">
        <f>IFERROR(__xludf.DUMMYFUNCTION("""COMPUTED_VALUE"""),"AP")</f>
        <v>AP</v>
      </c>
      <c r="I151" s="34" t="str">
        <f>IFERROR(__xludf.DUMMYFUNCTION("""COMPUTED_VALUE"""),"BP/AP")</f>
        <v>BP/AP</v>
      </c>
      <c r="J151" s="36" t="str">
        <f>IFERROR(__xludf.DUMMYFUNCTION("""COMPUTED_VALUE"""),"AP/Drop")</f>
        <v>AP/Drop</v>
      </c>
      <c r="K151" s="28"/>
      <c r="L151" s="36" t="str">
        <f>IFERROR(__xludf.DUMMYFUNCTION("""COMPUTED_VALUE"""),"Drop Chance")</f>
        <v>Drop Chance</v>
      </c>
      <c r="M151" s="28"/>
      <c r="N151" s="38" t="str">
        <f>IFERROR(__xludf.DUMMYFUNCTION("""COMPUTED_VALUE"""),"Runs")</f>
        <v>Runs</v>
      </c>
      <c r="O151" s="40" t="str">
        <f>IFERROR(__xludf.DUMMYFUNCTION("""COMPUTED_VALUE"""),"")</f>
        <v/>
      </c>
      <c r="P151" s="42" t="str">
        <f>IFERROR(__xludf.DUMMYFUNCTION("""COMPUTED_VALUE"""),"")</f>
        <v/>
      </c>
      <c r="Q151" s="25" t="str">
        <f>IFERROR(__xludf.DUMMYFUNCTION("""COMPUTED_VALUE"""),"Item")</f>
        <v>Item</v>
      </c>
      <c r="R151" s="27"/>
      <c r="S151" s="28"/>
      <c r="T151" s="30" t="str">
        <f>IFERROR(__xludf.DUMMYFUNCTION("""COMPUTED_VALUE"""),"No.")</f>
        <v>No.</v>
      </c>
      <c r="U151" s="31" t="str">
        <f>IFERROR(__xludf.DUMMYFUNCTION("""COMPUTED_VALUE"""),"Node Code")</f>
        <v>Node Code</v>
      </c>
      <c r="V151" s="31" t="str">
        <f>IFERROR(__xludf.DUMMYFUNCTION("""COMPUTED_VALUE"""),"Area")</f>
        <v>Area</v>
      </c>
      <c r="W151" s="31" t="str">
        <f>IFERROR(__xludf.DUMMYFUNCTION("""COMPUTED_VALUE"""),"Quest")</f>
        <v>Quest</v>
      </c>
      <c r="X151" s="30" t="str">
        <f>IFERROR(__xludf.DUMMYFUNCTION("""COMPUTED_VALUE"""),"AP")</f>
        <v>AP</v>
      </c>
      <c r="Y151" s="34" t="str">
        <f>IFERROR(__xludf.DUMMYFUNCTION("""COMPUTED_VALUE"""),"BP/AP")</f>
        <v>BP/AP</v>
      </c>
      <c r="Z151" s="36" t="str">
        <f>IFERROR(__xludf.DUMMYFUNCTION("""COMPUTED_VALUE"""),"AP/Drop")</f>
        <v>AP/Drop</v>
      </c>
      <c r="AA151" s="28"/>
      <c r="AB151" s="36" t="str">
        <f>IFERROR(__xludf.DUMMYFUNCTION("""COMPUTED_VALUE"""),"Drop Chance")</f>
        <v>Drop Chance</v>
      </c>
      <c r="AC151" s="28"/>
      <c r="AD151" s="369" t="str">
        <f>IFERROR(__xludf.DUMMYFUNCTION("""COMPUTED_VALUE"""),"Runs")</f>
        <v>Runs</v>
      </c>
      <c r="AE151" s="369" t="str">
        <f>IFERROR(__xludf.DUMMYFUNCTION("""COMPUTED_VALUE"""),"")</f>
        <v/>
      </c>
      <c r="AF151" s="51" t="str">
        <f>IFERROR(__xludf.DUMMYFUNCTION("""COMPUTED_VALUE"""),"")</f>
        <v/>
      </c>
    </row>
    <row r="152" ht="16.5" customHeight="1">
      <c r="A152" s="54"/>
      <c r="B152" s="55"/>
      <c r="C152" s="57"/>
      <c r="D152" s="57"/>
      <c r="E152" s="57"/>
      <c r="F152" s="57"/>
      <c r="G152" s="57"/>
      <c r="H152" s="57"/>
      <c r="I152" s="58" t="str">
        <f>IFERROR(__xludf.DUMMYFUNCTION("""COMPUTED_VALUE"""),"1P+1L+1T")</f>
        <v>1P+1L+1T</v>
      </c>
      <c r="J152" s="55"/>
      <c r="K152" s="57"/>
      <c r="L152" s="55"/>
      <c r="M152" s="57"/>
      <c r="N152" s="57"/>
      <c r="O152" s="57"/>
      <c r="P152" s="42" t="str">
        <f>IFERROR(__xludf.DUMMYFUNCTION("""COMPUTED_VALUE"""),"")</f>
        <v/>
      </c>
      <c r="Q152" s="54"/>
      <c r="R152" s="55"/>
      <c r="S152" s="57"/>
      <c r="T152" s="57"/>
      <c r="U152" s="57"/>
      <c r="V152" s="57"/>
      <c r="W152" s="57"/>
      <c r="X152" s="57"/>
      <c r="Y152" s="58" t="str">
        <f>IFERROR(__xludf.DUMMYFUNCTION("""COMPUTED_VALUE"""),"1P+1L+1T")</f>
        <v>1P+1L+1T</v>
      </c>
      <c r="Z152" s="55"/>
      <c r="AA152" s="57"/>
      <c r="AB152" s="55"/>
      <c r="AC152" s="57"/>
      <c r="AD152" s="370"/>
      <c r="AE152" s="370"/>
      <c r="AF152" s="51" t="str">
        <f>IFERROR(__xludf.DUMMYFUNCTION("""COMPUTED_VALUE"""),"")</f>
        <v/>
      </c>
    </row>
    <row r="153" ht="16.5" customHeight="1">
      <c r="A153" s="61" t="str">
        <f>IFERROR(__xludf.DUMMYFUNCTION("""COMPUTED_VALUE"""),"")</f>
        <v/>
      </c>
      <c r="B153" s="363" t="str">
        <f>IFERROR(__xludf.DUMMYFUNCTION("""COMPUTED_VALUE"""),"A103")</f>
        <v>A103</v>
      </c>
      <c r="C153" s="65" t="str">
        <f>IFERROR(__xludf.DUMMYFUNCTION("""COMPUTED_VALUE"""),"Dragon's Reverse Scale")</f>
        <v>Dragon's Reverse Scale</v>
      </c>
      <c r="D153" s="67">
        <f>IFERROR(__xludf.DUMMYFUNCTION("""COMPUTED_VALUE"""),1.0)</f>
        <v>1</v>
      </c>
      <c r="E153" s="69" t="str">
        <f>IFERROR(__xludf.DUMMYFUNCTION("""COMPUTED_VALUE"""),"BBL12")</f>
        <v>BBL12</v>
      </c>
      <c r="F153" s="71" t="str">
        <f>IFERROR(__xludf.DUMMYFUNCTION("""COMPUTED_VALUE"""),"Babylonia")</f>
        <v>Babylonia</v>
      </c>
      <c r="G153" s="78" t="str">
        <f>IFERROR(__xludf.DUMMYFUNCTION("""COMPUTED_VALUE"""),"Nippur")</f>
        <v>Nippur</v>
      </c>
      <c r="H153" s="80">
        <f>IFERROR(__xludf.DUMMYFUNCTION("""COMPUTED_VALUE"""),21.0)</f>
        <v>21</v>
      </c>
      <c r="I153" s="82">
        <f>IFERROR(__xludf.DUMMYFUNCTION("""COMPUTED_VALUE"""),50.892857142857146)</f>
        <v>50.89285714</v>
      </c>
      <c r="J153" s="84">
        <f>IFERROR(__xludf.DUMMYFUNCTION("""COMPUTED_VALUE"""),167.2)</f>
        <v>167.2</v>
      </c>
      <c r="K153" s="86" t="str">
        <f>IFERROR(__xludf.DUMMYFUNCTION("""COMPUTED_VALUE"""),"AP")</f>
        <v>AP</v>
      </c>
      <c r="L153" s="88">
        <f>IFERROR(__xludf.DUMMYFUNCTION("""COMPUTED_VALUE"""),12.6)</f>
        <v>12.6</v>
      </c>
      <c r="M153" s="86" t="str">
        <f>IFERROR(__xludf.DUMMYFUNCTION("""COMPUTED_VALUE"""),"％")</f>
        <v>％</v>
      </c>
      <c r="N153" s="80">
        <f>IFERROR(__xludf.DUMMYFUNCTION("""COMPUTED_VALUE"""),24813.0)</f>
        <v>24813</v>
      </c>
      <c r="O153" s="97" t="str">
        <f>IFERROR(__xludf.DUMMYFUNCTION("""COMPUTED_VALUE"""),"Dragon's Reverse Scale")</f>
        <v>Dragon's Reverse Scale</v>
      </c>
      <c r="P153" s="371" t="str">
        <f>IFERROR(__xludf.DUMMYFUNCTION("""COMPUTED_VALUE"""),"")</f>
        <v/>
      </c>
      <c r="Q153" s="61" t="str">
        <f>IFERROR(__xludf.DUMMYFUNCTION("""COMPUTED_VALUE"""),"")</f>
        <v/>
      </c>
      <c r="R153" s="363" t="str">
        <f>IFERROR(__xludf.DUMMYFUNCTION("""COMPUTED_VALUE"""),"B211")</f>
        <v>B211</v>
      </c>
      <c r="S153" s="65" t="str">
        <f>IFERROR(__xludf.DUMMYFUNCTION("""COMPUTED_VALUE"""),"Saber Piece")</f>
        <v>Saber Piece</v>
      </c>
      <c r="T153" s="67">
        <f>IFERROR(__xludf.DUMMYFUNCTION("""COMPUTED_VALUE"""),1.0)</f>
        <v>1</v>
      </c>
      <c r="U153" s="69" t="str">
        <f>IFERROR(__xludf.DUMMYFUNCTION("""COMPUTED_VALUE"""),"TRF26")</f>
        <v>TRF26</v>
      </c>
      <c r="V153" s="71" t="str">
        <f>IFERROR(__xludf.DUMMYFUNCTION("""COMPUTED_VALUE"""),"Chaldea Gate (Sun)")</f>
        <v>Chaldea Gate (Sun)</v>
      </c>
      <c r="W153" s="71" t="str">
        <f>IFERROR(__xludf.DUMMYFUNCTION("""COMPUTED_VALUE"""),"SUN Saber Training Ground- Int")</f>
        <v>SUN Saber Training Ground- Int</v>
      </c>
      <c r="X153" s="80">
        <f>IFERROR(__xludf.DUMMYFUNCTION("""COMPUTED_VALUE"""),20.0)</f>
        <v>20</v>
      </c>
      <c r="Y153" s="82">
        <f>IFERROR(__xludf.DUMMYFUNCTION("""COMPUTED_VALUE"""),19.0625)</f>
        <v>19.0625</v>
      </c>
      <c r="Z153" s="84">
        <f>IFERROR(__xludf.DUMMYFUNCTION("""COMPUTED_VALUE"""),28.9)</f>
        <v>28.9</v>
      </c>
      <c r="AA153" s="86" t="str">
        <f>IFERROR(__xludf.DUMMYFUNCTION("""COMPUTED_VALUE"""),"AP")</f>
        <v>AP</v>
      </c>
      <c r="AB153" s="88">
        <f>IFERROR(__xludf.DUMMYFUNCTION("""COMPUTED_VALUE"""),69.3)</f>
        <v>69.3</v>
      </c>
      <c r="AC153" s="86" t="str">
        <f>IFERROR(__xludf.DUMMYFUNCTION("""COMPUTED_VALUE"""),"％")</f>
        <v>％</v>
      </c>
      <c r="AD153" s="80">
        <f>IFERROR(__xludf.DUMMYFUNCTION("""COMPUTED_VALUE"""),365.0)</f>
        <v>365</v>
      </c>
      <c r="AE153" s="97" t="str">
        <f>IFERROR(__xludf.DUMMYFUNCTION("""COMPUTED_VALUE"""),"Saber Piece")</f>
        <v>Saber Piece</v>
      </c>
      <c r="AF153" s="372" t="str">
        <f>IFERROR(__xludf.DUMMYFUNCTION("""COMPUTED_VALUE"""),"")</f>
        <v/>
      </c>
    </row>
    <row r="154" ht="16.5" customHeight="1">
      <c r="B154" s="99"/>
      <c r="C154" s="100"/>
      <c r="D154" s="102">
        <f>IFERROR(__xludf.DUMMYFUNCTION("""COMPUTED_VALUE"""),2.0)</f>
        <v>2</v>
      </c>
      <c r="E154" s="103" t="str">
        <f>IFERROR(__xludf.DUMMYFUNCTION("""COMPUTED_VALUE"""),"TRF16")</f>
        <v>TRF16</v>
      </c>
      <c r="F154" s="104" t="str">
        <f>IFERROR(__xludf.DUMMYFUNCTION("""COMPUTED_VALUE"""),"Chaldea Gate (Thu)")</f>
        <v>Chaldea Gate (Thu)</v>
      </c>
      <c r="G154" s="104" t="str">
        <f>IFERROR(__xludf.DUMMYFUNCTION("""COMPUTED_VALUE"""),"THU Rider Training Ground- Exp")</f>
        <v>THU Rider Training Ground- Exp</v>
      </c>
      <c r="H154" s="109">
        <f>IFERROR(__xludf.DUMMYFUNCTION("""COMPUTED_VALUE"""),40.0)</f>
        <v>40</v>
      </c>
      <c r="I154" s="110">
        <f>IFERROR(__xludf.DUMMYFUNCTION("""COMPUTED_VALUE"""),20.46875)</f>
        <v>20.46875</v>
      </c>
      <c r="J154" s="112">
        <f>IFERROR(__xludf.DUMMYFUNCTION("""COMPUTED_VALUE"""),534.4)</f>
        <v>534.4</v>
      </c>
      <c r="K154" s="121" t="str">
        <f>IFERROR(__xludf.DUMMYFUNCTION("""COMPUTED_VALUE"""),"AP")</f>
        <v>AP</v>
      </c>
      <c r="L154" s="123">
        <f>IFERROR(__xludf.DUMMYFUNCTION("""COMPUTED_VALUE"""),7.5)</f>
        <v>7.5</v>
      </c>
      <c r="M154" s="121" t="str">
        <f>IFERROR(__xludf.DUMMYFUNCTION("""COMPUTED_VALUE"""),"％")</f>
        <v>％</v>
      </c>
      <c r="N154" s="109">
        <f>IFERROR(__xludf.DUMMYFUNCTION("""COMPUTED_VALUE"""),3420.0)</f>
        <v>3420</v>
      </c>
      <c r="O154" s="100"/>
      <c r="P154" s="371" t="str">
        <f>IFERROR(__xludf.DUMMYFUNCTION("""COMPUTED_VALUE"""),"")</f>
        <v/>
      </c>
      <c r="R154" s="99"/>
      <c r="S154" s="100"/>
      <c r="T154" s="102">
        <f>IFERROR(__xludf.DUMMYFUNCTION("""COMPUTED_VALUE"""),2.0)</f>
        <v>2</v>
      </c>
      <c r="U154" s="103" t="str">
        <f>IFERROR(__xludf.DUMMYFUNCTION("""COMPUTED_VALUE"""),"TRF27")</f>
        <v>TRF27</v>
      </c>
      <c r="V154" s="104" t="str">
        <f>IFERROR(__xludf.DUMMYFUNCTION("""COMPUTED_VALUE"""),"Chaldea Gate (Sun)")</f>
        <v>Chaldea Gate (Sun)</v>
      </c>
      <c r="W154" s="104" t="str">
        <f>IFERROR(__xludf.DUMMYFUNCTION("""COMPUTED_VALUE"""),"SUN Saber Training Ground- Adv")</f>
        <v>SUN Saber Training Ground- Adv</v>
      </c>
      <c r="X154" s="109">
        <f>IFERROR(__xludf.DUMMYFUNCTION("""COMPUTED_VALUE"""),30.0)</f>
        <v>30</v>
      </c>
      <c r="Y154" s="110">
        <f>IFERROR(__xludf.DUMMYFUNCTION("""COMPUTED_VALUE"""),18.958333333333332)</f>
        <v>18.95833333</v>
      </c>
      <c r="Z154" s="112">
        <f>IFERROR(__xludf.DUMMYFUNCTION("""COMPUTED_VALUE"""),30.1)</f>
        <v>30.1</v>
      </c>
      <c r="AA154" s="121" t="str">
        <f>IFERROR(__xludf.DUMMYFUNCTION("""COMPUTED_VALUE"""),"AP")</f>
        <v>AP</v>
      </c>
      <c r="AB154" s="123">
        <f>IFERROR(__xludf.DUMMYFUNCTION("""COMPUTED_VALUE"""),99.6)</f>
        <v>99.6</v>
      </c>
      <c r="AC154" s="121" t="str">
        <f>IFERROR(__xludf.DUMMYFUNCTION("""COMPUTED_VALUE"""),"％")</f>
        <v>％</v>
      </c>
      <c r="AD154" s="109">
        <f>IFERROR(__xludf.DUMMYFUNCTION("""COMPUTED_VALUE"""),3782.0)</f>
        <v>3782</v>
      </c>
      <c r="AE154" s="100"/>
      <c r="AF154" s="372" t="str">
        <f>IFERROR(__xludf.DUMMYFUNCTION("""COMPUTED_VALUE"""),"")</f>
        <v/>
      </c>
    </row>
    <row r="155" ht="16.5" customHeight="1">
      <c r="B155" s="99"/>
      <c r="C155" s="100"/>
      <c r="D155" s="130">
        <f>IFERROR(__xludf.DUMMYFUNCTION("""COMPUTED_VALUE"""),3.0)</f>
        <v>3</v>
      </c>
      <c r="E155" s="132" t="str">
        <f>IFERROR(__xludf.DUMMYFUNCTION("""COMPUTED_VALUE"""),"TRF15")</f>
        <v>TRF15</v>
      </c>
      <c r="F155" s="133" t="str">
        <f>IFERROR(__xludf.DUMMYFUNCTION("""COMPUTED_VALUE"""),"Chaldea Gate (Thu)")</f>
        <v>Chaldea Gate (Thu)</v>
      </c>
      <c r="G155" s="133" t="str">
        <f>IFERROR(__xludf.DUMMYFUNCTION("""COMPUTED_VALUE"""),"THU Rider Training Ground- Adv")</f>
        <v>THU Rider Training Ground- Adv</v>
      </c>
      <c r="H155" s="137">
        <f>IFERROR(__xludf.DUMMYFUNCTION("""COMPUTED_VALUE"""),30.0)</f>
        <v>30</v>
      </c>
      <c r="I155" s="139">
        <f>IFERROR(__xludf.DUMMYFUNCTION("""COMPUTED_VALUE"""),18.958333333333332)</f>
        <v>18.95833333</v>
      </c>
      <c r="J155" s="141">
        <f>IFERROR(__xludf.DUMMYFUNCTION("""COMPUTED_VALUE"""),888.8)</f>
        <v>888.8</v>
      </c>
      <c r="K155" s="143" t="str">
        <f>IFERROR(__xludf.DUMMYFUNCTION("""COMPUTED_VALUE"""),"AP")</f>
        <v>AP</v>
      </c>
      <c r="L155" s="145">
        <f>IFERROR(__xludf.DUMMYFUNCTION("""COMPUTED_VALUE"""),3.4)</f>
        <v>3.4</v>
      </c>
      <c r="M155" s="143" t="str">
        <f>IFERROR(__xludf.DUMMYFUNCTION("""COMPUTED_VALUE"""),"％")</f>
        <v>％</v>
      </c>
      <c r="N155" s="137">
        <f>IFERROR(__xludf.DUMMYFUNCTION("""COMPUTED_VALUE"""),721.0)</f>
        <v>721</v>
      </c>
      <c r="O155" s="100"/>
      <c r="P155" s="371" t="str">
        <f>IFERROR(__xludf.DUMMYFUNCTION("""COMPUTED_VALUE"""),"")</f>
        <v/>
      </c>
      <c r="R155" s="99"/>
      <c r="S155" s="100"/>
      <c r="T155" s="130">
        <f>IFERROR(__xludf.DUMMYFUNCTION("""COMPUTED_VALUE"""),3.0)</f>
        <v>3</v>
      </c>
      <c r="U155" s="132" t="str">
        <f>IFERROR(__xludf.DUMMYFUNCTION("""COMPUTED_VALUE"""),"TRF25")</f>
        <v>TRF25</v>
      </c>
      <c r="V155" s="133" t="str">
        <f>IFERROR(__xludf.DUMMYFUNCTION("""COMPUTED_VALUE"""),"Chaldea Gate (Sun)")</f>
        <v>Chaldea Gate (Sun)</v>
      </c>
      <c r="W155" s="133" t="str">
        <f>IFERROR(__xludf.DUMMYFUNCTION("""COMPUTED_VALUE"""),"SUN Saber Training Ground- Nov")</f>
        <v>SUN Saber Training Ground- Nov</v>
      </c>
      <c r="X155" s="137">
        <f>IFERROR(__xludf.DUMMYFUNCTION("""COMPUTED_VALUE"""),10.0)</f>
        <v>10</v>
      </c>
      <c r="Y155" s="139">
        <f>IFERROR(__xludf.DUMMYFUNCTION("""COMPUTED_VALUE"""),19.375)</f>
        <v>19.375</v>
      </c>
      <c r="Z155" s="141">
        <f>IFERROR(__xludf.DUMMYFUNCTION("""COMPUTED_VALUE"""),44.1)</f>
        <v>44.1</v>
      </c>
      <c r="AA155" s="143" t="str">
        <f>IFERROR(__xludf.DUMMYFUNCTION("""COMPUTED_VALUE"""),"AP")</f>
        <v>AP</v>
      </c>
      <c r="AB155" s="145">
        <f>IFERROR(__xludf.DUMMYFUNCTION("""COMPUTED_VALUE"""),22.7)</f>
        <v>22.7</v>
      </c>
      <c r="AC155" s="143" t="str">
        <f>IFERROR(__xludf.DUMMYFUNCTION("""COMPUTED_VALUE"""),"％")</f>
        <v>％</v>
      </c>
      <c r="AD155" s="137">
        <f>IFERROR(__xludf.DUMMYFUNCTION("""COMPUTED_VALUE"""),4306.0)</f>
        <v>4306</v>
      </c>
      <c r="AE155" s="100"/>
      <c r="AF155" s="372" t="str">
        <f>IFERROR(__xludf.DUMMYFUNCTION("""COMPUTED_VALUE"""),"")</f>
        <v/>
      </c>
    </row>
    <row r="156" ht="16.5" customHeight="1">
      <c r="B156" s="99"/>
      <c r="C156" s="100"/>
      <c r="D156" s="146">
        <f>IFERROR(__xludf.DUMMYFUNCTION("""COMPUTED_VALUE"""),4.0)</f>
        <v>4</v>
      </c>
      <c r="E156" s="148" t="str">
        <f>IFERROR(__xludf.DUMMYFUNCTION("""COMPUTED_VALUE"""),"")</f>
        <v/>
      </c>
      <c r="F156" s="150" t="str">
        <f>IFERROR(__xludf.DUMMYFUNCTION("""COMPUTED_VALUE"""),"")</f>
        <v/>
      </c>
      <c r="G156" s="150" t="str">
        <f>IFERROR(__xludf.DUMMYFUNCTION("""COMPUTED_VALUE"""),"")</f>
        <v/>
      </c>
      <c r="H156" s="154" t="str">
        <f>IFERROR(__xludf.DUMMYFUNCTION("""COMPUTED_VALUE"""),"")</f>
        <v/>
      </c>
      <c r="I156" s="156" t="str">
        <f>IFERROR(__xludf.DUMMYFUNCTION("""COMPUTED_VALUE"""),"")</f>
        <v/>
      </c>
      <c r="J156" s="158" t="str">
        <f>IFERROR(__xludf.DUMMYFUNCTION("""COMPUTED_VALUE"""),"")</f>
        <v/>
      </c>
      <c r="K156" s="160" t="str">
        <f>IFERROR(__xludf.DUMMYFUNCTION("""COMPUTED_VALUE"""),"AP")</f>
        <v>AP</v>
      </c>
      <c r="L156" s="162" t="str">
        <f>IFERROR(__xludf.DUMMYFUNCTION("""COMPUTED_VALUE"""),"")</f>
        <v/>
      </c>
      <c r="M156" s="160" t="str">
        <f>IFERROR(__xludf.DUMMYFUNCTION("""COMPUTED_VALUE"""),"％")</f>
        <v>％</v>
      </c>
      <c r="N156" s="154" t="str">
        <f>IFERROR(__xludf.DUMMYFUNCTION("""COMPUTED_VALUE"""),"")</f>
        <v/>
      </c>
      <c r="O156" s="100"/>
      <c r="P156" s="371" t="str">
        <f>IFERROR(__xludf.DUMMYFUNCTION("""COMPUTED_VALUE"""),"")</f>
        <v/>
      </c>
      <c r="R156" s="99"/>
      <c r="S156" s="100"/>
      <c r="T156" s="146">
        <f>IFERROR(__xludf.DUMMYFUNCTION("""COMPUTED_VALUE"""),4.0)</f>
        <v>4</v>
      </c>
      <c r="U156" s="148" t="str">
        <f>IFERROR(__xludf.DUMMYFUNCTION("""COMPUTED_VALUE"""),"TRF28")</f>
        <v>TRF28</v>
      </c>
      <c r="V156" s="150" t="str">
        <f>IFERROR(__xludf.DUMMYFUNCTION("""COMPUTED_VALUE"""),"Chaldea Gate (Sun)")</f>
        <v>Chaldea Gate (Sun)</v>
      </c>
      <c r="W156" s="150" t="str">
        <f>IFERROR(__xludf.DUMMYFUNCTION("""COMPUTED_VALUE"""),"SUN Saber Training Ground- Exp")</f>
        <v>SUN Saber Training Ground- Exp</v>
      </c>
      <c r="X156" s="154">
        <f>IFERROR(__xludf.DUMMYFUNCTION("""COMPUTED_VALUE"""),40.0)</f>
        <v>40</v>
      </c>
      <c r="Y156" s="156">
        <f>IFERROR(__xludf.DUMMYFUNCTION("""COMPUTED_VALUE"""),20.46875)</f>
        <v>20.46875</v>
      </c>
      <c r="Z156" s="158">
        <f>IFERROR(__xludf.DUMMYFUNCTION("""COMPUTED_VALUE"""),54.2)</f>
        <v>54.2</v>
      </c>
      <c r="AA156" s="160" t="str">
        <f>IFERROR(__xludf.DUMMYFUNCTION("""COMPUTED_VALUE"""),"AP")</f>
        <v>AP</v>
      </c>
      <c r="AB156" s="162">
        <f>IFERROR(__xludf.DUMMYFUNCTION("""COMPUTED_VALUE"""),73.8)</f>
        <v>73.8</v>
      </c>
      <c r="AC156" s="160" t="str">
        <f>IFERROR(__xludf.DUMMYFUNCTION("""COMPUTED_VALUE"""),"％")</f>
        <v>％</v>
      </c>
      <c r="AD156" s="154">
        <f>IFERROR(__xludf.DUMMYFUNCTION("""COMPUTED_VALUE"""),21334.0)</f>
        <v>21334</v>
      </c>
      <c r="AE156" s="100"/>
      <c r="AF156" s="372" t="str">
        <f>IFERROR(__xludf.DUMMYFUNCTION("""COMPUTED_VALUE"""),"")</f>
        <v/>
      </c>
    </row>
    <row r="157" ht="16.5" customHeight="1">
      <c r="A157" s="166"/>
      <c r="B157" s="167"/>
      <c r="C157" s="168"/>
      <c r="D157" s="169">
        <f>IFERROR(__xludf.DUMMYFUNCTION("""COMPUTED_VALUE"""),5.0)</f>
        <v>5</v>
      </c>
      <c r="E157" s="170" t="str">
        <f>IFERROR(__xludf.DUMMYFUNCTION("""COMPUTED_VALUE"""),"")</f>
        <v/>
      </c>
      <c r="F157" s="51" t="str">
        <f>IFERROR(__xludf.DUMMYFUNCTION("""COMPUTED_VALUE"""),"")</f>
        <v/>
      </c>
      <c r="G157" s="51" t="str">
        <f>IFERROR(__xludf.DUMMYFUNCTION("""COMPUTED_VALUE"""),"")</f>
        <v/>
      </c>
      <c r="H157" s="172" t="str">
        <f>IFERROR(__xludf.DUMMYFUNCTION("""COMPUTED_VALUE"""),"")</f>
        <v/>
      </c>
      <c r="I157" s="173" t="str">
        <f>IFERROR(__xludf.DUMMYFUNCTION("""COMPUTED_VALUE"""),"")</f>
        <v/>
      </c>
      <c r="J157" s="174" t="str">
        <f>IFERROR(__xludf.DUMMYFUNCTION("""COMPUTED_VALUE"""),"")</f>
        <v/>
      </c>
      <c r="K157" s="175" t="str">
        <f>IFERROR(__xludf.DUMMYFUNCTION("""COMPUTED_VALUE"""),"AP")</f>
        <v>AP</v>
      </c>
      <c r="L157" s="176" t="str">
        <f>IFERROR(__xludf.DUMMYFUNCTION("""COMPUTED_VALUE"""),"")</f>
        <v/>
      </c>
      <c r="M157" s="175" t="str">
        <f>IFERROR(__xludf.DUMMYFUNCTION("""COMPUTED_VALUE"""),"％")</f>
        <v>％</v>
      </c>
      <c r="N157" s="172" t="str">
        <f>IFERROR(__xludf.DUMMYFUNCTION("""COMPUTED_VALUE"""),"")</f>
        <v/>
      </c>
      <c r="O157" s="168"/>
      <c r="P157" s="371" t="str">
        <f>IFERROR(__xludf.DUMMYFUNCTION("""COMPUTED_VALUE"""),"")</f>
        <v/>
      </c>
      <c r="Q157" s="166"/>
      <c r="R157" s="167"/>
      <c r="S157" s="168"/>
      <c r="T157" s="169">
        <f>IFERROR(__xludf.DUMMYFUNCTION("""COMPUTED_VALUE"""),5.0)</f>
        <v>5</v>
      </c>
      <c r="U157" s="170" t="str">
        <f>IFERROR(__xludf.DUMMYFUNCTION("""COMPUTED_VALUE"""),"FUY8")</f>
        <v>FUY8</v>
      </c>
      <c r="V157" s="51" t="str">
        <f>IFERROR(__xludf.DUMMYFUNCTION("""COMPUTED_VALUE"""),"Fuyuki")</f>
        <v>Fuyuki</v>
      </c>
      <c r="W157" s="171" t="str">
        <f>IFERROR(__xludf.DUMMYFUNCTION("""COMPUTED_VALUE"""),"Mobile Coordinate No.0")</f>
        <v>Mobile Coordinate No.0</v>
      </c>
      <c r="X157" s="172">
        <f>IFERROR(__xludf.DUMMYFUNCTION("""COMPUTED_VALUE"""),7.0)</f>
        <v>7</v>
      </c>
      <c r="Y157" s="173">
        <f>IFERROR(__xludf.DUMMYFUNCTION("""COMPUTED_VALUE"""),27.678571428571427)</f>
        <v>27.67857143</v>
      </c>
      <c r="Z157" s="174">
        <f>IFERROR(__xludf.DUMMYFUNCTION("""COMPUTED_VALUE"""),76.8)</f>
        <v>76.8</v>
      </c>
      <c r="AA157" s="175" t="str">
        <f>IFERROR(__xludf.DUMMYFUNCTION("""COMPUTED_VALUE"""),"AP")</f>
        <v>AP</v>
      </c>
      <c r="AB157" s="176">
        <f>IFERROR(__xludf.DUMMYFUNCTION("""COMPUTED_VALUE"""),9.1)</f>
        <v>9.1</v>
      </c>
      <c r="AC157" s="175" t="str">
        <f>IFERROR(__xludf.DUMMYFUNCTION("""COMPUTED_VALUE"""),"％")</f>
        <v>％</v>
      </c>
      <c r="AD157" s="172">
        <f>IFERROR(__xludf.DUMMYFUNCTION("""COMPUTED_VALUE"""),451.0)</f>
        <v>451</v>
      </c>
      <c r="AE157" s="168"/>
      <c r="AF157" s="372" t="str">
        <f>IFERROR(__xludf.DUMMYFUNCTION("""COMPUTED_VALUE"""),"")</f>
        <v/>
      </c>
    </row>
    <row r="158" ht="16.5" customHeight="1">
      <c r="A158" s="61" t="str">
        <f>IFERROR(__xludf.DUMMYFUNCTION("""COMPUTED_VALUE"""),"")</f>
        <v/>
      </c>
      <c r="B158" s="366" t="str">
        <f>IFERROR(__xludf.DUMMYFUNCTION("""COMPUTED_VALUE"""),"A104")</f>
        <v>A104</v>
      </c>
      <c r="C158" s="180" t="str">
        <f>IFERROR(__xludf.DUMMYFUNCTION("""COMPUTED_VALUE"""),"Spirit Root")</f>
        <v>Spirit Root</v>
      </c>
      <c r="D158" s="181">
        <f>IFERROR(__xludf.DUMMYFUNCTION("""COMPUTED_VALUE"""),1.0)</f>
        <v>1</v>
      </c>
      <c r="E158" s="182" t="str">
        <f>IFERROR(__xludf.DUMMYFUNCTION("""COMPUTED_VALUE"""),"CML10")</f>
        <v>CML10</v>
      </c>
      <c r="F158" s="184" t="str">
        <f>IFERROR(__xludf.DUMMYFUNCTION("""COMPUTED_VALUE"""),"Camelot")</f>
        <v>Camelot</v>
      </c>
      <c r="G158" s="189" t="str">
        <f>IFERROR(__xludf.DUMMYFUNCTION("""COMPUTED_VALUE"""),"Holy City")</f>
        <v>Holy City</v>
      </c>
      <c r="H158" s="190">
        <f>IFERROR(__xludf.DUMMYFUNCTION("""COMPUTED_VALUE"""),20.0)</f>
        <v>20</v>
      </c>
      <c r="I158" s="191">
        <f>IFERROR(__xludf.DUMMYFUNCTION("""COMPUTED_VALUE"""),47.1875)</f>
        <v>47.1875</v>
      </c>
      <c r="J158" s="192">
        <f>IFERROR(__xludf.DUMMYFUNCTION("""COMPUTED_VALUE"""),165.3)</f>
        <v>165.3</v>
      </c>
      <c r="K158" s="194" t="str">
        <f>IFERROR(__xludf.DUMMYFUNCTION("""COMPUTED_VALUE"""),"AP")</f>
        <v>AP</v>
      </c>
      <c r="L158" s="192">
        <f>IFERROR(__xludf.DUMMYFUNCTION("""COMPUTED_VALUE"""),12.1)</f>
        <v>12.1</v>
      </c>
      <c r="M158" s="194" t="str">
        <f>IFERROR(__xludf.DUMMYFUNCTION("""COMPUTED_VALUE"""),"％")</f>
        <v>％</v>
      </c>
      <c r="N158" s="190">
        <f>IFERROR(__xludf.DUMMYFUNCTION("""COMPUTED_VALUE"""),22807.0)</f>
        <v>22807</v>
      </c>
      <c r="O158" s="197" t="str">
        <f>IFERROR(__xludf.DUMMYFUNCTION("""COMPUTED_VALUE"""),"Spirit Root")</f>
        <v>Spirit Root</v>
      </c>
      <c r="P158" s="371" t="str">
        <f>IFERROR(__xludf.DUMMYFUNCTION("""COMPUTED_VALUE"""),"")</f>
        <v/>
      </c>
      <c r="Q158" s="61" t="str">
        <f>IFERROR(__xludf.DUMMYFUNCTION("""COMPUTED_VALUE"""),"")</f>
        <v/>
      </c>
      <c r="R158" s="366" t="str">
        <f>IFERROR(__xludf.DUMMYFUNCTION("""COMPUTED_VALUE"""),"B212")</f>
        <v>B212</v>
      </c>
      <c r="S158" s="180" t="str">
        <f>IFERROR(__xludf.DUMMYFUNCTION("""COMPUTED_VALUE"""),"Archer Piece")</f>
        <v>Archer Piece</v>
      </c>
      <c r="T158" s="181">
        <f>IFERROR(__xludf.DUMMYFUNCTION("""COMPUTED_VALUE"""),1.0)</f>
        <v>1</v>
      </c>
      <c r="U158" s="182" t="str">
        <f>IFERROR(__xludf.DUMMYFUNCTION("""COMPUTED_VALUE"""),"TRF3")</f>
        <v>TRF3</v>
      </c>
      <c r="V158" s="184" t="str">
        <f>IFERROR(__xludf.DUMMYFUNCTION("""COMPUTED_VALUE"""),"Chaldea Gate (Mon)")</f>
        <v>Chaldea Gate (Mon)</v>
      </c>
      <c r="W158" s="184" t="str">
        <f>IFERROR(__xludf.DUMMYFUNCTION("""COMPUTED_VALUE"""),"MON Archer Training Ground- Adv")</f>
        <v>MON Archer Training Ground- Adv</v>
      </c>
      <c r="X158" s="190">
        <f>IFERROR(__xludf.DUMMYFUNCTION("""COMPUTED_VALUE"""),30.0)</f>
        <v>30</v>
      </c>
      <c r="Y158" s="191">
        <f>IFERROR(__xludf.DUMMYFUNCTION("""COMPUTED_VALUE"""),18.958333333333332)</f>
        <v>18.95833333</v>
      </c>
      <c r="Z158" s="192">
        <f>IFERROR(__xludf.DUMMYFUNCTION("""COMPUTED_VALUE"""),29.0)</f>
        <v>29</v>
      </c>
      <c r="AA158" s="194" t="str">
        <f>IFERROR(__xludf.DUMMYFUNCTION("""COMPUTED_VALUE"""),"AP")</f>
        <v>AP</v>
      </c>
      <c r="AB158" s="192">
        <f>IFERROR(__xludf.DUMMYFUNCTION("""COMPUTED_VALUE"""),103.4)</f>
        <v>103.4</v>
      </c>
      <c r="AC158" s="194" t="str">
        <f>IFERROR(__xludf.DUMMYFUNCTION("""COMPUTED_VALUE"""),"％")</f>
        <v>％</v>
      </c>
      <c r="AD158" s="190">
        <f>IFERROR(__xludf.DUMMYFUNCTION("""COMPUTED_VALUE"""),817.0)</f>
        <v>817</v>
      </c>
      <c r="AE158" s="197" t="str">
        <f>IFERROR(__xludf.DUMMYFUNCTION("""COMPUTED_VALUE"""),"Archer Piece")</f>
        <v>Archer Piece</v>
      </c>
      <c r="AF158" s="372" t="str">
        <f>IFERROR(__xludf.DUMMYFUNCTION("""COMPUTED_VALUE"""),"")</f>
        <v/>
      </c>
    </row>
    <row r="159" ht="16.5" customHeight="1">
      <c r="C159" s="204"/>
      <c r="D159" s="205">
        <f>IFERROR(__xludf.DUMMYFUNCTION("""COMPUTED_VALUE"""),2.0)</f>
        <v>2</v>
      </c>
      <c r="E159" s="206" t="str">
        <f>IFERROR(__xludf.DUMMYFUNCTION("""COMPUTED_VALUE"""),"SJK8")</f>
        <v>SJK8</v>
      </c>
      <c r="F159" s="207" t="str">
        <f>IFERROR(__xludf.DUMMYFUNCTION("""COMPUTED_VALUE"""),"Shinjuku")</f>
        <v>Shinjuku</v>
      </c>
      <c r="G159" s="209" t="str">
        <f>IFERROR(__xludf.DUMMYFUNCTION("""COMPUTED_VALUE"""),"Tower - Top Floor")</f>
        <v>Tower - Top Floor</v>
      </c>
      <c r="H159" s="211">
        <f>IFERROR(__xludf.DUMMYFUNCTION("""COMPUTED_VALUE"""),21.0)</f>
        <v>21</v>
      </c>
      <c r="I159" s="213">
        <f>IFERROR(__xludf.DUMMYFUNCTION("""COMPUTED_VALUE"""),49.70238095238095)</f>
        <v>49.70238095</v>
      </c>
      <c r="J159" s="214">
        <f>IFERROR(__xludf.DUMMYFUNCTION("""COMPUTED_VALUE"""),176.4)</f>
        <v>176.4</v>
      </c>
      <c r="K159" s="215" t="str">
        <f>IFERROR(__xludf.DUMMYFUNCTION("""COMPUTED_VALUE"""),"AP")</f>
        <v>AP</v>
      </c>
      <c r="L159" s="214">
        <f>IFERROR(__xludf.DUMMYFUNCTION("""COMPUTED_VALUE"""),11.9)</f>
        <v>11.9</v>
      </c>
      <c r="M159" s="215" t="str">
        <f>IFERROR(__xludf.DUMMYFUNCTION("""COMPUTED_VALUE"""),"％")</f>
        <v>％</v>
      </c>
      <c r="N159" s="211">
        <f>IFERROR(__xludf.DUMMYFUNCTION("""COMPUTED_VALUE"""),3200.0)</f>
        <v>3200</v>
      </c>
      <c r="O159" s="217"/>
      <c r="P159" s="371" t="str">
        <f>IFERROR(__xludf.DUMMYFUNCTION("""COMPUTED_VALUE"""),"")</f>
        <v/>
      </c>
      <c r="S159" s="204"/>
      <c r="T159" s="205">
        <f>IFERROR(__xludf.DUMMYFUNCTION("""COMPUTED_VALUE"""),2.0)</f>
        <v>2</v>
      </c>
      <c r="U159" s="206" t="str">
        <f>IFERROR(__xludf.DUMMYFUNCTION("""COMPUTED_VALUE"""),"TRF2")</f>
        <v>TRF2</v>
      </c>
      <c r="V159" s="207" t="str">
        <f>IFERROR(__xludf.DUMMYFUNCTION("""COMPUTED_VALUE"""),"Chaldea Gate (Mon)")</f>
        <v>Chaldea Gate (Mon)</v>
      </c>
      <c r="W159" s="207" t="str">
        <f>IFERROR(__xludf.DUMMYFUNCTION("""COMPUTED_VALUE"""),"MON Archer Training Ground- Int")</f>
        <v>MON Archer Training Ground- Int</v>
      </c>
      <c r="X159" s="211">
        <f>IFERROR(__xludf.DUMMYFUNCTION("""COMPUTED_VALUE"""),20.0)</f>
        <v>20</v>
      </c>
      <c r="Y159" s="213">
        <f>IFERROR(__xludf.DUMMYFUNCTION("""COMPUTED_VALUE"""),19.0625)</f>
        <v>19.0625</v>
      </c>
      <c r="Z159" s="214">
        <f>IFERROR(__xludf.DUMMYFUNCTION("""COMPUTED_VALUE"""),29.1)</f>
        <v>29.1</v>
      </c>
      <c r="AA159" s="215" t="str">
        <f>IFERROR(__xludf.DUMMYFUNCTION("""COMPUTED_VALUE"""),"AP")</f>
        <v>AP</v>
      </c>
      <c r="AB159" s="214">
        <f>IFERROR(__xludf.DUMMYFUNCTION("""COMPUTED_VALUE"""),68.6)</f>
        <v>68.6</v>
      </c>
      <c r="AC159" s="215" t="str">
        <f>IFERROR(__xludf.DUMMYFUNCTION("""COMPUTED_VALUE"""),"％")</f>
        <v>％</v>
      </c>
      <c r="AD159" s="211">
        <f>IFERROR(__xludf.DUMMYFUNCTION("""COMPUTED_VALUE"""),657.0)</f>
        <v>657</v>
      </c>
      <c r="AE159" s="217"/>
      <c r="AF159" s="372" t="str">
        <f>IFERROR(__xludf.DUMMYFUNCTION("""COMPUTED_VALUE"""),"")</f>
        <v/>
      </c>
    </row>
    <row r="160" ht="16.5" customHeight="1">
      <c r="C160" s="204"/>
      <c r="D160" s="222">
        <f>IFERROR(__xludf.DUMMYFUNCTION("""COMPUTED_VALUE"""),3.0)</f>
        <v>3</v>
      </c>
      <c r="E160" s="223" t="str">
        <f>IFERROR(__xludf.DUMMYFUNCTION("""COMPUTED_VALUE"""),"GTT11")</f>
        <v>GTT11</v>
      </c>
      <c r="F160" s="224" t="str">
        <f>IFERROR(__xludf.DUMMYFUNCTION("""COMPUTED_VALUE"""),"Götterdämmerung")</f>
        <v>Götterdämmerung</v>
      </c>
      <c r="G160" s="226" t="str">
        <f>IFERROR(__xludf.DUMMYFUNCTION("""COMPUTED_VALUE"""),"Forgotten Temple")</f>
        <v>Forgotten Temple</v>
      </c>
      <c r="H160" s="228">
        <f>IFERROR(__xludf.DUMMYFUNCTION("""COMPUTED_VALUE"""),21.0)</f>
        <v>21</v>
      </c>
      <c r="I160" s="230">
        <f>IFERROR(__xludf.DUMMYFUNCTION("""COMPUTED_VALUE"""),50.892857142857146)</f>
        <v>50.89285714</v>
      </c>
      <c r="J160" s="231">
        <f>IFERROR(__xludf.DUMMYFUNCTION("""COMPUTED_VALUE"""),187.0)</f>
        <v>187</v>
      </c>
      <c r="K160" s="232" t="str">
        <f>IFERROR(__xludf.DUMMYFUNCTION("""COMPUTED_VALUE"""),"AP")</f>
        <v>AP</v>
      </c>
      <c r="L160" s="231">
        <f>IFERROR(__xludf.DUMMYFUNCTION("""COMPUTED_VALUE"""),11.2)</f>
        <v>11.2</v>
      </c>
      <c r="M160" s="232" t="str">
        <f>IFERROR(__xludf.DUMMYFUNCTION("""COMPUTED_VALUE"""),"％")</f>
        <v>％</v>
      </c>
      <c r="N160" s="228">
        <f>IFERROR(__xludf.DUMMYFUNCTION("""COMPUTED_VALUE"""),3740.0)</f>
        <v>3740</v>
      </c>
      <c r="O160" s="217"/>
      <c r="P160" s="371" t="str">
        <f>IFERROR(__xludf.DUMMYFUNCTION("""COMPUTED_VALUE"""),"")</f>
        <v/>
      </c>
      <c r="S160" s="204"/>
      <c r="T160" s="222">
        <f>IFERROR(__xludf.DUMMYFUNCTION("""COMPUTED_VALUE"""),3.0)</f>
        <v>3</v>
      </c>
      <c r="U160" s="223" t="str">
        <f>IFERROR(__xludf.DUMMYFUNCTION("""COMPUTED_VALUE"""),"TRF1")</f>
        <v>TRF1</v>
      </c>
      <c r="V160" s="224" t="str">
        <f>IFERROR(__xludf.DUMMYFUNCTION("""COMPUTED_VALUE"""),"Chaldea Gate (Mon)")</f>
        <v>Chaldea Gate (Mon)</v>
      </c>
      <c r="W160" s="224" t="str">
        <f>IFERROR(__xludf.DUMMYFUNCTION("""COMPUTED_VALUE"""),"MON Archer Training Ground- Nov")</f>
        <v>MON Archer Training Ground- Nov</v>
      </c>
      <c r="X160" s="228">
        <f>IFERROR(__xludf.DUMMYFUNCTION("""COMPUTED_VALUE"""),10.0)</f>
        <v>10</v>
      </c>
      <c r="Y160" s="230">
        <f>IFERROR(__xludf.DUMMYFUNCTION("""COMPUTED_VALUE"""),19.375)</f>
        <v>19.375</v>
      </c>
      <c r="Z160" s="231">
        <f>IFERROR(__xludf.DUMMYFUNCTION("""COMPUTED_VALUE"""),44.9)</f>
        <v>44.9</v>
      </c>
      <c r="AA160" s="232" t="str">
        <f>IFERROR(__xludf.DUMMYFUNCTION("""COMPUTED_VALUE"""),"AP")</f>
        <v>AP</v>
      </c>
      <c r="AB160" s="231">
        <f>IFERROR(__xludf.DUMMYFUNCTION("""COMPUTED_VALUE"""),22.3)</f>
        <v>22.3</v>
      </c>
      <c r="AC160" s="232" t="str">
        <f>IFERROR(__xludf.DUMMYFUNCTION("""COMPUTED_VALUE"""),"％")</f>
        <v>％</v>
      </c>
      <c r="AD160" s="228">
        <f>IFERROR(__xludf.DUMMYFUNCTION("""COMPUTED_VALUE"""),1558.0)</f>
        <v>1558</v>
      </c>
      <c r="AE160" s="217"/>
      <c r="AF160" s="372" t="str">
        <f>IFERROR(__xludf.DUMMYFUNCTION("""COMPUTED_VALUE"""),"")</f>
        <v/>
      </c>
    </row>
    <row r="161" ht="16.5" customHeight="1">
      <c r="C161" s="204"/>
      <c r="D161" s="238">
        <f>IFERROR(__xludf.DUMMYFUNCTION("""COMPUTED_VALUE"""),4.0)</f>
        <v>4</v>
      </c>
      <c r="E161" s="240" t="str">
        <f>IFERROR(__xludf.DUMMYFUNCTION("""COMPUTED_VALUE"""),"EPU13")</f>
        <v>EPU13</v>
      </c>
      <c r="F161" s="242" t="str">
        <f>IFERROR(__xludf.DUMMYFUNCTION("""COMPUTED_VALUE"""),"E Pluribus Unum")</f>
        <v>E Pluribus Unum</v>
      </c>
      <c r="G161" s="244" t="str">
        <f>IFERROR(__xludf.DUMMYFUNCTION("""COMPUTED_VALUE"""),"Washington")</f>
        <v>Washington</v>
      </c>
      <c r="H161" s="246">
        <f>IFERROR(__xludf.DUMMYFUNCTION("""COMPUTED_VALUE"""),20.0)</f>
        <v>20</v>
      </c>
      <c r="I161" s="248">
        <f>IFERROR(__xludf.DUMMYFUNCTION("""COMPUTED_VALUE"""),49.0625)</f>
        <v>49.0625</v>
      </c>
      <c r="J161" s="250">
        <f>IFERROR(__xludf.DUMMYFUNCTION("""COMPUTED_VALUE"""),296.8)</f>
        <v>296.8</v>
      </c>
      <c r="K161" s="252" t="str">
        <f>IFERROR(__xludf.DUMMYFUNCTION("""COMPUTED_VALUE"""),"AP")</f>
        <v>AP</v>
      </c>
      <c r="L161" s="250">
        <f>IFERROR(__xludf.DUMMYFUNCTION("""COMPUTED_VALUE"""),6.7)</f>
        <v>6.7</v>
      </c>
      <c r="M161" s="252" t="str">
        <f>IFERROR(__xludf.DUMMYFUNCTION("""COMPUTED_VALUE"""),"％")</f>
        <v>％</v>
      </c>
      <c r="N161" s="246">
        <f>IFERROR(__xludf.DUMMYFUNCTION("""COMPUTED_VALUE"""),742.0)</f>
        <v>742</v>
      </c>
      <c r="O161" s="217"/>
      <c r="P161" s="371" t="str">
        <f>IFERROR(__xludf.DUMMYFUNCTION("""COMPUTED_VALUE"""),"")</f>
        <v/>
      </c>
      <c r="S161" s="204"/>
      <c r="T161" s="238">
        <f>IFERROR(__xludf.DUMMYFUNCTION("""COMPUTED_VALUE"""),4.0)</f>
        <v>4</v>
      </c>
      <c r="U161" s="240" t="str">
        <f>IFERROR(__xludf.DUMMYFUNCTION("""COMPUTED_VALUE"""),"TRF4")</f>
        <v>TRF4</v>
      </c>
      <c r="V161" s="242" t="str">
        <f>IFERROR(__xludf.DUMMYFUNCTION("""COMPUTED_VALUE"""),"Chaldea Gate (Mon)")</f>
        <v>Chaldea Gate (Mon)</v>
      </c>
      <c r="W161" s="242" t="str">
        <f>IFERROR(__xludf.DUMMYFUNCTION("""COMPUTED_VALUE"""),"MON Archer Training Ground- Exp")</f>
        <v>MON Archer Training Ground- Exp</v>
      </c>
      <c r="X161" s="246">
        <f>IFERROR(__xludf.DUMMYFUNCTION("""COMPUTED_VALUE"""),40.0)</f>
        <v>40</v>
      </c>
      <c r="Y161" s="248">
        <f>IFERROR(__xludf.DUMMYFUNCTION("""COMPUTED_VALUE"""),20.46875)</f>
        <v>20.46875</v>
      </c>
      <c r="Z161" s="250">
        <f>IFERROR(__xludf.DUMMYFUNCTION("""COMPUTED_VALUE"""),49.5)</f>
        <v>49.5</v>
      </c>
      <c r="AA161" s="252" t="str">
        <f>IFERROR(__xludf.DUMMYFUNCTION("""COMPUTED_VALUE"""),"AP")</f>
        <v>AP</v>
      </c>
      <c r="AB161" s="250">
        <f>IFERROR(__xludf.DUMMYFUNCTION("""COMPUTED_VALUE"""),80.8)</f>
        <v>80.8</v>
      </c>
      <c r="AC161" s="252" t="str">
        <f>IFERROR(__xludf.DUMMYFUNCTION("""COMPUTED_VALUE"""),"％")</f>
        <v>％</v>
      </c>
      <c r="AD161" s="246">
        <f>IFERROR(__xludf.DUMMYFUNCTION("""COMPUTED_VALUE"""),9159.0)</f>
        <v>9159</v>
      </c>
      <c r="AE161" s="217"/>
      <c r="AF161" s="372" t="str">
        <f>IFERROR(__xludf.DUMMYFUNCTION("""COMPUTED_VALUE"""),"")</f>
        <v/>
      </c>
    </row>
    <row r="162" ht="16.5" customHeight="1">
      <c r="A162" s="166"/>
      <c r="C162" s="255"/>
      <c r="D162" s="256">
        <f>IFERROR(__xludf.DUMMYFUNCTION("""COMPUTED_VALUE"""),5.0)</f>
        <v>5</v>
      </c>
      <c r="E162" s="257" t="str">
        <f>IFERROR(__xludf.DUMMYFUNCTION("""COMPUTED_VALUE"""),"TRF28")</f>
        <v>TRF28</v>
      </c>
      <c r="F162" s="42" t="str">
        <f>IFERROR(__xludf.DUMMYFUNCTION("""COMPUTED_VALUE"""),"Chaldea Gate (Sun)")</f>
        <v>Chaldea Gate (Sun)</v>
      </c>
      <c r="G162" s="42" t="str">
        <f>IFERROR(__xludf.DUMMYFUNCTION("""COMPUTED_VALUE"""),"SUN Saber Training Ground- Exp")</f>
        <v>SUN Saber Training Ground- Exp</v>
      </c>
      <c r="H162" s="259">
        <f>IFERROR(__xludf.DUMMYFUNCTION("""COMPUTED_VALUE"""),40.0)</f>
        <v>40</v>
      </c>
      <c r="I162" s="260">
        <f>IFERROR(__xludf.DUMMYFUNCTION("""COMPUTED_VALUE"""),20.46875)</f>
        <v>20.46875</v>
      </c>
      <c r="J162" s="261">
        <f>IFERROR(__xludf.DUMMYFUNCTION("""COMPUTED_VALUE"""),489.6)</f>
        <v>489.6</v>
      </c>
      <c r="K162" s="262" t="str">
        <f>IFERROR(__xludf.DUMMYFUNCTION("""COMPUTED_VALUE"""),"AP")</f>
        <v>AP</v>
      </c>
      <c r="L162" s="261">
        <f>IFERROR(__xludf.DUMMYFUNCTION("""COMPUTED_VALUE"""),8.2)</f>
        <v>8.2</v>
      </c>
      <c r="M162" s="262" t="str">
        <f>IFERROR(__xludf.DUMMYFUNCTION("""COMPUTED_VALUE"""),"％")</f>
        <v>％</v>
      </c>
      <c r="N162" s="259">
        <f>IFERROR(__xludf.DUMMYFUNCTION("""COMPUTED_VALUE"""),21334.0)</f>
        <v>21334</v>
      </c>
      <c r="O162" s="263"/>
      <c r="P162" s="371" t="str">
        <f>IFERROR(__xludf.DUMMYFUNCTION("""COMPUTED_VALUE"""),"")</f>
        <v/>
      </c>
      <c r="Q162" s="166"/>
      <c r="S162" s="255"/>
      <c r="T162" s="256">
        <f>IFERROR(__xludf.DUMMYFUNCTION("""COMPUTED_VALUE"""),5.0)</f>
        <v>5</v>
      </c>
      <c r="U162" s="257" t="str">
        <f>IFERROR(__xludf.DUMMYFUNCTION("""COMPUTED_VALUE"""),"EPU8")</f>
        <v>EPU8</v>
      </c>
      <c r="V162" s="42" t="str">
        <f>IFERROR(__xludf.DUMMYFUNCTION("""COMPUTED_VALUE"""),"E Pluribus Unum")</f>
        <v>E Pluribus Unum</v>
      </c>
      <c r="W162" s="258" t="str">
        <f>IFERROR(__xludf.DUMMYFUNCTION("""COMPUTED_VALUE"""),"Montgomery")</f>
        <v>Montgomery</v>
      </c>
      <c r="X162" s="259">
        <f>IFERROR(__xludf.DUMMYFUNCTION("""COMPUTED_VALUE"""),18.0)</f>
        <v>18</v>
      </c>
      <c r="Y162" s="260">
        <f>IFERROR(__xludf.DUMMYFUNCTION("""COMPUTED_VALUE"""),44.09722222222222)</f>
        <v>44.09722222</v>
      </c>
      <c r="Z162" s="261">
        <f>IFERROR(__xludf.DUMMYFUNCTION("""COMPUTED_VALUE"""),147.8)</f>
        <v>147.8</v>
      </c>
      <c r="AA162" s="262" t="str">
        <f>IFERROR(__xludf.DUMMYFUNCTION("""COMPUTED_VALUE"""),"AP")</f>
        <v>AP</v>
      </c>
      <c r="AB162" s="261">
        <f>IFERROR(__xludf.DUMMYFUNCTION("""COMPUTED_VALUE"""),12.2)</f>
        <v>12.2</v>
      </c>
      <c r="AC162" s="262" t="str">
        <f>IFERROR(__xludf.DUMMYFUNCTION("""COMPUTED_VALUE"""),"％")</f>
        <v>％</v>
      </c>
      <c r="AD162" s="259">
        <f>IFERROR(__xludf.DUMMYFUNCTION("""COMPUTED_VALUE"""),2068.0)</f>
        <v>2068</v>
      </c>
      <c r="AE162" s="263"/>
      <c r="AF162" s="372" t="str">
        <f>IFERROR(__xludf.DUMMYFUNCTION("""COMPUTED_VALUE"""),"")</f>
        <v/>
      </c>
    </row>
    <row r="163" ht="16.5" customHeight="1">
      <c r="A163" s="61" t="str">
        <f>IFERROR(__xludf.DUMMYFUNCTION("""COMPUTED_VALUE"""),"")</f>
        <v/>
      </c>
      <c r="B163" s="367" t="str">
        <f>IFERROR(__xludf.DUMMYFUNCTION("""COMPUTED_VALUE"""),"A105")</f>
        <v>A105</v>
      </c>
      <c r="C163" s="65" t="str">
        <f>IFERROR(__xludf.DUMMYFUNCTION("""COMPUTED_VALUE"""),"Warhorse's Young Horn")</f>
        <v>Warhorse's Young Horn</v>
      </c>
      <c r="D163" s="67">
        <f>IFERROR(__xludf.DUMMYFUNCTION("""COMPUTED_VALUE"""),1.0)</f>
        <v>1</v>
      </c>
      <c r="E163" s="69" t="str">
        <f>IFERROR(__xludf.DUMMYFUNCTION("""COMPUTED_VALUE"""),"AGT2")</f>
        <v>AGT2</v>
      </c>
      <c r="F163" s="71" t="str">
        <f>IFERROR(__xludf.DUMMYFUNCTION("""COMPUTED_VALUE"""),"Agartha")</f>
        <v>Agartha</v>
      </c>
      <c r="G163" s="78" t="str">
        <f>IFERROR(__xludf.DUMMYFUNCTION("""COMPUTED_VALUE"""),"Camping Ground")</f>
        <v>Camping Ground</v>
      </c>
      <c r="H163" s="80">
        <f>IFERROR(__xludf.DUMMYFUNCTION("""COMPUTED_VALUE"""),20.0)</f>
        <v>20</v>
      </c>
      <c r="I163" s="82">
        <f>IFERROR(__xludf.DUMMYFUNCTION("""COMPUTED_VALUE"""),48.4375)</f>
        <v>48.4375</v>
      </c>
      <c r="J163" s="84">
        <f>IFERROR(__xludf.DUMMYFUNCTION("""COMPUTED_VALUE"""),86.9)</f>
        <v>86.9</v>
      </c>
      <c r="K163" s="86" t="str">
        <f>IFERROR(__xludf.DUMMYFUNCTION("""COMPUTED_VALUE"""),"AP")</f>
        <v>AP</v>
      </c>
      <c r="L163" s="88">
        <f>IFERROR(__xludf.DUMMYFUNCTION("""COMPUTED_VALUE"""),23.0)</f>
        <v>23</v>
      </c>
      <c r="M163" s="86" t="str">
        <f>IFERROR(__xludf.DUMMYFUNCTION("""COMPUTED_VALUE"""),"％")</f>
        <v>％</v>
      </c>
      <c r="N163" s="80">
        <f>IFERROR(__xludf.DUMMYFUNCTION("""COMPUTED_VALUE"""),1303.0)</f>
        <v>1303</v>
      </c>
      <c r="O163" s="91" t="str">
        <f>IFERROR(__xludf.DUMMYFUNCTION("""COMPUTED_VALUE"""),"Warhorse's Young Horn")</f>
        <v>Warhorse's Young Horn</v>
      </c>
      <c r="P163" s="371" t="str">
        <f>IFERROR(__xludf.DUMMYFUNCTION("""COMPUTED_VALUE"""),"")</f>
        <v/>
      </c>
      <c r="Q163" s="61" t="str">
        <f>IFERROR(__xludf.DUMMYFUNCTION("""COMPUTED_VALUE"""),"")</f>
        <v/>
      </c>
      <c r="R163" s="367" t="str">
        <f>IFERROR(__xludf.DUMMYFUNCTION("""COMPUTED_VALUE"""),"B213")</f>
        <v>B213</v>
      </c>
      <c r="S163" s="65" t="str">
        <f>IFERROR(__xludf.DUMMYFUNCTION("""COMPUTED_VALUE"""),"Lancer Piece")</f>
        <v>Lancer Piece</v>
      </c>
      <c r="T163" s="67">
        <f>IFERROR(__xludf.DUMMYFUNCTION("""COMPUTED_VALUE"""),1.0)</f>
        <v>1</v>
      </c>
      <c r="U163" s="69" t="str">
        <f>IFERROR(__xludf.DUMMYFUNCTION("""COMPUTED_VALUE"""),"TRF6")</f>
        <v>TRF6</v>
      </c>
      <c r="V163" s="71" t="str">
        <f>IFERROR(__xludf.DUMMYFUNCTION("""COMPUTED_VALUE"""),"Chaldea Gate (Tue)")</f>
        <v>Chaldea Gate (Tue)</v>
      </c>
      <c r="W163" s="71" t="str">
        <f>IFERROR(__xludf.DUMMYFUNCTION("""COMPUTED_VALUE"""),"TUE Lancer Training Ground- Int")</f>
        <v>TUE Lancer Training Ground- Int</v>
      </c>
      <c r="X163" s="80">
        <f>IFERROR(__xludf.DUMMYFUNCTION("""COMPUTED_VALUE"""),20.0)</f>
        <v>20</v>
      </c>
      <c r="Y163" s="82">
        <f>IFERROR(__xludf.DUMMYFUNCTION("""COMPUTED_VALUE"""),19.0625)</f>
        <v>19.0625</v>
      </c>
      <c r="Z163" s="84">
        <f>IFERROR(__xludf.DUMMYFUNCTION("""COMPUTED_VALUE"""),28.6)</f>
        <v>28.6</v>
      </c>
      <c r="AA163" s="86" t="str">
        <f>IFERROR(__xludf.DUMMYFUNCTION("""COMPUTED_VALUE"""),"AP")</f>
        <v>AP</v>
      </c>
      <c r="AB163" s="88">
        <f>IFERROR(__xludf.DUMMYFUNCTION("""COMPUTED_VALUE"""),69.8)</f>
        <v>69.8</v>
      </c>
      <c r="AC163" s="86" t="str">
        <f>IFERROR(__xludf.DUMMYFUNCTION("""COMPUTED_VALUE"""),"％")</f>
        <v>％</v>
      </c>
      <c r="AD163" s="80">
        <f>IFERROR(__xludf.DUMMYFUNCTION("""COMPUTED_VALUE"""),338.0)</f>
        <v>338</v>
      </c>
      <c r="AE163" s="91" t="str">
        <f>IFERROR(__xludf.DUMMYFUNCTION("""COMPUTED_VALUE"""),"Lancer Piece")</f>
        <v>Lancer Piece</v>
      </c>
      <c r="AF163" s="372" t="str">
        <f>IFERROR(__xludf.DUMMYFUNCTION("""COMPUTED_VALUE"""),"")</f>
        <v/>
      </c>
    </row>
    <row r="164" ht="16.5" customHeight="1">
      <c r="C164" s="100"/>
      <c r="D164" s="102">
        <f>IFERROR(__xludf.DUMMYFUNCTION("""COMPUTED_VALUE"""),2.0)</f>
        <v>2</v>
      </c>
      <c r="E164" s="103" t="str">
        <f>IFERROR(__xludf.DUMMYFUNCTION("""COMPUTED_VALUE"""),"YKS1")</f>
        <v>YKS1</v>
      </c>
      <c r="F164" s="104" t="str">
        <f>IFERROR(__xludf.DUMMYFUNCTION("""COMPUTED_VALUE"""),"Yuga Kshetra")</f>
        <v>Yuga Kshetra</v>
      </c>
      <c r="G164" s="108" t="str">
        <f>IFERROR(__xludf.DUMMYFUNCTION("""COMPUTED_VALUE"""),"Initiate Point")</f>
        <v>Initiate Point</v>
      </c>
      <c r="H164" s="109">
        <f>IFERROR(__xludf.DUMMYFUNCTION("""COMPUTED_VALUE"""),20.0)</f>
        <v>20</v>
      </c>
      <c r="I164" s="110">
        <f>IFERROR(__xludf.DUMMYFUNCTION("""COMPUTED_VALUE"""),48.4375)</f>
        <v>48.4375</v>
      </c>
      <c r="J164" s="112">
        <f>IFERROR(__xludf.DUMMYFUNCTION("""COMPUTED_VALUE"""),89.4)</f>
        <v>89.4</v>
      </c>
      <c r="K164" s="121" t="str">
        <f>IFERROR(__xludf.DUMMYFUNCTION("""COMPUTED_VALUE"""),"AP")</f>
        <v>AP</v>
      </c>
      <c r="L164" s="123">
        <f>IFERROR(__xludf.DUMMYFUNCTION("""COMPUTED_VALUE"""),22.4)</f>
        <v>22.4</v>
      </c>
      <c r="M164" s="121" t="str">
        <f>IFERROR(__xludf.DUMMYFUNCTION("""COMPUTED_VALUE"""),"％")</f>
        <v>％</v>
      </c>
      <c r="N164" s="109">
        <f>IFERROR(__xludf.DUMMYFUNCTION("""COMPUTED_VALUE"""),1430.0)</f>
        <v>1430</v>
      </c>
      <c r="O164" s="100"/>
      <c r="P164" s="371" t="str">
        <f>IFERROR(__xludf.DUMMYFUNCTION("""COMPUTED_VALUE"""),"")</f>
        <v/>
      </c>
      <c r="S164" s="100"/>
      <c r="T164" s="102">
        <f>IFERROR(__xludf.DUMMYFUNCTION("""COMPUTED_VALUE"""),2.0)</f>
        <v>2</v>
      </c>
      <c r="U164" s="103" t="str">
        <f>IFERROR(__xludf.DUMMYFUNCTION("""COMPUTED_VALUE"""),"TRF7")</f>
        <v>TRF7</v>
      </c>
      <c r="V164" s="104" t="str">
        <f>IFERROR(__xludf.DUMMYFUNCTION("""COMPUTED_VALUE"""),"Chaldea Gate (Tue)")</f>
        <v>Chaldea Gate (Tue)</v>
      </c>
      <c r="W164" s="104" t="str">
        <f>IFERROR(__xludf.DUMMYFUNCTION("""COMPUTED_VALUE"""),"TUE Lancer Training Ground- Adv")</f>
        <v>TUE Lancer Training Ground- Adv</v>
      </c>
      <c r="X164" s="109">
        <f>IFERROR(__xludf.DUMMYFUNCTION("""COMPUTED_VALUE"""),30.0)</f>
        <v>30</v>
      </c>
      <c r="Y164" s="110">
        <f>IFERROR(__xludf.DUMMYFUNCTION("""COMPUTED_VALUE"""),18.958333333333332)</f>
        <v>18.95833333</v>
      </c>
      <c r="Z164" s="112">
        <f>IFERROR(__xludf.DUMMYFUNCTION("""COMPUTED_VALUE"""),30.5)</f>
        <v>30.5</v>
      </c>
      <c r="AA164" s="121" t="str">
        <f>IFERROR(__xludf.DUMMYFUNCTION("""COMPUTED_VALUE"""),"AP")</f>
        <v>AP</v>
      </c>
      <c r="AB164" s="123">
        <f>IFERROR(__xludf.DUMMYFUNCTION("""COMPUTED_VALUE"""),98.5)</f>
        <v>98.5</v>
      </c>
      <c r="AC164" s="121" t="str">
        <f>IFERROR(__xludf.DUMMYFUNCTION("""COMPUTED_VALUE"""),"％")</f>
        <v>％</v>
      </c>
      <c r="AD164" s="109">
        <f>IFERROR(__xludf.DUMMYFUNCTION("""COMPUTED_VALUE"""),1022.0)</f>
        <v>1022</v>
      </c>
      <c r="AE164" s="100"/>
      <c r="AF164" s="372" t="str">
        <f>IFERROR(__xludf.DUMMYFUNCTION("""COMPUTED_VALUE"""),"")</f>
        <v/>
      </c>
    </row>
    <row r="165" ht="16.5" customHeight="1">
      <c r="C165" s="100"/>
      <c r="D165" s="130">
        <f>IFERROR(__xludf.DUMMYFUNCTION("""COMPUTED_VALUE"""),3.0)</f>
        <v>3</v>
      </c>
      <c r="E165" s="132" t="str">
        <f>IFERROR(__xludf.DUMMYFUNCTION("""COMPUTED_VALUE"""),"ANA4")</f>
        <v>ANA4</v>
      </c>
      <c r="F165" s="133" t="str">
        <f>IFERROR(__xludf.DUMMYFUNCTION("""COMPUTED_VALUE"""),"Anastasia")</f>
        <v>Anastasia</v>
      </c>
      <c r="G165" s="135" t="str">
        <f>IFERROR(__xludf.DUMMYFUNCTION("""COMPUTED_VALUE"""),"Rebellion Army's Stronghold")</f>
        <v>Rebellion Army's Stronghold</v>
      </c>
      <c r="H165" s="137">
        <f>IFERROR(__xludf.DUMMYFUNCTION("""COMPUTED_VALUE"""),21.0)</f>
        <v>21</v>
      </c>
      <c r="I165" s="139">
        <f>IFERROR(__xludf.DUMMYFUNCTION("""COMPUTED_VALUE"""),47.32142857142857)</f>
        <v>47.32142857</v>
      </c>
      <c r="J165" s="141">
        <f>IFERROR(__xludf.DUMMYFUNCTION("""COMPUTED_VALUE"""),95.3)</f>
        <v>95.3</v>
      </c>
      <c r="K165" s="143" t="str">
        <f>IFERROR(__xludf.DUMMYFUNCTION("""COMPUTED_VALUE"""),"AP")</f>
        <v>AP</v>
      </c>
      <c r="L165" s="145">
        <f>IFERROR(__xludf.DUMMYFUNCTION("""COMPUTED_VALUE"""),22.0)</f>
        <v>22</v>
      </c>
      <c r="M165" s="143" t="str">
        <f>IFERROR(__xludf.DUMMYFUNCTION("""COMPUTED_VALUE"""),"％")</f>
        <v>％</v>
      </c>
      <c r="N165" s="137">
        <f>IFERROR(__xludf.DUMMYFUNCTION("""COMPUTED_VALUE"""),1539.0)</f>
        <v>1539</v>
      </c>
      <c r="O165" s="100"/>
      <c r="P165" s="371" t="str">
        <f>IFERROR(__xludf.DUMMYFUNCTION("""COMPUTED_VALUE"""),"")</f>
        <v/>
      </c>
      <c r="S165" s="100"/>
      <c r="T165" s="130">
        <f>IFERROR(__xludf.DUMMYFUNCTION("""COMPUTED_VALUE"""),3.0)</f>
        <v>3</v>
      </c>
      <c r="U165" s="132" t="str">
        <f>IFERROR(__xludf.DUMMYFUNCTION("""COMPUTED_VALUE"""),"TRF5")</f>
        <v>TRF5</v>
      </c>
      <c r="V165" s="133" t="str">
        <f>IFERROR(__xludf.DUMMYFUNCTION("""COMPUTED_VALUE"""),"Chaldea Gate (Tue)")</f>
        <v>Chaldea Gate (Tue)</v>
      </c>
      <c r="W165" s="133" t="str">
        <f>IFERROR(__xludf.DUMMYFUNCTION("""COMPUTED_VALUE"""),"TUE Lancer Training Ground- Nov")</f>
        <v>TUE Lancer Training Ground- Nov</v>
      </c>
      <c r="X165" s="137">
        <f>IFERROR(__xludf.DUMMYFUNCTION("""COMPUTED_VALUE"""),10.0)</f>
        <v>10</v>
      </c>
      <c r="Y165" s="139">
        <f>IFERROR(__xludf.DUMMYFUNCTION("""COMPUTED_VALUE"""),19.375)</f>
        <v>19.375</v>
      </c>
      <c r="Z165" s="141">
        <f>IFERROR(__xludf.DUMMYFUNCTION("""COMPUTED_VALUE"""),41.8)</f>
        <v>41.8</v>
      </c>
      <c r="AA165" s="143" t="str">
        <f>IFERROR(__xludf.DUMMYFUNCTION("""COMPUTED_VALUE"""),"AP")</f>
        <v>AP</v>
      </c>
      <c r="AB165" s="145">
        <f>IFERROR(__xludf.DUMMYFUNCTION("""COMPUTED_VALUE"""),23.9)</f>
        <v>23.9</v>
      </c>
      <c r="AC165" s="143" t="str">
        <f>IFERROR(__xludf.DUMMYFUNCTION("""COMPUTED_VALUE"""),"％")</f>
        <v>％</v>
      </c>
      <c r="AD165" s="137">
        <f>IFERROR(__xludf.DUMMYFUNCTION("""COMPUTED_VALUE"""),1502.0)</f>
        <v>1502</v>
      </c>
      <c r="AE165" s="100"/>
      <c r="AF165" s="372" t="str">
        <f>IFERROR(__xludf.DUMMYFUNCTION("""COMPUTED_VALUE"""),"")</f>
        <v/>
      </c>
    </row>
    <row r="166" ht="16.5" customHeight="1">
      <c r="C166" s="100"/>
      <c r="D166" s="146">
        <f>IFERROR(__xludf.DUMMYFUNCTION("""COMPUTED_VALUE"""),4.0)</f>
        <v>4</v>
      </c>
      <c r="E166" s="148" t="str">
        <f>IFERROR(__xludf.DUMMYFUNCTION("""COMPUTED_VALUE"""),"ANA1")</f>
        <v>ANA1</v>
      </c>
      <c r="F166" s="150" t="str">
        <f>IFERROR(__xludf.DUMMYFUNCTION("""COMPUTED_VALUE"""),"Anastasia")</f>
        <v>Anastasia</v>
      </c>
      <c r="G166" s="152" t="str">
        <f>IFERROR(__xludf.DUMMYFUNCTION("""COMPUTED_VALUE"""),"Anchor Point")</f>
        <v>Anchor Point</v>
      </c>
      <c r="H166" s="154">
        <f>IFERROR(__xludf.DUMMYFUNCTION("""COMPUTED_VALUE"""),20.0)</f>
        <v>20</v>
      </c>
      <c r="I166" s="156">
        <f>IFERROR(__xludf.DUMMYFUNCTION("""COMPUTED_VALUE"""),48.4375)</f>
        <v>48.4375</v>
      </c>
      <c r="J166" s="158">
        <f>IFERROR(__xludf.DUMMYFUNCTION("""COMPUTED_VALUE"""),96.9)</f>
        <v>96.9</v>
      </c>
      <c r="K166" s="160" t="str">
        <f>IFERROR(__xludf.DUMMYFUNCTION("""COMPUTED_VALUE"""),"AP")</f>
        <v>AP</v>
      </c>
      <c r="L166" s="162">
        <f>IFERROR(__xludf.DUMMYFUNCTION("""COMPUTED_VALUE"""),20.6)</f>
        <v>20.6</v>
      </c>
      <c r="M166" s="160" t="str">
        <f>IFERROR(__xludf.DUMMYFUNCTION("""COMPUTED_VALUE"""),"％")</f>
        <v>％</v>
      </c>
      <c r="N166" s="154">
        <f>IFERROR(__xludf.DUMMYFUNCTION("""COMPUTED_VALUE"""),2205.0)</f>
        <v>2205</v>
      </c>
      <c r="O166" s="100"/>
      <c r="P166" s="371" t="str">
        <f>IFERROR(__xludf.DUMMYFUNCTION("""COMPUTED_VALUE"""),"")</f>
        <v/>
      </c>
      <c r="S166" s="100"/>
      <c r="T166" s="146">
        <f>IFERROR(__xludf.DUMMYFUNCTION("""COMPUTED_VALUE"""),4.0)</f>
        <v>4</v>
      </c>
      <c r="U166" s="148" t="str">
        <f>IFERROR(__xludf.DUMMYFUNCTION("""COMPUTED_VALUE"""),"TRF8")</f>
        <v>TRF8</v>
      </c>
      <c r="V166" s="150" t="str">
        <f>IFERROR(__xludf.DUMMYFUNCTION("""COMPUTED_VALUE"""),"Chaldea Gate (Tue)")</f>
        <v>Chaldea Gate (Tue)</v>
      </c>
      <c r="W166" s="150" t="str">
        <f>IFERROR(__xludf.DUMMYFUNCTION("""COMPUTED_VALUE"""),"TUE Lancer Training Ground- Exp")</f>
        <v>TUE Lancer Training Ground- Exp</v>
      </c>
      <c r="X166" s="154">
        <f>IFERROR(__xludf.DUMMYFUNCTION("""COMPUTED_VALUE"""),40.0)</f>
        <v>40</v>
      </c>
      <c r="Y166" s="156">
        <f>IFERROR(__xludf.DUMMYFUNCTION("""COMPUTED_VALUE"""),20.46875)</f>
        <v>20.46875</v>
      </c>
      <c r="Z166" s="158">
        <f>IFERROR(__xludf.DUMMYFUNCTION("""COMPUTED_VALUE"""),51.8)</f>
        <v>51.8</v>
      </c>
      <c r="AA166" s="160" t="str">
        <f>IFERROR(__xludf.DUMMYFUNCTION("""COMPUTED_VALUE"""),"AP")</f>
        <v>AP</v>
      </c>
      <c r="AB166" s="162">
        <f>IFERROR(__xludf.DUMMYFUNCTION("""COMPUTED_VALUE"""),77.3)</f>
        <v>77.3</v>
      </c>
      <c r="AC166" s="160" t="str">
        <f>IFERROR(__xludf.DUMMYFUNCTION("""COMPUTED_VALUE"""),"％")</f>
        <v>％</v>
      </c>
      <c r="AD166" s="154">
        <f>IFERROR(__xludf.DUMMYFUNCTION("""COMPUTED_VALUE"""),5650.0)</f>
        <v>5650</v>
      </c>
      <c r="AE166" s="100"/>
      <c r="AF166" s="372" t="str">
        <f>IFERROR(__xludf.DUMMYFUNCTION("""COMPUTED_VALUE"""),"")</f>
        <v/>
      </c>
    </row>
    <row r="167" ht="16.5" customHeight="1">
      <c r="A167" s="166"/>
      <c r="C167" s="168"/>
      <c r="D167" s="169">
        <f>IFERROR(__xludf.DUMMYFUNCTION("""COMPUTED_VALUE"""),5.0)</f>
        <v>5</v>
      </c>
      <c r="E167" s="170" t="str">
        <f>IFERROR(__xludf.DUMMYFUNCTION("""COMPUTED_VALUE"""),"ANA8")</f>
        <v>ANA8</v>
      </c>
      <c r="F167" s="51" t="str">
        <f>IFERROR(__xludf.DUMMYFUNCTION("""COMPUTED_VALUE"""),"Anastasia")</f>
        <v>Anastasia</v>
      </c>
      <c r="G167" s="171" t="str">
        <f>IFERROR(__xludf.DUMMYFUNCTION("""COMPUTED_VALUE"""),"Yaga Demensk")</f>
        <v>Yaga Demensk</v>
      </c>
      <c r="H167" s="172">
        <f>IFERROR(__xludf.DUMMYFUNCTION("""COMPUTED_VALUE"""),21.0)</f>
        <v>21</v>
      </c>
      <c r="I167" s="173">
        <f>IFERROR(__xludf.DUMMYFUNCTION("""COMPUTED_VALUE"""),48.51190476190476)</f>
        <v>48.51190476</v>
      </c>
      <c r="J167" s="174">
        <f>IFERROR(__xludf.DUMMYFUNCTION("""COMPUTED_VALUE"""),103.2)</f>
        <v>103.2</v>
      </c>
      <c r="K167" s="175" t="str">
        <f>IFERROR(__xludf.DUMMYFUNCTION("""COMPUTED_VALUE"""),"AP")</f>
        <v>AP</v>
      </c>
      <c r="L167" s="176">
        <f>IFERROR(__xludf.DUMMYFUNCTION("""COMPUTED_VALUE"""),20.4)</f>
        <v>20.4</v>
      </c>
      <c r="M167" s="175" t="str">
        <f>IFERROR(__xludf.DUMMYFUNCTION("""COMPUTED_VALUE"""),"％")</f>
        <v>％</v>
      </c>
      <c r="N167" s="172">
        <f>IFERROR(__xludf.DUMMYFUNCTION("""COMPUTED_VALUE"""),452.0)</f>
        <v>452</v>
      </c>
      <c r="O167" s="168"/>
      <c r="P167" s="371" t="str">
        <f>IFERROR(__xludf.DUMMYFUNCTION("""COMPUTED_VALUE"""),"")</f>
        <v/>
      </c>
      <c r="Q167" s="166"/>
      <c r="S167" s="168"/>
      <c r="T167" s="169">
        <f>IFERROR(__xludf.DUMMYFUNCTION("""COMPUTED_VALUE"""),5.0)</f>
        <v>5</v>
      </c>
      <c r="U167" s="170" t="str">
        <f>IFERROR(__xludf.DUMMYFUNCTION("""COMPUTED_VALUE"""),"EPU2")</f>
        <v>EPU2</v>
      </c>
      <c r="V167" s="51" t="str">
        <f>IFERROR(__xludf.DUMMYFUNCTION("""COMPUTED_VALUE"""),"E Pluribus Unum")</f>
        <v>E Pluribus Unum</v>
      </c>
      <c r="W167" s="171" t="str">
        <f>IFERROR(__xludf.DUMMYFUNCTION("""COMPUTED_VALUE"""),"Riverton")</f>
        <v>Riverton</v>
      </c>
      <c r="X167" s="172">
        <f>IFERROR(__xludf.DUMMYFUNCTION("""COMPUTED_VALUE"""),17.0)</f>
        <v>17</v>
      </c>
      <c r="Y167" s="173">
        <f>IFERROR(__xludf.DUMMYFUNCTION("""COMPUTED_VALUE"""),42.279411764705884)</f>
        <v>42.27941176</v>
      </c>
      <c r="Z167" s="174">
        <f>IFERROR(__xludf.DUMMYFUNCTION("""COMPUTED_VALUE"""),80.5)</f>
        <v>80.5</v>
      </c>
      <c r="AA167" s="175" t="str">
        <f>IFERROR(__xludf.DUMMYFUNCTION("""COMPUTED_VALUE"""),"AP")</f>
        <v>AP</v>
      </c>
      <c r="AB167" s="176">
        <f>IFERROR(__xludf.DUMMYFUNCTION("""COMPUTED_VALUE"""),21.1)</f>
        <v>21.1</v>
      </c>
      <c r="AC167" s="175" t="str">
        <f>IFERROR(__xludf.DUMMYFUNCTION("""COMPUTED_VALUE"""),"％")</f>
        <v>％</v>
      </c>
      <c r="AD167" s="172">
        <f>IFERROR(__xludf.DUMMYFUNCTION("""COMPUTED_VALUE"""),336.0)</f>
        <v>336</v>
      </c>
      <c r="AE167" s="168"/>
      <c r="AF167" s="372" t="str">
        <f>IFERROR(__xludf.DUMMYFUNCTION("""COMPUTED_VALUE"""),"")</f>
        <v/>
      </c>
    </row>
    <row r="168" ht="16.5" customHeight="1">
      <c r="A168" s="61" t="str">
        <f>IFERROR(__xludf.DUMMYFUNCTION("""COMPUTED_VALUE"""),"")</f>
        <v/>
      </c>
      <c r="B168" s="366" t="str">
        <f>IFERROR(__xludf.DUMMYFUNCTION("""COMPUTED_VALUE"""),"A106")</f>
        <v>A106</v>
      </c>
      <c r="C168" s="180" t="str">
        <f>IFERROR(__xludf.DUMMYFUNCTION("""COMPUTED_VALUE"""),"Tearstone of Blood")</f>
        <v>Tearstone of Blood</v>
      </c>
      <c r="D168" s="181">
        <f>IFERROR(__xludf.DUMMYFUNCTION("""COMPUTED_VALUE"""),1.0)</f>
        <v>1</v>
      </c>
      <c r="E168" s="182" t="str">
        <f>IFERROR(__xludf.DUMMYFUNCTION("""COMPUTED_VALUE"""),"SJK10")</f>
        <v>SJK10</v>
      </c>
      <c r="F168" s="184" t="str">
        <f>IFERROR(__xludf.DUMMYFUNCTION("""COMPUTED_VALUE"""),"Shinjuku")</f>
        <v>Shinjuku</v>
      </c>
      <c r="G168" s="189" t="str">
        <f>IFERROR(__xludf.DUMMYFUNCTION("""COMPUTED_VALUE"""),"Shinjuku 2-chome")</f>
        <v>Shinjuku 2-chome</v>
      </c>
      <c r="H168" s="190">
        <f>IFERROR(__xludf.DUMMYFUNCTION("""COMPUTED_VALUE"""),21.0)</f>
        <v>21</v>
      </c>
      <c r="I168" s="191">
        <f>IFERROR(__xludf.DUMMYFUNCTION("""COMPUTED_VALUE"""),50.892857142857146)</f>
        <v>50.89285714</v>
      </c>
      <c r="J168" s="192">
        <f>IFERROR(__xludf.DUMMYFUNCTION("""COMPUTED_VALUE"""),114.1)</f>
        <v>114.1</v>
      </c>
      <c r="K168" s="194" t="str">
        <f>IFERROR(__xludf.DUMMYFUNCTION("""COMPUTED_VALUE"""),"AP")</f>
        <v>AP</v>
      </c>
      <c r="L168" s="192">
        <f>IFERROR(__xludf.DUMMYFUNCTION("""COMPUTED_VALUE"""),18.4)</f>
        <v>18.4</v>
      </c>
      <c r="M168" s="194" t="str">
        <f>IFERROR(__xludf.DUMMYFUNCTION("""COMPUTED_VALUE"""),"％")</f>
        <v>％</v>
      </c>
      <c r="N168" s="190">
        <f>IFERROR(__xludf.DUMMYFUNCTION("""COMPUTED_VALUE"""),38593.0)</f>
        <v>38593</v>
      </c>
      <c r="O168" s="197" t="str">
        <f>IFERROR(__xludf.DUMMYFUNCTION("""COMPUTED_VALUE"""),"Tearstone of Blood")</f>
        <v>Tearstone of Blood</v>
      </c>
      <c r="P168" s="371" t="str">
        <f>IFERROR(__xludf.DUMMYFUNCTION("""COMPUTED_VALUE"""),"")</f>
        <v/>
      </c>
      <c r="Q168" s="61" t="str">
        <f>IFERROR(__xludf.DUMMYFUNCTION("""COMPUTED_VALUE"""),"")</f>
        <v/>
      </c>
      <c r="R168" s="366" t="str">
        <f>IFERROR(__xludf.DUMMYFUNCTION("""COMPUTED_VALUE"""),"B214")</f>
        <v>B214</v>
      </c>
      <c r="S168" s="180" t="str">
        <f>IFERROR(__xludf.DUMMYFUNCTION("""COMPUTED_VALUE"""),"Rider Piece")</f>
        <v>Rider Piece</v>
      </c>
      <c r="T168" s="181">
        <f>IFERROR(__xludf.DUMMYFUNCTION("""COMPUTED_VALUE"""),1.0)</f>
        <v>1</v>
      </c>
      <c r="U168" s="182" t="str">
        <f>IFERROR(__xludf.DUMMYFUNCTION("""COMPUTED_VALUE"""),"TRF14")</f>
        <v>TRF14</v>
      </c>
      <c r="V168" s="184" t="str">
        <f>IFERROR(__xludf.DUMMYFUNCTION("""COMPUTED_VALUE"""),"Chaldea Gate (Thu)")</f>
        <v>Chaldea Gate (Thu)</v>
      </c>
      <c r="W168" s="184" t="str">
        <f>IFERROR(__xludf.DUMMYFUNCTION("""COMPUTED_VALUE"""),"THU Rider Training Ground- Int")</f>
        <v>THU Rider Training Ground- Int</v>
      </c>
      <c r="X168" s="190">
        <f>IFERROR(__xludf.DUMMYFUNCTION("""COMPUTED_VALUE"""),20.0)</f>
        <v>20</v>
      </c>
      <c r="Y168" s="191">
        <f>IFERROR(__xludf.DUMMYFUNCTION("""COMPUTED_VALUE"""),19.0625)</f>
        <v>19.0625</v>
      </c>
      <c r="Z168" s="192">
        <f>IFERROR(__xludf.DUMMYFUNCTION("""COMPUTED_VALUE"""),28.7)</f>
        <v>28.7</v>
      </c>
      <c r="AA168" s="194" t="str">
        <f>IFERROR(__xludf.DUMMYFUNCTION("""COMPUTED_VALUE"""),"AP")</f>
        <v>AP</v>
      </c>
      <c r="AB168" s="192">
        <f>IFERROR(__xludf.DUMMYFUNCTION("""COMPUTED_VALUE"""),69.8)</f>
        <v>69.8</v>
      </c>
      <c r="AC168" s="194" t="str">
        <f>IFERROR(__xludf.DUMMYFUNCTION("""COMPUTED_VALUE"""),"％")</f>
        <v>％</v>
      </c>
      <c r="AD168" s="190">
        <f>IFERROR(__xludf.DUMMYFUNCTION("""COMPUTED_VALUE"""),712.0)</f>
        <v>712</v>
      </c>
      <c r="AE168" s="197" t="str">
        <f>IFERROR(__xludf.DUMMYFUNCTION("""COMPUTED_VALUE"""),"Rider Piece")</f>
        <v>Rider Piece</v>
      </c>
      <c r="AF168" s="372" t="str">
        <f>IFERROR(__xludf.DUMMYFUNCTION("""COMPUTED_VALUE"""),"")</f>
        <v/>
      </c>
    </row>
    <row r="169" ht="16.5" customHeight="1">
      <c r="C169" s="204"/>
      <c r="D169" s="205">
        <f>IFERROR(__xludf.DUMMYFUNCTION("""COMPUTED_VALUE"""),2.0)</f>
        <v>2</v>
      </c>
      <c r="E169" s="206" t="str">
        <f>IFERROR(__xludf.DUMMYFUNCTION("""COMPUTED_VALUE"""),"EPU10")</f>
        <v>EPU10</v>
      </c>
      <c r="F169" s="207" t="str">
        <f>IFERROR(__xludf.DUMMYFUNCTION("""COMPUTED_VALUE"""),"E Pluribus Unum")</f>
        <v>E Pluribus Unum</v>
      </c>
      <c r="G169" s="209" t="str">
        <f>IFERROR(__xludf.DUMMYFUNCTION("""COMPUTED_VALUE"""),"Alexandria")</f>
        <v>Alexandria</v>
      </c>
      <c r="H169" s="211">
        <f>IFERROR(__xludf.DUMMYFUNCTION("""COMPUTED_VALUE"""),18.0)</f>
        <v>18</v>
      </c>
      <c r="I169" s="213">
        <f>IFERROR(__xludf.DUMMYFUNCTION("""COMPUTED_VALUE"""),45.486111111111114)</f>
        <v>45.48611111</v>
      </c>
      <c r="J169" s="214">
        <f>IFERROR(__xludf.DUMMYFUNCTION("""COMPUTED_VALUE"""),152.4)</f>
        <v>152.4</v>
      </c>
      <c r="K169" s="215" t="str">
        <f>IFERROR(__xludf.DUMMYFUNCTION("""COMPUTED_VALUE"""),"AP")</f>
        <v>AP</v>
      </c>
      <c r="L169" s="214">
        <f>IFERROR(__xludf.DUMMYFUNCTION("""COMPUTED_VALUE"""),11.8)</f>
        <v>11.8</v>
      </c>
      <c r="M169" s="215" t="str">
        <f>IFERROR(__xludf.DUMMYFUNCTION("""COMPUTED_VALUE"""),"％")</f>
        <v>％</v>
      </c>
      <c r="N169" s="211">
        <f>IFERROR(__xludf.DUMMYFUNCTION("""COMPUTED_VALUE"""),3293.0)</f>
        <v>3293</v>
      </c>
      <c r="O169" s="217"/>
      <c r="P169" s="371" t="str">
        <f>IFERROR(__xludf.DUMMYFUNCTION("""COMPUTED_VALUE"""),"")</f>
        <v/>
      </c>
      <c r="S169" s="204"/>
      <c r="T169" s="205">
        <f>IFERROR(__xludf.DUMMYFUNCTION("""COMPUTED_VALUE"""),2.0)</f>
        <v>2</v>
      </c>
      <c r="U169" s="206" t="str">
        <f>IFERROR(__xludf.DUMMYFUNCTION("""COMPUTED_VALUE"""),"TRF15")</f>
        <v>TRF15</v>
      </c>
      <c r="V169" s="207" t="str">
        <f>IFERROR(__xludf.DUMMYFUNCTION("""COMPUTED_VALUE"""),"Chaldea Gate (Thu)")</f>
        <v>Chaldea Gate (Thu)</v>
      </c>
      <c r="W169" s="207" t="str">
        <f>IFERROR(__xludf.DUMMYFUNCTION("""COMPUTED_VALUE"""),"THU Rider Training Ground- Adv")</f>
        <v>THU Rider Training Ground- Adv</v>
      </c>
      <c r="X169" s="211">
        <f>IFERROR(__xludf.DUMMYFUNCTION("""COMPUTED_VALUE"""),30.0)</f>
        <v>30</v>
      </c>
      <c r="Y169" s="213">
        <f>IFERROR(__xludf.DUMMYFUNCTION("""COMPUTED_VALUE"""),18.958333333333332)</f>
        <v>18.95833333</v>
      </c>
      <c r="Z169" s="214">
        <f>IFERROR(__xludf.DUMMYFUNCTION("""COMPUTED_VALUE"""),29.4)</f>
        <v>29.4</v>
      </c>
      <c r="AA169" s="215" t="str">
        <f>IFERROR(__xludf.DUMMYFUNCTION("""COMPUTED_VALUE"""),"AP")</f>
        <v>AP</v>
      </c>
      <c r="AB169" s="214">
        <f>IFERROR(__xludf.DUMMYFUNCTION("""COMPUTED_VALUE"""),102.8)</f>
        <v>102.8</v>
      </c>
      <c r="AC169" s="215" t="str">
        <f>IFERROR(__xludf.DUMMYFUNCTION("""COMPUTED_VALUE"""),"％")</f>
        <v>％</v>
      </c>
      <c r="AD169" s="211">
        <f>IFERROR(__xludf.DUMMYFUNCTION("""COMPUTED_VALUE"""),721.0)</f>
        <v>721</v>
      </c>
      <c r="AE169" s="217"/>
      <c r="AF169" s="372" t="str">
        <f>IFERROR(__xludf.DUMMYFUNCTION("""COMPUTED_VALUE"""),"")</f>
        <v/>
      </c>
    </row>
    <row r="170" ht="16.5" customHeight="1">
      <c r="C170" s="204"/>
      <c r="D170" s="222">
        <f>IFERROR(__xludf.DUMMYFUNCTION("""COMPUTED_VALUE"""),3.0)</f>
        <v>3</v>
      </c>
      <c r="E170" s="223" t="str">
        <f>IFERROR(__xludf.DUMMYFUNCTION("""COMPUTED_VALUE"""),"TRF4")</f>
        <v>TRF4</v>
      </c>
      <c r="F170" s="224" t="str">
        <f>IFERROR(__xludf.DUMMYFUNCTION("""COMPUTED_VALUE"""),"Chaldea Gate (Mon)")</f>
        <v>Chaldea Gate (Mon)</v>
      </c>
      <c r="G170" s="224" t="str">
        <f>IFERROR(__xludf.DUMMYFUNCTION("""COMPUTED_VALUE"""),"MON Archer Training Ground- Exp")</f>
        <v>MON Archer Training Ground- Exp</v>
      </c>
      <c r="H170" s="228">
        <f>IFERROR(__xludf.DUMMYFUNCTION("""COMPUTED_VALUE"""),40.0)</f>
        <v>40</v>
      </c>
      <c r="I170" s="230">
        <f>IFERROR(__xludf.DUMMYFUNCTION("""COMPUTED_VALUE"""),20.46875)</f>
        <v>20.46875</v>
      </c>
      <c r="J170" s="231">
        <f>IFERROR(__xludf.DUMMYFUNCTION("""COMPUTED_VALUE"""),310.6)</f>
        <v>310.6</v>
      </c>
      <c r="K170" s="232" t="str">
        <f>IFERROR(__xludf.DUMMYFUNCTION("""COMPUTED_VALUE"""),"AP")</f>
        <v>AP</v>
      </c>
      <c r="L170" s="231">
        <f>IFERROR(__xludf.DUMMYFUNCTION("""COMPUTED_VALUE"""),12.9)</f>
        <v>12.9</v>
      </c>
      <c r="M170" s="232" t="str">
        <f>IFERROR(__xludf.DUMMYFUNCTION("""COMPUTED_VALUE"""),"％")</f>
        <v>％</v>
      </c>
      <c r="N170" s="228">
        <f>IFERROR(__xludf.DUMMYFUNCTION("""COMPUTED_VALUE"""),9159.0)</f>
        <v>9159</v>
      </c>
      <c r="O170" s="217"/>
      <c r="P170" s="371" t="str">
        <f>IFERROR(__xludf.DUMMYFUNCTION("""COMPUTED_VALUE"""),"")</f>
        <v/>
      </c>
      <c r="S170" s="204"/>
      <c r="T170" s="222">
        <f>IFERROR(__xludf.DUMMYFUNCTION("""COMPUTED_VALUE"""),3.0)</f>
        <v>3</v>
      </c>
      <c r="U170" s="223" t="str">
        <f>IFERROR(__xludf.DUMMYFUNCTION("""COMPUTED_VALUE"""),"TRF13")</f>
        <v>TRF13</v>
      </c>
      <c r="V170" s="224" t="str">
        <f>IFERROR(__xludf.DUMMYFUNCTION("""COMPUTED_VALUE"""),"Chaldea Gate (Thu)")</f>
        <v>Chaldea Gate (Thu)</v>
      </c>
      <c r="W170" s="224" t="str">
        <f>IFERROR(__xludf.DUMMYFUNCTION("""COMPUTED_VALUE"""),"THU Rider Training Ground- Nov")</f>
        <v>THU Rider Training Ground- Nov</v>
      </c>
      <c r="X170" s="228">
        <f>IFERROR(__xludf.DUMMYFUNCTION("""COMPUTED_VALUE"""),10.0)</f>
        <v>10</v>
      </c>
      <c r="Y170" s="230">
        <f>IFERROR(__xludf.DUMMYFUNCTION("""COMPUTED_VALUE"""),19.375)</f>
        <v>19.375</v>
      </c>
      <c r="Z170" s="231">
        <f>IFERROR(__xludf.DUMMYFUNCTION("""COMPUTED_VALUE"""),44.8)</f>
        <v>44.8</v>
      </c>
      <c r="AA170" s="232" t="str">
        <f>IFERROR(__xludf.DUMMYFUNCTION("""COMPUTED_VALUE"""),"AP")</f>
        <v>AP</v>
      </c>
      <c r="AB170" s="231">
        <f>IFERROR(__xludf.DUMMYFUNCTION("""COMPUTED_VALUE"""),22.3)</f>
        <v>22.3</v>
      </c>
      <c r="AC170" s="232" t="str">
        <f>IFERROR(__xludf.DUMMYFUNCTION("""COMPUTED_VALUE"""),"％")</f>
        <v>％</v>
      </c>
      <c r="AD170" s="228">
        <f>IFERROR(__xludf.DUMMYFUNCTION("""COMPUTED_VALUE"""),923.0)</f>
        <v>923</v>
      </c>
      <c r="AE170" s="217"/>
      <c r="AF170" s="372" t="str">
        <f>IFERROR(__xludf.DUMMYFUNCTION("""COMPUTED_VALUE"""),"")</f>
        <v/>
      </c>
    </row>
    <row r="171" ht="16.5" customHeight="1">
      <c r="C171" s="204"/>
      <c r="D171" s="238">
        <f>IFERROR(__xludf.DUMMYFUNCTION("""COMPUTED_VALUE"""),4.0)</f>
        <v>4</v>
      </c>
      <c r="E171" s="240" t="str">
        <f>IFERROR(__xludf.DUMMYFUNCTION("""COMPUTED_VALUE"""),"TRF3")</f>
        <v>TRF3</v>
      </c>
      <c r="F171" s="242" t="str">
        <f>IFERROR(__xludf.DUMMYFUNCTION("""COMPUTED_VALUE"""),"Chaldea Gate (Mon)")</f>
        <v>Chaldea Gate (Mon)</v>
      </c>
      <c r="G171" s="242" t="str">
        <f>IFERROR(__xludf.DUMMYFUNCTION("""COMPUTED_VALUE"""),"MON Archer Training Ground- Adv")</f>
        <v>MON Archer Training Ground- Adv</v>
      </c>
      <c r="H171" s="246">
        <f>IFERROR(__xludf.DUMMYFUNCTION("""COMPUTED_VALUE"""),30.0)</f>
        <v>30</v>
      </c>
      <c r="I171" s="248">
        <f>IFERROR(__xludf.DUMMYFUNCTION("""COMPUTED_VALUE"""),18.958333333333332)</f>
        <v>18.95833333</v>
      </c>
      <c r="J171" s="250">
        <f>IFERROR(__xludf.DUMMYFUNCTION("""COMPUTED_VALUE"""),478.2)</f>
        <v>478.2</v>
      </c>
      <c r="K171" s="252" t="str">
        <f>IFERROR(__xludf.DUMMYFUNCTION("""COMPUTED_VALUE"""),"AP")</f>
        <v>AP</v>
      </c>
      <c r="L171" s="250">
        <f>IFERROR(__xludf.DUMMYFUNCTION("""COMPUTED_VALUE"""),6.3)</f>
        <v>6.3</v>
      </c>
      <c r="M171" s="252" t="str">
        <f>IFERROR(__xludf.DUMMYFUNCTION("""COMPUTED_VALUE"""),"％")</f>
        <v>％</v>
      </c>
      <c r="N171" s="246">
        <f>IFERROR(__xludf.DUMMYFUNCTION("""COMPUTED_VALUE"""),817.0)</f>
        <v>817</v>
      </c>
      <c r="O171" s="217"/>
      <c r="P171" s="371" t="str">
        <f>IFERROR(__xludf.DUMMYFUNCTION("""COMPUTED_VALUE"""),"")</f>
        <v/>
      </c>
      <c r="S171" s="204"/>
      <c r="T171" s="238">
        <f>IFERROR(__xludf.DUMMYFUNCTION("""COMPUTED_VALUE"""),4.0)</f>
        <v>4</v>
      </c>
      <c r="U171" s="240" t="str">
        <f>IFERROR(__xludf.DUMMYFUNCTION("""COMPUTED_VALUE"""),"TRF16")</f>
        <v>TRF16</v>
      </c>
      <c r="V171" s="242" t="str">
        <f>IFERROR(__xludf.DUMMYFUNCTION("""COMPUTED_VALUE"""),"Chaldea Gate (Thu)")</f>
        <v>Chaldea Gate (Thu)</v>
      </c>
      <c r="W171" s="242" t="str">
        <f>IFERROR(__xludf.DUMMYFUNCTION("""COMPUTED_VALUE"""),"THU Rider Training Ground- Exp")</f>
        <v>THU Rider Training Ground- Exp</v>
      </c>
      <c r="X171" s="246">
        <f>IFERROR(__xludf.DUMMYFUNCTION("""COMPUTED_VALUE"""),40.0)</f>
        <v>40</v>
      </c>
      <c r="Y171" s="248">
        <f>IFERROR(__xludf.DUMMYFUNCTION("""COMPUTED_VALUE"""),20.46875)</f>
        <v>20.46875</v>
      </c>
      <c r="Z171" s="250">
        <f>IFERROR(__xludf.DUMMYFUNCTION("""COMPUTED_VALUE"""),51.2)</f>
        <v>51.2</v>
      </c>
      <c r="AA171" s="252" t="str">
        <f>IFERROR(__xludf.DUMMYFUNCTION("""COMPUTED_VALUE"""),"AP")</f>
        <v>AP</v>
      </c>
      <c r="AB171" s="250">
        <f>IFERROR(__xludf.DUMMYFUNCTION("""COMPUTED_VALUE"""),78.2)</f>
        <v>78.2</v>
      </c>
      <c r="AC171" s="252" t="str">
        <f>IFERROR(__xludf.DUMMYFUNCTION("""COMPUTED_VALUE"""),"％")</f>
        <v>％</v>
      </c>
      <c r="AD171" s="246">
        <f>IFERROR(__xludf.DUMMYFUNCTION("""COMPUTED_VALUE"""),3420.0)</f>
        <v>3420</v>
      </c>
      <c r="AE171" s="217"/>
      <c r="AF171" s="372" t="str">
        <f>IFERROR(__xludf.DUMMYFUNCTION("""COMPUTED_VALUE"""),"")</f>
        <v/>
      </c>
    </row>
    <row r="172" ht="16.5" customHeight="1">
      <c r="A172" s="166"/>
      <c r="C172" s="255"/>
      <c r="D172" s="256">
        <f>IFERROR(__xludf.DUMMYFUNCTION("""COMPUTED_VALUE"""),5.0)</f>
        <v>5</v>
      </c>
      <c r="E172" s="257" t="str">
        <f>IFERROR(__xludf.DUMMYFUNCTION("""COMPUTED_VALUE"""),"")</f>
        <v/>
      </c>
      <c r="F172" s="42" t="str">
        <f>IFERROR(__xludf.DUMMYFUNCTION("""COMPUTED_VALUE"""),"")</f>
        <v/>
      </c>
      <c r="G172" s="42" t="str">
        <f>IFERROR(__xludf.DUMMYFUNCTION("""COMPUTED_VALUE"""),"")</f>
        <v/>
      </c>
      <c r="H172" s="259" t="str">
        <f>IFERROR(__xludf.DUMMYFUNCTION("""COMPUTED_VALUE"""),"")</f>
        <v/>
      </c>
      <c r="I172" s="260" t="str">
        <f>IFERROR(__xludf.DUMMYFUNCTION("""COMPUTED_VALUE"""),"")</f>
        <v/>
      </c>
      <c r="J172" s="261" t="str">
        <f>IFERROR(__xludf.DUMMYFUNCTION("""COMPUTED_VALUE"""),"")</f>
        <v/>
      </c>
      <c r="K172" s="262" t="str">
        <f>IFERROR(__xludf.DUMMYFUNCTION("""COMPUTED_VALUE"""),"AP")</f>
        <v>AP</v>
      </c>
      <c r="L172" s="261" t="str">
        <f>IFERROR(__xludf.DUMMYFUNCTION("""COMPUTED_VALUE"""),"")</f>
        <v/>
      </c>
      <c r="M172" s="262" t="str">
        <f>IFERROR(__xludf.DUMMYFUNCTION("""COMPUTED_VALUE"""),"％")</f>
        <v>％</v>
      </c>
      <c r="N172" s="259" t="str">
        <f>IFERROR(__xludf.DUMMYFUNCTION("""COMPUTED_VALUE"""),"")</f>
        <v/>
      </c>
      <c r="O172" s="263"/>
      <c r="P172" s="371" t="str">
        <f>IFERROR(__xludf.DUMMYFUNCTION("""COMPUTED_VALUE"""),"")</f>
        <v/>
      </c>
      <c r="Q172" s="166"/>
      <c r="S172" s="255"/>
      <c r="T172" s="256">
        <f>IFERROR(__xludf.DUMMYFUNCTION("""COMPUTED_VALUE"""),5.0)</f>
        <v>5</v>
      </c>
      <c r="U172" s="257" t="str">
        <f>IFERROR(__xludf.DUMMYFUNCTION("""COMPUTED_VALUE"""),"ORL4")</f>
        <v>ORL4</v>
      </c>
      <c r="V172" s="42" t="str">
        <f>IFERROR(__xludf.DUMMYFUNCTION("""COMPUTED_VALUE"""),"Orleans")</f>
        <v>Orleans</v>
      </c>
      <c r="W172" s="258" t="str">
        <f>IFERROR(__xludf.DUMMYFUNCTION("""COMPUTED_VALUE"""),"Jura")</f>
        <v>Jura</v>
      </c>
      <c r="X172" s="259">
        <f>IFERROR(__xludf.DUMMYFUNCTION("""COMPUTED_VALUE"""),7.0)</f>
        <v>7</v>
      </c>
      <c r="Y172" s="260">
        <f>IFERROR(__xludf.DUMMYFUNCTION("""COMPUTED_VALUE"""),31.25)</f>
        <v>31.25</v>
      </c>
      <c r="Z172" s="261">
        <f>IFERROR(__xludf.DUMMYFUNCTION("""COMPUTED_VALUE"""),60.8)</f>
        <v>60.8</v>
      </c>
      <c r="AA172" s="262" t="str">
        <f>IFERROR(__xludf.DUMMYFUNCTION("""COMPUTED_VALUE"""),"AP")</f>
        <v>AP</v>
      </c>
      <c r="AB172" s="261">
        <f>IFERROR(__xludf.DUMMYFUNCTION("""COMPUTED_VALUE"""),11.5)</f>
        <v>11.5</v>
      </c>
      <c r="AC172" s="262" t="str">
        <f>IFERROR(__xludf.DUMMYFUNCTION("""COMPUTED_VALUE"""),"％")</f>
        <v>％</v>
      </c>
      <c r="AD172" s="259">
        <f>IFERROR(__xludf.DUMMYFUNCTION("""COMPUTED_VALUE"""),217.0)</f>
        <v>217</v>
      </c>
      <c r="AE172" s="263"/>
      <c r="AF172" s="372" t="str">
        <f>IFERROR(__xludf.DUMMYFUNCTION("""COMPUTED_VALUE"""),"")</f>
        <v/>
      </c>
    </row>
    <row r="173" ht="16.5" customHeight="1">
      <c r="A173" s="61" t="str">
        <f>IFERROR(__xludf.DUMMYFUNCTION("""COMPUTED_VALUE"""),"")</f>
        <v/>
      </c>
      <c r="B173" s="367" t="str">
        <f>IFERROR(__xludf.DUMMYFUNCTION("""COMPUTED_VALUE"""),"A107")</f>
        <v>A107</v>
      </c>
      <c r="C173" s="65" t="str">
        <f>IFERROR(__xludf.DUMMYFUNCTION("""COMPUTED_VALUE"""),"Black Beast Grease")</f>
        <v>Black Beast Grease</v>
      </c>
      <c r="D173" s="67">
        <f>IFERROR(__xludf.DUMMYFUNCTION("""COMPUTED_VALUE"""),1.0)</f>
        <v>1</v>
      </c>
      <c r="E173" s="69" t="str">
        <f>IFERROR(__xludf.DUMMYFUNCTION("""COMPUTED_VALUE"""),"YKS3")</f>
        <v>YKS3</v>
      </c>
      <c r="F173" s="71" t="str">
        <f>IFERROR(__xludf.DUMMYFUNCTION("""COMPUTED_VALUE"""),"Yuga Kshetra")</f>
        <v>Yuga Kshetra</v>
      </c>
      <c r="G173" s="78" t="str">
        <f>IFERROR(__xludf.DUMMYFUNCTION("""COMPUTED_VALUE"""),"Secluded Grotto")</f>
        <v>Secluded Grotto</v>
      </c>
      <c r="H173" s="80">
        <f>IFERROR(__xludf.DUMMYFUNCTION("""COMPUTED_VALUE"""),21.0)</f>
        <v>21</v>
      </c>
      <c r="I173" s="82">
        <f>IFERROR(__xludf.DUMMYFUNCTION("""COMPUTED_VALUE"""),47.32142857142857)</f>
        <v>47.32142857</v>
      </c>
      <c r="J173" s="84">
        <f>IFERROR(__xludf.DUMMYFUNCTION("""COMPUTED_VALUE"""),91.3)</f>
        <v>91.3</v>
      </c>
      <c r="K173" s="86" t="str">
        <f>IFERROR(__xludf.DUMMYFUNCTION("""COMPUTED_VALUE"""),"AP")</f>
        <v>AP</v>
      </c>
      <c r="L173" s="88">
        <f>IFERROR(__xludf.DUMMYFUNCTION("""COMPUTED_VALUE"""),23.0)</f>
        <v>23</v>
      </c>
      <c r="M173" s="86" t="str">
        <f>IFERROR(__xludf.DUMMYFUNCTION("""COMPUTED_VALUE"""),"％")</f>
        <v>％</v>
      </c>
      <c r="N173" s="80">
        <f>IFERROR(__xludf.DUMMYFUNCTION("""COMPUTED_VALUE"""),374.0)</f>
        <v>374</v>
      </c>
      <c r="O173" s="91" t="str">
        <f>IFERROR(__xludf.DUMMYFUNCTION("""COMPUTED_VALUE"""),"Black Beast Grease")</f>
        <v>Black Beast Grease</v>
      </c>
      <c r="P173" s="371" t="str">
        <f>IFERROR(__xludf.DUMMYFUNCTION("""COMPUTED_VALUE"""),"")</f>
        <v/>
      </c>
      <c r="Q173" s="61" t="str">
        <f>IFERROR(__xludf.DUMMYFUNCTION("""COMPUTED_VALUE"""),"")</f>
        <v/>
      </c>
      <c r="R173" s="367" t="str">
        <f>IFERROR(__xludf.DUMMYFUNCTION("""COMPUTED_VALUE"""),"B215")</f>
        <v>B215</v>
      </c>
      <c r="S173" s="65" t="str">
        <f>IFERROR(__xludf.DUMMYFUNCTION("""COMPUTED_VALUE"""),"Caster Piece")</f>
        <v>Caster Piece</v>
      </c>
      <c r="T173" s="67">
        <f>IFERROR(__xludf.DUMMYFUNCTION("""COMPUTED_VALUE"""),1.0)</f>
        <v>1</v>
      </c>
      <c r="U173" s="69" t="str">
        <f>IFERROR(__xludf.DUMMYFUNCTION("""COMPUTED_VALUE"""),"TRF18")</f>
        <v>TRF18</v>
      </c>
      <c r="V173" s="71" t="str">
        <f>IFERROR(__xludf.DUMMYFUNCTION("""COMPUTED_VALUE"""),"Chaldea Gate (Fri)")</f>
        <v>Chaldea Gate (Fri)</v>
      </c>
      <c r="W173" s="71" t="str">
        <f>IFERROR(__xludf.DUMMYFUNCTION("""COMPUTED_VALUE"""),"FRI Caster Training Ground- Int")</f>
        <v>FRI Caster Training Ground- Int</v>
      </c>
      <c r="X173" s="80">
        <f>IFERROR(__xludf.DUMMYFUNCTION("""COMPUTED_VALUE"""),20.0)</f>
        <v>20</v>
      </c>
      <c r="Y173" s="82">
        <f>IFERROR(__xludf.DUMMYFUNCTION("""COMPUTED_VALUE"""),19.0625)</f>
        <v>19.0625</v>
      </c>
      <c r="Z173" s="84">
        <f>IFERROR(__xludf.DUMMYFUNCTION("""COMPUTED_VALUE"""),24.1)</f>
        <v>24.1</v>
      </c>
      <c r="AA173" s="86" t="str">
        <f>IFERROR(__xludf.DUMMYFUNCTION("""COMPUTED_VALUE"""),"AP")</f>
        <v>AP</v>
      </c>
      <c r="AB173" s="88">
        <f>IFERROR(__xludf.DUMMYFUNCTION("""COMPUTED_VALUE"""),82.9)</f>
        <v>82.9</v>
      </c>
      <c r="AC173" s="86" t="str">
        <f>IFERROR(__xludf.DUMMYFUNCTION("""COMPUTED_VALUE"""),"％")</f>
        <v>％</v>
      </c>
      <c r="AD173" s="80">
        <f>IFERROR(__xludf.DUMMYFUNCTION("""COMPUTED_VALUE"""),893.0)</f>
        <v>893</v>
      </c>
      <c r="AE173" s="91" t="str">
        <f>IFERROR(__xludf.DUMMYFUNCTION("""COMPUTED_VALUE"""),"Caster Piece")</f>
        <v>Caster Piece</v>
      </c>
      <c r="AF173" s="372" t="str">
        <f>IFERROR(__xludf.DUMMYFUNCTION("""COMPUTED_VALUE"""),"")</f>
        <v/>
      </c>
    </row>
    <row r="174" ht="16.5" customHeight="1">
      <c r="C174" s="100"/>
      <c r="D174" s="102">
        <f>IFERROR(__xludf.DUMMYFUNCTION("""COMPUTED_VALUE"""),2.0)</f>
        <v>2</v>
      </c>
      <c r="E174" s="103" t="str">
        <f>IFERROR(__xludf.DUMMYFUNCTION("""COMPUTED_VALUE"""),"AGT6")</f>
        <v>AGT6</v>
      </c>
      <c r="F174" s="104" t="str">
        <f>IFERROR(__xludf.DUMMYFUNCTION("""COMPUTED_VALUE"""),"Agartha")</f>
        <v>Agartha</v>
      </c>
      <c r="G174" s="108" t="str">
        <f>IFERROR(__xludf.DUMMYFUNCTION("""COMPUTED_VALUE"""),"Northern Cliffs")</f>
        <v>Northern Cliffs</v>
      </c>
      <c r="H174" s="109">
        <f>IFERROR(__xludf.DUMMYFUNCTION("""COMPUTED_VALUE"""),21.0)</f>
        <v>21</v>
      </c>
      <c r="I174" s="110">
        <f>IFERROR(__xludf.DUMMYFUNCTION("""COMPUTED_VALUE"""),47.32142857142857)</f>
        <v>47.32142857</v>
      </c>
      <c r="J174" s="112">
        <f>IFERROR(__xludf.DUMMYFUNCTION("""COMPUTED_VALUE"""),102.7)</f>
        <v>102.7</v>
      </c>
      <c r="K174" s="121" t="str">
        <f>IFERROR(__xludf.DUMMYFUNCTION("""COMPUTED_VALUE"""),"AP")</f>
        <v>AP</v>
      </c>
      <c r="L174" s="123">
        <f>IFERROR(__xludf.DUMMYFUNCTION("""COMPUTED_VALUE"""),20.4)</f>
        <v>20.4</v>
      </c>
      <c r="M174" s="121" t="str">
        <f>IFERROR(__xludf.DUMMYFUNCTION("""COMPUTED_VALUE"""),"％")</f>
        <v>％</v>
      </c>
      <c r="N174" s="109">
        <f>IFERROR(__xludf.DUMMYFUNCTION("""COMPUTED_VALUE"""),2040.0)</f>
        <v>2040</v>
      </c>
      <c r="O174" s="100"/>
      <c r="P174" s="371" t="str">
        <f>IFERROR(__xludf.DUMMYFUNCTION("""COMPUTED_VALUE"""),"")</f>
        <v/>
      </c>
      <c r="S174" s="100"/>
      <c r="T174" s="102">
        <f>IFERROR(__xludf.DUMMYFUNCTION("""COMPUTED_VALUE"""),2.0)</f>
        <v>2</v>
      </c>
      <c r="U174" s="103" t="str">
        <f>IFERROR(__xludf.DUMMYFUNCTION("""COMPUTED_VALUE"""),"TRF17")</f>
        <v>TRF17</v>
      </c>
      <c r="V174" s="104" t="str">
        <f>IFERROR(__xludf.DUMMYFUNCTION("""COMPUTED_VALUE"""),"Chaldea Gate (Fri)")</f>
        <v>Chaldea Gate (Fri)</v>
      </c>
      <c r="W174" s="104" t="str">
        <f>IFERROR(__xludf.DUMMYFUNCTION("""COMPUTED_VALUE"""),"FRI Caster Training Ground- Nov")</f>
        <v>FRI Caster Training Ground- Nov</v>
      </c>
      <c r="X174" s="109">
        <f>IFERROR(__xludf.DUMMYFUNCTION("""COMPUTED_VALUE"""),10.0)</f>
        <v>10</v>
      </c>
      <c r="Y174" s="110">
        <f>IFERROR(__xludf.DUMMYFUNCTION("""COMPUTED_VALUE"""),19.375)</f>
        <v>19.375</v>
      </c>
      <c r="Z174" s="112">
        <f>IFERROR(__xludf.DUMMYFUNCTION("""COMPUTED_VALUE"""),31.1)</f>
        <v>31.1</v>
      </c>
      <c r="AA174" s="121" t="str">
        <f>IFERROR(__xludf.DUMMYFUNCTION("""COMPUTED_VALUE"""),"AP")</f>
        <v>AP</v>
      </c>
      <c r="AB174" s="123">
        <f>IFERROR(__xludf.DUMMYFUNCTION("""COMPUTED_VALUE"""),32.2)</f>
        <v>32.2</v>
      </c>
      <c r="AC174" s="121" t="str">
        <f>IFERROR(__xludf.DUMMYFUNCTION("""COMPUTED_VALUE"""),"％")</f>
        <v>％</v>
      </c>
      <c r="AD174" s="109">
        <f>IFERROR(__xludf.DUMMYFUNCTION("""COMPUTED_VALUE"""),2818.0)</f>
        <v>2818</v>
      </c>
      <c r="AE174" s="100"/>
      <c r="AF174" s="372" t="str">
        <f>IFERROR(__xludf.DUMMYFUNCTION("""COMPUTED_VALUE"""),"")</f>
        <v/>
      </c>
    </row>
    <row r="175" ht="16.5" customHeight="1">
      <c r="C175" s="100"/>
      <c r="D175" s="130">
        <f>IFERROR(__xludf.DUMMYFUNCTION("""COMPUTED_VALUE"""),3.0)</f>
        <v>3</v>
      </c>
      <c r="E175" s="132" t="str">
        <f>IFERROR(__xludf.DUMMYFUNCTION("""COMPUTED_VALUE"""),"BBL2")</f>
        <v>BBL2</v>
      </c>
      <c r="F175" s="133" t="str">
        <f>IFERROR(__xludf.DUMMYFUNCTION("""COMPUTED_VALUE"""),"Babylonia")</f>
        <v>Babylonia</v>
      </c>
      <c r="G175" s="135" t="str">
        <f>IFERROR(__xludf.DUMMYFUNCTION("""COMPUTED_VALUE"""),"Northern Hill")</f>
        <v>Northern Hill</v>
      </c>
      <c r="H175" s="137">
        <f>IFERROR(__xludf.DUMMYFUNCTION("""COMPUTED_VALUE"""),20.0)</f>
        <v>20</v>
      </c>
      <c r="I175" s="139">
        <f>IFERROR(__xludf.DUMMYFUNCTION("""COMPUTED_VALUE"""),48.4375)</f>
        <v>48.4375</v>
      </c>
      <c r="J175" s="141">
        <f>IFERROR(__xludf.DUMMYFUNCTION("""COMPUTED_VALUE"""),111.9)</f>
        <v>111.9</v>
      </c>
      <c r="K175" s="143" t="str">
        <f>IFERROR(__xludf.DUMMYFUNCTION("""COMPUTED_VALUE"""),"AP")</f>
        <v>AP</v>
      </c>
      <c r="L175" s="145">
        <f>IFERROR(__xludf.DUMMYFUNCTION("""COMPUTED_VALUE"""),17.9)</f>
        <v>17.9</v>
      </c>
      <c r="M175" s="143" t="str">
        <f>IFERROR(__xludf.DUMMYFUNCTION("""COMPUTED_VALUE"""),"％")</f>
        <v>％</v>
      </c>
      <c r="N175" s="137">
        <f>IFERROR(__xludf.DUMMYFUNCTION("""COMPUTED_VALUE"""),319.0)</f>
        <v>319</v>
      </c>
      <c r="O175" s="100"/>
      <c r="P175" s="371" t="str">
        <f>IFERROR(__xludf.DUMMYFUNCTION("""COMPUTED_VALUE"""),"")</f>
        <v/>
      </c>
      <c r="S175" s="100"/>
      <c r="T175" s="130">
        <f>IFERROR(__xludf.DUMMYFUNCTION("""COMPUTED_VALUE"""),3.0)</f>
        <v>3</v>
      </c>
      <c r="U175" s="132" t="str">
        <f>IFERROR(__xludf.DUMMYFUNCTION("""COMPUTED_VALUE"""),"TRF17")</f>
        <v>TRF17</v>
      </c>
      <c r="V175" s="133" t="str">
        <f>IFERROR(__xludf.DUMMYFUNCTION("""COMPUTED_VALUE"""),"Chaldea Gate (Fri)")</f>
        <v>Chaldea Gate (Fri)</v>
      </c>
      <c r="W175" s="133" t="str">
        <f>IFERROR(__xludf.DUMMYFUNCTION("""COMPUTED_VALUE"""),"FRI Caster Training Ground- Nov")</f>
        <v>FRI Caster Training Ground- Nov</v>
      </c>
      <c r="X175" s="137">
        <f>IFERROR(__xludf.DUMMYFUNCTION("""COMPUTED_VALUE"""),10.0)</f>
        <v>10</v>
      </c>
      <c r="Y175" s="139">
        <f>IFERROR(__xludf.DUMMYFUNCTION("""COMPUTED_VALUE"""),19.375)</f>
        <v>19.375</v>
      </c>
      <c r="Z175" s="141">
        <f>IFERROR(__xludf.DUMMYFUNCTION("""COMPUTED_VALUE"""),31.1)</f>
        <v>31.1</v>
      </c>
      <c r="AA175" s="143" t="str">
        <f>IFERROR(__xludf.DUMMYFUNCTION("""COMPUTED_VALUE"""),"AP")</f>
        <v>AP</v>
      </c>
      <c r="AB175" s="145">
        <f>IFERROR(__xludf.DUMMYFUNCTION("""COMPUTED_VALUE"""),32.2)</f>
        <v>32.2</v>
      </c>
      <c r="AC175" s="143" t="str">
        <f>IFERROR(__xludf.DUMMYFUNCTION("""COMPUTED_VALUE"""),"％")</f>
        <v>％</v>
      </c>
      <c r="AD175" s="137">
        <f>IFERROR(__xludf.DUMMYFUNCTION("""COMPUTED_VALUE"""),2818.0)</f>
        <v>2818</v>
      </c>
      <c r="AE175" s="100"/>
      <c r="AF175" s="372" t="str">
        <f>IFERROR(__xludf.DUMMYFUNCTION("""COMPUTED_VALUE"""),"")</f>
        <v/>
      </c>
    </row>
    <row r="176" ht="16.5" customHeight="1">
      <c r="C176" s="100"/>
      <c r="D176" s="146">
        <f>IFERROR(__xludf.DUMMYFUNCTION("""COMPUTED_VALUE"""),4.0)</f>
        <v>4</v>
      </c>
      <c r="E176" s="148" t="str">
        <f>IFERROR(__xludf.DUMMYFUNCTION("""COMPUTED_VALUE"""),"EPU9")</f>
        <v>EPU9</v>
      </c>
      <c r="F176" s="150" t="str">
        <f>IFERROR(__xludf.DUMMYFUNCTION("""COMPUTED_VALUE"""),"E Pluribus Unum")</f>
        <v>E Pluribus Unum</v>
      </c>
      <c r="G176" s="152" t="str">
        <f>IFERROR(__xludf.DUMMYFUNCTION("""COMPUTED_VALUE"""),"Lubbock")</f>
        <v>Lubbock</v>
      </c>
      <c r="H176" s="154">
        <f>IFERROR(__xludf.DUMMYFUNCTION("""COMPUTED_VALUE"""),18.0)</f>
        <v>18</v>
      </c>
      <c r="I176" s="156">
        <f>IFERROR(__xludf.DUMMYFUNCTION("""COMPUTED_VALUE"""),45.486111111111114)</f>
        <v>45.48611111</v>
      </c>
      <c r="J176" s="158">
        <f>IFERROR(__xludf.DUMMYFUNCTION("""COMPUTED_VALUE"""),155.3)</f>
        <v>155.3</v>
      </c>
      <c r="K176" s="160" t="str">
        <f>IFERROR(__xludf.DUMMYFUNCTION("""COMPUTED_VALUE"""),"AP")</f>
        <v>AP</v>
      </c>
      <c r="L176" s="162">
        <f>IFERROR(__xludf.DUMMYFUNCTION("""COMPUTED_VALUE"""),11.6)</f>
        <v>11.6</v>
      </c>
      <c r="M176" s="160" t="str">
        <f>IFERROR(__xludf.DUMMYFUNCTION("""COMPUTED_VALUE"""),"％")</f>
        <v>％</v>
      </c>
      <c r="N176" s="154">
        <f>IFERROR(__xludf.DUMMYFUNCTION("""COMPUTED_VALUE"""),440.0)</f>
        <v>440</v>
      </c>
      <c r="O176" s="100"/>
      <c r="P176" s="371" t="str">
        <f>IFERROR(__xludf.DUMMYFUNCTION("""COMPUTED_VALUE"""),"")</f>
        <v/>
      </c>
      <c r="S176" s="100"/>
      <c r="T176" s="146">
        <f>IFERROR(__xludf.DUMMYFUNCTION("""COMPUTED_VALUE"""),4.0)</f>
        <v>4</v>
      </c>
      <c r="U176" s="148" t="str">
        <f>IFERROR(__xludf.DUMMYFUNCTION("""COMPUTED_VALUE"""),"TRF20")</f>
        <v>TRF20</v>
      </c>
      <c r="V176" s="150" t="str">
        <f>IFERROR(__xludf.DUMMYFUNCTION("""COMPUTED_VALUE"""),"Chaldea Gate (Fri)")</f>
        <v>Chaldea Gate (Fri)</v>
      </c>
      <c r="W176" s="150" t="str">
        <f>IFERROR(__xludf.DUMMYFUNCTION("""COMPUTED_VALUE"""),"FRI Caster Training Ground- Exp")</f>
        <v>FRI Caster Training Ground- Exp</v>
      </c>
      <c r="X176" s="154">
        <f>IFERROR(__xludf.DUMMYFUNCTION("""COMPUTED_VALUE"""),40.0)</f>
        <v>40</v>
      </c>
      <c r="Y176" s="156">
        <f>IFERROR(__xludf.DUMMYFUNCTION("""COMPUTED_VALUE"""),20.46875)</f>
        <v>20.46875</v>
      </c>
      <c r="Z176" s="158">
        <f>IFERROR(__xludf.DUMMYFUNCTION("""COMPUTED_VALUE"""),49.7)</f>
        <v>49.7</v>
      </c>
      <c r="AA176" s="160" t="str">
        <f>IFERROR(__xludf.DUMMYFUNCTION("""COMPUTED_VALUE"""),"AP")</f>
        <v>AP</v>
      </c>
      <c r="AB176" s="162">
        <f>IFERROR(__xludf.DUMMYFUNCTION("""COMPUTED_VALUE"""),80.5)</f>
        <v>80.5</v>
      </c>
      <c r="AC176" s="160" t="str">
        <f>IFERROR(__xludf.DUMMYFUNCTION("""COMPUTED_VALUE"""),"％")</f>
        <v>％</v>
      </c>
      <c r="AD176" s="154">
        <f>IFERROR(__xludf.DUMMYFUNCTION("""COMPUTED_VALUE"""),10906.0)</f>
        <v>10906</v>
      </c>
      <c r="AE176" s="100"/>
      <c r="AF176" s="372" t="str">
        <f>IFERROR(__xludf.DUMMYFUNCTION("""COMPUTED_VALUE"""),"")</f>
        <v/>
      </c>
    </row>
    <row r="177" ht="16.5" customHeight="1">
      <c r="A177" s="166"/>
      <c r="C177" s="168"/>
      <c r="D177" s="169">
        <f>IFERROR(__xludf.DUMMYFUNCTION("""COMPUTED_VALUE"""),5.0)</f>
        <v>5</v>
      </c>
      <c r="E177" s="170" t="str">
        <f>IFERROR(__xludf.DUMMYFUNCTION("""COMPUTED_VALUE"""),"TRF24")</f>
        <v>TRF24</v>
      </c>
      <c r="F177" s="51" t="str">
        <f>IFERROR(__xludf.DUMMYFUNCTION("""COMPUTED_VALUE"""),"Chaldea Gate (Sat)")</f>
        <v>Chaldea Gate (Sat)</v>
      </c>
      <c r="G177" s="51" t="str">
        <f>IFERROR(__xludf.DUMMYFUNCTION("""COMPUTED_VALUE"""),"SAT Assassin Training Ground- Exp")</f>
        <v>SAT Assassin Training Ground- Exp</v>
      </c>
      <c r="H177" s="172">
        <f>IFERROR(__xludf.DUMMYFUNCTION("""COMPUTED_VALUE"""),40.0)</f>
        <v>40</v>
      </c>
      <c r="I177" s="173">
        <f>IFERROR(__xludf.DUMMYFUNCTION("""COMPUTED_VALUE"""),20.46875)</f>
        <v>20.46875</v>
      </c>
      <c r="J177" s="174">
        <f>IFERROR(__xludf.DUMMYFUNCTION("""COMPUTED_VALUE"""),333.0)</f>
        <v>333</v>
      </c>
      <c r="K177" s="175" t="str">
        <f>IFERROR(__xludf.DUMMYFUNCTION("""COMPUTED_VALUE"""),"AP")</f>
        <v>AP</v>
      </c>
      <c r="L177" s="176">
        <f>IFERROR(__xludf.DUMMYFUNCTION("""COMPUTED_VALUE"""),11.99999)</f>
        <v>11.99999</v>
      </c>
      <c r="M177" s="175" t="str">
        <f>IFERROR(__xludf.DUMMYFUNCTION("""COMPUTED_VALUE"""),"％")</f>
        <v>％</v>
      </c>
      <c r="N177" s="172">
        <f>IFERROR(__xludf.DUMMYFUNCTION("""COMPUTED_VALUE"""),6919.0)</f>
        <v>6919</v>
      </c>
      <c r="O177" s="168"/>
      <c r="P177" s="371" t="str">
        <f>IFERROR(__xludf.DUMMYFUNCTION("""COMPUTED_VALUE"""),"")</f>
        <v/>
      </c>
      <c r="Q177" s="166"/>
      <c r="S177" s="168"/>
      <c r="T177" s="169">
        <f>IFERROR(__xludf.DUMMYFUNCTION("""COMPUTED_VALUE"""),5.0)</f>
        <v>5</v>
      </c>
      <c r="U177" s="170" t="str">
        <f>IFERROR(__xludf.DUMMYFUNCTION("""COMPUTED_VALUE"""),"ORL9")</f>
        <v>ORL9</v>
      </c>
      <c r="V177" s="51" t="str">
        <f>IFERROR(__xludf.DUMMYFUNCTION("""COMPUTED_VALUE"""),"Orleans")</f>
        <v>Orleans</v>
      </c>
      <c r="W177" s="171" t="str">
        <f>IFERROR(__xludf.DUMMYFUNCTION("""COMPUTED_VALUE"""),"Orleans")</f>
        <v>Orleans</v>
      </c>
      <c r="X177" s="172">
        <f>IFERROR(__xludf.DUMMYFUNCTION("""COMPUTED_VALUE"""),8.0)</f>
        <v>8</v>
      </c>
      <c r="Y177" s="173">
        <f>IFERROR(__xludf.DUMMYFUNCTION("""COMPUTED_VALUE"""),30.46875)</f>
        <v>30.46875</v>
      </c>
      <c r="Z177" s="174">
        <f>IFERROR(__xludf.DUMMYFUNCTION("""COMPUTED_VALUE"""),79.4)</f>
        <v>79.4</v>
      </c>
      <c r="AA177" s="175" t="str">
        <f>IFERROR(__xludf.DUMMYFUNCTION("""COMPUTED_VALUE"""),"AP")</f>
        <v>AP</v>
      </c>
      <c r="AB177" s="176">
        <f>IFERROR(__xludf.DUMMYFUNCTION("""COMPUTED_VALUE"""),10.1)</f>
        <v>10.1</v>
      </c>
      <c r="AC177" s="175" t="str">
        <f>IFERROR(__xludf.DUMMYFUNCTION("""COMPUTED_VALUE"""),"％")</f>
        <v>％</v>
      </c>
      <c r="AD177" s="172">
        <f>IFERROR(__xludf.DUMMYFUNCTION("""COMPUTED_VALUE"""),556.0)</f>
        <v>556</v>
      </c>
      <c r="AE177" s="168"/>
      <c r="AF177" s="372" t="str">
        <f>IFERROR(__xludf.DUMMYFUNCTION("""COMPUTED_VALUE"""),"")</f>
        <v/>
      </c>
    </row>
    <row r="178" ht="16.5" customHeight="1">
      <c r="A178" s="61" t="str">
        <f>IFERROR(__xludf.DUMMYFUNCTION("""COMPUTED_VALUE"""),"")</f>
        <v/>
      </c>
      <c r="B178" s="366" t="str">
        <f>IFERROR(__xludf.DUMMYFUNCTION("""COMPUTED_VALUE"""),"A108")</f>
        <v>A108</v>
      </c>
      <c r="C178" s="197" t="str">
        <f>IFERROR(__xludf.DUMMYFUNCTION("""COMPUTED_VALUE"""),"Lamp of Evil-Sealing")</f>
        <v>Lamp of Evil-Sealing</v>
      </c>
      <c r="D178" s="181">
        <f>IFERROR(__xludf.DUMMYFUNCTION("""COMPUTED_VALUE"""),1.0)</f>
        <v>1</v>
      </c>
      <c r="E178" s="182" t="str">
        <f>IFERROR(__xludf.DUMMYFUNCTION("""COMPUTED_VALUE"""),"SLM11")</f>
        <v>SLM11</v>
      </c>
      <c r="F178" s="184" t="str">
        <f>IFERROR(__xludf.DUMMYFUNCTION("""COMPUTED_VALUE"""),"Salem")</f>
        <v>Salem</v>
      </c>
      <c r="G178" s="189" t="str">
        <f>IFERROR(__xludf.DUMMYFUNCTION("""COMPUTED_VALUE"""),"Jail")</f>
        <v>Jail</v>
      </c>
      <c r="H178" s="190">
        <f>IFERROR(__xludf.DUMMYFUNCTION("""COMPUTED_VALUE"""),21.0)</f>
        <v>21</v>
      </c>
      <c r="I178" s="191">
        <f>IFERROR(__xludf.DUMMYFUNCTION("""COMPUTED_VALUE"""),50.892857142857146)</f>
        <v>50.89285714</v>
      </c>
      <c r="J178" s="192">
        <f>IFERROR(__xludf.DUMMYFUNCTION("""COMPUTED_VALUE"""),108.7)</f>
        <v>108.7</v>
      </c>
      <c r="K178" s="194" t="str">
        <f>IFERROR(__xludf.DUMMYFUNCTION("""COMPUTED_VALUE"""),"AP")</f>
        <v>AP</v>
      </c>
      <c r="L178" s="192">
        <f>IFERROR(__xludf.DUMMYFUNCTION("""COMPUTED_VALUE"""),19.3)</f>
        <v>19.3</v>
      </c>
      <c r="M178" s="194" t="str">
        <f>IFERROR(__xludf.DUMMYFUNCTION("""COMPUTED_VALUE"""),"％")</f>
        <v>％</v>
      </c>
      <c r="N178" s="190">
        <f>IFERROR(__xludf.DUMMYFUNCTION("""COMPUTED_VALUE"""),1035.0)</f>
        <v>1035</v>
      </c>
      <c r="O178" s="197" t="str">
        <f>IFERROR(__xludf.DUMMYFUNCTION("""COMPUTED_VALUE"""),"Lamp of Evil-Sealing")</f>
        <v>Lamp of Evil-Sealing</v>
      </c>
      <c r="P178" s="371" t="str">
        <f>IFERROR(__xludf.DUMMYFUNCTION("""COMPUTED_VALUE"""),"")</f>
        <v/>
      </c>
      <c r="Q178" s="61" t="str">
        <f>IFERROR(__xludf.DUMMYFUNCTION("""COMPUTED_VALUE"""),"")</f>
        <v/>
      </c>
      <c r="R178" s="366" t="str">
        <f>IFERROR(__xludf.DUMMYFUNCTION("""COMPUTED_VALUE"""),"B216")</f>
        <v>B216</v>
      </c>
      <c r="S178" s="197" t="str">
        <f>IFERROR(__xludf.DUMMYFUNCTION("""COMPUTED_VALUE"""),"Assassin Piece")</f>
        <v>Assassin Piece</v>
      </c>
      <c r="T178" s="181">
        <f>IFERROR(__xludf.DUMMYFUNCTION("""COMPUTED_VALUE"""),1.0)</f>
        <v>1</v>
      </c>
      <c r="U178" s="182" t="str">
        <f>IFERROR(__xludf.DUMMYFUNCTION("""COMPUTED_VALUE"""),"TRF22")</f>
        <v>TRF22</v>
      </c>
      <c r="V178" s="184" t="str">
        <f>IFERROR(__xludf.DUMMYFUNCTION("""COMPUTED_VALUE"""),"Chaldea Gate (Sat)")</f>
        <v>Chaldea Gate (Sat)</v>
      </c>
      <c r="W178" s="184" t="str">
        <f>IFERROR(__xludf.DUMMYFUNCTION("""COMPUTED_VALUE"""),"SAT Assassin Training Ground- Int")</f>
        <v>SAT Assassin Training Ground- Int</v>
      </c>
      <c r="X178" s="190">
        <f>IFERROR(__xludf.DUMMYFUNCTION("""COMPUTED_VALUE"""),20.0)</f>
        <v>20</v>
      </c>
      <c r="Y178" s="191">
        <f>IFERROR(__xludf.DUMMYFUNCTION("""COMPUTED_VALUE"""),19.0625)</f>
        <v>19.0625</v>
      </c>
      <c r="Z178" s="192">
        <f>IFERROR(__xludf.DUMMYFUNCTION("""COMPUTED_VALUE"""),28.9)</f>
        <v>28.9</v>
      </c>
      <c r="AA178" s="194" t="str">
        <f>IFERROR(__xludf.DUMMYFUNCTION("""COMPUTED_VALUE"""),"AP")</f>
        <v>AP</v>
      </c>
      <c r="AB178" s="192">
        <f>IFERROR(__xludf.DUMMYFUNCTION("""COMPUTED_VALUE"""),69.2)</f>
        <v>69.2</v>
      </c>
      <c r="AC178" s="194" t="str">
        <f>IFERROR(__xludf.DUMMYFUNCTION("""COMPUTED_VALUE"""),"％")</f>
        <v>％</v>
      </c>
      <c r="AD178" s="190">
        <f>IFERROR(__xludf.DUMMYFUNCTION("""COMPUTED_VALUE"""),462.0)</f>
        <v>462</v>
      </c>
      <c r="AE178" s="197" t="str">
        <f>IFERROR(__xludf.DUMMYFUNCTION("""COMPUTED_VALUE"""),"Assassin Piece")</f>
        <v>Assassin Piece</v>
      </c>
      <c r="AF178" s="372" t="str">
        <f>IFERROR(__xludf.DUMMYFUNCTION("""COMPUTED_VALUE"""),"")</f>
        <v/>
      </c>
    </row>
    <row r="179" ht="16.5" customHeight="1">
      <c r="C179" s="217"/>
      <c r="D179" s="205">
        <f>IFERROR(__xludf.DUMMYFUNCTION("""COMPUTED_VALUE"""),2.0)</f>
        <v>2</v>
      </c>
      <c r="E179" s="206" t="str">
        <f>IFERROR(__xludf.DUMMYFUNCTION("""COMPUTED_VALUE"""),"YKS10")</f>
        <v>YKS10</v>
      </c>
      <c r="F179" s="207" t="str">
        <f>IFERROR(__xludf.DUMMYFUNCTION("""COMPUTED_VALUE"""),"Yuga Kshetra")</f>
        <v>Yuga Kshetra</v>
      </c>
      <c r="G179" s="209" t="str">
        <f>IFERROR(__xludf.DUMMYFUNCTION("""COMPUTED_VALUE"""),"Eastern Flower Garden")</f>
        <v>Eastern Flower Garden</v>
      </c>
      <c r="H179" s="211">
        <f>IFERROR(__xludf.DUMMYFUNCTION("""COMPUTED_VALUE"""),21.0)</f>
        <v>21</v>
      </c>
      <c r="I179" s="213">
        <f>IFERROR(__xludf.DUMMYFUNCTION("""COMPUTED_VALUE"""),50.892857142857146)</f>
        <v>50.89285714</v>
      </c>
      <c r="J179" s="214">
        <f>IFERROR(__xludf.DUMMYFUNCTION("""COMPUTED_VALUE"""),109.6)</f>
        <v>109.6</v>
      </c>
      <c r="K179" s="215" t="str">
        <f>IFERROR(__xludf.DUMMYFUNCTION("""COMPUTED_VALUE"""),"AP")</f>
        <v>AP</v>
      </c>
      <c r="L179" s="214">
        <f>IFERROR(__xludf.DUMMYFUNCTION("""COMPUTED_VALUE"""),19.2)</f>
        <v>19.2</v>
      </c>
      <c r="M179" s="215" t="str">
        <f>IFERROR(__xludf.DUMMYFUNCTION("""COMPUTED_VALUE"""),"％")</f>
        <v>％</v>
      </c>
      <c r="N179" s="211">
        <f>IFERROR(__xludf.DUMMYFUNCTION("""COMPUTED_VALUE"""),2207.0)</f>
        <v>2207</v>
      </c>
      <c r="O179" s="217"/>
      <c r="P179" s="371" t="str">
        <f>IFERROR(__xludf.DUMMYFUNCTION("""COMPUTED_VALUE"""),"")</f>
        <v/>
      </c>
      <c r="S179" s="217"/>
      <c r="T179" s="205">
        <f>IFERROR(__xludf.DUMMYFUNCTION("""COMPUTED_VALUE"""),2.0)</f>
        <v>2</v>
      </c>
      <c r="U179" s="206" t="str">
        <f>IFERROR(__xludf.DUMMYFUNCTION("""COMPUTED_VALUE"""),"TRF23")</f>
        <v>TRF23</v>
      </c>
      <c r="V179" s="207" t="str">
        <f>IFERROR(__xludf.DUMMYFUNCTION("""COMPUTED_VALUE"""),"Chaldea Gate (Sat)")</f>
        <v>Chaldea Gate (Sat)</v>
      </c>
      <c r="W179" s="207" t="str">
        <f>IFERROR(__xludf.DUMMYFUNCTION("""COMPUTED_VALUE"""),"SAT Assassin Training Ground- Adv")</f>
        <v>SAT Assassin Training Ground- Adv</v>
      </c>
      <c r="X179" s="211">
        <f>IFERROR(__xludf.DUMMYFUNCTION("""COMPUTED_VALUE"""),30.0)</f>
        <v>30</v>
      </c>
      <c r="Y179" s="213">
        <f>IFERROR(__xludf.DUMMYFUNCTION("""COMPUTED_VALUE"""),18.958333333333332)</f>
        <v>18.95833333</v>
      </c>
      <c r="Z179" s="214">
        <f>IFERROR(__xludf.DUMMYFUNCTION("""COMPUTED_VALUE"""),29.3)</f>
        <v>29.3</v>
      </c>
      <c r="AA179" s="215" t="str">
        <f>IFERROR(__xludf.DUMMYFUNCTION("""COMPUTED_VALUE"""),"AP")</f>
        <v>AP</v>
      </c>
      <c r="AB179" s="214">
        <f>IFERROR(__xludf.DUMMYFUNCTION("""COMPUTED_VALUE"""),102.6)</f>
        <v>102.6</v>
      </c>
      <c r="AC179" s="215" t="str">
        <f>IFERROR(__xludf.DUMMYFUNCTION("""COMPUTED_VALUE"""),"％")</f>
        <v>％</v>
      </c>
      <c r="AD179" s="211">
        <f>IFERROR(__xludf.DUMMYFUNCTION("""COMPUTED_VALUE"""),741.0)</f>
        <v>741</v>
      </c>
      <c r="AE179" s="217"/>
      <c r="AF179" s="372" t="str">
        <f>IFERROR(__xludf.DUMMYFUNCTION("""COMPUTED_VALUE"""),"")</f>
        <v/>
      </c>
    </row>
    <row r="180" ht="16.5" customHeight="1">
      <c r="C180" s="217"/>
      <c r="D180" s="222">
        <f>IFERROR(__xludf.DUMMYFUNCTION("""COMPUTED_VALUE"""),3.0)</f>
        <v>3</v>
      </c>
      <c r="E180" s="223" t="str">
        <f>IFERROR(__xludf.DUMMYFUNCTION("""COMPUTED_VALUE"""),"CML11")</f>
        <v>CML11</v>
      </c>
      <c r="F180" s="224" t="str">
        <f>IFERROR(__xludf.DUMMYFUNCTION("""COMPUTED_VALUE"""),"Camelot")</f>
        <v>Camelot</v>
      </c>
      <c r="G180" s="226" t="str">
        <f>IFERROR(__xludf.DUMMYFUNCTION("""COMPUTED_VALUE"""),"Hidden Village")</f>
        <v>Hidden Village</v>
      </c>
      <c r="H180" s="228">
        <f>IFERROR(__xludf.DUMMYFUNCTION("""COMPUTED_VALUE"""),21.0)</f>
        <v>21</v>
      </c>
      <c r="I180" s="230">
        <f>IFERROR(__xludf.DUMMYFUNCTION("""COMPUTED_VALUE"""),49.70238095238095)</f>
        <v>49.70238095</v>
      </c>
      <c r="J180" s="231">
        <f>IFERROR(__xludf.DUMMYFUNCTION("""COMPUTED_VALUE"""),131.5)</f>
        <v>131.5</v>
      </c>
      <c r="K180" s="232" t="str">
        <f>IFERROR(__xludf.DUMMYFUNCTION("""COMPUTED_VALUE"""),"AP")</f>
        <v>AP</v>
      </c>
      <c r="L180" s="231">
        <f>IFERROR(__xludf.DUMMYFUNCTION("""COMPUTED_VALUE"""),16.0)</f>
        <v>16</v>
      </c>
      <c r="M180" s="232" t="str">
        <f>IFERROR(__xludf.DUMMYFUNCTION("""COMPUTED_VALUE"""),"％")</f>
        <v>％</v>
      </c>
      <c r="N180" s="228">
        <f>IFERROR(__xludf.DUMMYFUNCTION("""COMPUTED_VALUE"""),49308.0)</f>
        <v>49308</v>
      </c>
      <c r="O180" s="217"/>
      <c r="P180" s="371" t="str">
        <f>IFERROR(__xludf.DUMMYFUNCTION("""COMPUTED_VALUE"""),"")</f>
        <v/>
      </c>
      <c r="S180" s="217"/>
      <c r="T180" s="222">
        <f>IFERROR(__xludf.DUMMYFUNCTION("""COMPUTED_VALUE"""),3.0)</f>
        <v>3</v>
      </c>
      <c r="U180" s="223" t="str">
        <f>IFERROR(__xludf.DUMMYFUNCTION("""COMPUTED_VALUE"""),"TRF21")</f>
        <v>TRF21</v>
      </c>
      <c r="V180" s="224" t="str">
        <f>IFERROR(__xludf.DUMMYFUNCTION("""COMPUTED_VALUE"""),"Chaldea Gate (Sat)")</f>
        <v>Chaldea Gate (Sat)</v>
      </c>
      <c r="W180" s="224" t="str">
        <f>IFERROR(__xludf.DUMMYFUNCTION("""COMPUTED_VALUE"""),"SAT Assassin Training Ground- Nov")</f>
        <v>SAT Assassin Training Ground- Nov</v>
      </c>
      <c r="X180" s="228">
        <f>IFERROR(__xludf.DUMMYFUNCTION("""COMPUTED_VALUE"""),10.0)</f>
        <v>10</v>
      </c>
      <c r="Y180" s="230">
        <f>IFERROR(__xludf.DUMMYFUNCTION("""COMPUTED_VALUE"""),19.375)</f>
        <v>19.375</v>
      </c>
      <c r="Z180" s="231">
        <f>IFERROR(__xludf.DUMMYFUNCTION("""COMPUTED_VALUE"""),35.9)</f>
        <v>35.9</v>
      </c>
      <c r="AA180" s="232" t="str">
        <f>IFERROR(__xludf.DUMMYFUNCTION("""COMPUTED_VALUE"""),"AP")</f>
        <v>AP</v>
      </c>
      <c r="AB180" s="231">
        <f>IFERROR(__xludf.DUMMYFUNCTION("""COMPUTED_VALUE"""),27.9)</f>
        <v>27.9</v>
      </c>
      <c r="AC180" s="232" t="str">
        <f>IFERROR(__xludf.DUMMYFUNCTION("""COMPUTED_VALUE"""),"％")</f>
        <v>％</v>
      </c>
      <c r="AD180" s="228">
        <f>IFERROR(__xludf.DUMMYFUNCTION("""COMPUTED_VALUE"""),1054.0)</f>
        <v>1054</v>
      </c>
      <c r="AE180" s="217"/>
      <c r="AF180" s="372" t="str">
        <f>IFERROR(__xludf.DUMMYFUNCTION("""COMPUTED_VALUE"""),"")</f>
        <v/>
      </c>
    </row>
    <row r="181" ht="16.5" customHeight="1">
      <c r="C181" s="217"/>
      <c r="D181" s="238">
        <f>IFERROR(__xludf.DUMMYFUNCTION("""COMPUTED_VALUE"""),4.0)</f>
        <v>4</v>
      </c>
      <c r="E181" s="240" t="str">
        <f>IFERROR(__xludf.DUMMYFUNCTION("""COMPUTED_VALUE"""),"CML2")</f>
        <v>CML2</v>
      </c>
      <c r="F181" s="242" t="str">
        <f>IFERROR(__xludf.DUMMYFUNCTION("""COMPUTED_VALUE"""),"Camelot")</f>
        <v>Camelot</v>
      </c>
      <c r="G181" s="244" t="str">
        <f>IFERROR(__xludf.DUMMYFUNCTION("""COMPUTED_VALUE"""),"Dune of Dawn")</f>
        <v>Dune of Dawn</v>
      </c>
      <c r="H181" s="246">
        <f>IFERROR(__xludf.DUMMYFUNCTION("""COMPUTED_VALUE"""),19.0)</f>
        <v>19</v>
      </c>
      <c r="I181" s="248">
        <f>IFERROR(__xludf.DUMMYFUNCTION("""COMPUTED_VALUE"""),44.4078947368421)</f>
        <v>44.40789474</v>
      </c>
      <c r="J181" s="250">
        <f>IFERROR(__xludf.DUMMYFUNCTION("""COMPUTED_VALUE"""),165.9)</f>
        <v>165.9</v>
      </c>
      <c r="K181" s="252" t="str">
        <f>IFERROR(__xludf.DUMMYFUNCTION("""COMPUTED_VALUE"""),"AP")</f>
        <v>AP</v>
      </c>
      <c r="L181" s="250">
        <f>IFERROR(__xludf.DUMMYFUNCTION("""COMPUTED_VALUE"""),11.5)</f>
        <v>11.5</v>
      </c>
      <c r="M181" s="252" t="str">
        <f>IFERROR(__xludf.DUMMYFUNCTION("""COMPUTED_VALUE"""),"％")</f>
        <v>％</v>
      </c>
      <c r="N181" s="246">
        <f>IFERROR(__xludf.DUMMYFUNCTION("""COMPUTED_VALUE"""),262.0)</f>
        <v>262</v>
      </c>
      <c r="O181" s="217"/>
      <c r="P181" s="371" t="str">
        <f>IFERROR(__xludf.DUMMYFUNCTION("""COMPUTED_VALUE"""),"")</f>
        <v/>
      </c>
      <c r="S181" s="217"/>
      <c r="T181" s="238">
        <f>IFERROR(__xludf.DUMMYFUNCTION("""COMPUTED_VALUE"""),4.0)</f>
        <v>4</v>
      </c>
      <c r="U181" s="240" t="str">
        <f>IFERROR(__xludf.DUMMYFUNCTION("""COMPUTED_VALUE"""),"ORL5")</f>
        <v>ORL5</v>
      </c>
      <c r="V181" s="242" t="str">
        <f>IFERROR(__xludf.DUMMYFUNCTION("""COMPUTED_VALUE"""),"Orleans")</f>
        <v>Orleans</v>
      </c>
      <c r="W181" s="244" t="str">
        <f>IFERROR(__xludf.DUMMYFUNCTION("""COMPUTED_VALUE"""),"Lyon")</f>
        <v>Lyon</v>
      </c>
      <c r="X181" s="246">
        <f>IFERROR(__xludf.DUMMYFUNCTION("""COMPUTED_VALUE"""),7.0)</f>
        <v>7</v>
      </c>
      <c r="Y181" s="248">
        <f>IFERROR(__xludf.DUMMYFUNCTION("""COMPUTED_VALUE"""),31.25)</f>
        <v>31.25</v>
      </c>
      <c r="Z181" s="250">
        <f>IFERROR(__xludf.DUMMYFUNCTION("""COMPUTED_VALUE"""),49.4)</f>
        <v>49.4</v>
      </c>
      <c r="AA181" s="252" t="str">
        <f>IFERROR(__xludf.DUMMYFUNCTION("""COMPUTED_VALUE"""),"AP")</f>
        <v>AP</v>
      </c>
      <c r="AB181" s="250">
        <f>IFERROR(__xludf.DUMMYFUNCTION("""COMPUTED_VALUE"""),14.2)</f>
        <v>14.2</v>
      </c>
      <c r="AC181" s="252" t="str">
        <f>IFERROR(__xludf.DUMMYFUNCTION("""COMPUTED_VALUE"""),"％")</f>
        <v>％</v>
      </c>
      <c r="AD181" s="246">
        <f>IFERROR(__xludf.DUMMYFUNCTION("""COMPUTED_VALUE"""),346.0)</f>
        <v>346</v>
      </c>
      <c r="AE181" s="217"/>
      <c r="AF181" s="372" t="str">
        <f>IFERROR(__xludf.DUMMYFUNCTION("""COMPUTED_VALUE"""),"")</f>
        <v/>
      </c>
    </row>
    <row r="182" ht="16.5" customHeight="1">
      <c r="A182" s="166"/>
      <c r="C182" s="263"/>
      <c r="D182" s="256">
        <f>IFERROR(__xludf.DUMMYFUNCTION("""COMPUTED_VALUE"""),5.0)</f>
        <v>5</v>
      </c>
      <c r="E182" s="257" t="str">
        <f>IFERROR(__xludf.DUMMYFUNCTION("""COMPUTED_VALUE"""),"")</f>
        <v/>
      </c>
      <c r="F182" s="42" t="str">
        <f>IFERROR(__xludf.DUMMYFUNCTION("""COMPUTED_VALUE"""),"")</f>
        <v/>
      </c>
      <c r="G182" s="42" t="str">
        <f>IFERROR(__xludf.DUMMYFUNCTION("""COMPUTED_VALUE"""),"")</f>
        <v/>
      </c>
      <c r="H182" s="259" t="str">
        <f>IFERROR(__xludf.DUMMYFUNCTION("""COMPUTED_VALUE"""),"")</f>
        <v/>
      </c>
      <c r="I182" s="260" t="str">
        <f>IFERROR(__xludf.DUMMYFUNCTION("""COMPUTED_VALUE"""),"")</f>
        <v/>
      </c>
      <c r="J182" s="261" t="str">
        <f>IFERROR(__xludf.DUMMYFUNCTION("""COMPUTED_VALUE"""),"")</f>
        <v/>
      </c>
      <c r="K182" s="262" t="str">
        <f>IFERROR(__xludf.DUMMYFUNCTION("""COMPUTED_VALUE"""),"AP")</f>
        <v>AP</v>
      </c>
      <c r="L182" s="261" t="str">
        <f>IFERROR(__xludf.DUMMYFUNCTION("""COMPUTED_VALUE"""),"")</f>
        <v/>
      </c>
      <c r="M182" s="262" t="str">
        <f>IFERROR(__xludf.DUMMYFUNCTION("""COMPUTED_VALUE"""),"％")</f>
        <v>％</v>
      </c>
      <c r="N182" s="259" t="str">
        <f>IFERROR(__xludf.DUMMYFUNCTION("""COMPUTED_VALUE"""),"")</f>
        <v/>
      </c>
      <c r="O182" s="263"/>
      <c r="P182" s="371" t="str">
        <f>IFERROR(__xludf.DUMMYFUNCTION("""COMPUTED_VALUE"""),"")</f>
        <v/>
      </c>
      <c r="Q182" s="166"/>
      <c r="S182" s="263"/>
      <c r="T182" s="256">
        <f>IFERROR(__xludf.DUMMYFUNCTION("""COMPUTED_VALUE"""),5.0)</f>
        <v>5</v>
      </c>
      <c r="U182" s="257" t="str">
        <f>IFERROR(__xludf.DUMMYFUNCTION("""COMPUTED_VALUE"""),"TRF24")</f>
        <v>TRF24</v>
      </c>
      <c r="V182" s="42" t="str">
        <f>IFERROR(__xludf.DUMMYFUNCTION("""COMPUTED_VALUE"""),"Chaldea Gate (Sat)")</f>
        <v>Chaldea Gate (Sat)</v>
      </c>
      <c r="W182" s="42" t="str">
        <f>IFERROR(__xludf.DUMMYFUNCTION("""COMPUTED_VALUE"""),"SAT Assassin Training Ground- Exp")</f>
        <v>SAT Assassin Training Ground- Exp</v>
      </c>
      <c r="X182" s="259">
        <f>IFERROR(__xludf.DUMMYFUNCTION("""COMPUTED_VALUE"""),40.0)</f>
        <v>40</v>
      </c>
      <c r="Y182" s="260">
        <f>IFERROR(__xludf.DUMMYFUNCTION("""COMPUTED_VALUE"""),20.46875)</f>
        <v>20.46875</v>
      </c>
      <c r="Z182" s="261">
        <f>IFERROR(__xludf.DUMMYFUNCTION("""COMPUTED_VALUE"""),50.1)</f>
        <v>50.1</v>
      </c>
      <c r="AA182" s="262" t="str">
        <f>IFERROR(__xludf.DUMMYFUNCTION("""COMPUTED_VALUE"""),"AP")</f>
        <v>AP</v>
      </c>
      <c r="AB182" s="261">
        <f>IFERROR(__xludf.DUMMYFUNCTION("""COMPUTED_VALUE"""),79.8)</f>
        <v>79.8</v>
      </c>
      <c r="AC182" s="262" t="str">
        <f>IFERROR(__xludf.DUMMYFUNCTION("""COMPUTED_VALUE"""),"％")</f>
        <v>％</v>
      </c>
      <c r="AD182" s="259">
        <f>IFERROR(__xludf.DUMMYFUNCTION("""COMPUTED_VALUE"""),6919.0)</f>
        <v>6919</v>
      </c>
      <c r="AE182" s="263"/>
      <c r="AF182" s="372" t="str">
        <f>IFERROR(__xludf.DUMMYFUNCTION("""COMPUTED_VALUE"""),"")</f>
        <v/>
      </c>
    </row>
    <row r="183" ht="16.5" customHeight="1">
      <c r="A183" s="61" t="str">
        <f>IFERROR(__xludf.DUMMYFUNCTION("""COMPUTED_VALUE"""),"")</f>
        <v/>
      </c>
      <c r="B183" s="367" t="str">
        <f>IFERROR(__xludf.DUMMYFUNCTION("""COMPUTED_VALUE"""),"A109")</f>
        <v>A109</v>
      </c>
      <c r="C183" s="65" t="str">
        <f>IFERROR(__xludf.DUMMYFUNCTION("""COMPUTED_VALUE"""),"Scarab of Wisdom")</f>
        <v>Scarab of Wisdom</v>
      </c>
      <c r="D183" s="67">
        <f>IFERROR(__xludf.DUMMYFUNCTION("""COMPUTED_VALUE"""),1.0)</f>
        <v>1</v>
      </c>
      <c r="E183" s="69" t="str">
        <f>IFERROR(__xludf.DUMMYFUNCTION("""COMPUTED_VALUE"""),"CML14")</f>
        <v>CML14</v>
      </c>
      <c r="F183" s="71" t="str">
        <f>IFERROR(__xludf.DUMMYFUNCTION("""COMPUTED_VALUE"""),"Camelot")</f>
        <v>Camelot</v>
      </c>
      <c r="G183" s="78" t="str">
        <f>IFERROR(__xludf.DUMMYFUNCTION("""COMPUTED_VALUE"""),"Great Temple")</f>
        <v>Great Temple</v>
      </c>
      <c r="H183" s="80">
        <f>IFERROR(__xludf.DUMMYFUNCTION("""COMPUTED_VALUE"""),22.0)</f>
        <v>22</v>
      </c>
      <c r="I183" s="82">
        <f>IFERROR(__xludf.DUMMYFUNCTION("""COMPUTED_VALUE"""),50.85227272727273)</f>
        <v>50.85227273</v>
      </c>
      <c r="J183" s="84">
        <f>IFERROR(__xludf.DUMMYFUNCTION("""COMPUTED_VALUE"""),181.3)</f>
        <v>181.3</v>
      </c>
      <c r="K183" s="86" t="str">
        <f>IFERROR(__xludf.DUMMYFUNCTION("""COMPUTED_VALUE"""),"AP")</f>
        <v>AP</v>
      </c>
      <c r="L183" s="88">
        <f>IFERROR(__xludf.DUMMYFUNCTION("""COMPUTED_VALUE"""),12.1)</f>
        <v>12.1</v>
      </c>
      <c r="M183" s="86" t="str">
        <f>IFERROR(__xludf.DUMMYFUNCTION("""COMPUTED_VALUE"""),"％")</f>
        <v>％</v>
      </c>
      <c r="N183" s="80">
        <f>IFERROR(__xludf.DUMMYFUNCTION("""COMPUTED_VALUE"""),28645.0)</f>
        <v>28645</v>
      </c>
      <c r="O183" s="91" t="str">
        <f>IFERROR(__xludf.DUMMYFUNCTION("""COMPUTED_VALUE"""),"Scarab of Wisdom")</f>
        <v>Scarab of Wisdom</v>
      </c>
      <c r="P183" s="371" t="str">
        <f>IFERROR(__xludf.DUMMYFUNCTION("""COMPUTED_VALUE"""),"")</f>
        <v/>
      </c>
      <c r="Q183" s="61" t="str">
        <f>IFERROR(__xludf.DUMMYFUNCTION("""COMPUTED_VALUE"""),"")</f>
        <v/>
      </c>
      <c r="R183" s="367" t="str">
        <f>IFERROR(__xludf.DUMMYFUNCTION("""COMPUTED_VALUE"""),"B217")</f>
        <v>B217</v>
      </c>
      <c r="S183" s="65" t="str">
        <f>IFERROR(__xludf.DUMMYFUNCTION("""COMPUTED_VALUE"""),"Berserker Piece")</f>
        <v>Berserker Piece</v>
      </c>
      <c r="T183" s="67">
        <f>IFERROR(__xludf.DUMMYFUNCTION("""COMPUTED_VALUE"""),1.0)</f>
        <v>1</v>
      </c>
      <c r="U183" s="69" t="str">
        <f>IFERROR(__xludf.DUMMYFUNCTION("""COMPUTED_VALUE"""),"TRF10")</f>
        <v>TRF10</v>
      </c>
      <c r="V183" s="71" t="str">
        <f>IFERROR(__xludf.DUMMYFUNCTION("""COMPUTED_VALUE"""),"Chaldea Gate (Wed)")</f>
        <v>Chaldea Gate (Wed)</v>
      </c>
      <c r="W183" s="71" t="str">
        <f>IFERROR(__xludf.DUMMYFUNCTION("""COMPUTED_VALUE"""),"WED Berserker Training Ground- Int")</f>
        <v>WED Berserker Training Ground- Int</v>
      </c>
      <c r="X183" s="80">
        <f>IFERROR(__xludf.DUMMYFUNCTION("""COMPUTED_VALUE"""),20.0)</f>
        <v>20</v>
      </c>
      <c r="Y183" s="82">
        <f>IFERROR(__xludf.DUMMYFUNCTION("""COMPUTED_VALUE"""),19.0625)</f>
        <v>19.0625</v>
      </c>
      <c r="Z183" s="84">
        <f>IFERROR(__xludf.DUMMYFUNCTION("""COMPUTED_VALUE"""),27.3)</f>
        <v>27.3</v>
      </c>
      <c r="AA183" s="86" t="str">
        <f>IFERROR(__xludf.DUMMYFUNCTION("""COMPUTED_VALUE"""),"AP")</f>
        <v>AP</v>
      </c>
      <c r="AB183" s="88">
        <f>IFERROR(__xludf.DUMMYFUNCTION("""COMPUTED_VALUE"""),73.3)</f>
        <v>73.3</v>
      </c>
      <c r="AC183" s="86" t="str">
        <f>IFERROR(__xludf.DUMMYFUNCTION("""COMPUTED_VALUE"""),"％")</f>
        <v>％</v>
      </c>
      <c r="AD183" s="80">
        <f>IFERROR(__xludf.DUMMYFUNCTION("""COMPUTED_VALUE"""),554.0)</f>
        <v>554</v>
      </c>
      <c r="AE183" s="91" t="str">
        <f>IFERROR(__xludf.DUMMYFUNCTION("""COMPUTED_VALUE"""),"Berserker Piece")</f>
        <v>Berserker Piece</v>
      </c>
      <c r="AF183" s="372" t="str">
        <f>IFERROR(__xludf.DUMMYFUNCTION("""COMPUTED_VALUE"""),"")</f>
        <v/>
      </c>
    </row>
    <row r="184" ht="16.5" customHeight="1">
      <c r="C184" s="100"/>
      <c r="D184" s="102">
        <f>IFERROR(__xludf.DUMMYFUNCTION("""COMPUTED_VALUE"""),2.0)</f>
        <v>2</v>
      </c>
      <c r="E184" s="103" t="str">
        <f>IFERROR(__xludf.DUMMYFUNCTION("""COMPUTED_VALUE"""),"CML1")</f>
        <v>CML1</v>
      </c>
      <c r="F184" s="104" t="str">
        <f>IFERROR(__xludf.DUMMYFUNCTION("""COMPUTED_VALUE"""),"Camelot")</f>
        <v>Camelot</v>
      </c>
      <c r="G184" s="108" t="str">
        <f>IFERROR(__xludf.DUMMYFUNCTION("""COMPUTED_VALUE"""),"Sandstorm Desert")</f>
        <v>Sandstorm Desert</v>
      </c>
      <c r="H184" s="109">
        <f>IFERROR(__xludf.DUMMYFUNCTION("""COMPUTED_VALUE"""),19.0)</f>
        <v>19</v>
      </c>
      <c r="I184" s="110">
        <f>IFERROR(__xludf.DUMMYFUNCTION("""COMPUTED_VALUE"""),44.4078947368421)</f>
        <v>44.40789474</v>
      </c>
      <c r="J184" s="112">
        <f>IFERROR(__xludf.DUMMYFUNCTION("""COMPUTED_VALUE"""),234.7)</f>
        <v>234.7</v>
      </c>
      <c r="K184" s="121" t="str">
        <f>IFERROR(__xludf.DUMMYFUNCTION("""COMPUTED_VALUE"""),"AP")</f>
        <v>AP</v>
      </c>
      <c r="L184" s="123">
        <f>IFERROR(__xludf.DUMMYFUNCTION("""COMPUTED_VALUE"""),8.1)</f>
        <v>8.1</v>
      </c>
      <c r="M184" s="121" t="str">
        <f>IFERROR(__xludf.DUMMYFUNCTION("""COMPUTED_VALUE"""),"％")</f>
        <v>％</v>
      </c>
      <c r="N184" s="109">
        <f>IFERROR(__xludf.DUMMYFUNCTION("""COMPUTED_VALUE"""),32910.0)</f>
        <v>32910</v>
      </c>
      <c r="O184" s="100"/>
      <c r="P184" s="371" t="str">
        <f>IFERROR(__xludf.DUMMYFUNCTION("""COMPUTED_VALUE"""),"")</f>
        <v/>
      </c>
      <c r="S184" s="100"/>
      <c r="T184" s="102">
        <f>IFERROR(__xludf.DUMMYFUNCTION("""COMPUTED_VALUE"""),2.0)</f>
        <v>2</v>
      </c>
      <c r="U184" s="103" t="str">
        <f>IFERROR(__xludf.DUMMYFUNCTION("""COMPUTED_VALUE"""),"TRF11")</f>
        <v>TRF11</v>
      </c>
      <c r="V184" s="104" t="str">
        <f>IFERROR(__xludf.DUMMYFUNCTION("""COMPUTED_VALUE"""),"Chaldea Gate (Wed)")</f>
        <v>Chaldea Gate (Wed)</v>
      </c>
      <c r="W184" s="104" t="str">
        <f>IFERROR(__xludf.DUMMYFUNCTION("""COMPUTED_VALUE"""),"WED Berserker Training Ground- Adv")</f>
        <v>WED Berserker Training Ground- Adv</v>
      </c>
      <c r="X184" s="109">
        <f>IFERROR(__xludf.DUMMYFUNCTION("""COMPUTED_VALUE"""),30.0)</f>
        <v>30</v>
      </c>
      <c r="Y184" s="110">
        <f>IFERROR(__xludf.DUMMYFUNCTION("""COMPUTED_VALUE"""),18.958333333333332)</f>
        <v>18.95833333</v>
      </c>
      <c r="Z184" s="112">
        <f>IFERROR(__xludf.DUMMYFUNCTION("""COMPUTED_VALUE"""),29.2)</f>
        <v>29.2</v>
      </c>
      <c r="AA184" s="121" t="str">
        <f>IFERROR(__xludf.DUMMYFUNCTION("""COMPUTED_VALUE"""),"AP")</f>
        <v>AP</v>
      </c>
      <c r="AB184" s="123">
        <f>IFERROR(__xludf.DUMMYFUNCTION("""COMPUTED_VALUE"""),102.8)</f>
        <v>102.8</v>
      </c>
      <c r="AC184" s="121" t="str">
        <f>IFERROR(__xludf.DUMMYFUNCTION("""COMPUTED_VALUE"""),"％")</f>
        <v>％</v>
      </c>
      <c r="AD184" s="109">
        <f>IFERROR(__xludf.DUMMYFUNCTION("""COMPUTED_VALUE"""),469.0)</f>
        <v>469</v>
      </c>
      <c r="AE184" s="100"/>
      <c r="AF184" s="372" t="str">
        <f>IFERROR(__xludf.DUMMYFUNCTION("""COMPUTED_VALUE"""),"")</f>
        <v/>
      </c>
    </row>
    <row r="185" ht="16.5" customHeight="1">
      <c r="C185" s="100"/>
      <c r="D185" s="130">
        <f>IFERROR(__xludf.DUMMYFUNCTION("""COMPUTED_VALUE"""),3.0)</f>
        <v>3</v>
      </c>
      <c r="E185" s="132" t="str">
        <f>IFERROR(__xludf.DUMMYFUNCTION("""COMPUTED_VALUE"""),"")</f>
        <v/>
      </c>
      <c r="F185" s="133" t="str">
        <f>IFERROR(__xludf.DUMMYFUNCTION("""COMPUTED_VALUE"""),"")</f>
        <v/>
      </c>
      <c r="G185" s="133" t="str">
        <f>IFERROR(__xludf.DUMMYFUNCTION("""COMPUTED_VALUE"""),"")</f>
        <v/>
      </c>
      <c r="H185" s="137" t="str">
        <f>IFERROR(__xludf.DUMMYFUNCTION("""COMPUTED_VALUE"""),"")</f>
        <v/>
      </c>
      <c r="I185" s="139" t="str">
        <f>IFERROR(__xludf.DUMMYFUNCTION("""COMPUTED_VALUE"""),"")</f>
        <v/>
      </c>
      <c r="J185" s="141" t="str">
        <f>IFERROR(__xludf.DUMMYFUNCTION("""COMPUTED_VALUE"""),"")</f>
        <v/>
      </c>
      <c r="K185" s="143" t="str">
        <f>IFERROR(__xludf.DUMMYFUNCTION("""COMPUTED_VALUE"""),"AP")</f>
        <v>AP</v>
      </c>
      <c r="L185" s="145" t="str">
        <f>IFERROR(__xludf.DUMMYFUNCTION("""COMPUTED_VALUE"""),"")</f>
        <v/>
      </c>
      <c r="M185" s="143" t="str">
        <f>IFERROR(__xludf.DUMMYFUNCTION("""COMPUTED_VALUE"""),"％")</f>
        <v>％</v>
      </c>
      <c r="N185" s="137" t="str">
        <f>IFERROR(__xludf.DUMMYFUNCTION("""COMPUTED_VALUE"""),"")</f>
        <v/>
      </c>
      <c r="O185" s="100"/>
      <c r="P185" s="371" t="str">
        <f>IFERROR(__xludf.DUMMYFUNCTION("""COMPUTED_VALUE"""),"")</f>
        <v/>
      </c>
      <c r="S185" s="100"/>
      <c r="T185" s="130">
        <f>IFERROR(__xludf.DUMMYFUNCTION("""COMPUTED_VALUE"""),3.0)</f>
        <v>3</v>
      </c>
      <c r="U185" s="132" t="str">
        <f>IFERROR(__xludf.DUMMYFUNCTION("""COMPUTED_VALUE"""),"TRF12")</f>
        <v>TRF12</v>
      </c>
      <c r="V185" s="133" t="str">
        <f>IFERROR(__xludf.DUMMYFUNCTION("""COMPUTED_VALUE"""),"Chaldea Gate (Wed)")</f>
        <v>Chaldea Gate (Wed)</v>
      </c>
      <c r="W185" s="133" t="str">
        <f>IFERROR(__xludf.DUMMYFUNCTION("""COMPUTED_VALUE"""),"WED Berserker Training Ground- Exp")</f>
        <v>WED Berserker Training Ground- Exp</v>
      </c>
      <c r="X185" s="137">
        <f>IFERROR(__xludf.DUMMYFUNCTION("""COMPUTED_VALUE"""),40.0)</f>
        <v>40</v>
      </c>
      <c r="Y185" s="139">
        <f>IFERROR(__xludf.DUMMYFUNCTION("""COMPUTED_VALUE"""),20.46875)</f>
        <v>20.46875</v>
      </c>
      <c r="Z185" s="141">
        <f>IFERROR(__xludf.DUMMYFUNCTION("""COMPUTED_VALUE"""),46.3)</f>
        <v>46.3</v>
      </c>
      <c r="AA185" s="143" t="str">
        <f>IFERROR(__xludf.DUMMYFUNCTION("""COMPUTED_VALUE"""),"AP")</f>
        <v>AP</v>
      </c>
      <c r="AB185" s="145">
        <f>IFERROR(__xludf.DUMMYFUNCTION("""COMPUTED_VALUE"""),86.4)</f>
        <v>86.4</v>
      </c>
      <c r="AC185" s="143" t="str">
        <f>IFERROR(__xludf.DUMMYFUNCTION("""COMPUTED_VALUE"""),"％")</f>
        <v>％</v>
      </c>
      <c r="AD185" s="137">
        <f>IFERROR(__xludf.DUMMYFUNCTION("""COMPUTED_VALUE"""),3095.0)</f>
        <v>3095</v>
      </c>
      <c r="AE185" s="100"/>
      <c r="AF185" s="372" t="str">
        <f>IFERROR(__xludf.DUMMYFUNCTION("""COMPUTED_VALUE"""),"")</f>
        <v/>
      </c>
    </row>
    <row r="186" ht="16.5" customHeight="1">
      <c r="C186" s="100"/>
      <c r="D186" s="146">
        <f>IFERROR(__xludf.DUMMYFUNCTION("""COMPUTED_VALUE"""),4.0)</f>
        <v>4</v>
      </c>
      <c r="E186" s="148" t="str">
        <f>IFERROR(__xludf.DUMMYFUNCTION("""COMPUTED_VALUE"""),"")</f>
        <v/>
      </c>
      <c r="F186" s="150" t="str">
        <f>IFERROR(__xludf.DUMMYFUNCTION("""COMPUTED_VALUE"""),"")</f>
        <v/>
      </c>
      <c r="G186" s="150" t="str">
        <f>IFERROR(__xludf.DUMMYFUNCTION("""COMPUTED_VALUE"""),"")</f>
        <v/>
      </c>
      <c r="H186" s="154" t="str">
        <f>IFERROR(__xludf.DUMMYFUNCTION("""COMPUTED_VALUE"""),"")</f>
        <v/>
      </c>
      <c r="I186" s="156" t="str">
        <f>IFERROR(__xludf.DUMMYFUNCTION("""COMPUTED_VALUE"""),"")</f>
        <v/>
      </c>
      <c r="J186" s="158" t="str">
        <f>IFERROR(__xludf.DUMMYFUNCTION("""COMPUTED_VALUE"""),"")</f>
        <v/>
      </c>
      <c r="K186" s="160" t="str">
        <f>IFERROR(__xludf.DUMMYFUNCTION("""COMPUTED_VALUE"""),"AP")</f>
        <v>AP</v>
      </c>
      <c r="L186" s="162" t="str">
        <f>IFERROR(__xludf.DUMMYFUNCTION("""COMPUTED_VALUE"""),"")</f>
        <v/>
      </c>
      <c r="M186" s="160" t="str">
        <f>IFERROR(__xludf.DUMMYFUNCTION("""COMPUTED_VALUE"""),"％")</f>
        <v>％</v>
      </c>
      <c r="N186" s="154" t="str">
        <f>IFERROR(__xludf.DUMMYFUNCTION("""COMPUTED_VALUE"""),"")</f>
        <v/>
      </c>
      <c r="O186" s="100"/>
      <c r="P186" s="371" t="str">
        <f>IFERROR(__xludf.DUMMYFUNCTION("""COMPUTED_VALUE"""),"")</f>
        <v/>
      </c>
      <c r="S186" s="100"/>
      <c r="T186" s="146">
        <f>IFERROR(__xludf.DUMMYFUNCTION("""COMPUTED_VALUE"""),4.0)</f>
        <v>4</v>
      </c>
      <c r="U186" s="148" t="str">
        <f>IFERROR(__xludf.DUMMYFUNCTION("""COMPUTED_VALUE"""),"TRF9")</f>
        <v>TRF9</v>
      </c>
      <c r="V186" s="150" t="str">
        <f>IFERROR(__xludf.DUMMYFUNCTION("""COMPUTED_VALUE"""),"Chaldea Gate (Wed)")</f>
        <v>Chaldea Gate (Wed)</v>
      </c>
      <c r="W186" s="150" t="str">
        <f>IFERROR(__xludf.DUMMYFUNCTION("""COMPUTED_VALUE"""),"WED Berserker Training Ground- Nov")</f>
        <v>WED Berserker Training Ground- Nov</v>
      </c>
      <c r="X186" s="154">
        <f>IFERROR(__xludf.DUMMYFUNCTION("""COMPUTED_VALUE"""),10.0)</f>
        <v>10</v>
      </c>
      <c r="Y186" s="156">
        <f>IFERROR(__xludf.DUMMYFUNCTION("""COMPUTED_VALUE"""),19.375)</f>
        <v>19.375</v>
      </c>
      <c r="Z186" s="158">
        <f>IFERROR(__xludf.DUMMYFUNCTION("""COMPUTED_VALUE"""),54.2)</f>
        <v>54.2</v>
      </c>
      <c r="AA186" s="160" t="str">
        <f>IFERROR(__xludf.DUMMYFUNCTION("""COMPUTED_VALUE"""),"AP")</f>
        <v>AP</v>
      </c>
      <c r="AB186" s="162">
        <f>IFERROR(__xludf.DUMMYFUNCTION("""COMPUTED_VALUE"""),18.5)</f>
        <v>18.5</v>
      </c>
      <c r="AC186" s="160" t="str">
        <f>IFERROR(__xludf.DUMMYFUNCTION("""COMPUTED_VALUE"""),"％")</f>
        <v>％</v>
      </c>
      <c r="AD186" s="154">
        <f>IFERROR(__xludf.DUMMYFUNCTION("""COMPUTED_VALUE"""),821.0)</f>
        <v>821</v>
      </c>
      <c r="AE186" s="100"/>
      <c r="AF186" s="372" t="str">
        <f>IFERROR(__xludf.DUMMYFUNCTION("""COMPUTED_VALUE"""),"")</f>
        <v/>
      </c>
    </row>
    <row r="187" ht="16.5" customHeight="1">
      <c r="A187" s="166"/>
      <c r="C187" s="168"/>
      <c r="D187" s="169">
        <f>IFERROR(__xludf.DUMMYFUNCTION("""COMPUTED_VALUE"""),5.0)</f>
        <v>5</v>
      </c>
      <c r="E187" s="170" t="str">
        <f>IFERROR(__xludf.DUMMYFUNCTION("""COMPUTED_VALUE"""),"")</f>
        <v/>
      </c>
      <c r="F187" s="51" t="str">
        <f>IFERROR(__xludf.DUMMYFUNCTION("""COMPUTED_VALUE"""),"")</f>
        <v/>
      </c>
      <c r="G187" s="51" t="str">
        <f>IFERROR(__xludf.DUMMYFUNCTION("""COMPUTED_VALUE"""),"")</f>
        <v/>
      </c>
      <c r="H187" s="172" t="str">
        <f>IFERROR(__xludf.DUMMYFUNCTION("""COMPUTED_VALUE"""),"")</f>
        <v/>
      </c>
      <c r="I187" s="173" t="str">
        <f>IFERROR(__xludf.DUMMYFUNCTION("""COMPUTED_VALUE"""),"")</f>
        <v/>
      </c>
      <c r="J187" s="174" t="str">
        <f>IFERROR(__xludf.DUMMYFUNCTION("""COMPUTED_VALUE"""),"")</f>
        <v/>
      </c>
      <c r="K187" s="175" t="str">
        <f>IFERROR(__xludf.DUMMYFUNCTION("""COMPUTED_VALUE"""),"AP")</f>
        <v>AP</v>
      </c>
      <c r="L187" s="176" t="str">
        <f>IFERROR(__xludf.DUMMYFUNCTION("""COMPUTED_VALUE"""),"")</f>
        <v/>
      </c>
      <c r="M187" s="175" t="str">
        <f>IFERROR(__xludf.DUMMYFUNCTION("""COMPUTED_VALUE"""),"％")</f>
        <v>％</v>
      </c>
      <c r="N187" s="172" t="str">
        <f>IFERROR(__xludf.DUMMYFUNCTION("""COMPUTED_VALUE"""),"")</f>
        <v/>
      </c>
      <c r="O187" s="168"/>
      <c r="P187" s="371" t="str">
        <f>IFERROR(__xludf.DUMMYFUNCTION("""COMPUTED_VALUE"""),"")</f>
        <v/>
      </c>
      <c r="Q187" s="166"/>
      <c r="S187" s="168"/>
      <c r="T187" s="169">
        <f>IFERROR(__xludf.DUMMYFUNCTION("""COMPUTED_VALUE"""),5.0)</f>
        <v>5</v>
      </c>
      <c r="U187" s="170" t="str">
        <f>IFERROR(__xludf.DUMMYFUNCTION("""COMPUTED_VALUE"""),"EPU12")</f>
        <v>EPU12</v>
      </c>
      <c r="V187" s="51" t="str">
        <f>IFERROR(__xludf.DUMMYFUNCTION("""COMPUTED_VALUE"""),"E Pluribus Unum")</f>
        <v>E Pluribus Unum</v>
      </c>
      <c r="W187" s="171" t="str">
        <f>IFERROR(__xludf.DUMMYFUNCTION("""COMPUTED_VALUE"""),"Charlotte")</f>
        <v>Charlotte</v>
      </c>
      <c r="X187" s="172">
        <f>IFERROR(__xludf.DUMMYFUNCTION("""COMPUTED_VALUE"""),20.0)</f>
        <v>20</v>
      </c>
      <c r="Y187" s="173">
        <f>IFERROR(__xludf.DUMMYFUNCTION("""COMPUTED_VALUE"""),47.1875)</f>
        <v>47.1875</v>
      </c>
      <c r="Z187" s="174">
        <f>IFERROR(__xludf.DUMMYFUNCTION("""COMPUTED_VALUE"""),69.4)</f>
        <v>69.4</v>
      </c>
      <c r="AA187" s="175" t="str">
        <f>IFERROR(__xludf.DUMMYFUNCTION("""COMPUTED_VALUE"""),"AP")</f>
        <v>AP</v>
      </c>
      <c r="AB187" s="176">
        <f>IFERROR(__xludf.DUMMYFUNCTION("""COMPUTED_VALUE"""),28.8)</f>
        <v>28.8</v>
      </c>
      <c r="AC187" s="175" t="str">
        <f>IFERROR(__xludf.DUMMYFUNCTION("""COMPUTED_VALUE"""),"％")</f>
        <v>％</v>
      </c>
      <c r="AD187" s="172">
        <f>IFERROR(__xludf.DUMMYFUNCTION("""COMPUTED_VALUE"""),153252.0)</f>
        <v>153252</v>
      </c>
      <c r="AE187" s="168"/>
      <c r="AF187" s="372" t="str">
        <f>IFERROR(__xludf.DUMMYFUNCTION("""COMPUTED_VALUE"""),"")</f>
        <v/>
      </c>
    </row>
    <row r="188" ht="16.5" customHeight="1">
      <c r="A188" s="25" t="str">
        <f>IFERROR(__xludf.DUMMYFUNCTION("""COMPUTED_VALUE"""),"Item")</f>
        <v>Item</v>
      </c>
      <c r="B188" s="27"/>
      <c r="C188" s="28"/>
      <c r="D188" s="30" t="str">
        <f>IFERROR(__xludf.DUMMYFUNCTION("""COMPUTED_VALUE"""),"No.")</f>
        <v>No.</v>
      </c>
      <c r="E188" s="31" t="str">
        <f>IFERROR(__xludf.DUMMYFUNCTION("""COMPUTED_VALUE"""),"Node Code")</f>
        <v>Node Code</v>
      </c>
      <c r="F188" s="31" t="str">
        <f>IFERROR(__xludf.DUMMYFUNCTION("""COMPUTED_VALUE"""),"Area")</f>
        <v>Area</v>
      </c>
      <c r="G188" s="31" t="str">
        <f>IFERROR(__xludf.DUMMYFUNCTION("""COMPUTED_VALUE"""),"Quest")</f>
        <v>Quest</v>
      </c>
      <c r="H188" s="30" t="str">
        <f>IFERROR(__xludf.DUMMYFUNCTION("""COMPUTED_VALUE"""),"AP")</f>
        <v>AP</v>
      </c>
      <c r="I188" s="34" t="str">
        <f>IFERROR(__xludf.DUMMYFUNCTION("""COMPUTED_VALUE"""),"BP/AP")</f>
        <v>BP/AP</v>
      </c>
      <c r="J188" s="36" t="str">
        <f>IFERROR(__xludf.DUMMYFUNCTION("""COMPUTED_VALUE"""),"AP/Drop")</f>
        <v>AP/Drop</v>
      </c>
      <c r="K188" s="28"/>
      <c r="L188" s="36" t="str">
        <f>IFERROR(__xludf.DUMMYFUNCTION("""COMPUTED_VALUE"""),"Drop Chance")</f>
        <v>Drop Chance</v>
      </c>
      <c r="M188" s="28"/>
      <c r="N188" s="38" t="str">
        <f>IFERROR(__xludf.DUMMYFUNCTION("""COMPUTED_VALUE"""),"Runs")</f>
        <v>Runs</v>
      </c>
      <c r="O188" s="40" t="str">
        <f>IFERROR(__xludf.DUMMYFUNCTION("""COMPUTED_VALUE"""),"")</f>
        <v/>
      </c>
      <c r="P188" s="42" t="str">
        <f>IFERROR(__xludf.DUMMYFUNCTION("""COMPUTED_VALUE"""),"")</f>
        <v/>
      </c>
      <c r="Q188" s="25" t="str">
        <f>IFERROR(__xludf.DUMMYFUNCTION("""COMPUTED_VALUE"""),"Item")</f>
        <v>Item</v>
      </c>
      <c r="R188" s="27"/>
      <c r="S188" s="28"/>
      <c r="T188" s="30" t="str">
        <f>IFERROR(__xludf.DUMMYFUNCTION("""COMPUTED_VALUE"""),"No.")</f>
        <v>No.</v>
      </c>
      <c r="U188" s="31" t="str">
        <f>IFERROR(__xludf.DUMMYFUNCTION("""COMPUTED_VALUE"""),"Node Code")</f>
        <v>Node Code</v>
      </c>
      <c r="V188" s="31" t="str">
        <f>IFERROR(__xludf.DUMMYFUNCTION("""COMPUTED_VALUE"""),"Area")</f>
        <v>Area</v>
      </c>
      <c r="W188" s="31" t="str">
        <f>IFERROR(__xludf.DUMMYFUNCTION("""COMPUTED_VALUE"""),"Quest")</f>
        <v>Quest</v>
      </c>
      <c r="X188" s="30" t="str">
        <f>IFERROR(__xludf.DUMMYFUNCTION("""COMPUTED_VALUE"""),"AP")</f>
        <v>AP</v>
      </c>
      <c r="Y188" s="34" t="str">
        <f>IFERROR(__xludf.DUMMYFUNCTION("""COMPUTED_VALUE"""),"BP/AP")</f>
        <v>BP/AP</v>
      </c>
      <c r="Z188" s="36" t="str">
        <f>IFERROR(__xludf.DUMMYFUNCTION("""COMPUTED_VALUE"""),"AP/Drop")</f>
        <v>AP/Drop</v>
      </c>
      <c r="AA188" s="28"/>
      <c r="AB188" s="36" t="str">
        <f>IFERROR(__xludf.DUMMYFUNCTION("""COMPUTED_VALUE"""),"Drop Chance")</f>
        <v>Drop Chance</v>
      </c>
      <c r="AC188" s="28"/>
      <c r="AD188" s="369" t="str">
        <f>IFERROR(__xludf.DUMMYFUNCTION("""COMPUTED_VALUE"""),"Runs")</f>
        <v>Runs</v>
      </c>
      <c r="AE188" s="369" t="str">
        <f>IFERROR(__xludf.DUMMYFUNCTION("""COMPUTED_VALUE"""),"")</f>
        <v/>
      </c>
      <c r="AF188" s="51" t="str">
        <f>IFERROR(__xludf.DUMMYFUNCTION("""COMPUTED_VALUE"""),"")</f>
        <v/>
      </c>
    </row>
    <row r="189" ht="16.5" customHeight="1">
      <c r="A189" s="54"/>
      <c r="B189" s="55"/>
      <c r="C189" s="57"/>
      <c r="D189" s="57"/>
      <c r="E189" s="57"/>
      <c r="F189" s="57"/>
      <c r="G189" s="57"/>
      <c r="H189" s="57"/>
      <c r="I189" s="58" t="str">
        <f>IFERROR(__xludf.DUMMYFUNCTION("""COMPUTED_VALUE"""),"1P+1L+1T")</f>
        <v>1P+1L+1T</v>
      </c>
      <c r="J189" s="55"/>
      <c r="K189" s="57"/>
      <c r="L189" s="55"/>
      <c r="M189" s="57"/>
      <c r="N189" s="57"/>
      <c r="O189" s="57"/>
      <c r="P189" s="42" t="str">
        <f>IFERROR(__xludf.DUMMYFUNCTION("""COMPUTED_VALUE"""),"")</f>
        <v/>
      </c>
      <c r="Q189" s="54"/>
      <c r="R189" s="55"/>
      <c r="S189" s="57"/>
      <c r="T189" s="57"/>
      <c r="U189" s="57"/>
      <c r="V189" s="57"/>
      <c r="W189" s="57"/>
      <c r="X189" s="57"/>
      <c r="Y189" s="58" t="str">
        <f>IFERROR(__xludf.DUMMYFUNCTION("""COMPUTED_VALUE"""),"1P+1L+1T")</f>
        <v>1P+1L+1T</v>
      </c>
      <c r="Z189" s="55"/>
      <c r="AA189" s="57"/>
      <c r="AB189" s="55"/>
      <c r="AC189" s="57"/>
      <c r="AD189" s="370"/>
      <c r="AE189" s="370"/>
      <c r="AF189" s="51" t="str">
        <f>IFERROR(__xludf.DUMMYFUNCTION("""COMPUTED_VALUE"""),"")</f>
        <v/>
      </c>
    </row>
    <row r="190" ht="16.5" customHeight="1">
      <c r="A190" s="61" t="str">
        <f>IFERROR(__xludf.DUMMYFUNCTION("""COMPUTED_VALUE"""),"")</f>
        <v/>
      </c>
      <c r="B190" s="366" t="str">
        <f>IFERROR(__xludf.DUMMYFUNCTION("""COMPUTED_VALUE"""),"A110")</f>
        <v>A110</v>
      </c>
      <c r="C190" s="180" t="str">
        <f>IFERROR(__xludf.DUMMYFUNCTION("""COMPUTED_VALUE"""),"Primordial Lanugo")</f>
        <v>Primordial Lanugo</v>
      </c>
      <c r="D190" s="181">
        <f>IFERROR(__xludf.DUMMYFUNCTION("""COMPUTED_VALUE"""),1.0)</f>
        <v>1</v>
      </c>
      <c r="E190" s="182" t="str">
        <f>IFERROR(__xludf.DUMMYFUNCTION("""COMPUTED_VALUE"""),"BBL14")</f>
        <v>BBL14</v>
      </c>
      <c r="F190" s="184" t="str">
        <f>IFERROR(__xludf.DUMMYFUNCTION("""COMPUTED_VALUE"""),"Babylonia")</f>
        <v>Babylonia</v>
      </c>
      <c r="G190" s="189" t="str">
        <f>IFERROR(__xludf.DUMMYFUNCTION("""COMPUTED_VALUE"""),"Blood Fort")</f>
        <v>Blood Fort</v>
      </c>
      <c r="H190" s="190">
        <f>IFERROR(__xludf.DUMMYFUNCTION("""COMPUTED_VALUE"""),21.0)</f>
        <v>21</v>
      </c>
      <c r="I190" s="191">
        <f>IFERROR(__xludf.DUMMYFUNCTION("""COMPUTED_VALUE"""),50.892857142857146)</f>
        <v>50.89285714</v>
      </c>
      <c r="J190" s="192">
        <f>IFERROR(__xludf.DUMMYFUNCTION("""COMPUTED_VALUE"""),113.9)</f>
        <v>113.9</v>
      </c>
      <c r="K190" s="194" t="str">
        <f>IFERROR(__xludf.DUMMYFUNCTION("""COMPUTED_VALUE"""),"AP")</f>
        <v>AP</v>
      </c>
      <c r="L190" s="192">
        <f>IFERROR(__xludf.DUMMYFUNCTION("""COMPUTED_VALUE"""),18.4)</f>
        <v>18.4</v>
      </c>
      <c r="M190" s="194" t="str">
        <f>IFERROR(__xludf.DUMMYFUNCTION("""COMPUTED_VALUE"""),"％")</f>
        <v>％</v>
      </c>
      <c r="N190" s="190">
        <f>IFERROR(__xludf.DUMMYFUNCTION("""COMPUTED_VALUE"""),18632.0)</f>
        <v>18632</v>
      </c>
      <c r="O190" s="197" t="str">
        <f>IFERROR(__xludf.DUMMYFUNCTION("""COMPUTED_VALUE"""),"Primordial Lanugo")</f>
        <v>Primordial Lanugo</v>
      </c>
      <c r="P190" s="371" t="str">
        <f>IFERROR(__xludf.DUMMYFUNCTION("""COMPUTED_VALUE"""),"")</f>
        <v/>
      </c>
      <c r="Q190" s="458" t="str">
        <f>IFERROR(__xludf.DUMMYFUNCTION("""COMPUTED_VALUE"""),"")</f>
        <v/>
      </c>
      <c r="R190" s="459" t="str">
        <f>IFERROR(__xludf.DUMMYFUNCTION("""COMPUTED_VALUE"""),"")</f>
        <v/>
      </c>
      <c r="S190" s="459" t="str">
        <f>IFERROR(__xludf.DUMMYFUNCTION("""COMPUTED_VALUE"""),"")</f>
        <v/>
      </c>
      <c r="T190" t="str">
        <f>IFERROR(__xludf.DUMMYFUNCTION("""COMPUTED_VALUE"""),"")</f>
        <v/>
      </c>
      <c r="U190" t="str">
        <f>IFERROR(__xludf.DUMMYFUNCTION("""COMPUTED_VALUE"""),"")</f>
        <v/>
      </c>
      <c r="V190" t="str">
        <f>IFERROR(__xludf.DUMMYFUNCTION("""COMPUTED_VALUE"""),"")</f>
        <v/>
      </c>
      <c r="W190" t="str">
        <f>IFERROR(__xludf.DUMMYFUNCTION("""COMPUTED_VALUE"""),"")</f>
        <v/>
      </c>
      <c r="X190" t="str">
        <f>IFERROR(__xludf.DUMMYFUNCTION("""COMPUTED_VALUE"""),"")</f>
        <v/>
      </c>
      <c r="Y190" t="str">
        <f>IFERROR(__xludf.DUMMYFUNCTION("""COMPUTED_VALUE"""),"")</f>
        <v/>
      </c>
      <c r="Z190" t="str">
        <f>IFERROR(__xludf.DUMMYFUNCTION("""COMPUTED_VALUE"""),"")</f>
        <v/>
      </c>
      <c r="AA190" t="str">
        <f>IFERROR(__xludf.DUMMYFUNCTION("""COMPUTED_VALUE"""),"")</f>
        <v/>
      </c>
      <c r="AB190" t="str">
        <f>IFERROR(__xludf.DUMMYFUNCTION("""COMPUTED_VALUE"""),"")</f>
        <v/>
      </c>
      <c r="AC190" t="str">
        <f>IFERROR(__xludf.DUMMYFUNCTION("""COMPUTED_VALUE"""),"")</f>
        <v/>
      </c>
      <c r="AD190" t="str">
        <f>IFERROR(__xludf.DUMMYFUNCTION("""COMPUTED_VALUE"""),"")</f>
        <v/>
      </c>
      <c r="AE190" s="460" t="str">
        <f>IFERROR(__xludf.DUMMYFUNCTION("""COMPUTED_VALUE"""),"")</f>
        <v/>
      </c>
      <c r="AF190" s="372" t="str">
        <f>IFERROR(__xludf.DUMMYFUNCTION("""COMPUTED_VALUE"""),"")</f>
        <v/>
      </c>
    </row>
    <row r="191" ht="16.5" customHeight="1">
      <c r="C191" s="204"/>
      <c r="D191" s="205">
        <f>IFERROR(__xludf.DUMMYFUNCTION("""COMPUTED_VALUE"""),2.0)</f>
        <v>2</v>
      </c>
      <c r="E191" s="206" t="str">
        <f>IFERROR(__xludf.DUMMYFUNCTION("""COMPUTED_VALUE"""),"GTT9")</f>
        <v>GTT9</v>
      </c>
      <c r="F191" s="207" t="str">
        <f>IFERROR(__xludf.DUMMYFUNCTION("""COMPUTED_VALUE"""),"Götterdämmerung")</f>
        <v>Götterdämmerung</v>
      </c>
      <c r="G191" s="209" t="str">
        <f>IFERROR(__xludf.DUMMYFUNCTION("""COMPUTED_VALUE"""),"67th Settlement")</f>
        <v>67th Settlement</v>
      </c>
      <c r="H191" s="211">
        <f>IFERROR(__xludf.DUMMYFUNCTION("""COMPUTED_VALUE"""),21.0)</f>
        <v>21</v>
      </c>
      <c r="I191" s="213">
        <f>IFERROR(__xludf.DUMMYFUNCTION("""COMPUTED_VALUE"""),49.70238095238095)</f>
        <v>49.70238095</v>
      </c>
      <c r="J191" s="214">
        <f>IFERROR(__xludf.DUMMYFUNCTION("""COMPUTED_VALUE"""),115.4)</f>
        <v>115.4</v>
      </c>
      <c r="K191" s="215" t="str">
        <f>IFERROR(__xludf.DUMMYFUNCTION("""COMPUTED_VALUE"""),"AP")</f>
        <v>AP</v>
      </c>
      <c r="L191" s="214">
        <f>IFERROR(__xludf.DUMMYFUNCTION("""COMPUTED_VALUE"""),18.2)</f>
        <v>18.2</v>
      </c>
      <c r="M191" s="215" t="str">
        <f>IFERROR(__xludf.DUMMYFUNCTION("""COMPUTED_VALUE"""),"％")</f>
        <v>％</v>
      </c>
      <c r="N191" s="211">
        <f>IFERROR(__xludf.DUMMYFUNCTION("""COMPUTED_VALUE"""),1000.0)</f>
        <v>1000</v>
      </c>
      <c r="O191" s="217"/>
      <c r="P191" s="371" t="str">
        <f>IFERROR(__xludf.DUMMYFUNCTION("""COMPUTED_VALUE"""),"")</f>
        <v/>
      </c>
      <c r="Q191" s="458" t="str">
        <f>IFERROR(__xludf.DUMMYFUNCTION("""COMPUTED_VALUE"""),"")</f>
        <v/>
      </c>
      <c r="R191" s="459" t="str">
        <f>IFERROR(__xludf.DUMMYFUNCTION("""COMPUTED_VALUE"""),"")</f>
        <v/>
      </c>
      <c r="S191" s="459" t="str">
        <f>IFERROR(__xludf.DUMMYFUNCTION("""COMPUTED_VALUE"""),"")</f>
        <v/>
      </c>
      <c r="T191" t="str">
        <f>IFERROR(__xludf.DUMMYFUNCTION("""COMPUTED_VALUE"""),"")</f>
        <v/>
      </c>
      <c r="U191" t="str">
        <f>IFERROR(__xludf.DUMMYFUNCTION("""COMPUTED_VALUE"""),"")</f>
        <v/>
      </c>
      <c r="V191" t="str">
        <f>IFERROR(__xludf.DUMMYFUNCTION("""COMPUTED_VALUE"""),"")</f>
        <v/>
      </c>
      <c r="W191" t="str">
        <f>IFERROR(__xludf.DUMMYFUNCTION("""COMPUTED_VALUE"""),"")</f>
        <v/>
      </c>
      <c r="X191" t="str">
        <f>IFERROR(__xludf.DUMMYFUNCTION("""COMPUTED_VALUE"""),"")</f>
        <v/>
      </c>
      <c r="Y191" t="str">
        <f>IFERROR(__xludf.DUMMYFUNCTION("""COMPUTED_VALUE"""),"")</f>
        <v/>
      </c>
      <c r="Z191" t="str">
        <f>IFERROR(__xludf.DUMMYFUNCTION("""COMPUTED_VALUE"""),"")</f>
        <v/>
      </c>
      <c r="AA191" t="str">
        <f>IFERROR(__xludf.DUMMYFUNCTION("""COMPUTED_VALUE"""),"")</f>
        <v/>
      </c>
      <c r="AB191" t="str">
        <f>IFERROR(__xludf.DUMMYFUNCTION("""COMPUTED_VALUE"""),"")</f>
        <v/>
      </c>
      <c r="AC191" t="str">
        <f>IFERROR(__xludf.DUMMYFUNCTION("""COMPUTED_VALUE"""),"")</f>
        <v/>
      </c>
      <c r="AD191" t="str">
        <f>IFERROR(__xludf.DUMMYFUNCTION("""COMPUTED_VALUE"""),"")</f>
        <v/>
      </c>
      <c r="AE191" s="460" t="str">
        <f>IFERROR(__xludf.DUMMYFUNCTION("""COMPUTED_VALUE"""),"")</f>
        <v/>
      </c>
      <c r="AF191" s="372" t="str">
        <f>IFERROR(__xludf.DUMMYFUNCTION("""COMPUTED_VALUE"""),"")</f>
        <v/>
      </c>
    </row>
    <row r="192" ht="16.5" customHeight="1">
      <c r="C192" s="204"/>
      <c r="D192" s="222">
        <f>IFERROR(__xludf.DUMMYFUNCTION("""COMPUTED_VALUE"""),3.0)</f>
        <v>3</v>
      </c>
      <c r="E192" s="223" t="str">
        <f>IFERROR(__xludf.DUMMYFUNCTION("""COMPUTED_VALUE"""),"GTT7")</f>
        <v>GTT7</v>
      </c>
      <c r="F192" s="224" t="str">
        <f>IFERROR(__xludf.DUMMYFUNCTION("""COMPUTED_VALUE"""),"Götterdämmerung")</f>
        <v>Götterdämmerung</v>
      </c>
      <c r="G192" s="226" t="str">
        <f>IFERROR(__xludf.DUMMYFUNCTION("""COMPUTED_VALUE"""),"Pathway Towards The Peak")</f>
        <v>Pathway Towards The Peak</v>
      </c>
      <c r="H192" s="228">
        <f>IFERROR(__xludf.DUMMYFUNCTION("""COMPUTED_VALUE"""),21.0)</f>
        <v>21</v>
      </c>
      <c r="I192" s="230">
        <f>IFERROR(__xludf.DUMMYFUNCTION("""COMPUTED_VALUE"""),48.51190476190476)</f>
        <v>48.51190476</v>
      </c>
      <c r="J192" s="231">
        <f>IFERROR(__xludf.DUMMYFUNCTION("""COMPUTED_VALUE"""),116.7)</f>
        <v>116.7</v>
      </c>
      <c r="K192" s="232" t="str">
        <f>IFERROR(__xludf.DUMMYFUNCTION("""COMPUTED_VALUE"""),"AP")</f>
        <v>AP</v>
      </c>
      <c r="L192" s="231">
        <f>IFERROR(__xludf.DUMMYFUNCTION("""COMPUTED_VALUE"""),18.0)</f>
        <v>18</v>
      </c>
      <c r="M192" s="232" t="str">
        <f>IFERROR(__xludf.DUMMYFUNCTION("""COMPUTED_VALUE"""),"％")</f>
        <v>％</v>
      </c>
      <c r="N192" s="228">
        <f>IFERROR(__xludf.DUMMYFUNCTION("""COMPUTED_VALUE"""),9083.0)</f>
        <v>9083</v>
      </c>
      <c r="O192" s="217"/>
      <c r="P192" s="371" t="str">
        <f>IFERROR(__xludf.DUMMYFUNCTION("""COMPUTED_VALUE"""),"")</f>
        <v/>
      </c>
      <c r="Q192" s="458" t="str">
        <f>IFERROR(__xludf.DUMMYFUNCTION("""COMPUTED_VALUE"""),"")</f>
        <v/>
      </c>
      <c r="R192" s="459" t="str">
        <f>IFERROR(__xludf.DUMMYFUNCTION("""COMPUTED_VALUE"""),"")</f>
        <v/>
      </c>
      <c r="S192" s="459" t="str">
        <f>IFERROR(__xludf.DUMMYFUNCTION("""COMPUTED_VALUE"""),"")</f>
        <v/>
      </c>
      <c r="T192" t="str">
        <f>IFERROR(__xludf.DUMMYFUNCTION("""COMPUTED_VALUE"""),"")</f>
        <v/>
      </c>
      <c r="U192" t="str">
        <f>IFERROR(__xludf.DUMMYFUNCTION("""COMPUTED_VALUE"""),"")</f>
        <v/>
      </c>
      <c r="V192" t="str">
        <f>IFERROR(__xludf.DUMMYFUNCTION("""COMPUTED_VALUE"""),"")</f>
        <v/>
      </c>
      <c r="W192" t="str">
        <f>IFERROR(__xludf.DUMMYFUNCTION("""COMPUTED_VALUE"""),"")</f>
        <v/>
      </c>
      <c r="X192" t="str">
        <f>IFERROR(__xludf.DUMMYFUNCTION("""COMPUTED_VALUE"""),"")</f>
        <v/>
      </c>
      <c r="Y192" t="str">
        <f>IFERROR(__xludf.DUMMYFUNCTION("""COMPUTED_VALUE"""),"")</f>
        <v/>
      </c>
      <c r="Z192" t="str">
        <f>IFERROR(__xludf.DUMMYFUNCTION("""COMPUTED_VALUE"""),"")</f>
        <v/>
      </c>
      <c r="AA192" t="str">
        <f>IFERROR(__xludf.DUMMYFUNCTION("""COMPUTED_VALUE"""),"")</f>
        <v/>
      </c>
      <c r="AB192" t="str">
        <f>IFERROR(__xludf.DUMMYFUNCTION("""COMPUTED_VALUE"""),"")</f>
        <v/>
      </c>
      <c r="AC192" t="str">
        <f>IFERROR(__xludf.DUMMYFUNCTION("""COMPUTED_VALUE"""),"")</f>
        <v/>
      </c>
      <c r="AD192" t="str">
        <f>IFERROR(__xludf.DUMMYFUNCTION("""COMPUTED_VALUE"""),"")</f>
        <v/>
      </c>
      <c r="AE192" s="460" t="str">
        <f>IFERROR(__xludf.DUMMYFUNCTION("""COMPUTED_VALUE"""),"")</f>
        <v/>
      </c>
      <c r="AF192" s="372" t="str">
        <f>IFERROR(__xludf.DUMMYFUNCTION("""COMPUTED_VALUE"""),"")</f>
        <v/>
      </c>
    </row>
    <row r="193" ht="16.5" customHeight="1">
      <c r="C193" s="204"/>
      <c r="D193" s="238">
        <f>IFERROR(__xludf.DUMMYFUNCTION("""COMPUTED_VALUE"""),4.0)</f>
        <v>4</v>
      </c>
      <c r="E193" s="240" t="str">
        <f>IFERROR(__xludf.DUMMYFUNCTION("""COMPUTED_VALUE"""),"GTT1")</f>
        <v>GTT1</v>
      </c>
      <c r="F193" s="242" t="str">
        <f>IFERROR(__xludf.DUMMYFUNCTION("""COMPUTED_VALUE"""),"Götterdämmerung")</f>
        <v>Götterdämmerung</v>
      </c>
      <c r="G193" s="244" t="str">
        <f>IFERROR(__xludf.DUMMYFUNCTION("""COMPUTED_VALUE"""),"Landing Point")</f>
        <v>Landing Point</v>
      </c>
      <c r="H193" s="246">
        <f>IFERROR(__xludf.DUMMYFUNCTION("""COMPUTED_VALUE"""),20.0)</f>
        <v>20</v>
      </c>
      <c r="I193" s="248">
        <f>IFERROR(__xludf.DUMMYFUNCTION("""COMPUTED_VALUE"""),48.4375)</f>
        <v>48.4375</v>
      </c>
      <c r="J193" s="250">
        <f>IFERROR(__xludf.DUMMYFUNCTION("""COMPUTED_VALUE"""),155.1)</f>
        <v>155.1</v>
      </c>
      <c r="K193" s="252" t="str">
        <f>IFERROR(__xludf.DUMMYFUNCTION("""COMPUTED_VALUE"""),"AP")</f>
        <v>AP</v>
      </c>
      <c r="L193" s="250">
        <f>IFERROR(__xludf.DUMMYFUNCTION("""COMPUTED_VALUE"""),12.9)</f>
        <v>12.9</v>
      </c>
      <c r="M193" s="252" t="str">
        <f>IFERROR(__xludf.DUMMYFUNCTION("""COMPUTED_VALUE"""),"％")</f>
        <v>％</v>
      </c>
      <c r="N193" s="246">
        <f>IFERROR(__xludf.DUMMYFUNCTION("""COMPUTED_VALUE"""),2389.0)</f>
        <v>2389</v>
      </c>
      <c r="O193" s="217"/>
      <c r="P193" s="371" t="str">
        <f>IFERROR(__xludf.DUMMYFUNCTION("""COMPUTED_VALUE"""),"")</f>
        <v/>
      </c>
      <c r="Q193" s="458" t="str">
        <f>IFERROR(__xludf.DUMMYFUNCTION("""COMPUTED_VALUE"""),"")</f>
        <v/>
      </c>
      <c r="R193" s="459" t="str">
        <f>IFERROR(__xludf.DUMMYFUNCTION("""COMPUTED_VALUE"""),"")</f>
        <v/>
      </c>
      <c r="S193" s="459" t="str">
        <f>IFERROR(__xludf.DUMMYFUNCTION("""COMPUTED_VALUE"""),"")</f>
        <v/>
      </c>
      <c r="T193" t="str">
        <f>IFERROR(__xludf.DUMMYFUNCTION("""COMPUTED_VALUE"""),"")</f>
        <v/>
      </c>
      <c r="U193" t="str">
        <f>IFERROR(__xludf.DUMMYFUNCTION("""COMPUTED_VALUE"""),"")</f>
        <v/>
      </c>
      <c r="V193" t="str">
        <f>IFERROR(__xludf.DUMMYFUNCTION("""COMPUTED_VALUE"""),"")</f>
        <v/>
      </c>
      <c r="W193" t="str">
        <f>IFERROR(__xludf.DUMMYFUNCTION("""COMPUTED_VALUE"""),"")</f>
        <v/>
      </c>
      <c r="X193" t="str">
        <f>IFERROR(__xludf.DUMMYFUNCTION("""COMPUTED_VALUE"""),"")</f>
        <v/>
      </c>
      <c r="Y193" t="str">
        <f>IFERROR(__xludf.DUMMYFUNCTION("""COMPUTED_VALUE"""),"")</f>
        <v/>
      </c>
      <c r="Z193" t="str">
        <f>IFERROR(__xludf.DUMMYFUNCTION("""COMPUTED_VALUE"""),"")</f>
        <v/>
      </c>
      <c r="AA193" t="str">
        <f>IFERROR(__xludf.DUMMYFUNCTION("""COMPUTED_VALUE"""),"")</f>
        <v/>
      </c>
      <c r="AB193" t="str">
        <f>IFERROR(__xludf.DUMMYFUNCTION("""COMPUTED_VALUE"""),"")</f>
        <v/>
      </c>
      <c r="AC193" t="str">
        <f>IFERROR(__xludf.DUMMYFUNCTION("""COMPUTED_VALUE"""),"")</f>
        <v/>
      </c>
      <c r="AD193" t="str">
        <f>IFERROR(__xludf.DUMMYFUNCTION("""COMPUTED_VALUE"""),"")</f>
        <v/>
      </c>
      <c r="AE193" s="460" t="str">
        <f>IFERROR(__xludf.DUMMYFUNCTION("""COMPUTED_VALUE"""),"")</f>
        <v/>
      </c>
      <c r="AF193" s="372" t="str">
        <f>IFERROR(__xludf.DUMMYFUNCTION("""COMPUTED_VALUE"""),"")</f>
        <v/>
      </c>
    </row>
    <row r="194" ht="16.5" customHeight="1">
      <c r="A194" s="166"/>
      <c r="C194" s="255"/>
      <c r="D194" s="256">
        <f>IFERROR(__xludf.DUMMYFUNCTION("""COMPUTED_VALUE"""),5.0)</f>
        <v>5</v>
      </c>
      <c r="E194" s="257" t="str">
        <f>IFERROR(__xludf.DUMMYFUNCTION("""COMPUTED_VALUE"""),"BBL3")</f>
        <v>BBL3</v>
      </c>
      <c r="F194" s="42" t="str">
        <f>IFERROR(__xludf.DUMMYFUNCTION("""COMPUTED_VALUE"""),"Babylonia")</f>
        <v>Babylonia</v>
      </c>
      <c r="G194" s="258" t="str">
        <f>IFERROR(__xludf.DUMMYFUNCTION("""COMPUTED_VALUE"""),"Black Cedar Forest")</f>
        <v>Black Cedar Forest</v>
      </c>
      <c r="H194" s="259">
        <f>IFERROR(__xludf.DUMMYFUNCTION("""COMPUTED_VALUE"""),20.0)</f>
        <v>20</v>
      </c>
      <c r="I194" s="260">
        <f>IFERROR(__xludf.DUMMYFUNCTION("""COMPUTED_VALUE"""),48.4375)</f>
        <v>48.4375</v>
      </c>
      <c r="J194" s="261">
        <f>IFERROR(__xludf.DUMMYFUNCTION("""COMPUTED_VALUE"""),156.8)</f>
        <v>156.8</v>
      </c>
      <c r="K194" s="262" t="str">
        <f>IFERROR(__xludf.DUMMYFUNCTION("""COMPUTED_VALUE"""),"AP")</f>
        <v>AP</v>
      </c>
      <c r="L194" s="261">
        <f>IFERROR(__xludf.DUMMYFUNCTION("""COMPUTED_VALUE"""),12.8)</f>
        <v>12.8</v>
      </c>
      <c r="M194" s="262" t="str">
        <f>IFERROR(__xludf.DUMMYFUNCTION("""COMPUTED_VALUE"""),"％")</f>
        <v>％</v>
      </c>
      <c r="N194" s="259">
        <f>IFERROR(__xludf.DUMMYFUNCTION("""COMPUTED_VALUE"""),972.0)</f>
        <v>972</v>
      </c>
      <c r="O194" s="263"/>
      <c r="P194" s="371" t="str">
        <f>IFERROR(__xludf.DUMMYFUNCTION("""COMPUTED_VALUE"""),"")</f>
        <v/>
      </c>
      <c r="Q194" s="458" t="str">
        <f>IFERROR(__xludf.DUMMYFUNCTION("""COMPUTED_VALUE"""),"")</f>
        <v/>
      </c>
      <c r="R194" s="459" t="str">
        <f>IFERROR(__xludf.DUMMYFUNCTION("""COMPUTED_VALUE"""),"")</f>
        <v/>
      </c>
      <c r="S194" s="459" t="str">
        <f>IFERROR(__xludf.DUMMYFUNCTION("""COMPUTED_VALUE"""),"")</f>
        <v/>
      </c>
      <c r="T194" t="str">
        <f>IFERROR(__xludf.DUMMYFUNCTION("""COMPUTED_VALUE"""),"")</f>
        <v/>
      </c>
      <c r="U194" t="str">
        <f>IFERROR(__xludf.DUMMYFUNCTION("""COMPUTED_VALUE"""),"")</f>
        <v/>
      </c>
      <c r="V194" t="str">
        <f>IFERROR(__xludf.DUMMYFUNCTION("""COMPUTED_VALUE"""),"")</f>
        <v/>
      </c>
      <c r="W194" t="str">
        <f>IFERROR(__xludf.DUMMYFUNCTION("""COMPUTED_VALUE"""),"")</f>
        <v/>
      </c>
      <c r="X194" t="str">
        <f>IFERROR(__xludf.DUMMYFUNCTION("""COMPUTED_VALUE"""),"")</f>
        <v/>
      </c>
      <c r="Y194" t="str">
        <f>IFERROR(__xludf.DUMMYFUNCTION("""COMPUTED_VALUE"""),"")</f>
        <v/>
      </c>
      <c r="Z194" t="str">
        <f>IFERROR(__xludf.DUMMYFUNCTION("""COMPUTED_VALUE"""),"")</f>
        <v/>
      </c>
      <c r="AA194" t="str">
        <f>IFERROR(__xludf.DUMMYFUNCTION("""COMPUTED_VALUE"""),"")</f>
        <v/>
      </c>
      <c r="AB194" t="str">
        <f>IFERROR(__xludf.DUMMYFUNCTION("""COMPUTED_VALUE"""),"")</f>
        <v/>
      </c>
      <c r="AC194" t="str">
        <f>IFERROR(__xludf.DUMMYFUNCTION("""COMPUTED_VALUE"""),"")</f>
        <v/>
      </c>
      <c r="AD194" t="str">
        <f>IFERROR(__xludf.DUMMYFUNCTION("""COMPUTED_VALUE"""),"")</f>
        <v/>
      </c>
      <c r="AE194" s="460" t="str">
        <f>IFERROR(__xludf.DUMMYFUNCTION("""COMPUTED_VALUE"""),"")</f>
        <v/>
      </c>
      <c r="AF194" s="372" t="str">
        <f>IFERROR(__xludf.DUMMYFUNCTION("""COMPUTED_VALUE"""),"")</f>
        <v/>
      </c>
    </row>
    <row r="195" ht="16.5" customHeight="1">
      <c r="A195" s="61" t="str">
        <f>IFERROR(__xludf.DUMMYFUNCTION("""COMPUTED_VALUE"""),"")</f>
        <v/>
      </c>
      <c r="B195" s="367" t="str">
        <f>IFERROR(__xludf.DUMMYFUNCTION("""COMPUTED_VALUE"""),"A111")</f>
        <v>A111</v>
      </c>
      <c r="C195" s="65" t="str">
        <f>IFERROR(__xludf.DUMMYFUNCTION("""COMPUTED_VALUE"""),"Cursed Beast Gallstone")</f>
        <v>Cursed Beast Gallstone</v>
      </c>
      <c r="D195" s="67">
        <f>IFERROR(__xludf.DUMMYFUNCTION("""COMPUTED_VALUE"""),1.0)</f>
        <v>1</v>
      </c>
      <c r="E195" s="69" t="str">
        <f>IFERROR(__xludf.DUMMYFUNCTION("""COMPUTED_VALUE"""),"SMS8")</f>
        <v>SMS8</v>
      </c>
      <c r="F195" s="71" t="str">
        <f>IFERROR(__xludf.DUMMYFUNCTION("""COMPUTED_VALUE"""),"Shimosa")</f>
        <v>Shimosa</v>
      </c>
      <c r="G195" s="78" t="str">
        <f>IFERROR(__xludf.DUMMYFUNCTION("""COMPUTED_VALUE"""),"Arakawa Field")</f>
        <v>Arakawa Field</v>
      </c>
      <c r="H195" s="80">
        <f>IFERROR(__xludf.DUMMYFUNCTION("""COMPUTED_VALUE"""),21.0)</f>
        <v>21</v>
      </c>
      <c r="I195" s="82">
        <f>IFERROR(__xludf.DUMMYFUNCTION("""COMPUTED_VALUE"""),50.892857142857146)</f>
        <v>50.89285714</v>
      </c>
      <c r="J195" s="84">
        <f>IFERROR(__xludf.DUMMYFUNCTION("""COMPUTED_VALUE"""),170.6)</f>
        <v>170.6</v>
      </c>
      <c r="K195" s="86" t="str">
        <f>IFERROR(__xludf.DUMMYFUNCTION("""COMPUTED_VALUE"""),"AP")</f>
        <v>AP</v>
      </c>
      <c r="L195" s="88">
        <f>IFERROR(__xludf.DUMMYFUNCTION("""COMPUTED_VALUE"""),12.3)</f>
        <v>12.3</v>
      </c>
      <c r="M195" s="86" t="str">
        <f>IFERROR(__xludf.DUMMYFUNCTION("""COMPUTED_VALUE"""),"％")</f>
        <v>％</v>
      </c>
      <c r="N195" s="80">
        <f>IFERROR(__xludf.DUMMYFUNCTION("""COMPUTED_VALUE"""),9861.0)</f>
        <v>9861</v>
      </c>
      <c r="O195" s="91" t="str">
        <f>IFERROR(__xludf.DUMMYFUNCTION("""COMPUTED_VALUE"""),"Cursed Beast Gallstone")</f>
        <v>Cursed Beast Gallstone</v>
      </c>
      <c r="P195" s="371" t="str">
        <f>IFERROR(__xludf.DUMMYFUNCTION("""COMPUTED_VALUE"""),"")</f>
        <v/>
      </c>
      <c r="Q195" s="458" t="str">
        <f>IFERROR(__xludf.DUMMYFUNCTION("""COMPUTED_VALUE"""),"")</f>
        <v/>
      </c>
      <c r="R195" s="459" t="str">
        <f>IFERROR(__xludf.DUMMYFUNCTION("""COMPUTED_VALUE"""),"")</f>
        <v/>
      </c>
      <c r="S195" s="459" t="str">
        <f>IFERROR(__xludf.DUMMYFUNCTION("""COMPUTED_VALUE"""),"")</f>
        <v/>
      </c>
      <c r="T195" t="str">
        <f>IFERROR(__xludf.DUMMYFUNCTION("""COMPUTED_VALUE"""),"")</f>
        <v/>
      </c>
      <c r="U195" t="str">
        <f>IFERROR(__xludf.DUMMYFUNCTION("""COMPUTED_VALUE"""),"")</f>
        <v/>
      </c>
      <c r="V195" t="str">
        <f>IFERROR(__xludf.DUMMYFUNCTION("""COMPUTED_VALUE"""),"")</f>
        <v/>
      </c>
      <c r="W195" t="str">
        <f>IFERROR(__xludf.DUMMYFUNCTION("""COMPUTED_VALUE"""),"")</f>
        <v/>
      </c>
      <c r="X195" t="str">
        <f>IFERROR(__xludf.DUMMYFUNCTION("""COMPUTED_VALUE"""),"")</f>
        <v/>
      </c>
      <c r="Y195" t="str">
        <f>IFERROR(__xludf.DUMMYFUNCTION("""COMPUTED_VALUE"""),"")</f>
        <v/>
      </c>
      <c r="Z195" t="str">
        <f>IFERROR(__xludf.DUMMYFUNCTION("""COMPUTED_VALUE"""),"")</f>
        <v/>
      </c>
      <c r="AA195" t="str">
        <f>IFERROR(__xludf.DUMMYFUNCTION("""COMPUTED_VALUE"""),"")</f>
        <v/>
      </c>
      <c r="AB195" t="str">
        <f>IFERROR(__xludf.DUMMYFUNCTION("""COMPUTED_VALUE"""),"")</f>
        <v/>
      </c>
      <c r="AC195" t="str">
        <f>IFERROR(__xludf.DUMMYFUNCTION("""COMPUTED_VALUE"""),"")</f>
        <v/>
      </c>
      <c r="AD195" t="str">
        <f>IFERROR(__xludf.DUMMYFUNCTION("""COMPUTED_VALUE"""),"")</f>
        <v/>
      </c>
      <c r="AE195" s="460" t="str">
        <f>IFERROR(__xludf.DUMMYFUNCTION("""COMPUTED_VALUE"""),"")</f>
        <v/>
      </c>
      <c r="AF195" s="372" t="str">
        <f>IFERROR(__xludf.DUMMYFUNCTION("""COMPUTED_VALUE"""),"")</f>
        <v/>
      </c>
    </row>
    <row r="196" ht="16.5" customHeight="1">
      <c r="C196" s="100"/>
      <c r="D196" s="102">
        <f>IFERROR(__xludf.DUMMYFUNCTION("""COMPUTED_VALUE"""),2.0)</f>
        <v>2</v>
      </c>
      <c r="E196" s="103" t="str">
        <f>IFERROR(__xludf.DUMMYFUNCTION("""COMPUTED_VALUE"""),"BBL13")</f>
        <v>BBL13</v>
      </c>
      <c r="F196" s="104" t="str">
        <f>IFERROR(__xludf.DUMMYFUNCTION("""COMPUTED_VALUE"""),"Babylonia")</f>
        <v>Babylonia</v>
      </c>
      <c r="G196" s="108" t="str">
        <f>IFERROR(__xludf.DUMMYFUNCTION("""COMPUTED_VALUE"""),"Mt. Ebih")</f>
        <v>Mt. Ebih</v>
      </c>
      <c r="H196" s="109">
        <f>IFERROR(__xludf.DUMMYFUNCTION("""COMPUTED_VALUE"""),21.0)</f>
        <v>21</v>
      </c>
      <c r="I196" s="110">
        <f>IFERROR(__xludf.DUMMYFUNCTION("""COMPUTED_VALUE"""),50.892857142857146)</f>
        <v>50.89285714</v>
      </c>
      <c r="J196" s="112">
        <f>IFERROR(__xludf.DUMMYFUNCTION("""COMPUTED_VALUE"""),171.3)</f>
        <v>171.3</v>
      </c>
      <c r="K196" s="121" t="str">
        <f>IFERROR(__xludf.DUMMYFUNCTION("""COMPUTED_VALUE"""),"AP")</f>
        <v>AP</v>
      </c>
      <c r="L196" s="123">
        <f>IFERROR(__xludf.DUMMYFUNCTION("""COMPUTED_VALUE"""),12.3)</f>
        <v>12.3</v>
      </c>
      <c r="M196" s="121" t="str">
        <f>IFERROR(__xludf.DUMMYFUNCTION("""COMPUTED_VALUE"""),"％")</f>
        <v>％</v>
      </c>
      <c r="N196" s="109">
        <f>IFERROR(__xludf.DUMMYFUNCTION("""COMPUTED_VALUE"""),8853.0)</f>
        <v>8853</v>
      </c>
      <c r="O196" s="100"/>
      <c r="P196" s="371" t="str">
        <f>IFERROR(__xludf.DUMMYFUNCTION("""COMPUTED_VALUE"""),"")</f>
        <v/>
      </c>
      <c r="Q196" s="458" t="str">
        <f>IFERROR(__xludf.DUMMYFUNCTION("""COMPUTED_VALUE"""),"")</f>
        <v/>
      </c>
      <c r="R196" s="459" t="str">
        <f>IFERROR(__xludf.DUMMYFUNCTION("""COMPUTED_VALUE"""),"")</f>
        <v/>
      </c>
      <c r="S196" s="459" t="str">
        <f>IFERROR(__xludf.DUMMYFUNCTION("""COMPUTED_VALUE"""),"")</f>
        <v/>
      </c>
      <c r="T196" t="str">
        <f>IFERROR(__xludf.DUMMYFUNCTION("""COMPUTED_VALUE"""),"")</f>
        <v/>
      </c>
      <c r="U196" t="str">
        <f>IFERROR(__xludf.DUMMYFUNCTION("""COMPUTED_VALUE"""),"")</f>
        <v/>
      </c>
      <c r="V196" t="str">
        <f>IFERROR(__xludf.DUMMYFUNCTION("""COMPUTED_VALUE"""),"")</f>
        <v/>
      </c>
      <c r="W196" t="str">
        <f>IFERROR(__xludf.DUMMYFUNCTION("""COMPUTED_VALUE"""),"")</f>
        <v/>
      </c>
      <c r="X196" t="str">
        <f>IFERROR(__xludf.DUMMYFUNCTION("""COMPUTED_VALUE"""),"")</f>
        <v/>
      </c>
      <c r="Y196" t="str">
        <f>IFERROR(__xludf.DUMMYFUNCTION("""COMPUTED_VALUE"""),"")</f>
        <v/>
      </c>
      <c r="Z196" t="str">
        <f>IFERROR(__xludf.DUMMYFUNCTION("""COMPUTED_VALUE"""),"")</f>
        <v/>
      </c>
      <c r="AA196" t="str">
        <f>IFERROR(__xludf.DUMMYFUNCTION("""COMPUTED_VALUE"""),"")</f>
        <v/>
      </c>
      <c r="AB196" t="str">
        <f>IFERROR(__xludf.DUMMYFUNCTION("""COMPUTED_VALUE"""),"")</f>
        <v/>
      </c>
      <c r="AC196" t="str">
        <f>IFERROR(__xludf.DUMMYFUNCTION("""COMPUTED_VALUE"""),"")</f>
        <v/>
      </c>
      <c r="AD196" t="str">
        <f>IFERROR(__xludf.DUMMYFUNCTION("""COMPUTED_VALUE"""),"")</f>
        <v/>
      </c>
      <c r="AE196" s="460" t="str">
        <f>IFERROR(__xludf.DUMMYFUNCTION("""COMPUTED_VALUE"""),"")</f>
        <v/>
      </c>
      <c r="AF196" s="372" t="str">
        <f>IFERROR(__xludf.DUMMYFUNCTION("""COMPUTED_VALUE"""),"")</f>
        <v/>
      </c>
    </row>
    <row r="197" ht="16.5" customHeight="1">
      <c r="C197" s="100"/>
      <c r="D197" s="130">
        <f>IFERROR(__xludf.DUMMYFUNCTION("""COMPUTED_VALUE"""),3.0)</f>
        <v>3</v>
      </c>
      <c r="E197" s="132" t="str">
        <f>IFERROR(__xludf.DUMMYFUNCTION("""COMPUTED_VALUE"""),"")</f>
        <v/>
      </c>
      <c r="F197" s="133" t="str">
        <f>IFERROR(__xludf.DUMMYFUNCTION("""COMPUTED_VALUE"""),"")</f>
        <v/>
      </c>
      <c r="G197" s="133" t="str">
        <f>IFERROR(__xludf.DUMMYFUNCTION("""COMPUTED_VALUE"""),"")</f>
        <v/>
      </c>
      <c r="H197" s="137" t="str">
        <f>IFERROR(__xludf.DUMMYFUNCTION("""COMPUTED_VALUE"""),"")</f>
        <v/>
      </c>
      <c r="I197" s="139" t="str">
        <f>IFERROR(__xludf.DUMMYFUNCTION("""COMPUTED_VALUE"""),"")</f>
        <v/>
      </c>
      <c r="J197" s="141" t="str">
        <f>IFERROR(__xludf.DUMMYFUNCTION("""COMPUTED_VALUE"""),"")</f>
        <v/>
      </c>
      <c r="K197" s="143" t="str">
        <f>IFERROR(__xludf.DUMMYFUNCTION("""COMPUTED_VALUE"""),"AP")</f>
        <v>AP</v>
      </c>
      <c r="L197" s="145" t="str">
        <f>IFERROR(__xludf.DUMMYFUNCTION("""COMPUTED_VALUE"""),"")</f>
        <v/>
      </c>
      <c r="M197" s="143" t="str">
        <f>IFERROR(__xludf.DUMMYFUNCTION("""COMPUTED_VALUE"""),"％")</f>
        <v>％</v>
      </c>
      <c r="N197" s="137" t="str">
        <f>IFERROR(__xludf.DUMMYFUNCTION("""COMPUTED_VALUE"""),"")</f>
        <v/>
      </c>
      <c r="O197" s="100"/>
      <c r="P197" s="371" t="str">
        <f>IFERROR(__xludf.DUMMYFUNCTION("""COMPUTED_VALUE"""),"")</f>
        <v/>
      </c>
      <c r="Q197" s="458" t="str">
        <f>IFERROR(__xludf.DUMMYFUNCTION("""COMPUTED_VALUE"""),"")</f>
        <v/>
      </c>
      <c r="R197" s="459" t="str">
        <f>IFERROR(__xludf.DUMMYFUNCTION("""COMPUTED_VALUE"""),"")</f>
        <v/>
      </c>
      <c r="S197" s="459" t="str">
        <f>IFERROR(__xludf.DUMMYFUNCTION("""COMPUTED_VALUE"""),"")</f>
        <v/>
      </c>
      <c r="T197" t="str">
        <f>IFERROR(__xludf.DUMMYFUNCTION("""COMPUTED_VALUE"""),"")</f>
        <v/>
      </c>
      <c r="U197" t="str">
        <f>IFERROR(__xludf.DUMMYFUNCTION("""COMPUTED_VALUE"""),"")</f>
        <v/>
      </c>
      <c r="V197" t="str">
        <f>IFERROR(__xludf.DUMMYFUNCTION("""COMPUTED_VALUE"""),"")</f>
        <v/>
      </c>
      <c r="W197" t="str">
        <f>IFERROR(__xludf.DUMMYFUNCTION("""COMPUTED_VALUE"""),"")</f>
        <v/>
      </c>
      <c r="X197" t="str">
        <f>IFERROR(__xludf.DUMMYFUNCTION("""COMPUTED_VALUE"""),"")</f>
        <v/>
      </c>
      <c r="Y197" t="str">
        <f>IFERROR(__xludf.DUMMYFUNCTION("""COMPUTED_VALUE"""),"")</f>
        <v/>
      </c>
      <c r="Z197" t="str">
        <f>IFERROR(__xludf.DUMMYFUNCTION("""COMPUTED_VALUE"""),"")</f>
        <v/>
      </c>
      <c r="AA197" t="str">
        <f>IFERROR(__xludf.DUMMYFUNCTION("""COMPUTED_VALUE"""),"")</f>
        <v/>
      </c>
      <c r="AB197" t="str">
        <f>IFERROR(__xludf.DUMMYFUNCTION("""COMPUTED_VALUE"""),"")</f>
        <v/>
      </c>
      <c r="AC197" t="str">
        <f>IFERROR(__xludf.DUMMYFUNCTION("""COMPUTED_VALUE"""),"")</f>
        <v/>
      </c>
      <c r="AD197" t="str">
        <f>IFERROR(__xludf.DUMMYFUNCTION("""COMPUTED_VALUE"""),"")</f>
        <v/>
      </c>
      <c r="AE197" s="460" t="str">
        <f>IFERROR(__xludf.DUMMYFUNCTION("""COMPUTED_VALUE"""),"")</f>
        <v/>
      </c>
      <c r="AF197" s="372" t="str">
        <f>IFERROR(__xludf.DUMMYFUNCTION("""COMPUTED_VALUE"""),"")</f>
        <v/>
      </c>
    </row>
    <row r="198" ht="16.5" customHeight="1">
      <c r="C198" s="100"/>
      <c r="D198" s="146">
        <f>IFERROR(__xludf.DUMMYFUNCTION("""COMPUTED_VALUE"""),4.0)</f>
        <v>4</v>
      </c>
      <c r="E198" s="148" t="str">
        <f>IFERROR(__xludf.DUMMYFUNCTION("""COMPUTED_VALUE"""),"")</f>
        <v/>
      </c>
      <c r="F198" s="150" t="str">
        <f>IFERROR(__xludf.DUMMYFUNCTION("""COMPUTED_VALUE"""),"")</f>
        <v/>
      </c>
      <c r="G198" s="150" t="str">
        <f>IFERROR(__xludf.DUMMYFUNCTION("""COMPUTED_VALUE"""),"")</f>
        <v/>
      </c>
      <c r="H198" s="154" t="str">
        <f>IFERROR(__xludf.DUMMYFUNCTION("""COMPUTED_VALUE"""),"")</f>
        <v/>
      </c>
      <c r="I198" s="156" t="str">
        <f>IFERROR(__xludf.DUMMYFUNCTION("""COMPUTED_VALUE"""),"")</f>
        <v/>
      </c>
      <c r="J198" s="158" t="str">
        <f>IFERROR(__xludf.DUMMYFUNCTION("""COMPUTED_VALUE"""),"")</f>
        <v/>
      </c>
      <c r="K198" s="160" t="str">
        <f>IFERROR(__xludf.DUMMYFUNCTION("""COMPUTED_VALUE"""),"AP")</f>
        <v>AP</v>
      </c>
      <c r="L198" s="162" t="str">
        <f>IFERROR(__xludf.DUMMYFUNCTION("""COMPUTED_VALUE"""),"")</f>
        <v/>
      </c>
      <c r="M198" s="160" t="str">
        <f>IFERROR(__xludf.DUMMYFUNCTION("""COMPUTED_VALUE"""),"％")</f>
        <v>％</v>
      </c>
      <c r="N198" s="154" t="str">
        <f>IFERROR(__xludf.DUMMYFUNCTION("""COMPUTED_VALUE"""),"")</f>
        <v/>
      </c>
      <c r="O198" s="100"/>
      <c r="P198" s="371" t="str">
        <f>IFERROR(__xludf.DUMMYFUNCTION("""COMPUTED_VALUE"""),"")</f>
        <v/>
      </c>
      <c r="Q198" s="458" t="str">
        <f>IFERROR(__xludf.DUMMYFUNCTION("""COMPUTED_VALUE"""),"")</f>
        <v/>
      </c>
      <c r="R198" s="459" t="str">
        <f>IFERROR(__xludf.DUMMYFUNCTION("""COMPUTED_VALUE"""),"")</f>
        <v/>
      </c>
      <c r="S198" s="459" t="str">
        <f>IFERROR(__xludf.DUMMYFUNCTION("""COMPUTED_VALUE"""),"")</f>
        <v/>
      </c>
      <c r="T198" t="str">
        <f>IFERROR(__xludf.DUMMYFUNCTION("""COMPUTED_VALUE"""),"")</f>
        <v/>
      </c>
      <c r="U198" t="str">
        <f>IFERROR(__xludf.DUMMYFUNCTION("""COMPUTED_VALUE"""),"")</f>
        <v/>
      </c>
      <c r="V198" t="str">
        <f>IFERROR(__xludf.DUMMYFUNCTION("""COMPUTED_VALUE"""),"")</f>
        <v/>
      </c>
      <c r="W198" t="str">
        <f>IFERROR(__xludf.DUMMYFUNCTION("""COMPUTED_VALUE"""),"")</f>
        <v/>
      </c>
      <c r="X198" t="str">
        <f>IFERROR(__xludf.DUMMYFUNCTION("""COMPUTED_VALUE"""),"")</f>
        <v/>
      </c>
      <c r="Y198" t="str">
        <f>IFERROR(__xludf.DUMMYFUNCTION("""COMPUTED_VALUE"""),"")</f>
        <v/>
      </c>
      <c r="Z198" t="str">
        <f>IFERROR(__xludf.DUMMYFUNCTION("""COMPUTED_VALUE"""),"")</f>
        <v/>
      </c>
      <c r="AA198" t="str">
        <f>IFERROR(__xludf.DUMMYFUNCTION("""COMPUTED_VALUE"""),"")</f>
        <v/>
      </c>
      <c r="AB198" t="str">
        <f>IFERROR(__xludf.DUMMYFUNCTION("""COMPUTED_VALUE"""),"")</f>
        <v/>
      </c>
      <c r="AC198" t="str">
        <f>IFERROR(__xludf.DUMMYFUNCTION("""COMPUTED_VALUE"""),"")</f>
        <v/>
      </c>
      <c r="AD198" t="str">
        <f>IFERROR(__xludf.DUMMYFUNCTION("""COMPUTED_VALUE"""),"")</f>
        <v/>
      </c>
      <c r="AE198" s="460" t="str">
        <f>IFERROR(__xludf.DUMMYFUNCTION("""COMPUTED_VALUE"""),"")</f>
        <v/>
      </c>
      <c r="AF198" s="372" t="str">
        <f>IFERROR(__xludf.DUMMYFUNCTION("""COMPUTED_VALUE"""),"")</f>
        <v/>
      </c>
    </row>
    <row r="199" ht="16.5" customHeight="1">
      <c r="A199" s="166"/>
      <c r="C199" s="168"/>
      <c r="D199" s="169">
        <f>IFERROR(__xludf.DUMMYFUNCTION("""COMPUTED_VALUE"""),5.0)</f>
        <v>5</v>
      </c>
      <c r="E199" s="170" t="str">
        <f>IFERROR(__xludf.DUMMYFUNCTION("""COMPUTED_VALUE"""),"")</f>
        <v/>
      </c>
      <c r="F199" s="51" t="str">
        <f>IFERROR(__xludf.DUMMYFUNCTION("""COMPUTED_VALUE"""),"")</f>
        <v/>
      </c>
      <c r="G199" s="51" t="str">
        <f>IFERROR(__xludf.DUMMYFUNCTION("""COMPUTED_VALUE"""),"")</f>
        <v/>
      </c>
      <c r="H199" s="172" t="str">
        <f>IFERROR(__xludf.DUMMYFUNCTION("""COMPUTED_VALUE"""),"")</f>
        <v/>
      </c>
      <c r="I199" s="173" t="str">
        <f>IFERROR(__xludf.DUMMYFUNCTION("""COMPUTED_VALUE"""),"")</f>
        <v/>
      </c>
      <c r="J199" s="174" t="str">
        <f>IFERROR(__xludf.DUMMYFUNCTION("""COMPUTED_VALUE"""),"")</f>
        <v/>
      </c>
      <c r="K199" s="175" t="str">
        <f>IFERROR(__xludf.DUMMYFUNCTION("""COMPUTED_VALUE"""),"AP")</f>
        <v>AP</v>
      </c>
      <c r="L199" s="176" t="str">
        <f>IFERROR(__xludf.DUMMYFUNCTION("""COMPUTED_VALUE"""),"")</f>
        <v/>
      </c>
      <c r="M199" s="175" t="str">
        <f>IFERROR(__xludf.DUMMYFUNCTION("""COMPUTED_VALUE"""),"％")</f>
        <v>％</v>
      </c>
      <c r="N199" s="172" t="str">
        <f>IFERROR(__xludf.DUMMYFUNCTION("""COMPUTED_VALUE"""),"")</f>
        <v/>
      </c>
      <c r="O199" s="168"/>
      <c r="P199" s="371" t="str">
        <f>IFERROR(__xludf.DUMMYFUNCTION("""COMPUTED_VALUE"""),"")</f>
        <v/>
      </c>
      <c r="Q199" s="458" t="str">
        <f>IFERROR(__xludf.DUMMYFUNCTION("""COMPUTED_VALUE"""),"")</f>
        <v/>
      </c>
      <c r="R199" s="459" t="str">
        <f>IFERROR(__xludf.DUMMYFUNCTION("""COMPUTED_VALUE"""),"")</f>
        <v/>
      </c>
      <c r="S199" s="459" t="str">
        <f>IFERROR(__xludf.DUMMYFUNCTION("""COMPUTED_VALUE"""),"")</f>
        <v/>
      </c>
      <c r="T199" t="str">
        <f>IFERROR(__xludf.DUMMYFUNCTION("""COMPUTED_VALUE"""),"")</f>
        <v/>
      </c>
      <c r="U199" t="str">
        <f>IFERROR(__xludf.DUMMYFUNCTION("""COMPUTED_VALUE"""),"")</f>
        <v/>
      </c>
      <c r="V199" t="str">
        <f>IFERROR(__xludf.DUMMYFUNCTION("""COMPUTED_VALUE"""),"")</f>
        <v/>
      </c>
      <c r="W199" t="str">
        <f>IFERROR(__xludf.DUMMYFUNCTION("""COMPUTED_VALUE"""),"")</f>
        <v/>
      </c>
      <c r="X199" t="str">
        <f>IFERROR(__xludf.DUMMYFUNCTION("""COMPUTED_VALUE"""),"")</f>
        <v/>
      </c>
      <c r="Y199" t="str">
        <f>IFERROR(__xludf.DUMMYFUNCTION("""COMPUTED_VALUE"""),"")</f>
        <v/>
      </c>
      <c r="Z199" t="str">
        <f>IFERROR(__xludf.DUMMYFUNCTION("""COMPUTED_VALUE"""),"")</f>
        <v/>
      </c>
      <c r="AA199" t="str">
        <f>IFERROR(__xludf.DUMMYFUNCTION("""COMPUTED_VALUE"""),"")</f>
        <v/>
      </c>
      <c r="AB199" t="str">
        <f>IFERROR(__xludf.DUMMYFUNCTION("""COMPUTED_VALUE"""),"")</f>
        <v/>
      </c>
      <c r="AC199" t="str">
        <f>IFERROR(__xludf.DUMMYFUNCTION("""COMPUTED_VALUE"""),"")</f>
        <v/>
      </c>
      <c r="AD199" t="str">
        <f>IFERROR(__xludf.DUMMYFUNCTION("""COMPUTED_VALUE"""),"")</f>
        <v/>
      </c>
      <c r="AE199" s="460" t="str">
        <f>IFERROR(__xludf.DUMMYFUNCTION("""COMPUTED_VALUE"""),"")</f>
        <v/>
      </c>
      <c r="AF199" s="372" t="str">
        <f>IFERROR(__xludf.DUMMYFUNCTION("""COMPUTED_VALUE"""),"")</f>
        <v/>
      </c>
    </row>
    <row r="200" ht="16.5" customHeight="1">
      <c r="A200" s="61" t="str">
        <f>IFERROR(__xludf.DUMMYFUNCTION("""COMPUTED_VALUE"""),"")</f>
        <v/>
      </c>
      <c r="B200" s="366" t="str">
        <f>IFERROR(__xludf.DUMMYFUNCTION("""COMPUTED_VALUE"""),"A112")</f>
        <v>A112</v>
      </c>
      <c r="C200" s="180" t="str">
        <f>IFERROR(__xludf.DUMMYFUNCTION("""COMPUTED_VALUE"""),"Mysterious Divine Wine")</f>
        <v>Mysterious Divine Wine</v>
      </c>
      <c r="D200" s="181">
        <f>IFERROR(__xludf.DUMMYFUNCTION("""COMPUTED_VALUE"""),1.0)</f>
        <v>1</v>
      </c>
      <c r="E200" s="182" t="str">
        <f>IFERROR(__xludf.DUMMYFUNCTION("""COMPUTED_VALUE"""),"AGT9")</f>
        <v>AGT9</v>
      </c>
      <c r="F200" s="184" t="str">
        <f>IFERROR(__xludf.DUMMYFUNCTION("""COMPUTED_VALUE"""),"Agartha")</f>
        <v>Agartha</v>
      </c>
      <c r="G200" s="189" t="str">
        <f>IFERROR(__xludf.DUMMYFUNCTION("""COMPUTED_VALUE"""),"Palace of Dragon King")</f>
        <v>Palace of Dragon King</v>
      </c>
      <c r="H200" s="190">
        <f>IFERROR(__xludf.DUMMYFUNCTION("""COMPUTED_VALUE"""),21.0)</f>
        <v>21</v>
      </c>
      <c r="I200" s="191">
        <f>IFERROR(__xludf.DUMMYFUNCTION("""COMPUTED_VALUE"""),49.70238095238095)</f>
        <v>49.70238095</v>
      </c>
      <c r="J200" s="192">
        <f>IFERROR(__xludf.DUMMYFUNCTION("""COMPUTED_VALUE"""),166.5)</f>
        <v>166.5</v>
      </c>
      <c r="K200" s="194" t="str">
        <f>IFERROR(__xludf.DUMMYFUNCTION("""COMPUTED_VALUE"""),"AP")</f>
        <v>AP</v>
      </c>
      <c r="L200" s="192">
        <f>IFERROR(__xludf.DUMMYFUNCTION("""COMPUTED_VALUE"""),12.6)</f>
        <v>12.6</v>
      </c>
      <c r="M200" s="194" t="str">
        <f>IFERROR(__xludf.DUMMYFUNCTION("""COMPUTED_VALUE"""),"％")</f>
        <v>％</v>
      </c>
      <c r="N200" s="190">
        <f>IFERROR(__xludf.DUMMYFUNCTION("""COMPUTED_VALUE"""),2172.0)</f>
        <v>2172</v>
      </c>
      <c r="O200" s="197" t="str">
        <f>IFERROR(__xludf.DUMMYFUNCTION("""COMPUTED_VALUE"""),"Mysterious Divine Wine")</f>
        <v>Mysterious Divine Wine</v>
      </c>
      <c r="P200" s="371" t="str">
        <f>IFERROR(__xludf.DUMMYFUNCTION("""COMPUTED_VALUE"""),"")</f>
        <v/>
      </c>
      <c r="Q200" s="458" t="str">
        <f>IFERROR(__xludf.DUMMYFUNCTION("""COMPUTED_VALUE"""),"")</f>
        <v/>
      </c>
      <c r="R200" s="459" t="str">
        <f>IFERROR(__xludf.DUMMYFUNCTION("""COMPUTED_VALUE"""),"")</f>
        <v/>
      </c>
      <c r="S200" s="459" t="str">
        <f>IFERROR(__xludf.DUMMYFUNCTION("""COMPUTED_VALUE"""),"")</f>
        <v/>
      </c>
      <c r="T200" t="str">
        <f>IFERROR(__xludf.DUMMYFUNCTION("""COMPUTED_VALUE"""),"")</f>
        <v/>
      </c>
      <c r="U200" t="str">
        <f>IFERROR(__xludf.DUMMYFUNCTION("""COMPUTED_VALUE"""),"")</f>
        <v/>
      </c>
      <c r="V200" t="str">
        <f>IFERROR(__xludf.DUMMYFUNCTION("""COMPUTED_VALUE"""),"")</f>
        <v/>
      </c>
      <c r="W200" t="str">
        <f>IFERROR(__xludf.DUMMYFUNCTION("""COMPUTED_VALUE"""),"")</f>
        <v/>
      </c>
      <c r="X200" t="str">
        <f>IFERROR(__xludf.DUMMYFUNCTION("""COMPUTED_VALUE"""),"")</f>
        <v/>
      </c>
      <c r="Y200" t="str">
        <f>IFERROR(__xludf.DUMMYFUNCTION("""COMPUTED_VALUE"""),"")</f>
        <v/>
      </c>
      <c r="Z200" t="str">
        <f>IFERROR(__xludf.DUMMYFUNCTION("""COMPUTED_VALUE"""),"")</f>
        <v/>
      </c>
      <c r="AA200" t="str">
        <f>IFERROR(__xludf.DUMMYFUNCTION("""COMPUTED_VALUE"""),"")</f>
        <v/>
      </c>
      <c r="AB200" t="str">
        <f>IFERROR(__xludf.DUMMYFUNCTION("""COMPUTED_VALUE"""),"")</f>
        <v/>
      </c>
      <c r="AC200" t="str">
        <f>IFERROR(__xludf.DUMMYFUNCTION("""COMPUTED_VALUE"""),"")</f>
        <v/>
      </c>
      <c r="AD200" t="str">
        <f>IFERROR(__xludf.DUMMYFUNCTION("""COMPUTED_VALUE"""),"")</f>
        <v/>
      </c>
      <c r="AE200" s="460" t="str">
        <f>IFERROR(__xludf.DUMMYFUNCTION("""COMPUTED_VALUE"""),"")</f>
        <v/>
      </c>
      <c r="AF200" s="372" t="str">
        <f>IFERROR(__xludf.DUMMYFUNCTION("""COMPUTED_VALUE"""),"")</f>
        <v/>
      </c>
    </row>
    <row r="201" ht="16.5" customHeight="1">
      <c r="C201" s="204"/>
      <c r="D201" s="205">
        <f>IFERROR(__xludf.DUMMYFUNCTION("""COMPUTED_VALUE"""),2.0)</f>
        <v>2</v>
      </c>
      <c r="E201" s="206" t="str">
        <f>IFERROR(__xludf.DUMMYFUNCTION("""COMPUTED_VALUE"""),"SIN3")</f>
        <v>SIN3</v>
      </c>
      <c r="F201" s="207" t="str">
        <f>IFERROR(__xludf.DUMMYFUNCTION("""COMPUTED_VALUE"""),"SIN")</f>
        <v>SIN</v>
      </c>
      <c r="G201" s="209" t="str">
        <f>IFERROR(__xludf.DUMMYFUNCTION("""COMPUTED_VALUE"""),"Icy Cold Grotto")</f>
        <v>Icy Cold Grotto</v>
      </c>
      <c r="H201" s="211">
        <f>IFERROR(__xludf.DUMMYFUNCTION("""COMPUTED_VALUE"""),20.0)</f>
        <v>20</v>
      </c>
      <c r="I201" s="213">
        <f>IFERROR(__xludf.DUMMYFUNCTION("""COMPUTED_VALUE"""),48.4375)</f>
        <v>48.4375</v>
      </c>
      <c r="J201" s="214">
        <f>IFERROR(__xludf.DUMMYFUNCTION("""COMPUTED_VALUE"""),205.7)</f>
        <v>205.7</v>
      </c>
      <c r="K201" s="215" t="str">
        <f>IFERROR(__xludf.DUMMYFUNCTION("""COMPUTED_VALUE"""),"AP")</f>
        <v>AP</v>
      </c>
      <c r="L201" s="214">
        <f>IFERROR(__xludf.DUMMYFUNCTION("""COMPUTED_VALUE"""),9.7)</f>
        <v>9.7</v>
      </c>
      <c r="M201" s="215" t="str">
        <f>IFERROR(__xludf.DUMMYFUNCTION("""COMPUTED_VALUE"""),"％")</f>
        <v>％</v>
      </c>
      <c r="N201" s="211">
        <f>IFERROR(__xludf.DUMMYFUNCTION("""COMPUTED_VALUE"""),946.0)</f>
        <v>946</v>
      </c>
      <c r="O201" s="217"/>
      <c r="P201" s="371" t="str">
        <f>IFERROR(__xludf.DUMMYFUNCTION("""COMPUTED_VALUE"""),"")</f>
        <v/>
      </c>
      <c r="Q201" s="458" t="str">
        <f>IFERROR(__xludf.DUMMYFUNCTION("""COMPUTED_VALUE"""),"")</f>
        <v/>
      </c>
      <c r="R201" s="459" t="str">
        <f>IFERROR(__xludf.DUMMYFUNCTION("""COMPUTED_VALUE"""),"")</f>
        <v/>
      </c>
      <c r="S201" s="459" t="str">
        <f>IFERROR(__xludf.DUMMYFUNCTION("""COMPUTED_VALUE"""),"")</f>
        <v/>
      </c>
      <c r="T201" t="str">
        <f>IFERROR(__xludf.DUMMYFUNCTION("""COMPUTED_VALUE"""),"")</f>
        <v/>
      </c>
      <c r="U201" t="str">
        <f>IFERROR(__xludf.DUMMYFUNCTION("""COMPUTED_VALUE"""),"")</f>
        <v/>
      </c>
      <c r="V201" t="str">
        <f>IFERROR(__xludf.DUMMYFUNCTION("""COMPUTED_VALUE"""),"")</f>
        <v/>
      </c>
      <c r="W201" t="str">
        <f>IFERROR(__xludf.DUMMYFUNCTION("""COMPUTED_VALUE"""),"")</f>
        <v/>
      </c>
      <c r="X201" t="str">
        <f>IFERROR(__xludf.DUMMYFUNCTION("""COMPUTED_VALUE"""),"")</f>
        <v/>
      </c>
      <c r="Y201" t="str">
        <f>IFERROR(__xludf.DUMMYFUNCTION("""COMPUTED_VALUE"""),"")</f>
        <v/>
      </c>
      <c r="Z201" t="str">
        <f>IFERROR(__xludf.DUMMYFUNCTION("""COMPUTED_VALUE"""),"")</f>
        <v/>
      </c>
      <c r="AA201" t="str">
        <f>IFERROR(__xludf.DUMMYFUNCTION("""COMPUTED_VALUE"""),"")</f>
        <v/>
      </c>
      <c r="AB201" t="str">
        <f>IFERROR(__xludf.DUMMYFUNCTION("""COMPUTED_VALUE"""),"")</f>
        <v/>
      </c>
      <c r="AC201" t="str">
        <f>IFERROR(__xludf.DUMMYFUNCTION("""COMPUTED_VALUE"""),"")</f>
        <v/>
      </c>
      <c r="AD201" t="str">
        <f>IFERROR(__xludf.DUMMYFUNCTION("""COMPUTED_VALUE"""),"")</f>
        <v/>
      </c>
      <c r="AE201" s="460" t="str">
        <f>IFERROR(__xludf.DUMMYFUNCTION("""COMPUTED_VALUE"""),"")</f>
        <v/>
      </c>
      <c r="AF201" s="372" t="str">
        <f>IFERROR(__xludf.DUMMYFUNCTION("""COMPUTED_VALUE"""),"")</f>
        <v/>
      </c>
    </row>
    <row r="202" ht="16.5" customHeight="1">
      <c r="C202" s="204"/>
      <c r="D202" s="222">
        <f>IFERROR(__xludf.DUMMYFUNCTION("""COMPUTED_VALUE"""),3.0)</f>
        <v>3</v>
      </c>
      <c r="E202" s="223" t="str">
        <f>IFERROR(__xludf.DUMMYFUNCTION("""COMPUTED_VALUE"""),"ANA12")</f>
        <v>ANA12</v>
      </c>
      <c r="F202" s="224" t="str">
        <f>IFERROR(__xludf.DUMMYFUNCTION("""COMPUTED_VALUE"""),"Anastasia")</f>
        <v>Anastasia</v>
      </c>
      <c r="G202" s="226" t="str">
        <f>IFERROR(__xludf.DUMMYFUNCTION("""COMPUTED_VALUE"""),"Great Valley Stronghold")</f>
        <v>Great Valley Stronghold</v>
      </c>
      <c r="H202" s="228">
        <f>IFERROR(__xludf.DUMMYFUNCTION("""COMPUTED_VALUE"""),21.0)</f>
        <v>21</v>
      </c>
      <c r="I202" s="230">
        <f>IFERROR(__xludf.DUMMYFUNCTION("""COMPUTED_VALUE"""),49.70238095238095)</f>
        <v>49.70238095</v>
      </c>
      <c r="J202" s="231">
        <f>IFERROR(__xludf.DUMMYFUNCTION("""COMPUTED_VALUE"""),215.9)</f>
        <v>215.9</v>
      </c>
      <c r="K202" s="232" t="str">
        <f>IFERROR(__xludf.DUMMYFUNCTION("""COMPUTED_VALUE"""),"AP")</f>
        <v>AP</v>
      </c>
      <c r="L202" s="231">
        <f>IFERROR(__xludf.DUMMYFUNCTION("""COMPUTED_VALUE"""),9.7)</f>
        <v>9.7</v>
      </c>
      <c r="M202" s="232" t="str">
        <f>IFERROR(__xludf.DUMMYFUNCTION("""COMPUTED_VALUE"""),"％")</f>
        <v>％</v>
      </c>
      <c r="N202" s="228">
        <f>IFERROR(__xludf.DUMMYFUNCTION("""COMPUTED_VALUE"""),4585.0)</f>
        <v>4585</v>
      </c>
      <c r="O202" s="217"/>
      <c r="P202" s="371" t="str">
        <f>IFERROR(__xludf.DUMMYFUNCTION("""COMPUTED_VALUE"""),"")</f>
        <v/>
      </c>
      <c r="Q202" s="458" t="str">
        <f>IFERROR(__xludf.DUMMYFUNCTION("""COMPUTED_VALUE"""),"")</f>
        <v/>
      </c>
      <c r="R202" s="459" t="str">
        <f>IFERROR(__xludf.DUMMYFUNCTION("""COMPUTED_VALUE"""),"")</f>
        <v/>
      </c>
      <c r="S202" s="459" t="str">
        <f>IFERROR(__xludf.DUMMYFUNCTION("""COMPUTED_VALUE"""),"")</f>
        <v/>
      </c>
      <c r="T202" t="str">
        <f>IFERROR(__xludf.DUMMYFUNCTION("""COMPUTED_VALUE"""),"")</f>
        <v/>
      </c>
      <c r="U202" t="str">
        <f>IFERROR(__xludf.DUMMYFUNCTION("""COMPUTED_VALUE"""),"")</f>
        <v/>
      </c>
      <c r="V202" t="str">
        <f>IFERROR(__xludf.DUMMYFUNCTION("""COMPUTED_VALUE"""),"")</f>
        <v/>
      </c>
      <c r="W202" t="str">
        <f>IFERROR(__xludf.DUMMYFUNCTION("""COMPUTED_VALUE"""),"")</f>
        <v/>
      </c>
      <c r="X202" t="str">
        <f>IFERROR(__xludf.DUMMYFUNCTION("""COMPUTED_VALUE"""),"")</f>
        <v/>
      </c>
      <c r="Y202" t="str">
        <f>IFERROR(__xludf.DUMMYFUNCTION("""COMPUTED_VALUE"""),"")</f>
        <v/>
      </c>
      <c r="Z202" t="str">
        <f>IFERROR(__xludf.DUMMYFUNCTION("""COMPUTED_VALUE"""),"")</f>
        <v/>
      </c>
      <c r="AA202" t="str">
        <f>IFERROR(__xludf.DUMMYFUNCTION("""COMPUTED_VALUE"""),"")</f>
        <v/>
      </c>
      <c r="AB202" t="str">
        <f>IFERROR(__xludf.DUMMYFUNCTION("""COMPUTED_VALUE"""),"")</f>
        <v/>
      </c>
      <c r="AC202" t="str">
        <f>IFERROR(__xludf.DUMMYFUNCTION("""COMPUTED_VALUE"""),"")</f>
        <v/>
      </c>
      <c r="AD202" t="str">
        <f>IFERROR(__xludf.DUMMYFUNCTION("""COMPUTED_VALUE"""),"")</f>
        <v/>
      </c>
      <c r="AE202" s="460" t="str">
        <f>IFERROR(__xludf.DUMMYFUNCTION("""COMPUTED_VALUE"""),"")</f>
        <v/>
      </c>
      <c r="AF202" s="372" t="str">
        <f>IFERROR(__xludf.DUMMYFUNCTION("""COMPUTED_VALUE"""),"")</f>
        <v/>
      </c>
    </row>
    <row r="203" ht="16.5" customHeight="1">
      <c r="C203" s="204"/>
      <c r="D203" s="238">
        <f>IFERROR(__xludf.DUMMYFUNCTION("""COMPUTED_VALUE"""),4.0)</f>
        <v>4</v>
      </c>
      <c r="E203" s="240" t="str">
        <f>IFERROR(__xludf.DUMMYFUNCTION("""COMPUTED_VALUE"""),"SMS6")</f>
        <v>SMS6</v>
      </c>
      <c r="F203" s="242" t="str">
        <f>IFERROR(__xludf.DUMMYFUNCTION("""COMPUTED_VALUE"""),"Shimosa")</f>
        <v>Shimosa</v>
      </c>
      <c r="G203" s="244" t="str">
        <f>IFERROR(__xludf.DUMMYFUNCTION("""COMPUTED_VALUE"""),"Toke Castle")</f>
        <v>Toke Castle</v>
      </c>
      <c r="H203" s="246">
        <f>IFERROR(__xludf.DUMMYFUNCTION("""COMPUTED_VALUE"""),21.0)</f>
        <v>21</v>
      </c>
      <c r="I203" s="248">
        <f>IFERROR(__xludf.DUMMYFUNCTION("""COMPUTED_VALUE"""),49.70238095238095)</f>
        <v>49.70238095</v>
      </c>
      <c r="J203" s="250">
        <f>IFERROR(__xludf.DUMMYFUNCTION("""COMPUTED_VALUE"""),223.8)</f>
        <v>223.8</v>
      </c>
      <c r="K203" s="252" t="str">
        <f>IFERROR(__xludf.DUMMYFUNCTION("""COMPUTED_VALUE"""),"AP")</f>
        <v>AP</v>
      </c>
      <c r="L203" s="250">
        <f>IFERROR(__xludf.DUMMYFUNCTION("""COMPUTED_VALUE"""),9.4)</f>
        <v>9.4</v>
      </c>
      <c r="M203" s="252" t="str">
        <f>IFERROR(__xludf.DUMMYFUNCTION("""COMPUTED_VALUE"""),"％")</f>
        <v>％</v>
      </c>
      <c r="N203" s="246">
        <f>IFERROR(__xludf.DUMMYFUNCTION("""COMPUTED_VALUE"""),2163.0)</f>
        <v>2163</v>
      </c>
      <c r="O203" s="217"/>
      <c r="P203" s="371" t="str">
        <f>IFERROR(__xludf.DUMMYFUNCTION("""COMPUTED_VALUE"""),"")</f>
        <v/>
      </c>
      <c r="Q203" s="458" t="str">
        <f>IFERROR(__xludf.DUMMYFUNCTION("""COMPUTED_VALUE"""),"")</f>
        <v/>
      </c>
      <c r="R203" s="459" t="str">
        <f>IFERROR(__xludf.DUMMYFUNCTION("""COMPUTED_VALUE"""),"")</f>
        <v/>
      </c>
      <c r="S203" s="459" t="str">
        <f>IFERROR(__xludf.DUMMYFUNCTION("""COMPUTED_VALUE"""),"")</f>
        <v/>
      </c>
      <c r="T203" t="str">
        <f>IFERROR(__xludf.DUMMYFUNCTION("""COMPUTED_VALUE"""),"")</f>
        <v/>
      </c>
      <c r="U203" t="str">
        <f>IFERROR(__xludf.DUMMYFUNCTION("""COMPUTED_VALUE"""),"")</f>
        <v/>
      </c>
      <c r="V203" t="str">
        <f>IFERROR(__xludf.DUMMYFUNCTION("""COMPUTED_VALUE"""),"")</f>
        <v/>
      </c>
      <c r="W203" t="str">
        <f>IFERROR(__xludf.DUMMYFUNCTION("""COMPUTED_VALUE"""),"")</f>
        <v/>
      </c>
      <c r="X203" t="str">
        <f>IFERROR(__xludf.DUMMYFUNCTION("""COMPUTED_VALUE"""),"")</f>
        <v/>
      </c>
      <c r="Y203" t="str">
        <f>IFERROR(__xludf.DUMMYFUNCTION("""COMPUTED_VALUE"""),"")</f>
        <v/>
      </c>
      <c r="Z203" t="str">
        <f>IFERROR(__xludf.DUMMYFUNCTION("""COMPUTED_VALUE"""),"")</f>
        <v/>
      </c>
      <c r="AA203" t="str">
        <f>IFERROR(__xludf.DUMMYFUNCTION("""COMPUTED_VALUE"""),"")</f>
        <v/>
      </c>
      <c r="AB203" t="str">
        <f>IFERROR(__xludf.DUMMYFUNCTION("""COMPUTED_VALUE"""),"")</f>
        <v/>
      </c>
      <c r="AC203" t="str">
        <f>IFERROR(__xludf.DUMMYFUNCTION("""COMPUTED_VALUE"""),"")</f>
        <v/>
      </c>
      <c r="AD203" t="str">
        <f>IFERROR(__xludf.DUMMYFUNCTION("""COMPUTED_VALUE"""),"")</f>
        <v/>
      </c>
      <c r="AE203" s="460" t="str">
        <f>IFERROR(__xludf.DUMMYFUNCTION("""COMPUTED_VALUE"""),"")</f>
        <v/>
      </c>
      <c r="AF203" s="372" t="str">
        <f>IFERROR(__xludf.DUMMYFUNCTION("""COMPUTED_VALUE"""),"")</f>
        <v/>
      </c>
    </row>
    <row r="204" ht="16.5" customHeight="1">
      <c r="A204" s="166"/>
      <c r="C204" s="255"/>
      <c r="D204" s="256">
        <f>IFERROR(__xludf.DUMMYFUNCTION("""COMPUTED_VALUE"""),5.0)</f>
        <v>5</v>
      </c>
      <c r="E204" s="257" t="str">
        <f>IFERROR(__xludf.DUMMYFUNCTION("""COMPUTED_VALUE"""),"")</f>
        <v/>
      </c>
      <c r="F204" s="42" t="str">
        <f>IFERROR(__xludf.DUMMYFUNCTION("""COMPUTED_VALUE"""),"")</f>
        <v/>
      </c>
      <c r="G204" s="42" t="str">
        <f>IFERROR(__xludf.DUMMYFUNCTION("""COMPUTED_VALUE"""),"")</f>
        <v/>
      </c>
      <c r="H204" s="259" t="str">
        <f>IFERROR(__xludf.DUMMYFUNCTION("""COMPUTED_VALUE"""),"")</f>
        <v/>
      </c>
      <c r="I204" s="260" t="str">
        <f>IFERROR(__xludf.DUMMYFUNCTION("""COMPUTED_VALUE"""),"")</f>
        <v/>
      </c>
      <c r="J204" s="261" t="str">
        <f>IFERROR(__xludf.DUMMYFUNCTION("""COMPUTED_VALUE"""),"")</f>
        <v/>
      </c>
      <c r="K204" s="262" t="str">
        <f>IFERROR(__xludf.DUMMYFUNCTION("""COMPUTED_VALUE"""),"AP")</f>
        <v>AP</v>
      </c>
      <c r="L204" s="261" t="str">
        <f>IFERROR(__xludf.DUMMYFUNCTION("""COMPUTED_VALUE"""),"")</f>
        <v/>
      </c>
      <c r="M204" s="262" t="str">
        <f>IFERROR(__xludf.DUMMYFUNCTION("""COMPUTED_VALUE"""),"％")</f>
        <v>％</v>
      </c>
      <c r="N204" s="259" t="str">
        <f>IFERROR(__xludf.DUMMYFUNCTION("""COMPUTED_VALUE"""),"")</f>
        <v/>
      </c>
      <c r="O204" s="263"/>
      <c r="P204" s="371" t="str">
        <f>IFERROR(__xludf.DUMMYFUNCTION("""COMPUTED_VALUE"""),"")</f>
        <v/>
      </c>
      <c r="Q204" s="458" t="str">
        <f>IFERROR(__xludf.DUMMYFUNCTION("""COMPUTED_VALUE"""),"")</f>
        <v/>
      </c>
      <c r="R204" s="459" t="str">
        <f>IFERROR(__xludf.DUMMYFUNCTION("""COMPUTED_VALUE"""),"")</f>
        <v/>
      </c>
      <c r="S204" s="459" t="str">
        <f>IFERROR(__xludf.DUMMYFUNCTION("""COMPUTED_VALUE"""),"")</f>
        <v/>
      </c>
      <c r="T204" t="str">
        <f>IFERROR(__xludf.DUMMYFUNCTION("""COMPUTED_VALUE"""),"")</f>
        <v/>
      </c>
      <c r="U204" t="str">
        <f>IFERROR(__xludf.DUMMYFUNCTION("""COMPUTED_VALUE"""),"")</f>
        <v/>
      </c>
      <c r="V204" t="str">
        <f>IFERROR(__xludf.DUMMYFUNCTION("""COMPUTED_VALUE"""),"")</f>
        <v/>
      </c>
      <c r="W204" t="str">
        <f>IFERROR(__xludf.DUMMYFUNCTION("""COMPUTED_VALUE"""),"")</f>
        <v/>
      </c>
      <c r="X204" t="str">
        <f>IFERROR(__xludf.DUMMYFUNCTION("""COMPUTED_VALUE"""),"")</f>
        <v/>
      </c>
      <c r="Y204" t="str">
        <f>IFERROR(__xludf.DUMMYFUNCTION("""COMPUTED_VALUE"""),"")</f>
        <v/>
      </c>
      <c r="Z204" t="str">
        <f>IFERROR(__xludf.DUMMYFUNCTION("""COMPUTED_VALUE"""),"")</f>
        <v/>
      </c>
      <c r="AA204" t="str">
        <f>IFERROR(__xludf.DUMMYFUNCTION("""COMPUTED_VALUE"""),"")</f>
        <v/>
      </c>
      <c r="AB204" t="str">
        <f>IFERROR(__xludf.DUMMYFUNCTION("""COMPUTED_VALUE"""),"")</f>
        <v/>
      </c>
      <c r="AC204" t="str">
        <f>IFERROR(__xludf.DUMMYFUNCTION("""COMPUTED_VALUE"""),"")</f>
        <v/>
      </c>
      <c r="AD204" t="str">
        <f>IFERROR(__xludf.DUMMYFUNCTION("""COMPUTED_VALUE"""),"")</f>
        <v/>
      </c>
      <c r="AE204" s="460" t="str">
        <f>IFERROR(__xludf.DUMMYFUNCTION("""COMPUTED_VALUE"""),"")</f>
        <v/>
      </c>
      <c r="AF204" s="372" t="str">
        <f>IFERROR(__xludf.DUMMYFUNCTION("""COMPUTED_VALUE"""),"")</f>
        <v/>
      </c>
    </row>
    <row r="205" ht="16.5" customHeight="1">
      <c r="A205" s="61" t="str">
        <f>IFERROR(__xludf.DUMMYFUNCTION("""COMPUTED_VALUE"""),"")</f>
        <v/>
      </c>
      <c r="B205" s="367" t="str">
        <f>IFERROR(__xludf.DUMMYFUNCTION("""COMPUTED_VALUE"""),"A113")</f>
        <v>A113</v>
      </c>
      <c r="C205" s="65" t="str">
        <f>IFERROR(__xludf.DUMMYFUNCTION("""COMPUTED_VALUE"""),"Dawnlight Reactor Core")</f>
        <v>Dawnlight Reactor Core</v>
      </c>
      <c r="D205" s="67">
        <f>IFERROR(__xludf.DUMMYFUNCTION("""COMPUTED_VALUE"""),1.0)</f>
        <v>1</v>
      </c>
      <c r="E205" s="69" t="str">
        <f>IFERROR(__xludf.DUMMYFUNCTION("""COMPUTED_VALUE"""),"SIN7")</f>
        <v>SIN7</v>
      </c>
      <c r="F205" s="71" t="str">
        <f>IFERROR(__xludf.DUMMYFUNCTION("""COMPUTED_VALUE"""),"SIN")</f>
        <v>SIN</v>
      </c>
      <c r="G205" s="78" t="str">
        <f>IFERROR(__xludf.DUMMYFUNCTION("""COMPUTED_VALUE"""),"Detention Centre")</f>
        <v>Detention Centre</v>
      </c>
      <c r="H205" s="80">
        <f>IFERROR(__xludf.DUMMYFUNCTION("""COMPUTED_VALUE"""),21.0)</f>
        <v>21</v>
      </c>
      <c r="I205" s="82">
        <f>IFERROR(__xludf.DUMMYFUNCTION("""COMPUTED_VALUE"""),48.51190476190476)</f>
        <v>48.51190476</v>
      </c>
      <c r="J205" s="84">
        <f>IFERROR(__xludf.DUMMYFUNCTION("""COMPUTED_VALUE"""),103.6)</f>
        <v>103.6</v>
      </c>
      <c r="K205" s="86" t="str">
        <f>IFERROR(__xludf.DUMMYFUNCTION("""COMPUTED_VALUE"""),"AP")</f>
        <v>AP</v>
      </c>
      <c r="L205" s="88">
        <f>IFERROR(__xludf.DUMMYFUNCTION("""COMPUTED_VALUE"""),20.3)</f>
        <v>20.3</v>
      </c>
      <c r="M205" s="86" t="str">
        <f>IFERROR(__xludf.DUMMYFUNCTION("""COMPUTED_VALUE"""),"％")</f>
        <v>％</v>
      </c>
      <c r="N205" s="80">
        <f>IFERROR(__xludf.DUMMYFUNCTION("""COMPUTED_VALUE"""),57337.0)</f>
        <v>57337</v>
      </c>
      <c r="O205" s="91" t="str">
        <f>IFERROR(__xludf.DUMMYFUNCTION("""COMPUTED_VALUE"""),"Dawnlight Reactor Core")</f>
        <v>Dawnlight Reactor Core</v>
      </c>
      <c r="P205" s="371" t="str">
        <f>IFERROR(__xludf.DUMMYFUNCTION("""COMPUTED_VALUE"""),"")</f>
        <v/>
      </c>
      <c r="Q205" s="458" t="str">
        <f>IFERROR(__xludf.DUMMYFUNCTION("""COMPUTED_VALUE"""),"")</f>
        <v/>
      </c>
      <c r="R205" s="459" t="str">
        <f>IFERROR(__xludf.DUMMYFUNCTION("""COMPUTED_VALUE"""),"")</f>
        <v/>
      </c>
      <c r="S205" s="459" t="str">
        <f>IFERROR(__xludf.DUMMYFUNCTION("""COMPUTED_VALUE"""),"")</f>
        <v/>
      </c>
      <c r="T205" t="str">
        <f>IFERROR(__xludf.DUMMYFUNCTION("""COMPUTED_VALUE"""),"")</f>
        <v/>
      </c>
      <c r="U205" t="str">
        <f>IFERROR(__xludf.DUMMYFUNCTION("""COMPUTED_VALUE"""),"")</f>
        <v/>
      </c>
      <c r="V205" t="str">
        <f>IFERROR(__xludf.DUMMYFUNCTION("""COMPUTED_VALUE"""),"")</f>
        <v/>
      </c>
      <c r="W205" t="str">
        <f>IFERROR(__xludf.DUMMYFUNCTION("""COMPUTED_VALUE"""),"")</f>
        <v/>
      </c>
      <c r="X205" t="str">
        <f>IFERROR(__xludf.DUMMYFUNCTION("""COMPUTED_VALUE"""),"")</f>
        <v/>
      </c>
      <c r="Y205" t="str">
        <f>IFERROR(__xludf.DUMMYFUNCTION("""COMPUTED_VALUE"""),"")</f>
        <v/>
      </c>
      <c r="Z205" t="str">
        <f>IFERROR(__xludf.DUMMYFUNCTION("""COMPUTED_VALUE"""),"")</f>
        <v/>
      </c>
      <c r="AA205" t="str">
        <f>IFERROR(__xludf.DUMMYFUNCTION("""COMPUTED_VALUE"""),"")</f>
        <v/>
      </c>
      <c r="AB205" t="str">
        <f>IFERROR(__xludf.DUMMYFUNCTION("""COMPUTED_VALUE"""),"")</f>
        <v/>
      </c>
      <c r="AC205" t="str">
        <f>IFERROR(__xludf.DUMMYFUNCTION("""COMPUTED_VALUE"""),"")</f>
        <v/>
      </c>
      <c r="AD205" t="str">
        <f>IFERROR(__xludf.DUMMYFUNCTION("""COMPUTED_VALUE"""),"")</f>
        <v/>
      </c>
      <c r="AE205" s="460" t="str">
        <f>IFERROR(__xludf.DUMMYFUNCTION("""COMPUTED_VALUE"""),"")</f>
        <v/>
      </c>
      <c r="AF205" s="372" t="str">
        <f>IFERROR(__xludf.DUMMYFUNCTION("""COMPUTED_VALUE"""),"")</f>
        <v/>
      </c>
    </row>
    <row r="206" ht="16.5" customHeight="1">
      <c r="C206" s="100"/>
      <c r="D206" s="102">
        <f>IFERROR(__xludf.DUMMYFUNCTION("""COMPUTED_VALUE"""),2.0)</f>
        <v>2</v>
      </c>
      <c r="E206" s="103" t="str">
        <f>IFERROR(__xludf.DUMMYFUNCTION("""COMPUTED_VALUE"""),"SIN8")</f>
        <v>SIN8</v>
      </c>
      <c r="F206" s="104" t="str">
        <f>IFERROR(__xludf.DUMMYFUNCTION("""COMPUTED_VALUE"""),"SIN")</f>
        <v>SIN</v>
      </c>
      <c r="G206" s="108" t="str">
        <f>IFERROR(__xludf.DUMMYFUNCTION("""COMPUTED_VALUE"""),"Shiquan Gorge")</f>
        <v>Shiquan Gorge</v>
      </c>
      <c r="H206" s="109">
        <f>IFERROR(__xludf.DUMMYFUNCTION("""COMPUTED_VALUE"""),21.0)</f>
        <v>21</v>
      </c>
      <c r="I206" s="110">
        <f>IFERROR(__xludf.DUMMYFUNCTION("""COMPUTED_VALUE"""),49.70238095238095)</f>
        <v>49.70238095</v>
      </c>
      <c r="J206" s="112">
        <f>IFERROR(__xludf.DUMMYFUNCTION("""COMPUTED_VALUE"""),105.1)</f>
        <v>105.1</v>
      </c>
      <c r="K206" s="121" t="str">
        <f>IFERROR(__xludf.DUMMYFUNCTION("""COMPUTED_VALUE"""),"AP")</f>
        <v>AP</v>
      </c>
      <c r="L206" s="123">
        <f>IFERROR(__xludf.DUMMYFUNCTION("""COMPUTED_VALUE"""),20.0)</f>
        <v>20</v>
      </c>
      <c r="M206" s="121" t="str">
        <f>IFERROR(__xludf.DUMMYFUNCTION("""COMPUTED_VALUE"""),"％")</f>
        <v>％</v>
      </c>
      <c r="N206" s="109">
        <f>IFERROR(__xludf.DUMMYFUNCTION("""COMPUTED_VALUE"""),9582.0)</f>
        <v>9582</v>
      </c>
      <c r="O206" s="100"/>
      <c r="P206" s="371" t="str">
        <f>IFERROR(__xludf.DUMMYFUNCTION("""COMPUTED_VALUE"""),"")</f>
        <v/>
      </c>
      <c r="Q206" s="458" t="str">
        <f>IFERROR(__xludf.DUMMYFUNCTION("""COMPUTED_VALUE"""),"")</f>
        <v/>
      </c>
      <c r="R206" s="459" t="str">
        <f>IFERROR(__xludf.DUMMYFUNCTION("""COMPUTED_VALUE"""),"")</f>
        <v/>
      </c>
      <c r="S206" s="459" t="str">
        <f>IFERROR(__xludf.DUMMYFUNCTION("""COMPUTED_VALUE"""),"")</f>
        <v/>
      </c>
      <c r="T206" t="str">
        <f>IFERROR(__xludf.DUMMYFUNCTION("""COMPUTED_VALUE"""),"")</f>
        <v/>
      </c>
      <c r="U206" t="str">
        <f>IFERROR(__xludf.DUMMYFUNCTION("""COMPUTED_VALUE"""),"")</f>
        <v/>
      </c>
      <c r="V206" t="str">
        <f>IFERROR(__xludf.DUMMYFUNCTION("""COMPUTED_VALUE"""),"")</f>
        <v/>
      </c>
      <c r="W206" t="str">
        <f>IFERROR(__xludf.DUMMYFUNCTION("""COMPUTED_VALUE"""),"")</f>
        <v/>
      </c>
      <c r="X206" t="str">
        <f>IFERROR(__xludf.DUMMYFUNCTION("""COMPUTED_VALUE"""),"")</f>
        <v/>
      </c>
      <c r="Y206" t="str">
        <f>IFERROR(__xludf.DUMMYFUNCTION("""COMPUTED_VALUE"""),"")</f>
        <v/>
      </c>
      <c r="Z206" t="str">
        <f>IFERROR(__xludf.DUMMYFUNCTION("""COMPUTED_VALUE"""),"")</f>
        <v/>
      </c>
      <c r="AA206" t="str">
        <f>IFERROR(__xludf.DUMMYFUNCTION("""COMPUTED_VALUE"""),"")</f>
        <v/>
      </c>
      <c r="AB206" t="str">
        <f>IFERROR(__xludf.DUMMYFUNCTION("""COMPUTED_VALUE"""),"")</f>
        <v/>
      </c>
      <c r="AC206" t="str">
        <f>IFERROR(__xludf.DUMMYFUNCTION("""COMPUTED_VALUE"""),"")</f>
        <v/>
      </c>
      <c r="AD206" t="str">
        <f>IFERROR(__xludf.DUMMYFUNCTION("""COMPUTED_VALUE"""),"")</f>
        <v/>
      </c>
      <c r="AE206" s="460" t="str">
        <f>IFERROR(__xludf.DUMMYFUNCTION("""COMPUTED_VALUE"""),"")</f>
        <v/>
      </c>
      <c r="AF206" s="372" t="str">
        <f>IFERROR(__xludf.DUMMYFUNCTION("""COMPUTED_VALUE"""),"")</f>
        <v/>
      </c>
    </row>
    <row r="207" ht="16.5" customHeight="1">
      <c r="C207" s="100"/>
      <c r="D207" s="130">
        <f>IFERROR(__xludf.DUMMYFUNCTION("""COMPUTED_VALUE"""),3.0)</f>
        <v>3</v>
      </c>
      <c r="E207" s="132" t="str">
        <f>IFERROR(__xludf.DUMMYFUNCTION("""COMPUTED_VALUE"""),"SIN5")</f>
        <v>SIN5</v>
      </c>
      <c r="F207" s="133" t="str">
        <f>IFERROR(__xludf.DUMMYFUNCTION("""COMPUTED_VALUE"""),"SIN")</f>
        <v>SIN</v>
      </c>
      <c r="G207" s="135" t="str">
        <f>IFERROR(__xludf.DUMMYFUNCTION("""COMPUTED_VALUE"""),"Jing Yangyuan")</f>
        <v>Jing Yangyuan</v>
      </c>
      <c r="H207" s="137">
        <f>IFERROR(__xludf.DUMMYFUNCTION("""COMPUTED_VALUE"""),21.0)</f>
        <v>21</v>
      </c>
      <c r="I207" s="139">
        <f>IFERROR(__xludf.DUMMYFUNCTION("""COMPUTED_VALUE"""),47.32142857142857)</f>
        <v>47.32142857</v>
      </c>
      <c r="J207" s="141">
        <f>IFERROR(__xludf.DUMMYFUNCTION("""COMPUTED_VALUE"""),131.6)</f>
        <v>131.6</v>
      </c>
      <c r="K207" s="143" t="str">
        <f>IFERROR(__xludf.DUMMYFUNCTION("""COMPUTED_VALUE"""),"AP")</f>
        <v>AP</v>
      </c>
      <c r="L207" s="145">
        <f>IFERROR(__xludf.DUMMYFUNCTION("""COMPUTED_VALUE"""),15.9999999999999)</f>
        <v>16</v>
      </c>
      <c r="M207" s="143" t="str">
        <f>IFERROR(__xludf.DUMMYFUNCTION("""COMPUTED_VALUE"""),"％")</f>
        <v>％</v>
      </c>
      <c r="N207" s="137">
        <f>IFERROR(__xludf.DUMMYFUNCTION("""COMPUTED_VALUE"""),3985.0)</f>
        <v>3985</v>
      </c>
      <c r="O207" s="100"/>
      <c r="P207" s="371" t="str">
        <f>IFERROR(__xludf.DUMMYFUNCTION("""COMPUTED_VALUE"""),"")</f>
        <v/>
      </c>
      <c r="Q207" s="458" t="str">
        <f>IFERROR(__xludf.DUMMYFUNCTION("""COMPUTED_VALUE"""),"")</f>
        <v/>
      </c>
      <c r="R207" s="459" t="str">
        <f>IFERROR(__xludf.DUMMYFUNCTION("""COMPUTED_VALUE"""),"")</f>
        <v/>
      </c>
      <c r="S207" s="459" t="str">
        <f>IFERROR(__xludf.DUMMYFUNCTION("""COMPUTED_VALUE"""),"")</f>
        <v/>
      </c>
      <c r="T207" t="str">
        <f>IFERROR(__xludf.DUMMYFUNCTION("""COMPUTED_VALUE"""),"")</f>
        <v/>
      </c>
      <c r="U207" t="str">
        <f>IFERROR(__xludf.DUMMYFUNCTION("""COMPUTED_VALUE"""),"")</f>
        <v/>
      </c>
      <c r="V207" t="str">
        <f>IFERROR(__xludf.DUMMYFUNCTION("""COMPUTED_VALUE"""),"")</f>
        <v/>
      </c>
      <c r="W207" t="str">
        <f>IFERROR(__xludf.DUMMYFUNCTION("""COMPUTED_VALUE"""),"")</f>
        <v/>
      </c>
      <c r="X207" t="str">
        <f>IFERROR(__xludf.DUMMYFUNCTION("""COMPUTED_VALUE"""),"")</f>
        <v/>
      </c>
      <c r="Y207" t="str">
        <f>IFERROR(__xludf.DUMMYFUNCTION("""COMPUTED_VALUE"""),"")</f>
        <v/>
      </c>
      <c r="Z207" t="str">
        <f>IFERROR(__xludf.DUMMYFUNCTION("""COMPUTED_VALUE"""),"")</f>
        <v/>
      </c>
      <c r="AA207" t="str">
        <f>IFERROR(__xludf.DUMMYFUNCTION("""COMPUTED_VALUE"""),"")</f>
        <v/>
      </c>
      <c r="AB207" t="str">
        <f>IFERROR(__xludf.DUMMYFUNCTION("""COMPUTED_VALUE"""),"")</f>
        <v/>
      </c>
      <c r="AC207" t="str">
        <f>IFERROR(__xludf.DUMMYFUNCTION("""COMPUTED_VALUE"""),"")</f>
        <v/>
      </c>
      <c r="AD207" t="str">
        <f>IFERROR(__xludf.DUMMYFUNCTION("""COMPUTED_VALUE"""),"")</f>
        <v/>
      </c>
      <c r="AE207" s="460" t="str">
        <f>IFERROR(__xludf.DUMMYFUNCTION("""COMPUTED_VALUE"""),"")</f>
        <v/>
      </c>
      <c r="AF207" s="372" t="str">
        <f>IFERROR(__xludf.DUMMYFUNCTION("""COMPUTED_VALUE"""),"")</f>
        <v/>
      </c>
    </row>
    <row r="208" ht="16.5" customHeight="1">
      <c r="C208" s="100"/>
      <c r="D208" s="146">
        <f>IFERROR(__xludf.DUMMYFUNCTION("""COMPUTED_VALUE"""),4.0)</f>
        <v>4</v>
      </c>
      <c r="E208" s="148" t="str">
        <f>IFERROR(__xludf.DUMMYFUNCTION("""COMPUTED_VALUE"""),"SIN10")</f>
        <v>SIN10</v>
      </c>
      <c r="F208" s="150" t="str">
        <f>IFERROR(__xludf.DUMMYFUNCTION("""COMPUTED_VALUE"""),"SIN")</f>
        <v>SIN</v>
      </c>
      <c r="G208" s="152" t="str">
        <f>IFERROR(__xludf.DUMMYFUNCTION("""COMPUTED_VALUE"""),"Xianyang")</f>
        <v>Xianyang</v>
      </c>
      <c r="H208" s="154">
        <f>IFERROR(__xludf.DUMMYFUNCTION("""COMPUTED_VALUE"""),21.0)</f>
        <v>21</v>
      </c>
      <c r="I208" s="156">
        <f>IFERROR(__xludf.DUMMYFUNCTION("""COMPUTED_VALUE"""),50.892857142857146)</f>
        <v>50.89285714</v>
      </c>
      <c r="J208" s="158">
        <f>IFERROR(__xludf.DUMMYFUNCTION("""COMPUTED_VALUE"""),131.9)</f>
        <v>131.9</v>
      </c>
      <c r="K208" s="160" t="str">
        <f>IFERROR(__xludf.DUMMYFUNCTION("""COMPUTED_VALUE"""),"AP")</f>
        <v>AP</v>
      </c>
      <c r="L208" s="162">
        <f>IFERROR(__xludf.DUMMYFUNCTION("""COMPUTED_VALUE"""),15.9)</f>
        <v>15.9</v>
      </c>
      <c r="M208" s="160" t="str">
        <f>IFERROR(__xludf.DUMMYFUNCTION("""COMPUTED_VALUE"""),"％")</f>
        <v>％</v>
      </c>
      <c r="N208" s="154">
        <f>IFERROR(__xludf.DUMMYFUNCTION("""COMPUTED_VALUE"""),7993.0)</f>
        <v>7993</v>
      </c>
      <c r="O208" s="100"/>
      <c r="P208" s="371" t="str">
        <f>IFERROR(__xludf.DUMMYFUNCTION("""COMPUTED_VALUE"""),"")</f>
        <v/>
      </c>
      <c r="Q208" s="458" t="str">
        <f>IFERROR(__xludf.DUMMYFUNCTION("""COMPUTED_VALUE"""),"")</f>
        <v/>
      </c>
      <c r="R208" s="459" t="str">
        <f>IFERROR(__xludf.DUMMYFUNCTION("""COMPUTED_VALUE"""),"")</f>
        <v/>
      </c>
      <c r="S208" s="459" t="str">
        <f>IFERROR(__xludf.DUMMYFUNCTION("""COMPUTED_VALUE"""),"")</f>
        <v/>
      </c>
      <c r="T208" t="str">
        <f>IFERROR(__xludf.DUMMYFUNCTION("""COMPUTED_VALUE"""),"")</f>
        <v/>
      </c>
      <c r="U208" t="str">
        <f>IFERROR(__xludf.DUMMYFUNCTION("""COMPUTED_VALUE"""),"")</f>
        <v/>
      </c>
      <c r="V208" t="str">
        <f>IFERROR(__xludf.DUMMYFUNCTION("""COMPUTED_VALUE"""),"")</f>
        <v/>
      </c>
      <c r="W208" t="str">
        <f>IFERROR(__xludf.DUMMYFUNCTION("""COMPUTED_VALUE"""),"")</f>
        <v/>
      </c>
      <c r="X208" t="str">
        <f>IFERROR(__xludf.DUMMYFUNCTION("""COMPUTED_VALUE"""),"")</f>
        <v/>
      </c>
      <c r="Y208" t="str">
        <f>IFERROR(__xludf.DUMMYFUNCTION("""COMPUTED_VALUE"""),"")</f>
        <v/>
      </c>
      <c r="Z208" t="str">
        <f>IFERROR(__xludf.DUMMYFUNCTION("""COMPUTED_VALUE"""),"")</f>
        <v/>
      </c>
      <c r="AA208" t="str">
        <f>IFERROR(__xludf.DUMMYFUNCTION("""COMPUTED_VALUE"""),"")</f>
        <v/>
      </c>
      <c r="AB208" t="str">
        <f>IFERROR(__xludf.DUMMYFUNCTION("""COMPUTED_VALUE"""),"")</f>
        <v/>
      </c>
      <c r="AC208" t="str">
        <f>IFERROR(__xludf.DUMMYFUNCTION("""COMPUTED_VALUE"""),"")</f>
        <v/>
      </c>
      <c r="AD208" t="str">
        <f>IFERROR(__xludf.DUMMYFUNCTION("""COMPUTED_VALUE"""),"")</f>
        <v/>
      </c>
      <c r="AE208" s="460" t="str">
        <f>IFERROR(__xludf.DUMMYFUNCTION("""COMPUTED_VALUE"""),"")</f>
        <v/>
      </c>
      <c r="AF208" s="372" t="str">
        <f>IFERROR(__xludf.DUMMYFUNCTION("""COMPUTED_VALUE"""),"")</f>
        <v/>
      </c>
    </row>
    <row r="209" ht="16.5" customHeight="1">
      <c r="A209" s="166"/>
      <c r="C209" s="168"/>
      <c r="D209" s="169">
        <f>IFERROR(__xludf.DUMMYFUNCTION("""COMPUTED_VALUE"""),5.0)</f>
        <v>5</v>
      </c>
      <c r="E209" s="170" t="str">
        <f>IFERROR(__xludf.DUMMYFUNCTION("""COMPUTED_VALUE"""),"SIN6")</f>
        <v>SIN6</v>
      </c>
      <c r="F209" s="51" t="str">
        <f>IFERROR(__xludf.DUMMYFUNCTION("""COMPUTED_VALUE"""),"SIN")</f>
        <v>SIN</v>
      </c>
      <c r="G209" s="171" t="str">
        <f>IFERROR(__xludf.DUMMYFUNCTION("""COMPUTED_VALUE"""),"Shenyang Knoll")</f>
        <v>Shenyang Knoll</v>
      </c>
      <c r="H209" s="172">
        <f>IFERROR(__xludf.DUMMYFUNCTION("""COMPUTED_VALUE"""),21.0)</f>
        <v>21</v>
      </c>
      <c r="I209" s="173">
        <f>IFERROR(__xludf.DUMMYFUNCTION("""COMPUTED_VALUE"""),48.51190476190476)</f>
        <v>48.51190476</v>
      </c>
      <c r="J209" s="174">
        <f>IFERROR(__xludf.DUMMYFUNCTION("""COMPUTED_VALUE"""),143.6)</f>
        <v>143.6</v>
      </c>
      <c r="K209" s="175" t="str">
        <f>IFERROR(__xludf.DUMMYFUNCTION("""COMPUTED_VALUE"""),"AP")</f>
        <v>AP</v>
      </c>
      <c r="L209" s="176">
        <f>IFERROR(__xludf.DUMMYFUNCTION("""COMPUTED_VALUE"""),14.6)</f>
        <v>14.6</v>
      </c>
      <c r="M209" s="175" t="str">
        <f>IFERROR(__xludf.DUMMYFUNCTION("""COMPUTED_VALUE"""),"％")</f>
        <v>％</v>
      </c>
      <c r="N209" s="172">
        <f>IFERROR(__xludf.DUMMYFUNCTION("""COMPUTED_VALUE"""),2331.0)</f>
        <v>2331</v>
      </c>
      <c r="O209" s="168"/>
      <c r="P209" s="371" t="str">
        <f>IFERROR(__xludf.DUMMYFUNCTION("""COMPUTED_VALUE"""),"")</f>
        <v/>
      </c>
      <c r="Q209" s="458" t="str">
        <f>IFERROR(__xludf.DUMMYFUNCTION("""COMPUTED_VALUE"""),"")</f>
        <v/>
      </c>
      <c r="R209" s="459" t="str">
        <f>IFERROR(__xludf.DUMMYFUNCTION("""COMPUTED_VALUE"""),"")</f>
        <v/>
      </c>
      <c r="S209" s="459" t="str">
        <f>IFERROR(__xludf.DUMMYFUNCTION("""COMPUTED_VALUE"""),"")</f>
        <v/>
      </c>
      <c r="T209" t="str">
        <f>IFERROR(__xludf.DUMMYFUNCTION("""COMPUTED_VALUE"""),"")</f>
        <v/>
      </c>
      <c r="U209" t="str">
        <f>IFERROR(__xludf.DUMMYFUNCTION("""COMPUTED_VALUE"""),"")</f>
        <v/>
      </c>
      <c r="V209" t="str">
        <f>IFERROR(__xludf.DUMMYFUNCTION("""COMPUTED_VALUE"""),"")</f>
        <v/>
      </c>
      <c r="W209" t="str">
        <f>IFERROR(__xludf.DUMMYFUNCTION("""COMPUTED_VALUE"""),"")</f>
        <v/>
      </c>
      <c r="X209" t="str">
        <f>IFERROR(__xludf.DUMMYFUNCTION("""COMPUTED_VALUE"""),"")</f>
        <v/>
      </c>
      <c r="Y209" t="str">
        <f>IFERROR(__xludf.DUMMYFUNCTION("""COMPUTED_VALUE"""),"")</f>
        <v/>
      </c>
      <c r="Z209" t="str">
        <f>IFERROR(__xludf.DUMMYFUNCTION("""COMPUTED_VALUE"""),"")</f>
        <v/>
      </c>
      <c r="AA209" t="str">
        <f>IFERROR(__xludf.DUMMYFUNCTION("""COMPUTED_VALUE"""),"")</f>
        <v/>
      </c>
      <c r="AB209" t="str">
        <f>IFERROR(__xludf.DUMMYFUNCTION("""COMPUTED_VALUE"""),"")</f>
        <v/>
      </c>
      <c r="AC209" t="str">
        <f>IFERROR(__xludf.DUMMYFUNCTION("""COMPUTED_VALUE"""),"")</f>
        <v/>
      </c>
      <c r="AD209" t="str">
        <f>IFERROR(__xludf.DUMMYFUNCTION("""COMPUTED_VALUE"""),"")</f>
        <v/>
      </c>
      <c r="AE209" s="460" t="str">
        <f>IFERROR(__xludf.DUMMYFUNCTION("""COMPUTED_VALUE"""),"")</f>
        <v/>
      </c>
      <c r="AF209" s="372" t="str">
        <f>IFERROR(__xludf.DUMMYFUNCTION("""COMPUTED_VALUE"""),"")</f>
        <v/>
      </c>
    </row>
    <row r="210" ht="16.5" customHeight="1">
      <c r="A210" s="61" t="str">
        <f>IFERROR(__xludf.DUMMYFUNCTION("""COMPUTED_VALUE"""),"")</f>
        <v/>
      </c>
      <c r="B210" s="366" t="str">
        <f>IFERROR(__xludf.DUMMYFUNCTION("""COMPUTED_VALUE"""),"A114")</f>
        <v>A114</v>
      </c>
      <c r="C210" s="180" t="str">
        <f>IFERROR(__xludf.DUMMYFUNCTION("""COMPUTED_VALUE"""),"Tsukumo Mirror")</f>
        <v>Tsukumo Mirror</v>
      </c>
      <c r="D210" s="181">
        <f>IFERROR(__xludf.DUMMYFUNCTION("""COMPUTED_VALUE"""),1.0)</f>
        <v>1</v>
      </c>
      <c r="E210" s="182" t="str">
        <f>IFERROR(__xludf.DUMMYFUNCTION("""COMPUTED_VALUE"""),"SMS9")</f>
        <v>SMS9</v>
      </c>
      <c r="F210" s="184" t="str">
        <f>IFERROR(__xludf.DUMMYFUNCTION("""COMPUTED_VALUE"""),"Shimosa")</f>
        <v>Shimosa</v>
      </c>
      <c r="G210" s="189" t="str">
        <f>IFERROR(__xludf.DUMMYFUNCTION("""COMPUTED_VALUE"""),"Rear Mountain (Trembling in Fear)")</f>
        <v>Rear Mountain (Trembling in Fear)</v>
      </c>
      <c r="H210" s="190">
        <f>IFERROR(__xludf.DUMMYFUNCTION("""COMPUTED_VALUE"""),21.0)</f>
        <v>21</v>
      </c>
      <c r="I210" s="191">
        <f>IFERROR(__xludf.DUMMYFUNCTION("""COMPUTED_VALUE"""),50.892857142857146)</f>
        <v>50.89285714</v>
      </c>
      <c r="J210" s="192">
        <f>IFERROR(__xludf.DUMMYFUNCTION("""COMPUTED_VALUE"""),171.2)</f>
        <v>171.2</v>
      </c>
      <c r="K210" s="194" t="str">
        <f>IFERROR(__xludf.DUMMYFUNCTION("""COMPUTED_VALUE"""),"AP")</f>
        <v>AP</v>
      </c>
      <c r="L210" s="192">
        <f>IFERROR(__xludf.DUMMYFUNCTION("""COMPUTED_VALUE"""),12.3)</f>
        <v>12.3</v>
      </c>
      <c r="M210" s="194" t="str">
        <f>IFERROR(__xludf.DUMMYFUNCTION("""COMPUTED_VALUE"""),"％")</f>
        <v>％</v>
      </c>
      <c r="N210" s="190">
        <f>IFERROR(__xludf.DUMMYFUNCTION("""COMPUTED_VALUE"""),18465.0)</f>
        <v>18465</v>
      </c>
      <c r="O210" s="197" t="str">
        <f>IFERROR(__xludf.DUMMYFUNCTION("""COMPUTED_VALUE"""),"Tsukumo Mirror")</f>
        <v>Tsukumo Mirror</v>
      </c>
      <c r="P210" s="371" t="str">
        <f>IFERROR(__xludf.DUMMYFUNCTION("""COMPUTED_VALUE"""),"")</f>
        <v/>
      </c>
      <c r="Q210" s="458" t="str">
        <f>IFERROR(__xludf.DUMMYFUNCTION("""COMPUTED_VALUE"""),"")</f>
        <v/>
      </c>
      <c r="R210" s="459" t="str">
        <f>IFERROR(__xludf.DUMMYFUNCTION("""COMPUTED_VALUE"""),"")</f>
        <v/>
      </c>
      <c r="S210" s="459" t="str">
        <f>IFERROR(__xludf.DUMMYFUNCTION("""COMPUTED_VALUE"""),"")</f>
        <v/>
      </c>
      <c r="T210" t="str">
        <f>IFERROR(__xludf.DUMMYFUNCTION("""COMPUTED_VALUE"""),"")</f>
        <v/>
      </c>
      <c r="U210" t="str">
        <f>IFERROR(__xludf.DUMMYFUNCTION("""COMPUTED_VALUE"""),"")</f>
        <v/>
      </c>
      <c r="V210" t="str">
        <f>IFERROR(__xludf.DUMMYFUNCTION("""COMPUTED_VALUE"""),"")</f>
        <v/>
      </c>
      <c r="W210" t="str">
        <f>IFERROR(__xludf.DUMMYFUNCTION("""COMPUTED_VALUE"""),"")</f>
        <v/>
      </c>
      <c r="X210" t="str">
        <f>IFERROR(__xludf.DUMMYFUNCTION("""COMPUTED_VALUE"""),"")</f>
        <v/>
      </c>
      <c r="Y210" t="str">
        <f>IFERROR(__xludf.DUMMYFUNCTION("""COMPUTED_VALUE"""),"")</f>
        <v/>
      </c>
      <c r="Z210" t="str">
        <f>IFERROR(__xludf.DUMMYFUNCTION("""COMPUTED_VALUE"""),"")</f>
        <v/>
      </c>
      <c r="AA210" t="str">
        <f>IFERROR(__xludf.DUMMYFUNCTION("""COMPUTED_VALUE"""),"")</f>
        <v/>
      </c>
      <c r="AB210" t="str">
        <f>IFERROR(__xludf.DUMMYFUNCTION("""COMPUTED_VALUE"""),"")</f>
        <v/>
      </c>
      <c r="AC210" t="str">
        <f>IFERROR(__xludf.DUMMYFUNCTION("""COMPUTED_VALUE"""),"")</f>
        <v/>
      </c>
      <c r="AD210" t="str">
        <f>IFERROR(__xludf.DUMMYFUNCTION("""COMPUTED_VALUE"""),"")</f>
        <v/>
      </c>
      <c r="AE210" s="460" t="str">
        <f>IFERROR(__xludf.DUMMYFUNCTION("""COMPUTED_VALUE"""),"")</f>
        <v/>
      </c>
      <c r="AF210" s="372" t="str">
        <f>IFERROR(__xludf.DUMMYFUNCTION("""COMPUTED_VALUE"""),"")</f>
        <v/>
      </c>
    </row>
    <row r="211" ht="16.5" customHeight="1">
      <c r="C211" s="204"/>
      <c r="D211" s="205">
        <f>IFERROR(__xludf.DUMMYFUNCTION("""COMPUTED_VALUE"""),2.0)</f>
        <v>2</v>
      </c>
      <c r="E211" s="206" t="str">
        <f>IFERROR(__xludf.DUMMYFUNCTION("""COMPUTED_VALUE"""),"")</f>
        <v/>
      </c>
      <c r="F211" s="207" t="str">
        <f>IFERROR(__xludf.DUMMYFUNCTION("""COMPUTED_VALUE"""),"")</f>
        <v/>
      </c>
      <c r="G211" s="207" t="str">
        <f>IFERROR(__xludf.DUMMYFUNCTION("""COMPUTED_VALUE"""),"")</f>
        <v/>
      </c>
      <c r="H211" s="211" t="str">
        <f>IFERROR(__xludf.DUMMYFUNCTION("""COMPUTED_VALUE"""),"")</f>
        <v/>
      </c>
      <c r="I211" s="213" t="str">
        <f>IFERROR(__xludf.DUMMYFUNCTION("""COMPUTED_VALUE"""),"")</f>
        <v/>
      </c>
      <c r="J211" s="214" t="str">
        <f>IFERROR(__xludf.DUMMYFUNCTION("""COMPUTED_VALUE"""),"")</f>
        <v/>
      </c>
      <c r="K211" s="215" t="str">
        <f>IFERROR(__xludf.DUMMYFUNCTION("""COMPUTED_VALUE"""),"AP")</f>
        <v>AP</v>
      </c>
      <c r="L211" s="214" t="str">
        <f>IFERROR(__xludf.DUMMYFUNCTION("""COMPUTED_VALUE"""),"")</f>
        <v/>
      </c>
      <c r="M211" s="215" t="str">
        <f>IFERROR(__xludf.DUMMYFUNCTION("""COMPUTED_VALUE"""),"％")</f>
        <v>％</v>
      </c>
      <c r="N211" s="211" t="str">
        <f>IFERROR(__xludf.DUMMYFUNCTION("""COMPUTED_VALUE"""),"")</f>
        <v/>
      </c>
      <c r="O211" s="217"/>
      <c r="P211" s="371" t="str">
        <f>IFERROR(__xludf.DUMMYFUNCTION("""COMPUTED_VALUE"""),"")</f>
        <v/>
      </c>
      <c r="Q211" s="458" t="str">
        <f>IFERROR(__xludf.DUMMYFUNCTION("""COMPUTED_VALUE"""),"")</f>
        <v/>
      </c>
      <c r="R211" s="459" t="str">
        <f>IFERROR(__xludf.DUMMYFUNCTION("""COMPUTED_VALUE"""),"")</f>
        <v/>
      </c>
      <c r="S211" s="459" t="str">
        <f>IFERROR(__xludf.DUMMYFUNCTION("""COMPUTED_VALUE"""),"")</f>
        <v/>
      </c>
      <c r="T211" t="str">
        <f>IFERROR(__xludf.DUMMYFUNCTION("""COMPUTED_VALUE"""),"")</f>
        <v/>
      </c>
      <c r="U211" t="str">
        <f>IFERROR(__xludf.DUMMYFUNCTION("""COMPUTED_VALUE"""),"")</f>
        <v/>
      </c>
      <c r="V211" t="str">
        <f>IFERROR(__xludf.DUMMYFUNCTION("""COMPUTED_VALUE"""),"")</f>
        <v/>
      </c>
      <c r="W211" t="str">
        <f>IFERROR(__xludf.DUMMYFUNCTION("""COMPUTED_VALUE"""),"")</f>
        <v/>
      </c>
      <c r="X211" t="str">
        <f>IFERROR(__xludf.DUMMYFUNCTION("""COMPUTED_VALUE"""),"")</f>
        <v/>
      </c>
      <c r="Y211" t="str">
        <f>IFERROR(__xludf.DUMMYFUNCTION("""COMPUTED_VALUE"""),"")</f>
        <v/>
      </c>
      <c r="Z211" t="str">
        <f>IFERROR(__xludf.DUMMYFUNCTION("""COMPUTED_VALUE"""),"")</f>
        <v/>
      </c>
      <c r="AA211" t="str">
        <f>IFERROR(__xludf.DUMMYFUNCTION("""COMPUTED_VALUE"""),"")</f>
        <v/>
      </c>
      <c r="AB211" t="str">
        <f>IFERROR(__xludf.DUMMYFUNCTION("""COMPUTED_VALUE"""),"")</f>
        <v/>
      </c>
      <c r="AC211" t="str">
        <f>IFERROR(__xludf.DUMMYFUNCTION("""COMPUTED_VALUE"""),"")</f>
        <v/>
      </c>
      <c r="AD211" t="str">
        <f>IFERROR(__xludf.DUMMYFUNCTION("""COMPUTED_VALUE"""),"")</f>
        <v/>
      </c>
      <c r="AE211" s="460" t="str">
        <f>IFERROR(__xludf.DUMMYFUNCTION("""COMPUTED_VALUE"""),"")</f>
        <v/>
      </c>
      <c r="AF211" s="372" t="str">
        <f>IFERROR(__xludf.DUMMYFUNCTION("""COMPUTED_VALUE"""),"")</f>
        <v/>
      </c>
    </row>
    <row r="212" ht="16.5" customHeight="1">
      <c r="C212" s="204"/>
      <c r="D212" s="222">
        <f>IFERROR(__xludf.DUMMYFUNCTION("""COMPUTED_VALUE"""),3.0)</f>
        <v>3</v>
      </c>
      <c r="E212" s="223" t="str">
        <f>IFERROR(__xludf.DUMMYFUNCTION("""COMPUTED_VALUE"""),"")</f>
        <v/>
      </c>
      <c r="F212" s="224" t="str">
        <f>IFERROR(__xludf.DUMMYFUNCTION("""COMPUTED_VALUE"""),"")</f>
        <v/>
      </c>
      <c r="G212" s="224" t="str">
        <f>IFERROR(__xludf.DUMMYFUNCTION("""COMPUTED_VALUE"""),"")</f>
        <v/>
      </c>
      <c r="H212" s="228" t="str">
        <f>IFERROR(__xludf.DUMMYFUNCTION("""COMPUTED_VALUE"""),"")</f>
        <v/>
      </c>
      <c r="I212" s="230" t="str">
        <f>IFERROR(__xludf.DUMMYFUNCTION("""COMPUTED_VALUE"""),"")</f>
        <v/>
      </c>
      <c r="J212" s="231" t="str">
        <f>IFERROR(__xludf.DUMMYFUNCTION("""COMPUTED_VALUE"""),"")</f>
        <v/>
      </c>
      <c r="K212" s="232" t="str">
        <f>IFERROR(__xludf.DUMMYFUNCTION("""COMPUTED_VALUE"""),"AP")</f>
        <v>AP</v>
      </c>
      <c r="L212" s="231" t="str">
        <f>IFERROR(__xludf.DUMMYFUNCTION("""COMPUTED_VALUE"""),"")</f>
        <v/>
      </c>
      <c r="M212" s="232" t="str">
        <f>IFERROR(__xludf.DUMMYFUNCTION("""COMPUTED_VALUE"""),"％")</f>
        <v>％</v>
      </c>
      <c r="N212" s="228" t="str">
        <f>IFERROR(__xludf.DUMMYFUNCTION("""COMPUTED_VALUE"""),"")</f>
        <v/>
      </c>
      <c r="O212" s="217"/>
      <c r="P212" s="371" t="str">
        <f>IFERROR(__xludf.DUMMYFUNCTION("""COMPUTED_VALUE"""),"")</f>
        <v/>
      </c>
      <c r="Q212" s="458" t="str">
        <f>IFERROR(__xludf.DUMMYFUNCTION("""COMPUTED_VALUE"""),"")</f>
        <v/>
      </c>
      <c r="R212" s="459" t="str">
        <f>IFERROR(__xludf.DUMMYFUNCTION("""COMPUTED_VALUE"""),"")</f>
        <v/>
      </c>
      <c r="S212" s="459" t="str">
        <f>IFERROR(__xludf.DUMMYFUNCTION("""COMPUTED_VALUE"""),"")</f>
        <v/>
      </c>
      <c r="T212" t="str">
        <f>IFERROR(__xludf.DUMMYFUNCTION("""COMPUTED_VALUE"""),"")</f>
        <v/>
      </c>
      <c r="U212" t="str">
        <f>IFERROR(__xludf.DUMMYFUNCTION("""COMPUTED_VALUE"""),"")</f>
        <v/>
      </c>
      <c r="V212" t="str">
        <f>IFERROR(__xludf.DUMMYFUNCTION("""COMPUTED_VALUE"""),"")</f>
        <v/>
      </c>
      <c r="W212" t="str">
        <f>IFERROR(__xludf.DUMMYFUNCTION("""COMPUTED_VALUE"""),"")</f>
        <v/>
      </c>
      <c r="X212" t="str">
        <f>IFERROR(__xludf.DUMMYFUNCTION("""COMPUTED_VALUE"""),"")</f>
        <v/>
      </c>
      <c r="Y212" t="str">
        <f>IFERROR(__xludf.DUMMYFUNCTION("""COMPUTED_VALUE"""),"")</f>
        <v/>
      </c>
      <c r="Z212" t="str">
        <f>IFERROR(__xludf.DUMMYFUNCTION("""COMPUTED_VALUE"""),"")</f>
        <v/>
      </c>
      <c r="AA212" t="str">
        <f>IFERROR(__xludf.DUMMYFUNCTION("""COMPUTED_VALUE"""),"")</f>
        <v/>
      </c>
      <c r="AB212" t="str">
        <f>IFERROR(__xludf.DUMMYFUNCTION("""COMPUTED_VALUE"""),"")</f>
        <v/>
      </c>
      <c r="AC212" t="str">
        <f>IFERROR(__xludf.DUMMYFUNCTION("""COMPUTED_VALUE"""),"")</f>
        <v/>
      </c>
      <c r="AD212" t="str">
        <f>IFERROR(__xludf.DUMMYFUNCTION("""COMPUTED_VALUE"""),"")</f>
        <v/>
      </c>
      <c r="AE212" s="460" t="str">
        <f>IFERROR(__xludf.DUMMYFUNCTION("""COMPUTED_VALUE"""),"")</f>
        <v/>
      </c>
      <c r="AF212" s="372" t="str">
        <f>IFERROR(__xludf.DUMMYFUNCTION("""COMPUTED_VALUE"""),"")</f>
        <v/>
      </c>
    </row>
    <row r="213" ht="16.5" customHeight="1">
      <c r="C213" s="204"/>
      <c r="D213" s="238">
        <f>IFERROR(__xludf.DUMMYFUNCTION("""COMPUTED_VALUE"""),4.0)</f>
        <v>4</v>
      </c>
      <c r="E213" s="240" t="str">
        <f>IFERROR(__xludf.DUMMYFUNCTION("""COMPUTED_VALUE"""),"")</f>
        <v/>
      </c>
      <c r="F213" s="242" t="str">
        <f>IFERROR(__xludf.DUMMYFUNCTION("""COMPUTED_VALUE"""),"")</f>
        <v/>
      </c>
      <c r="G213" s="242" t="str">
        <f>IFERROR(__xludf.DUMMYFUNCTION("""COMPUTED_VALUE"""),"")</f>
        <v/>
      </c>
      <c r="H213" s="246" t="str">
        <f>IFERROR(__xludf.DUMMYFUNCTION("""COMPUTED_VALUE"""),"")</f>
        <v/>
      </c>
      <c r="I213" s="248" t="str">
        <f>IFERROR(__xludf.DUMMYFUNCTION("""COMPUTED_VALUE"""),"")</f>
        <v/>
      </c>
      <c r="J213" s="250" t="str">
        <f>IFERROR(__xludf.DUMMYFUNCTION("""COMPUTED_VALUE"""),"")</f>
        <v/>
      </c>
      <c r="K213" s="252" t="str">
        <f>IFERROR(__xludf.DUMMYFUNCTION("""COMPUTED_VALUE"""),"AP")</f>
        <v>AP</v>
      </c>
      <c r="L213" s="250" t="str">
        <f>IFERROR(__xludf.DUMMYFUNCTION("""COMPUTED_VALUE"""),"")</f>
        <v/>
      </c>
      <c r="M213" s="252" t="str">
        <f>IFERROR(__xludf.DUMMYFUNCTION("""COMPUTED_VALUE"""),"％")</f>
        <v>％</v>
      </c>
      <c r="N213" s="246" t="str">
        <f>IFERROR(__xludf.DUMMYFUNCTION("""COMPUTED_VALUE"""),"")</f>
        <v/>
      </c>
      <c r="O213" s="217"/>
      <c r="P213" s="371" t="str">
        <f>IFERROR(__xludf.DUMMYFUNCTION("""COMPUTED_VALUE"""),"")</f>
        <v/>
      </c>
      <c r="Q213" s="458" t="str">
        <f>IFERROR(__xludf.DUMMYFUNCTION("""COMPUTED_VALUE"""),"")</f>
        <v/>
      </c>
      <c r="R213" s="459" t="str">
        <f>IFERROR(__xludf.DUMMYFUNCTION("""COMPUTED_VALUE"""),"")</f>
        <v/>
      </c>
      <c r="S213" s="459" t="str">
        <f>IFERROR(__xludf.DUMMYFUNCTION("""COMPUTED_VALUE"""),"")</f>
        <v/>
      </c>
      <c r="T213" t="str">
        <f>IFERROR(__xludf.DUMMYFUNCTION("""COMPUTED_VALUE"""),"")</f>
        <v/>
      </c>
      <c r="U213" t="str">
        <f>IFERROR(__xludf.DUMMYFUNCTION("""COMPUTED_VALUE"""),"")</f>
        <v/>
      </c>
      <c r="V213" t="str">
        <f>IFERROR(__xludf.DUMMYFUNCTION("""COMPUTED_VALUE"""),"")</f>
        <v/>
      </c>
      <c r="W213" t="str">
        <f>IFERROR(__xludf.DUMMYFUNCTION("""COMPUTED_VALUE"""),"")</f>
        <v/>
      </c>
      <c r="X213" t="str">
        <f>IFERROR(__xludf.DUMMYFUNCTION("""COMPUTED_VALUE"""),"")</f>
        <v/>
      </c>
      <c r="Y213" t="str">
        <f>IFERROR(__xludf.DUMMYFUNCTION("""COMPUTED_VALUE"""),"")</f>
        <v/>
      </c>
      <c r="Z213" t="str">
        <f>IFERROR(__xludf.DUMMYFUNCTION("""COMPUTED_VALUE"""),"")</f>
        <v/>
      </c>
      <c r="AA213" t="str">
        <f>IFERROR(__xludf.DUMMYFUNCTION("""COMPUTED_VALUE"""),"")</f>
        <v/>
      </c>
      <c r="AB213" t="str">
        <f>IFERROR(__xludf.DUMMYFUNCTION("""COMPUTED_VALUE"""),"")</f>
        <v/>
      </c>
      <c r="AC213" t="str">
        <f>IFERROR(__xludf.DUMMYFUNCTION("""COMPUTED_VALUE"""),"")</f>
        <v/>
      </c>
      <c r="AD213" t="str">
        <f>IFERROR(__xludf.DUMMYFUNCTION("""COMPUTED_VALUE"""),"")</f>
        <v/>
      </c>
      <c r="AE213" s="460" t="str">
        <f>IFERROR(__xludf.DUMMYFUNCTION("""COMPUTED_VALUE"""),"")</f>
        <v/>
      </c>
      <c r="AF213" s="372" t="str">
        <f>IFERROR(__xludf.DUMMYFUNCTION("""COMPUTED_VALUE"""),"")</f>
        <v/>
      </c>
    </row>
    <row r="214" ht="16.5" customHeight="1">
      <c r="A214" s="166"/>
      <c r="C214" s="255"/>
      <c r="D214" s="256">
        <f>IFERROR(__xludf.DUMMYFUNCTION("""COMPUTED_VALUE"""),5.0)</f>
        <v>5</v>
      </c>
      <c r="E214" s="257" t="str">
        <f>IFERROR(__xludf.DUMMYFUNCTION("""COMPUTED_VALUE"""),"")</f>
        <v/>
      </c>
      <c r="F214" s="42" t="str">
        <f>IFERROR(__xludf.DUMMYFUNCTION("""COMPUTED_VALUE"""),"")</f>
        <v/>
      </c>
      <c r="G214" s="42" t="str">
        <f>IFERROR(__xludf.DUMMYFUNCTION("""COMPUTED_VALUE"""),"")</f>
        <v/>
      </c>
      <c r="H214" s="259" t="str">
        <f>IFERROR(__xludf.DUMMYFUNCTION("""COMPUTED_VALUE"""),"")</f>
        <v/>
      </c>
      <c r="I214" s="260" t="str">
        <f>IFERROR(__xludf.DUMMYFUNCTION("""COMPUTED_VALUE"""),"")</f>
        <v/>
      </c>
      <c r="J214" s="261" t="str">
        <f>IFERROR(__xludf.DUMMYFUNCTION("""COMPUTED_VALUE"""),"")</f>
        <v/>
      </c>
      <c r="K214" s="262" t="str">
        <f>IFERROR(__xludf.DUMMYFUNCTION("""COMPUTED_VALUE"""),"AP")</f>
        <v>AP</v>
      </c>
      <c r="L214" s="261" t="str">
        <f>IFERROR(__xludf.DUMMYFUNCTION("""COMPUTED_VALUE"""),"")</f>
        <v/>
      </c>
      <c r="M214" s="262" t="str">
        <f>IFERROR(__xludf.DUMMYFUNCTION("""COMPUTED_VALUE"""),"％")</f>
        <v>％</v>
      </c>
      <c r="N214" s="259" t="str">
        <f>IFERROR(__xludf.DUMMYFUNCTION("""COMPUTED_VALUE"""),"")</f>
        <v/>
      </c>
      <c r="O214" s="263"/>
      <c r="P214" s="371" t="str">
        <f>IFERROR(__xludf.DUMMYFUNCTION("""COMPUTED_VALUE"""),"")</f>
        <v/>
      </c>
      <c r="Q214" s="458" t="str">
        <f>IFERROR(__xludf.DUMMYFUNCTION("""COMPUTED_VALUE"""),"")</f>
        <v/>
      </c>
      <c r="R214" s="459" t="str">
        <f>IFERROR(__xludf.DUMMYFUNCTION("""COMPUTED_VALUE"""),"")</f>
        <v/>
      </c>
      <c r="S214" s="459" t="str">
        <f>IFERROR(__xludf.DUMMYFUNCTION("""COMPUTED_VALUE"""),"")</f>
        <v/>
      </c>
      <c r="T214" t="str">
        <f>IFERROR(__xludf.DUMMYFUNCTION("""COMPUTED_VALUE"""),"")</f>
        <v/>
      </c>
      <c r="U214" t="str">
        <f>IFERROR(__xludf.DUMMYFUNCTION("""COMPUTED_VALUE"""),"")</f>
        <v/>
      </c>
      <c r="V214" t="str">
        <f>IFERROR(__xludf.DUMMYFUNCTION("""COMPUTED_VALUE"""),"")</f>
        <v/>
      </c>
      <c r="W214" t="str">
        <f>IFERROR(__xludf.DUMMYFUNCTION("""COMPUTED_VALUE"""),"")</f>
        <v/>
      </c>
      <c r="X214" t="str">
        <f>IFERROR(__xludf.DUMMYFUNCTION("""COMPUTED_VALUE"""),"")</f>
        <v/>
      </c>
      <c r="Y214" t="str">
        <f>IFERROR(__xludf.DUMMYFUNCTION("""COMPUTED_VALUE"""),"")</f>
        <v/>
      </c>
      <c r="Z214" t="str">
        <f>IFERROR(__xludf.DUMMYFUNCTION("""COMPUTED_VALUE"""),"")</f>
        <v/>
      </c>
      <c r="AA214" t="str">
        <f>IFERROR(__xludf.DUMMYFUNCTION("""COMPUTED_VALUE"""),"")</f>
        <v/>
      </c>
      <c r="AB214" t="str">
        <f>IFERROR(__xludf.DUMMYFUNCTION("""COMPUTED_VALUE"""),"")</f>
        <v/>
      </c>
      <c r="AC214" t="str">
        <f>IFERROR(__xludf.DUMMYFUNCTION("""COMPUTED_VALUE"""),"")</f>
        <v/>
      </c>
      <c r="AD214" t="str">
        <f>IFERROR(__xludf.DUMMYFUNCTION("""COMPUTED_VALUE"""),"")</f>
        <v/>
      </c>
      <c r="AE214" s="460" t="str">
        <f>IFERROR(__xludf.DUMMYFUNCTION("""COMPUTED_VALUE"""),"")</f>
        <v/>
      </c>
      <c r="AF214" s="372" t="str">
        <f>IFERROR(__xludf.DUMMYFUNCTION("""COMPUTED_VALUE"""),"")</f>
        <v/>
      </c>
    </row>
    <row r="215" ht="16.5" customHeight="1">
      <c r="A215" s="61" t="str">
        <f>IFERROR(__xludf.DUMMYFUNCTION("""COMPUTED_VALUE"""),"")</f>
        <v/>
      </c>
      <c r="B215" s="367" t="str">
        <f>IFERROR(__xludf.DUMMYFUNCTION("""COMPUTED_VALUE"""),"A115")</f>
        <v>A115</v>
      </c>
      <c r="C215" s="65" t="str">
        <f>IFERROR(__xludf.DUMMYFUNCTION("""COMPUTED_VALUE"""),"Egg of Truth")</f>
        <v>Egg of Truth</v>
      </c>
      <c r="D215" s="67">
        <f>IFERROR(__xludf.DUMMYFUNCTION("""COMPUTED_VALUE"""),1.0)</f>
        <v>1</v>
      </c>
      <c r="E215" s="69" t="str">
        <f>IFERROR(__xludf.DUMMYFUNCTION("""COMPUTED_VALUE"""),"YKS6")</f>
        <v>YKS6</v>
      </c>
      <c r="F215" s="71" t="str">
        <f>IFERROR(__xludf.DUMMYFUNCTION("""COMPUTED_VALUE"""),"Yuga Kshetra")</f>
        <v>Yuga Kshetra</v>
      </c>
      <c r="G215" s="78" t="str">
        <f>IFERROR(__xludf.DUMMYFUNCTION("""COMPUTED_VALUE"""),"Deewar")</f>
        <v>Deewar</v>
      </c>
      <c r="H215" s="80">
        <f>IFERROR(__xludf.DUMMYFUNCTION("""COMPUTED_VALUE"""),21.0)</f>
        <v>21</v>
      </c>
      <c r="I215" s="82">
        <f>IFERROR(__xludf.DUMMYFUNCTION("""COMPUTED_VALUE"""),48.51190476190476)</f>
        <v>48.51190476</v>
      </c>
      <c r="J215" s="84">
        <f>IFERROR(__xludf.DUMMYFUNCTION("""COMPUTED_VALUE"""),170.8)</f>
        <v>170.8</v>
      </c>
      <c r="K215" s="86" t="str">
        <f>IFERROR(__xludf.DUMMYFUNCTION("""COMPUTED_VALUE"""),"AP")</f>
        <v>AP</v>
      </c>
      <c r="L215" s="88">
        <f>IFERROR(__xludf.DUMMYFUNCTION("""COMPUTED_VALUE"""),12.3)</f>
        <v>12.3</v>
      </c>
      <c r="M215" s="86" t="str">
        <f>IFERROR(__xludf.DUMMYFUNCTION("""COMPUTED_VALUE"""),"％")</f>
        <v>％</v>
      </c>
      <c r="N215" s="80">
        <f>IFERROR(__xludf.DUMMYFUNCTION("""COMPUTED_VALUE"""),56066.0)</f>
        <v>56066</v>
      </c>
      <c r="O215" s="91" t="str">
        <f>IFERROR(__xludf.DUMMYFUNCTION("""COMPUTED_VALUE"""),"Egg of Truth")</f>
        <v>Egg of Truth</v>
      </c>
      <c r="P215" s="371" t="str">
        <f>IFERROR(__xludf.DUMMYFUNCTION("""COMPUTED_VALUE"""),"")</f>
        <v/>
      </c>
      <c r="Q215" s="458" t="str">
        <f>IFERROR(__xludf.DUMMYFUNCTION("""COMPUTED_VALUE"""),"")</f>
        <v/>
      </c>
      <c r="R215" s="459" t="str">
        <f>IFERROR(__xludf.DUMMYFUNCTION("""COMPUTED_VALUE"""),"")</f>
        <v/>
      </c>
      <c r="S215" s="459" t="str">
        <f>IFERROR(__xludf.DUMMYFUNCTION("""COMPUTED_VALUE"""),"")</f>
        <v/>
      </c>
      <c r="T215" t="str">
        <f>IFERROR(__xludf.DUMMYFUNCTION("""COMPUTED_VALUE"""),"")</f>
        <v/>
      </c>
      <c r="U215" t="str">
        <f>IFERROR(__xludf.DUMMYFUNCTION("""COMPUTED_VALUE"""),"")</f>
        <v/>
      </c>
      <c r="V215" t="str">
        <f>IFERROR(__xludf.DUMMYFUNCTION("""COMPUTED_VALUE"""),"")</f>
        <v/>
      </c>
      <c r="W215" t="str">
        <f>IFERROR(__xludf.DUMMYFUNCTION("""COMPUTED_VALUE"""),"")</f>
        <v/>
      </c>
      <c r="X215" t="str">
        <f>IFERROR(__xludf.DUMMYFUNCTION("""COMPUTED_VALUE"""),"")</f>
        <v/>
      </c>
      <c r="Y215" t="str">
        <f>IFERROR(__xludf.DUMMYFUNCTION("""COMPUTED_VALUE"""),"")</f>
        <v/>
      </c>
      <c r="Z215" t="str">
        <f>IFERROR(__xludf.DUMMYFUNCTION("""COMPUTED_VALUE"""),"")</f>
        <v/>
      </c>
      <c r="AA215" t="str">
        <f>IFERROR(__xludf.DUMMYFUNCTION("""COMPUTED_VALUE"""),"")</f>
        <v/>
      </c>
      <c r="AB215" t="str">
        <f>IFERROR(__xludf.DUMMYFUNCTION("""COMPUTED_VALUE"""),"")</f>
        <v/>
      </c>
      <c r="AC215" t="str">
        <f>IFERROR(__xludf.DUMMYFUNCTION("""COMPUTED_VALUE"""),"")</f>
        <v/>
      </c>
      <c r="AD215" t="str">
        <f>IFERROR(__xludf.DUMMYFUNCTION("""COMPUTED_VALUE"""),"")</f>
        <v/>
      </c>
      <c r="AE215" s="460" t="str">
        <f>IFERROR(__xludf.DUMMYFUNCTION("""COMPUTED_VALUE"""),"")</f>
        <v/>
      </c>
      <c r="AF215" s="372" t="str">
        <f>IFERROR(__xludf.DUMMYFUNCTION("""COMPUTED_VALUE"""),"")</f>
        <v/>
      </c>
    </row>
    <row r="216" ht="16.5" customHeight="1">
      <c r="C216" s="100"/>
      <c r="D216" s="102">
        <f>IFERROR(__xludf.DUMMYFUNCTION("""COMPUTED_VALUE"""),2.0)</f>
        <v>2</v>
      </c>
      <c r="E216" s="103" t="str">
        <f>IFERROR(__xludf.DUMMYFUNCTION("""COMPUTED_VALUE"""),"YKS9")</f>
        <v>YKS9</v>
      </c>
      <c r="F216" s="104" t="str">
        <f>IFERROR(__xludf.DUMMYFUNCTION("""COMPUTED_VALUE"""),"Yuga Kshetra")</f>
        <v>Yuga Kshetra</v>
      </c>
      <c r="G216" s="108" t="str">
        <f>IFERROR(__xludf.DUMMYFUNCTION("""COMPUTED_VALUE"""),"Eternal Grounds")</f>
        <v>Eternal Grounds</v>
      </c>
      <c r="H216" s="109">
        <f>IFERROR(__xludf.DUMMYFUNCTION("""COMPUTED_VALUE"""),21.0)</f>
        <v>21</v>
      </c>
      <c r="I216" s="110">
        <f>IFERROR(__xludf.DUMMYFUNCTION("""COMPUTED_VALUE"""),50.892857142857146)</f>
        <v>50.89285714</v>
      </c>
      <c r="J216" s="112">
        <f>IFERROR(__xludf.DUMMYFUNCTION("""COMPUTED_VALUE"""),202.0)</f>
        <v>202</v>
      </c>
      <c r="K216" s="121" t="str">
        <f>IFERROR(__xludf.DUMMYFUNCTION("""COMPUTED_VALUE"""),"AP")</f>
        <v>AP</v>
      </c>
      <c r="L216" s="123">
        <f>IFERROR(__xludf.DUMMYFUNCTION("""COMPUTED_VALUE"""),10.4)</f>
        <v>10.4</v>
      </c>
      <c r="M216" s="121" t="str">
        <f>IFERROR(__xludf.DUMMYFUNCTION("""COMPUTED_VALUE"""),"％")</f>
        <v>％</v>
      </c>
      <c r="N216" s="109">
        <f>IFERROR(__xludf.DUMMYFUNCTION("""COMPUTED_VALUE"""),13221.0)</f>
        <v>13221</v>
      </c>
      <c r="O216" s="100"/>
      <c r="P216" s="371" t="str">
        <f>IFERROR(__xludf.DUMMYFUNCTION("""COMPUTED_VALUE"""),"")</f>
        <v/>
      </c>
      <c r="Q216" s="458" t="str">
        <f>IFERROR(__xludf.DUMMYFUNCTION("""COMPUTED_VALUE"""),"")</f>
        <v/>
      </c>
      <c r="R216" s="459" t="str">
        <f>IFERROR(__xludf.DUMMYFUNCTION("""COMPUTED_VALUE"""),"")</f>
        <v/>
      </c>
      <c r="S216" s="459" t="str">
        <f>IFERROR(__xludf.DUMMYFUNCTION("""COMPUTED_VALUE"""),"")</f>
        <v/>
      </c>
      <c r="T216" t="str">
        <f>IFERROR(__xludf.DUMMYFUNCTION("""COMPUTED_VALUE"""),"")</f>
        <v/>
      </c>
      <c r="U216" t="str">
        <f>IFERROR(__xludf.DUMMYFUNCTION("""COMPUTED_VALUE"""),"")</f>
        <v/>
      </c>
      <c r="V216" t="str">
        <f>IFERROR(__xludf.DUMMYFUNCTION("""COMPUTED_VALUE"""),"")</f>
        <v/>
      </c>
      <c r="W216" t="str">
        <f>IFERROR(__xludf.DUMMYFUNCTION("""COMPUTED_VALUE"""),"")</f>
        <v/>
      </c>
      <c r="X216" t="str">
        <f>IFERROR(__xludf.DUMMYFUNCTION("""COMPUTED_VALUE"""),"")</f>
        <v/>
      </c>
      <c r="Y216" t="str">
        <f>IFERROR(__xludf.DUMMYFUNCTION("""COMPUTED_VALUE"""),"")</f>
        <v/>
      </c>
      <c r="Z216" t="str">
        <f>IFERROR(__xludf.DUMMYFUNCTION("""COMPUTED_VALUE"""),"")</f>
        <v/>
      </c>
      <c r="AA216" t="str">
        <f>IFERROR(__xludf.DUMMYFUNCTION("""COMPUTED_VALUE"""),"")</f>
        <v/>
      </c>
      <c r="AB216" t="str">
        <f>IFERROR(__xludf.DUMMYFUNCTION("""COMPUTED_VALUE"""),"")</f>
        <v/>
      </c>
      <c r="AC216" t="str">
        <f>IFERROR(__xludf.DUMMYFUNCTION("""COMPUTED_VALUE"""),"")</f>
        <v/>
      </c>
      <c r="AD216" t="str">
        <f>IFERROR(__xludf.DUMMYFUNCTION("""COMPUTED_VALUE"""),"")</f>
        <v/>
      </c>
      <c r="AE216" s="460" t="str">
        <f>IFERROR(__xludf.DUMMYFUNCTION("""COMPUTED_VALUE"""),"")</f>
        <v/>
      </c>
      <c r="AF216" s="372" t="str">
        <f>IFERROR(__xludf.DUMMYFUNCTION("""COMPUTED_VALUE"""),"")</f>
        <v/>
      </c>
    </row>
    <row r="217" ht="16.5" customHeight="1">
      <c r="C217" s="100"/>
      <c r="D217" s="130">
        <f>IFERROR(__xludf.DUMMYFUNCTION("""COMPUTED_VALUE"""),3.0)</f>
        <v>3</v>
      </c>
      <c r="E217" s="132" t="str">
        <f>IFERROR(__xludf.DUMMYFUNCTION("""COMPUTED_VALUE"""),"YKS4")</f>
        <v>YKS4</v>
      </c>
      <c r="F217" s="133" t="str">
        <f>IFERROR(__xludf.DUMMYFUNCTION("""COMPUTED_VALUE"""),"Yuga Kshetra")</f>
        <v>Yuga Kshetra</v>
      </c>
      <c r="G217" s="135" t="str">
        <f>IFERROR(__xludf.DUMMYFUNCTION("""COMPUTED_VALUE"""),"Northern Sacred Mountain")</f>
        <v>Northern Sacred Mountain</v>
      </c>
      <c r="H217" s="137">
        <f>IFERROR(__xludf.DUMMYFUNCTION("""COMPUTED_VALUE"""),21.0)</f>
        <v>21</v>
      </c>
      <c r="I217" s="139">
        <f>IFERROR(__xludf.DUMMYFUNCTION("""COMPUTED_VALUE"""),47.32142857142857)</f>
        <v>47.32142857</v>
      </c>
      <c r="J217" s="141">
        <f>IFERROR(__xludf.DUMMYFUNCTION("""COMPUTED_VALUE"""),214.6)</f>
        <v>214.6</v>
      </c>
      <c r="K217" s="143" t="str">
        <f>IFERROR(__xludf.DUMMYFUNCTION("""COMPUTED_VALUE"""),"AP")</f>
        <v>AP</v>
      </c>
      <c r="L217" s="145">
        <f>IFERROR(__xludf.DUMMYFUNCTION("""COMPUTED_VALUE"""),9.8)</f>
        <v>9.8</v>
      </c>
      <c r="M217" s="143" t="str">
        <f>IFERROR(__xludf.DUMMYFUNCTION("""COMPUTED_VALUE"""),"％")</f>
        <v>％</v>
      </c>
      <c r="N217" s="137">
        <f>IFERROR(__xludf.DUMMYFUNCTION("""COMPUTED_VALUE"""),9710.0)</f>
        <v>9710</v>
      </c>
      <c r="O217" s="100"/>
      <c r="P217" s="371" t="str">
        <f>IFERROR(__xludf.DUMMYFUNCTION("""COMPUTED_VALUE"""),"")</f>
        <v/>
      </c>
      <c r="Q217" s="458" t="str">
        <f>IFERROR(__xludf.DUMMYFUNCTION("""COMPUTED_VALUE"""),"")</f>
        <v/>
      </c>
      <c r="R217" s="459" t="str">
        <f>IFERROR(__xludf.DUMMYFUNCTION("""COMPUTED_VALUE"""),"")</f>
        <v/>
      </c>
      <c r="S217" s="459" t="str">
        <f>IFERROR(__xludf.DUMMYFUNCTION("""COMPUTED_VALUE"""),"")</f>
        <v/>
      </c>
      <c r="T217" t="str">
        <f>IFERROR(__xludf.DUMMYFUNCTION("""COMPUTED_VALUE"""),"")</f>
        <v/>
      </c>
      <c r="U217" t="str">
        <f>IFERROR(__xludf.DUMMYFUNCTION("""COMPUTED_VALUE"""),"")</f>
        <v/>
      </c>
      <c r="V217" t="str">
        <f>IFERROR(__xludf.DUMMYFUNCTION("""COMPUTED_VALUE"""),"")</f>
        <v/>
      </c>
      <c r="W217" t="str">
        <f>IFERROR(__xludf.DUMMYFUNCTION("""COMPUTED_VALUE"""),"")</f>
        <v/>
      </c>
      <c r="X217" t="str">
        <f>IFERROR(__xludf.DUMMYFUNCTION("""COMPUTED_VALUE"""),"")</f>
        <v/>
      </c>
      <c r="Y217" t="str">
        <f>IFERROR(__xludf.DUMMYFUNCTION("""COMPUTED_VALUE"""),"")</f>
        <v/>
      </c>
      <c r="Z217" t="str">
        <f>IFERROR(__xludf.DUMMYFUNCTION("""COMPUTED_VALUE"""),"")</f>
        <v/>
      </c>
      <c r="AA217" t="str">
        <f>IFERROR(__xludf.DUMMYFUNCTION("""COMPUTED_VALUE"""),"")</f>
        <v/>
      </c>
      <c r="AB217" t="str">
        <f>IFERROR(__xludf.DUMMYFUNCTION("""COMPUTED_VALUE"""),"")</f>
        <v/>
      </c>
      <c r="AC217" t="str">
        <f>IFERROR(__xludf.DUMMYFUNCTION("""COMPUTED_VALUE"""),"")</f>
        <v/>
      </c>
      <c r="AD217" t="str">
        <f>IFERROR(__xludf.DUMMYFUNCTION("""COMPUTED_VALUE"""),"")</f>
        <v/>
      </c>
      <c r="AE217" s="460" t="str">
        <f>IFERROR(__xludf.DUMMYFUNCTION("""COMPUTED_VALUE"""),"")</f>
        <v/>
      </c>
      <c r="AF217" s="372" t="str">
        <f>IFERROR(__xludf.DUMMYFUNCTION("""COMPUTED_VALUE"""),"")</f>
        <v/>
      </c>
    </row>
    <row r="218" ht="16.5" customHeight="1">
      <c r="C218" s="100"/>
      <c r="D218" s="146">
        <f>IFERROR(__xludf.DUMMYFUNCTION("""COMPUTED_VALUE"""),4.0)</f>
        <v>4</v>
      </c>
      <c r="E218" s="148" t="str">
        <f>IFERROR(__xludf.DUMMYFUNCTION("""COMPUTED_VALUE"""),"")</f>
        <v/>
      </c>
      <c r="F218" s="150" t="str">
        <f>IFERROR(__xludf.DUMMYFUNCTION("""COMPUTED_VALUE"""),"")</f>
        <v/>
      </c>
      <c r="G218" s="150" t="str">
        <f>IFERROR(__xludf.DUMMYFUNCTION("""COMPUTED_VALUE"""),"")</f>
        <v/>
      </c>
      <c r="H218" s="154" t="str">
        <f>IFERROR(__xludf.DUMMYFUNCTION("""COMPUTED_VALUE"""),"")</f>
        <v/>
      </c>
      <c r="I218" s="156" t="str">
        <f>IFERROR(__xludf.DUMMYFUNCTION("""COMPUTED_VALUE"""),"")</f>
        <v/>
      </c>
      <c r="J218" s="158" t="str">
        <f>IFERROR(__xludf.DUMMYFUNCTION("""COMPUTED_VALUE"""),"")</f>
        <v/>
      </c>
      <c r="K218" s="160" t="str">
        <f>IFERROR(__xludf.DUMMYFUNCTION("""COMPUTED_VALUE"""),"AP")</f>
        <v>AP</v>
      </c>
      <c r="L218" s="162" t="str">
        <f>IFERROR(__xludf.DUMMYFUNCTION("""COMPUTED_VALUE"""),"")</f>
        <v/>
      </c>
      <c r="M218" s="160" t="str">
        <f>IFERROR(__xludf.DUMMYFUNCTION("""COMPUTED_VALUE"""),"％")</f>
        <v>％</v>
      </c>
      <c r="N218" s="154" t="str">
        <f>IFERROR(__xludf.DUMMYFUNCTION("""COMPUTED_VALUE"""),"")</f>
        <v/>
      </c>
      <c r="O218" s="100"/>
      <c r="P218" s="371" t="str">
        <f>IFERROR(__xludf.DUMMYFUNCTION("""COMPUTED_VALUE"""),"")</f>
        <v/>
      </c>
      <c r="Q218" s="458" t="str">
        <f>IFERROR(__xludf.DUMMYFUNCTION("""COMPUTED_VALUE"""),"")</f>
        <v/>
      </c>
      <c r="R218" s="459" t="str">
        <f>IFERROR(__xludf.DUMMYFUNCTION("""COMPUTED_VALUE"""),"")</f>
        <v/>
      </c>
      <c r="S218" s="459" t="str">
        <f>IFERROR(__xludf.DUMMYFUNCTION("""COMPUTED_VALUE"""),"")</f>
        <v/>
      </c>
      <c r="T218" t="str">
        <f>IFERROR(__xludf.DUMMYFUNCTION("""COMPUTED_VALUE"""),"")</f>
        <v/>
      </c>
      <c r="U218" t="str">
        <f>IFERROR(__xludf.DUMMYFUNCTION("""COMPUTED_VALUE"""),"")</f>
        <v/>
      </c>
      <c r="V218" t="str">
        <f>IFERROR(__xludf.DUMMYFUNCTION("""COMPUTED_VALUE"""),"")</f>
        <v/>
      </c>
      <c r="W218" t="str">
        <f>IFERROR(__xludf.DUMMYFUNCTION("""COMPUTED_VALUE"""),"")</f>
        <v/>
      </c>
      <c r="X218" t="str">
        <f>IFERROR(__xludf.DUMMYFUNCTION("""COMPUTED_VALUE"""),"")</f>
        <v/>
      </c>
      <c r="Y218" t="str">
        <f>IFERROR(__xludf.DUMMYFUNCTION("""COMPUTED_VALUE"""),"")</f>
        <v/>
      </c>
      <c r="Z218" t="str">
        <f>IFERROR(__xludf.DUMMYFUNCTION("""COMPUTED_VALUE"""),"")</f>
        <v/>
      </c>
      <c r="AA218" t="str">
        <f>IFERROR(__xludf.DUMMYFUNCTION("""COMPUTED_VALUE"""),"")</f>
        <v/>
      </c>
      <c r="AB218" t="str">
        <f>IFERROR(__xludf.DUMMYFUNCTION("""COMPUTED_VALUE"""),"")</f>
        <v/>
      </c>
      <c r="AC218" t="str">
        <f>IFERROR(__xludf.DUMMYFUNCTION("""COMPUTED_VALUE"""),"")</f>
        <v/>
      </c>
      <c r="AD218" t="str">
        <f>IFERROR(__xludf.DUMMYFUNCTION("""COMPUTED_VALUE"""),"")</f>
        <v/>
      </c>
      <c r="AE218" s="460" t="str">
        <f>IFERROR(__xludf.DUMMYFUNCTION("""COMPUTED_VALUE"""),"")</f>
        <v/>
      </c>
      <c r="AF218" s="372" t="str">
        <f>IFERROR(__xludf.DUMMYFUNCTION("""COMPUTED_VALUE"""),"")</f>
        <v/>
      </c>
    </row>
    <row r="219" ht="16.5" customHeight="1">
      <c r="A219" s="166"/>
      <c r="C219" s="168"/>
      <c r="D219" s="169">
        <f>IFERROR(__xludf.DUMMYFUNCTION("""COMPUTED_VALUE"""),5.0)</f>
        <v>5</v>
      </c>
      <c r="E219" s="170" t="str">
        <f>IFERROR(__xludf.DUMMYFUNCTION("""COMPUTED_VALUE"""),"")</f>
        <v/>
      </c>
      <c r="F219" s="51" t="str">
        <f>IFERROR(__xludf.DUMMYFUNCTION("""COMPUTED_VALUE"""),"")</f>
        <v/>
      </c>
      <c r="G219" s="51" t="str">
        <f>IFERROR(__xludf.DUMMYFUNCTION("""COMPUTED_VALUE"""),"")</f>
        <v/>
      </c>
      <c r="H219" s="172" t="str">
        <f>IFERROR(__xludf.DUMMYFUNCTION("""COMPUTED_VALUE"""),"")</f>
        <v/>
      </c>
      <c r="I219" s="173" t="str">
        <f>IFERROR(__xludf.DUMMYFUNCTION("""COMPUTED_VALUE"""),"")</f>
        <v/>
      </c>
      <c r="J219" s="174" t="str">
        <f>IFERROR(__xludf.DUMMYFUNCTION("""COMPUTED_VALUE"""),"")</f>
        <v/>
      </c>
      <c r="K219" s="175" t="str">
        <f>IFERROR(__xludf.DUMMYFUNCTION("""COMPUTED_VALUE"""),"AP")</f>
        <v>AP</v>
      </c>
      <c r="L219" s="176" t="str">
        <f>IFERROR(__xludf.DUMMYFUNCTION("""COMPUTED_VALUE"""),"")</f>
        <v/>
      </c>
      <c r="M219" s="175" t="str">
        <f>IFERROR(__xludf.DUMMYFUNCTION("""COMPUTED_VALUE"""),"％")</f>
        <v>％</v>
      </c>
      <c r="N219" s="172" t="str">
        <f>IFERROR(__xludf.DUMMYFUNCTION("""COMPUTED_VALUE"""),"")</f>
        <v/>
      </c>
      <c r="O219" s="168"/>
      <c r="P219" s="371" t="str">
        <f>IFERROR(__xludf.DUMMYFUNCTION("""COMPUTED_VALUE"""),"")</f>
        <v/>
      </c>
      <c r="Q219" s="458" t="str">
        <f>IFERROR(__xludf.DUMMYFUNCTION("""COMPUTED_VALUE"""),"")</f>
        <v/>
      </c>
      <c r="R219" s="459" t="str">
        <f>IFERROR(__xludf.DUMMYFUNCTION("""COMPUTED_VALUE"""),"")</f>
        <v/>
      </c>
      <c r="S219" s="459" t="str">
        <f>IFERROR(__xludf.DUMMYFUNCTION("""COMPUTED_VALUE"""),"")</f>
        <v/>
      </c>
      <c r="T219" t="str">
        <f>IFERROR(__xludf.DUMMYFUNCTION("""COMPUTED_VALUE"""),"")</f>
        <v/>
      </c>
      <c r="U219" t="str">
        <f>IFERROR(__xludf.DUMMYFUNCTION("""COMPUTED_VALUE"""),"")</f>
        <v/>
      </c>
      <c r="V219" t="str">
        <f>IFERROR(__xludf.DUMMYFUNCTION("""COMPUTED_VALUE"""),"")</f>
        <v/>
      </c>
      <c r="W219" t="str">
        <f>IFERROR(__xludf.DUMMYFUNCTION("""COMPUTED_VALUE"""),"")</f>
        <v/>
      </c>
      <c r="X219" t="str">
        <f>IFERROR(__xludf.DUMMYFUNCTION("""COMPUTED_VALUE"""),"")</f>
        <v/>
      </c>
      <c r="Y219" t="str">
        <f>IFERROR(__xludf.DUMMYFUNCTION("""COMPUTED_VALUE"""),"")</f>
        <v/>
      </c>
      <c r="Z219" t="str">
        <f>IFERROR(__xludf.DUMMYFUNCTION("""COMPUTED_VALUE"""),"")</f>
        <v/>
      </c>
      <c r="AA219" t="str">
        <f>IFERROR(__xludf.DUMMYFUNCTION("""COMPUTED_VALUE"""),"")</f>
        <v/>
      </c>
      <c r="AB219" t="str">
        <f>IFERROR(__xludf.DUMMYFUNCTION("""COMPUTED_VALUE"""),"")</f>
        <v/>
      </c>
      <c r="AC219" t="str">
        <f>IFERROR(__xludf.DUMMYFUNCTION("""COMPUTED_VALUE"""),"")</f>
        <v/>
      </c>
      <c r="AD219" t="str">
        <f>IFERROR(__xludf.DUMMYFUNCTION("""COMPUTED_VALUE"""),"")</f>
        <v/>
      </c>
      <c r="AE219" s="460" t="str">
        <f>IFERROR(__xludf.DUMMYFUNCTION("""COMPUTED_VALUE"""),"")</f>
        <v/>
      </c>
      <c r="AF219" s="372" t="str">
        <f>IFERROR(__xludf.DUMMYFUNCTION("""COMPUTED_VALUE"""),"")</f>
        <v/>
      </c>
    </row>
    <row r="220" ht="16.5" customHeight="1">
      <c r="A220" s="61" t="str">
        <f>IFERROR(__xludf.DUMMYFUNCTION("""COMPUTED_VALUE"""),"")</f>
        <v/>
      </c>
      <c r="B220" s="366" t="str">
        <f>IFERROR(__xludf.DUMMYFUNCTION("""COMPUTED_VALUE"""),"A116")</f>
        <v>A116</v>
      </c>
      <c r="C220" s="197" t="str">
        <f>IFERROR(__xludf.DUMMYFUNCTION("""COMPUTED_VALUE"""),"")</f>
        <v/>
      </c>
      <c r="D220" s="181">
        <f>IFERROR(__xludf.DUMMYFUNCTION("""COMPUTED_VALUE"""),1.0)</f>
        <v>1</v>
      </c>
      <c r="E220" s="182" t="str">
        <f>IFERROR(__xludf.DUMMYFUNCTION("""COMPUTED_VALUE"""),"")</f>
        <v/>
      </c>
      <c r="F220" s="184" t="str">
        <f>IFERROR(__xludf.DUMMYFUNCTION("""COMPUTED_VALUE"""),"")</f>
        <v/>
      </c>
      <c r="G220" s="184" t="str">
        <f>IFERROR(__xludf.DUMMYFUNCTION("""COMPUTED_VALUE"""),"")</f>
        <v/>
      </c>
      <c r="H220" s="190" t="str">
        <f>IFERROR(__xludf.DUMMYFUNCTION("""COMPUTED_VALUE"""),"")</f>
        <v/>
      </c>
      <c r="I220" s="191" t="str">
        <f>IFERROR(__xludf.DUMMYFUNCTION("""COMPUTED_VALUE"""),"")</f>
        <v/>
      </c>
      <c r="J220" s="192" t="str">
        <f>IFERROR(__xludf.DUMMYFUNCTION("""COMPUTED_VALUE"""),"")</f>
        <v/>
      </c>
      <c r="K220" s="194" t="str">
        <f>IFERROR(__xludf.DUMMYFUNCTION("""COMPUTED_VALUE"""),"AP")</f>
        <v>AP</v>
      </c>
      <c r="L220" s="192" t="str">
        <f>IFERROR(__xludf.DUMMYFUNCTION("""COMPUTED_VALUE"""),"")</f>
        <v/>
      </c>
      <c r="M220" s="194" t="str">
        <f>IFERROR(__xludf.DUMMYFUNCTION("""COMPUTED_VALUE"""),"％")</f>
        <v>％</v>
      </c>
      <c r="N220" s="190" t="str">
        <f>IFERROR(__xludf.DUMMYFUNCTION("""COMPUTED_VALUE"""),"")</f>
        <v/>
      </c>
      <c r="O220" s="197" t="str">
        <f>IFERROR(__xludf.DUMMYFUNCTION("""COMPUTED_VALUE"""),"")</f>
        <v/>
      </c>
      <c r="P220" s="371" t="str">
        <f>IFERROR(__xludf.DUMMYFUNCTION("""COMPUTED_VALUE"""),"")</f>
        <v/>
      </c>
      <c r="Q220" s="458" t="str">
        <f>IFERROR(__xludf.DUMMYFUNCTION("""COMPUTED_VALUE"""),"")</f>
        <v/>
      </c>
      <c r="R220" s="459" t="str">
        <f>IFERROR(__xludf.DUMMYFUNCTION("""COMPUTED_VALUE"""),"")</f>
        <v/>
      </c>
      <c r="S220" s="459" t="str">
        <f>IFERROR(__xludf.DUMMYFUNCTION("""COMPUTED_VALUE"""),"")</f>
        <v/>
      </c>
      <c r="T220" t="str">
        <f>IFERROR(__xludf.DUMMYFUNCTION("""COMPUTED_VALUE"""),"")</f>
        <v/>
      </c>
      <c r="U220" t="str">
        <f>IFERROR(__xludf.DUMMYFUNCTION("""COMPUTED_VALUE"""),"")</f>
        <v/>
      </c>
      <c r="V220" t="str">
        <f>IFERROR(__xludf.DUMMYFUNCTION("""COMPUTED_VALUE"""),"")</f>
        <v/>
      </c>
      <c r="W220" t="str">
        <f>IFERROR(__xludf.DUMMYFUNCTION("""COMPUTED_VALUE"""),"")</f>
        <v/>
      </c>
      <c r="X220" t="str">
        <f>IFERROR(__xludf.DUMMYFUNCTION("""COMPUTED_VALUE"""),"")</f>
        <v/>
      </c>
      <c r="Y220" t="str">
        <f>IFERROR(__xludf.DUMMYFUNCTION("""COMPUTED_VALUE"""),"")</f>
        <v/>
      </c>
      <c r="Z220" t="str">
        <f>IFERROR(__xludf.DUMMYFUNCTION("""COMPUTED_VALUE"""),"")</f>
        <v/>
      </c>
      <c r="AA220" t="str">
        <f>IFERROR(__xludf.DUMMYFUNCTION("""COMPUTED_VALUE"""),"")</f>
        <v/>
      </c>
      <c r="AB220" t="str">
        <f>IFERROR(__xludf.DUMMYFUNCTION("""COMPUTED_VALUE"""),"")</f>
        <v/>
      </c>
      <c r="AC220" t="str">
        <f>IFERROR(__xludf.DUMMYFUNCTION("""COMPUTED_VALUE"""),"")</f>
        <v/>
      </c>
      <c r="AD220" t="str">
        <f>IFERROR(__xludf.DUMMYFUNCTION("""COMPUTED_VALUE"""),"")</f>
        <v/>
      </c>
      <c r="AE220" s="460" t="str">
        <f>IFERROR(__xludf.DUMMYFUNCTION("""COMPUTED_VALUE"""),"")</f>
        <v/>
      </c>
      <c r="AF220" s="372" t="str">
        <f>IFERROR(__xludf.DUMMYFUNCTION("""COMPUTED_VALUE"""),"")</f>
        <v/>
      </c>
    </row>
    <row r="221" ht="16.5" customHeight="1">
      <c r="C221" s="217"/>
      <c r="D221" s="205">
        <f>IFERROR(__xludf.DUMMYFUNCTION("""COMPUTED_VALUE"""),2.0)</f>
        <v>2</v>
      </c>
      <c r="E221" s="206" t="str">
        <f>IFERROR(__xludf.DUMMYFUNCTION("""COMPUTED_VALUE"""),"")</f>
        <v/>
      </c>
      <c r="F221" s="207" t="str">
        <f>IFERROR(__xludf.DUMMYFUNCTION("""COMPUTED_VALUE"""),"")</f>
        <v/>
      </c>
      <c r="G221" s="207" t="str">
        <f>IFERROR(__xludf.DUMMYFUNCTION("""COMPUTED_VALUE"""),"")</f>
        <v/>
      </c>
      <c r="H221" s="211" t="str">
        <f>IFERROR(__xludf.DUMMYFUNCTION("""COMPUTED_VALUE"""),"")</f>
        <v/>
      </c>
      <c r="I221" s="213" t="str">
        <f>IFERROR(__xludf.DUMMYFUNCTION("""COMPUTED_VALUE"""),"")</f>
        <v/>
      </c>
      <c r="J221" s="214" t="str">
        <f>IFERROR(__xludf.DUMMYFUNCTION("""COMPUTED_VALUE"""),"")</f>
        <v/>
      </c>
      <c r="K221" s="215" t="str">
        <f>IFERROR(__xludf.DUMMYFUNCTION("""COMPUTED_VALUE"""),"AP")</f>
        <v>AP</v>
      </c>
      <c r="L221" s="214" t="str">
        <f>IFERROR(__xludf.DUMMYFUNCTION("""COMPUTED_VALUE"""),"")</f>
        <v/>
      </c>
      <c r="M221" s="215" t="str">
        <f>IFERROR(__xludf.DUMMYFUNCTION("""COMPUTED_VALUE"""),"％")</f>
        <v>％</v>
      </c>
      <c r="N221" s="211" t="str">
        <f>IFERROR(__xludf.DUMMYFUNCTION("""COMPUTED_VALUE"""),"")</f>
        <v/>
      </c>
      <c r="O221" s="217"/>
      <c r="P221" s="371" t="str">
        <f>IFERROR(__xludf.DUMMYFUNCTION("""COMPUTED_VALUE"""),"")</f>
        <v/>
      </c>
      <c r="Q221" s="458" t="str">
        <f>IFERROR(__xludf.DUMMYFUNCTION("""COMPUTED_VALUE"""),"")</f>
        <v/>
      </c>
      <c r="R221" s="459" t="str">
        <f>IFERROR(__xludf.DUMMYFUNCTION("""COMPUTED_VALUE"""),"")</f>
        <v/>
      </c>
      <c r="S221" s="459" t="str">
        <f>IFERROR(__xludf.DUMMYFUNCTION("""COMPUTED_VALUE"""),"")</f>
        <v/>
      </c>
      <c r="T221" t="str">
        <f>IFERROR(__xludf.DUMMYFUNCTION("""COMPUTED_VALUE"""),"")</f>
        <v/>
      </c>
      <c r="U221" t="str">
        <f>IFERROR(__xludf.DUMMYFUNCTION("""COMPUTED_VALUE"""),"")</f>
        <v/>
      </c>
      <c r="V221" t="str">
        <f>IFERROR(__xludf.DUMMYFUNCTION("""COMPUTED_VALUE"""),"")</f>
        <v/>
      </c>
      <c r="W221" t="str">
        <f>IFERROR(__xludf.DUMMYFUNCTION("""COMPUTED_VALUE"""),"")</f>
        <v/>
      </c>
      <c r="X221" t="str">
        <f>IFERROR(__xludf.DUMMYFUNCTION("""COMPUTED_VALUE"""),"")</f>
        <v/>
      </c>
      <c r="Y221" t="str">
        <f>IFERROR(__xludf.DUMMYFUNCTION("""COMPUTED_VALUE"""),"")</f>
        <v/>
      </c>
      <c r="Z221" t="str">
        <f>IFERROR(__xludf.DUMMYFUNCTION("""COMPUTED_VALUE"""),"")</f>
        <v/>
      </c>
      <c r="AA221" t="str">
        <f>IFERROR(__xludf.DUMMYFUNCTION("""COMPUTED_VALUE"""),"")</f>
        <v/>
      </c>
      <c r="AB221" t="str">
        <f>IFERROR(__xludf.DUMMYFUNCTION("""COMPUTED_VALUE"""),"")</f>
        <v/>
      </c>
      <c r="AC221" t="str">
        <f>IFERROR(__xludf.DUMMYFUNCTION("""COMPUTED_VALUE"""),"")</f>
        <v/>
      </c>
      <c r="AD221" t="str">
        <f>IFERROR(__xludf.DUMMYFUNCTION("""COMPUTED_VALUE"""),"")</f>
        <v/>
      </c>
      <c r="AE221" s="460" t="str">
        <f>IFERROR(__xludf.DUMMYFUNCTION("""COMPUTED_VALUE"""),"")</f>
        <v/>
      </c>
      <c r="AF221" s="372" t="str">
        <f>IFERROR(__xludf.DUMMYFUNCTION("""COMPUTED_VALUE"""),"")</f>
        <v/>
      </c>
    </row>
    <row r="222" ht="16.5" customHeight="1">
      <c r="C222" s="217"/>
      <c r="D222" s="222">
        <f>IFERROR(__xludf.DUMMYFUNCTION("""COMPUTED_VALUE"""),3.0)</f>
        <v>3</v>
      </c>
      <c r="E222" s="223" t="str">
        <f>IFERROR(__xludf.DUMMYFUNCTION("""COMPUTED_VALUE"""),"")</f>
        <v/>
      </c>
      <c r="F222" s="224" t="str">
        <f>IFERROR(__xludf.DUMMYFUNCTION("""COMPUTED_VALUE"""),"")</f>
        <v/>
      </c>
      <c r="G222" s="224" t="str">
        <f>IFERROR(__xludf.DUMMYFUNCTION("""COMPUTED_VALUE"""),"")</f>
        <v/>
      </c>
      <c r="H222" s="228" t="str">
        <f>IFERROR(__xludf.DUMMYFUNCTION("""COMPUTED_VALUE"""),"")</f>
        <v/>
      </c>
      <c r="I222" s="230" t="str">
        <f>IFERROR(__xludf.DUMMYFUNCTION("""COMPUTED_VALUE"""),"")</f>
        <v/>
      </c>
      <c r="J222" s="231" t="str">
        <f>IFERROR(__xludf.DUMMYFUNCTION("""COMPUTED_VALUE"""),"")</f>
        <v/>
      </c>
      <c r="K222" s="232" t="str">
        <f>IFERROR(__xludf.DUMMYFUNCTION("""COMPUTED_VALUE"""),"AP")</f>
        <v>AP</v>
      </c>
      <c r="L222" s="231" t="str">
        <f>IFERROR(__xludf.DUMMYFUNCTION("""COMPUTED_VALUE"""),"")</f>
        <v/>
      </c>
      <c r="M222" s="232" t="str">
        <f>IFERROR(__xludf.DUMMYFUNCTION("""COMPUTED_VALUE"""),"％")</f>
        <v>％</v>
      </c>
      <c r="N222" s="228" t="str">
        <f>IFERROR(__xludf.DUMMYFUNCTION("""COMPUTED_VALUE"""),"")</f>
        <v/>
      </c>
      <c r="O222" s="217"/>
      <c r="P222" s="371" t="str">
        <f>IFERROR(__xludf.DUMMYFUNCTION("""COMPUTED_VALUE"""),"")</f>
        <v/>
      </c>
      <c r="Q222" s="458" t="str">
        <f>IFERROR(__xludf.DUMMYFUNCTION("""COMPUTED_VALUE"""),"")</f>
        <v/>
      </c>
      <c r="R222" s="459" t="str">
        <f>IFERROR(__xludf.DUMMYFUNCTION("""COMPUTED_VALUE"""),"")</f>
        <v/>
      </c>
      <c r="S222" s="459" t="str">
        <f>IFERROR(__xludf.DUMMYFUNCTION("""COMPUTED_VALUE"""),"")</f>
        <v/>
      </c>
      <c r="T222" t="str">
        <f>IFERROR(__xludf.DUMMYFUNCTION("""COMPUTED_VALUE"""),"")</f>
        <v/>
      </c>
      <c r="U222" t="str">
        <f>IFERROR(__xludf.DUMMYFUNCTION("""COMPUTED_VALUE"""),"")</f>
        <v/>
      </c>
      <c r="V222" t="str">
        <f>IFERROR(__xludf.DUMMYFUNCTION("""COMPUTED_VALUE"""),"")</f>
        <v/>
      </c>
      <c r="W222" t="str">
        <f>IFERROR(__xludf.DUMMYFUNCTION("""COMPUTED_VALUE"""),"")</f>
        <v/>
      </c>
      <c r="X222" t="str">
        <f>IFERROR(__xludf.DUMMYFUNCTION("""COMPUTED_VALUE"""),"")</f>
        <v/>
      </c>
      <c r="Y222" t="str">
        <f>IFERROR(__xludf.DUMMYFUNCTION("""COMPUTED_VALUE"""),"")</f>
        <v/>
      </c>
      <c r="Z222" t="str">
        <f>IFERROR(__xludf.DUMMYFUNCTION("""COMPUTED_VALUE"""),"")</f>
        <v/>
      </c>
      <c r="AA222" t="str">
        <f>IFERROR(__xludf.DUMMYFUNCTION("""COMPUTED_VALUE"""),"")</f>
        <v/>
      </c>
      <c r="AB222" t="str">
        <f>IFERROR(__xludf.DUMMYFUNCTION("""COMPUTED_VALUE"""),"")</f>
        <v/>
      </c>
      <c r="AC222" t="str">
        <f>IFERROR(__xludf.DUMMYFUNCTION("""COMPUTED_VALUE"""),"")</f>
        <v/>
      </c>
      <c r="AD222" t="str">
        <f>IFERROR(__xludf.DUMMYFUNCTION("""COMPUTED_VALUE"""),"")</f>
        <v/>
      </c>
      <c r="AE222" s="460" t="str">
        <f>IFERROR(__xludf.DUMMYFUNCTION("""COMPUTED_VALUE"""),"")</f>
        <v/>
      </c>
      <c r="AF222" s="372" t="str">
        <f>IFERROR(__xludf.DUMMYFUNCTION("""COMPUTED_VALUE"""),"")</f>
        <v/>
      </c>
    </row>
    <row r="223" ht="16.5" customHeight="1">
      <c r="C223" s="217"/>
      <c r="D223" s="238">
        <f>IFERROR(__xludf.DUMMYFUNCTION("""COMPUTED_VALUE"""),4.0)</f>
        <v>4</v>
      </c>
      <c r="E223" s="240" t="str">
        <f>IFERROR(__xludf.DUMMYFUNCTION("""COMPUTED_VALUE"""),"")</f>
        <v/>
      </c>
      <c r="F223" s="242" t="str">
        <f>IFERROR(__xludf.DUMMYFUNCTION("""COMPUTED_VALUE"""),"")</f>
        <v/>
      </c>
      <c r="G223" s="242" t="str">
        <f>IFERROR(__xludf.DUMMYFUNCTION("""COMPUTED_VALUE"""),"")</f>
        <v/>
      </c>
      <c r="H223" s="246" t="str">
        <f>IFERROR(__xludf.DUMMYFUNCTION("""COMPUTED_VALUE"""),"")</f>
        <v/>
      </c>
      <c r="I223" s="248" t="str">
        <f>IFERROR(__xludf.DUMMYFUNCTION("""COMPUTED_VALUE"""),"")</f>
        <v/>
      </c>
      <c r="J223" s="250" t="str">
        <f>IFERROR(__xludf.DUMMYFUNCTION("""COMPUTED_VALUE"""),"")</f>
        <v/>
      </c>
      <c r="K223" s="252" t="str">
        <f>IFERROR(__xludf.DUMMYFUNCTION("""COMPUTED_VALUE"""),"AP")</f>
        <v>AP</v>
      </c>
      <c r="L223" s="250" t="str">
        <f>IFERROR(__xludf.DUMMYFUNCTION("""COMPUTED_VALUE"""),"")</f>
        <v/>
      </c>
      <c r="M223" s="252" t="str">
        <f>IFERROR(__xludf.DUMMYFUNCTION("""COMPUTED_VALUE"""),"％")</f>
        <v>％</v>
      </c>
      <c r="N223" s="246" t="str">
        <f>IFERROR(__xludf.DUMMYFUNCTION("""COMPUTED_VALUE"""),"")</f>
        <v/>
      </c>
      <c r="O223" s="217"/>
      <c r="P223" s="371" t="str">
        <f>IFERROR(__xludf.DUMMYFUNCTION("""COMPUTED_VALUE"""),"")</f>
        <v/>
      </c>
      <c r="Q223" s="458" t="str">
        <f>IFERROR(__xludf.DUMMYFUNCTION("""COMPUTED_VALUE"""),"")</f>
        <v/>
      </c>
      <c r="R223" s="459" t="str">
        <f>IFERROR(__xludf.DUMMYFUNCTION("""COMPUTED_VALUE"""),"")</f>
        <v/>
      </c>
      <c r="S223" s="459" t="str">
        <f>IFERROR(__xludf.DUMMYFUNCTION("""COMPUTED_VALUE"""),"")</f>
        <v/>
      </c>
      <c r="T223" t="str">
        <f>IFERROR(__xludf.DUMMYFUNCTION("""COMPUTED_VALUE"""),"")</f>
        <v/>
      </c>
      <c r="U223" t="str">
        <f>IFERROR(__xludf.DUMMYFUNCTION("""COMPUTED_VALUE"""),"")</f>
        <v/>
      </c>
      <c r="V223" t="str">
        <f>IFERROR(__xludf.DUMMYFUNCTION("""COMPUTED_VALUE"""),"")</f>
        <v/>
      </c>
      <c r="W223" t="str">
        <f>IFERROR(__xludf.DUMMYFUNCTION("""COMPUTED_VALUE"""),"")</f>
        <v/>
      </c>
      <c r="X223" t="str">
        <f>IFERROR(__xludf.DUMMYFUNCTION("""COMPUTED_VALUE"""),"")</f>
        <v/>
      </c>
      <c r="Y223" t="str">
        <f>IFERROR(__xludf.DUMMYFUNCTION("""COMPUTED_VALUE"""),"")</f>
        <v/>
      </c>
      <c r="Z223" t="str">
        <f>IFERROR(__xludf.DUMMYFUNCTION("""COMPUTED_VALUE"""),"")</f>
        <v/>
      </c>
      <c r="AA223" t="str">
        <f>IFERROR(__xludf.DUMMYFUNCTION("""COMPUTED_VALUE"""),"")</f>
        <v/>
      </c>
      <c r="AB223" t="str">
        <f>IFERROR(__xludf.DUMMYFUNCTION("""COMPUTED_VALUE"""),"")</f>
        <v/>
      </c>
      <c r="AC223" t="str">
        <f>IFERROR(__xludf.DUMMYFUNCTION("""COMPUTED_VALUE"""),"")</f>
        <v/>
      </c>
      <c r="AD223" t="str">
        <f>IFERROR(__xludf.DUMMYFUNCTION("""COMPUTED_VALUE"""),"")</f>
        <v/>
      </c>
      <c r="AE223" s="460" t="str">
        <f>IFERROR(__xludf.DUMMYFUNCTION("""COMPUTED_VALUE"""),"")</f>
        <v/>
      </c>
      <c r="AF223" s="372" t="str">
        <f>IFERROR(__xludf.DUMMYFUNCTION("""COMPUTED_VALUE"""),"")</f>
        <v/>
      </c>
    </row>
    <row r="224" ht="16.5" customHeight="1">
      <c r="A224" s="166"/>
      <c r="C224" s="263"/>
      <c r="D224" s="256">
        <f>IFERROR(__xludf.DUMMYFUNCTION("""COMPUTED_VALUE"""),5.0)</f>
        <v>5</v>
      </c>
      <c r="E224" s="257" t="str">
        <f>IFERROR(__xludf.DUMMYFUNCTION("""COMPUTED_VALUE"""),"")</f>
        <v/>
      </c>
      <c r="F224" s="42" t="str">
        <f>IFERROR(__xludf.DUMMYFUNCTION("""COMPUTED_VALUE"""),"")</f>
        <v/>
      </c>
      <c r="G224" s="42" t="str">
        <f>IFERROR(__xludf.DUMMYFUNCTION("""COMPUTED_VALUE"""),"")</f>
        <v/>
      </c>
      <c r="H224" s="259" t="str">
        <f>IFERROR(__xludf.DUMMYFUNCTION("""COMPUTED_VALUE"""),"")</f>
        <v/>
      </c>
      <c r="I224" s="260" t="str">
        <f>IFERROR(__xludf.DUMMYFUNCTION("""COMPUTED_VALUE"""),"")</f>
        <v/>
      </c>
      <c r="J224" s="261" t="str">
        <f>IFERROR(__xludf.DUMMYFUNCTION("""COMPUTED_VALUE"""),"")</f>
        <v/>
      </c>
      <c r="K224" s="262" t="str">
        <f>IFERROR(__xludf.DUMMYFUNCTION("""COMPUTED_VALUE"""),"AP")</f>
        <v>AP</v>
      </c>
      <c r="L224" s="261" t="str">
        <f>IFERROR(__xludf.DUMMYFUNCTION("""COMPUTED_VALUE"""),"")</f>
        <v/>
      </c>
      <c r="M224" s="262" t="str">
        <f>IFERROR(__xludf.DUMMYFUNCTION("""COMPUTED_VALUE"""),"％")</f>
        <v>％</v>
      </c>
      <c r="N224" s="259" t="str">
        <f>IFERROR(__xludf.DUMMYFUNCTION("""COMPUTED_VALUE"""),"")</f>
        <v/>
      </c>
      <c r="O224" s="263"/>
      <c r="P224" s="371" t="str">
        <f>IFERROR(__xludf.DUMMYFUNCTION("""COMPUTED_VALUE"""),"")</f>
        <v/>
      </c>
      <c r="Q224" s="458" t="str">
        <f>IFERROR(__xludf.DUMMYFUNCTION("""COMPUTED_VALUE"""),"")</f>
        <v/>
      </c>
      <c r="R224" s="459" t="str">
        <f>IFERROR(__xludf.DUMMYFUNCTION("""COMPUTED_VALUE"""),"")</f>
        <v/>
      </c>
      <c r="S224" s="459" t="str">
        <f>IFERROR(__xludf.DUMMYFUNCTION("""COMPUTED_VALUE"""),"")</f>
        <v/>
      </c>
      <c r="T224" t="str">
        <f>IFERROR(__xludf.DUMMYFUNCTION("""COMPUTED_VALUE"""),"")</f>
        <v/>
      </c>
      <c r="U224" t="str">
        <f>IFERROR(__xludf.DUMMYFUNCTION("""COMPUTED_VALUE"""),"")</f>
        <v/>
      </c>
      <c r="V224" t="str">
        <f>IFERROR(__xludf.DUMMYFUNCTION("""COMPUTED_VALUE"""),"")</f>
        <v/>
      </c>
      <c r="W224" t="str">
        <f>IFERROR(__xludf.DUMMYFUNCTION("""COMPUTED_VALUE"""),"")</f>
        <v/>
      </c>
      <c r="X224" t="str">
        <f>IFERROR(__xludf.DUMMYFUNCTION("""COMPUTED_VALUE"""),"")</f>
        <v/>
      </c>
      <c r="Y224" t="str">
        <f>IFERROR(__xludf.DUMMYFUNCTION("""COMPUTED_VALUE"""),"")</f>
        <v/>
      </c>
      <c r="Z224" t="str">
        <f>IFERROR(__xludf.DUMMYFUNCTION("""COMPUTED_VALUE"""),"")</f>
        <v/>
      </c>
      <c r="AA224" t="str">
        <f>IFERROR(__xludf.DUMMYFUNCTION("""COMPUTED_VALUE"""),"")</f>
        <v/>
      </c>
      <c r="AB224" t="str">
        <f>IFERROR(__xludf.DUMMYFUNCTION("""COMPUTED_VALUE"""),"")</f>
        <v/>
      </c>
      <c r="AC224" t="str">
        <f>IFERROR(__xludf.DUMMYFUNCTION("""COMPUTED_VALUE"""),"")</f>
        <v/>
      </c>
      <c r="AD224" t="str">
        <f>IFERROR(__xludf.DUMMYFUNCTION("""COMPUTED_VALUE"""),"")</f>
        <v/>
      </c>
      <c r="AE224" s="460" t="str">
        <f>IFERROR(__xludf.DUMMYFUNCTION("""COMPUTED_VALUE"""),"")</f>
        <v/>
      </c>
      <c r="AF224" s="372" t="str">
        <f>IFERROR(__xludf.DUMMYFUNCTION("""COMPUTED_VALUE"""),"")</f>
        <v/>
      </c>
    </row>
    <row r="225" ht="16.5" customHeight="1">
      <c r="A225" s="25" t="str">
        <f>IFERROR(__xludf.DUMMYFUNCTION("""COMPUTED_VALUE"""),"Item")</f>
        <v>Item</v>
      </c>
      <c r="B225" s="27"/>
      <c r="C225" s="28"/>
      <c r="D225" s="30" t="str">
        <f>IFERROR(__xludf.DUMMYFUNCTION("""COMPUTED_VALUE"""),"No.")</f>
        <v>No.</v>
      </c>
      <c r="E225" s="31" t="str">
        <f>IFERROR(__xludf.DUMMYFUNCTION("""COMPUTED_VALUE"""),"Node Code")</f>
        <v>Node Code</v>
      </c>
      <c r="F225" s="31" t="str">
        <f>IFERROR(__xludf.DUMMYFUNCTION("""COMPUTED_VALUE"""),"Area")</f>
        <v>Area</v>
      </c>
      <c r="G225" s="31" t="str">
        <f>IFERROR(__xludf.DUMMYFUNCTION("""COMPUTED_VALUE"""),"Quest")</f>
        <v>Quest</v>
      </c>
      <c r="H225" s="30" t="str">
        <f>IFERROR(__xludf.DUMMYFUNCTION("""COMPUTED_VALUE"""),"AP")</f>
        <v>AP</v>
      </c>
      <c r="I225" s="34" t="str">
        <f>IFERROR(__xludf.DUMMYFUNCTION("""COMPUTED_VALUE"""),"BP/AP")</f>
        <v>BP/AP</v>
      </c>
      <c r="J225" s="36" t="str">
        <f>IFERROR(__xludf.DUMMYFUNCTION("""COMPUTED_VALUE"""),"AP/Drop")</f>
        <v>AP/Drop</v>
      </c>
      <c r="K225" s="28"/>
      <c r="L225" s="36" t="str">
        <f>IFERROR(__xludf.DUMMYFUNCTION("""COMPUTED_VALUE"""),"Drop Chance")</f>
        <v>Drop Chance</v>
      </c>
      <c r="M225" s="28"/>
      <c r="N225" s="38" t="str">
        <f>IFERROR(__xludf.DUMMYFUNCTION("""COMPUTED_VALUE"""),"Runs")</f>
        <v>Runs</v>
      </c>
      <c r="O225" s="40" t="str">
        <f>IFERROR(__xludf.DUMMYFUNCTION("""COMPUTED_VALUE"""),"")</f>
        <v/>
      </c>
      <c r="P225" s="371" t="str">
        <f>IFERROR(__xludf.DUMMYFUNCTION("""COMPUTED_VALUE"""),"")</f>
        <v/>
      </c>
      <c r="Q225" s="458" t="str">
        <f>IFERROR(__xludf.DUMMYFUNCTION("""COMPUTED_VALUE"""),"")</f>
        <v/>
      </c>
      <c r="R225" s="459" t="str">
        <f>IFERROR(__xludf.DUMMYFUNCTION("""COMPUTED_VALUE"""),"")</f>
        <v/>
      </c>
      <c r="S225" s="459" t="str">
        <f>IFERROR(__xludf.DUMMYFUNCTION("""COMPUTED_VALUE"""),"")</f>
        <v/>
      </c>
      <c r="T225" t="str">
        <f>IFERROR(__xludf.DUMMYFUNCTION("""COMPUTED_VALUE"""),"")</f>
        <v/>
      </c>
      <c r="U225" t="str">
        <f>IFERROR(__xludf.DUMMYFUNCTION("""COMPUTED_VALUE"""),"")</f>
        <v/>
      </c>
      <c r="V225" t="str">
        <f>IFERROR(__xludf.DUMMYFUNCTION("""COMPUTED_VALUE"""),"")</f>
        <v/>
      </c>
      <c r="W225" t="str">
        <f>IFERROR(__xludf.DUMMYFUNCTION("""COMPUTED_VALUE"""),"")</f>
        <v/>
      </c>
      <c r="X225" t="str">
        <f>IFERROR(__xludf.DUMMYFUNCTION("""COMPUTED_VALUE"""),"")</f>
        <v/>
      </c>
      <c r="Y225" t="str">
        <f>IFERROR(__xludf.DUMMYFUNCTION("""COMPUTED_VALUE"""),"")</f>
        <v/>
      </c>
      <c r="Z225" t="str">
        <f>IFERROR(__xludf.DUMMYFUNCTION("""COMPUTED_VALUE"""),"")</f>
        <v/>
      </c>
      <c r="AA225" t="str">
        <f>IFERROR(__xludf.DUMMYFUNCTION("""COMPUTED_VALUE"""),"")</f>
        <v/>
      </c>
      <c r="AB225" t="str">
        <f>IFERROR(__xludf.DUMMYFUNCTION("""COMPUTED_VALUE"""),"")</f>
        <v/>
      </c>
      <c r="AC225" t="str">
        <f>IFERROR(__xludf.DUMMYFUNCTION("""COMPUTED_VALUE"""),"")</f>
        <v/>
      </c>
      <c r="AD225" t="str">
        <f>IFERROR(__xludf.DUMMYFUNCTION("""COMPUTED_VALUE"""),"")</f>
        <v/>
      </c>
      <c r="AE225" s="460" t="str">
        <f>IFERROR(__xludf.DUMMYFUNCTION("""COMPUTED_VALUE"""),"")</f>
        <v/>
      </c>
      <c r="AF225" s="372" t="str">
        <f>IFERROR(__xludf.DUMMYFUNCTION("""COMPUTED_VALUE"""),"")</f>
        <v/>
      </c>
    </row>
    <row r="226" ht="16.5" customHeight="1">
      <c r="A226" s="54"/>
      <c r="B226" s="55"/>
      <c r="C226" s="57"/>
      <c r="D226" s="57"/>
      <c r="E226" s="57"/>
      <c r="F226" s="57"/>
      <c r="G226" s="57"/>
      <c r="H226" s="57"/>
      <c r="I226" s="58" t="str">
        <f>IFERROR(__xludf.DUMMYFUNCTION("""COMPUTED_VALUE"""),"1P+1L+1T")</f>
        <v>1P+1L+1T</v>
      </c>
      <c r="J226" s="55"/>
      <c r="K226" s="57"/>
      <c r="L226" s="55"/>
      <c r="M226" s="57"/>
      <c r="N226" s="57"/>
      <c r="O226" s="57"/>
      <c r="P226" s="371" t="str">
        <f>IFERROR(__xludf.DUMMYFUNCTION("""COMPUTED_VALUE"""),"")</f>
        <v/>
      </c>
      <c r="Q226" s="458" t="str">
        <f>IFERROR(__xludf.DUMMYFUNCTION("""COMPUTED_VALUE"""),"")</f>
        <v/>
      </c>
      <c r="R226" s="459" t="str">
        <f>IFERROR(__xludf.DUMMYFUNCTION("""COMPUTED_VALUE"""),"")</f>
        <v/>
      </c>
      <c r="S226" s="459" t="str">
        <f>IFERROR(__xludf.DUMMYFUNCTION("""COMPUTED_VALUE"""),"")</f>
        <v/>
      </c>
      <c r="T226" t="str">
        <f>IFERROR(__xludf.DUMMYFUNCTION("""COMPUTED_VALUE"""),"")</f>
        <v/>
      </c>
      <c r="U226" t="str">
        <f>IFERROR(__xludf.DUMMYFUNCTION("""COMPUTED_VALUE"""),"")</f>
        <v/>
      </c>
      <c r="V226" t="str">
        <f>IFERROR(__xludf.DUMMYFUNCTION("""COMPUTED_VALUE"""),"")</f>
        <v/>
      </c>
      <c r="W226" t="str">
        <f>IFERROR(__xludf.DUMMYFUNCTION("""COMPUTED_VALUE"""),"")</f>
        <v/>
      </c>
      <c r="X226" t="str">
        <f>IFERROR(__xludf.DUMMYFUNCTION("""COMPUTED_VALUE"""),"")</f>
        <v/>
      </c>
      <c r="Y226" t="str">
        <f>IFERROR(__xludf.DUMMYFUNCTION("""COMPUTED_VALUE"""),"")</f>
        <v/>
      </c>
      <c r="Z226" t="str">
        <f>IFERROR(__xludf.DUMMYFUNCTION("""COMPUTED_VALUE"""),"")</f>
        <v/>
      </c>
      <c r="AA226" t="str">
        <f>IFERROR(__xludf.DUMMYFUNCTION("""COMPUTED_VALUE"""),"")</f>
        <v/>
      </c>
      <c r="AB226" t="str">
        <f>IFERROR(__xludf.DUMMYFUNCTION("""COMPUTED_VALUE"""),"")</f>
        <v/>
      </c>
      <c r="AC226" t="str">
        <f>IFERROR(__xludf.DUMMYFUNCTION("""COMPUTED_VALUE"""),"")</f>
        <v/>
      </c>
      <c r="AD226" t="str">
        <f>IFERROR(__xludf.DUMMYFUNCTION("""COMPUTED_VALUE"""),"")</f>
        <v/>
      </c>
      <c r="AE226" s="460" t="str">
        <f>IFERROR(__xludf.DUMMYFUNCTION("""COMPUTED_VALUE"""),"")</f>
        <v/>
      </c>
      <c r="AF226" s="372" t="str">
        <f>IFERROR(__xludf.DUMMYFUNCTION("""COMPUTED_VALUE"""),"")</f>
        <v/>
      </c>
    </row>
    <row r="227" ht="16.5" customHeight="1">
      <c r="A227" s="494" t="str">
        <f>IFERROR(__xludf.DUMMYFUNCTION("""COMPUTED_VALUE"""),"")</f>
        <v/>
      </c>
      <c r="B227" s="494" t="str">
        <f>IFERROR(__xludf.DUMMYFUNCTION("""COMPUTED_VALUE"""),"")</f>
        <v/>
      </c>
      <c r="C227" s="494" t="str">
        <f>IFERROR(__xludf.DUMMYFUNCTION("""COMPUTED_VALUE"""),"")</f>
        <v/>
      </c>
      <c r="D227" s="494" t="str">
        <f>IFERROR(__xludf.DUMMYFUNCTION("""COMPUTED_VALUE"""),"")</f>
        <v/>
      </c>
      <c r="E227" s="494" t="str">
        <f>IFERROR(__xludf.DUMMYFUNCTION("""COMPUTED_VALUE"""),"")</f>
        <v/>
      </c>
      <c r="F227" s="494" t="str">
        <f>IFERROR(__xludf.DUMMYFUNCTION("""COMPUTED_VALUE"""),"")</f>
        <v/>
      </c>
      <c r="G227" s="494" t="str">
        <f>IFERROR(__xludf.DUMMYFUNCTION("""COMPUTED_VALUE"""),"")</f>
        <v/>
      </c>
      <c r="H227" s="494" t="str">
        <f>IFERROR(__xludf.DUMMYFUNCTION("""COMPUTED_VALUE"""),"")</f>
        <v/>
      </c>
      <c r="I227" s="494" t="str">
        <f>IFERROR(__xludf.DUMMYFUNCTION("""COMPUTED_VALUE"""),"")</f>
        <v/>
      </c>
      <c r="J227" t="str">
        <f>IFERROR(__xludf.DUMMYFUNCTION("""COMPUTED_VALUE"""),"")</f>
        <v/>
      </c>
      <c r="K227" t="str">
        <f>IFERROR(__xludf.DUMMYFUNCTION("""COMPUTED_VALUE"""),"")</f>
        <v/>
      </c>
      <c r="L227" t="str">
        <f>IFERROR(__xludf.DUMMYFUNCTION("""COMPUTED_VALUE"""),"")</f>
        <v/>
      </c>
      <c r="M227" t="str">
        <f>IFERROR(__xludf.DUMMYFUNCTION("""COMPUTED_VALUE"""),"")</f>
        <v/>
      </c>
      <c r="N227" t="str">
        <f>IFERROR(__xludf.DUMMYFUNCTION("""COMPUTED_VALUE"""),"")</f>
        <v/>
      </c>
      <c r="O227" t="str">
        <f>IFERROR(__xludf.DUMMYFUNCTION("""COMPUTED_VALUE"""),"")</f>
        <v/>
      </c>
      <c r="P227" s="371" t="str">
        <f>IFERROR(__xludf.DUMMYFUNCTION("""COMPUTED_VALUE"""),"")</f>
        <v/>
      </c>
      <c r="Q227" s="458" t="str">
        <f>IFERROR(__xludf.DUMMYFUNCTION("""COMPUTED_VALUE"""),"")</f>
        <v/>
      </c>
      <c r="R227" s="459" t="str">
        <f>IFERROR(__xludf.DUMMYFUNCTION("""COMPUTED_VALUE"""),"")</f>
        <v/>
      </c>
      <c r="S227" s="459" t="str">
        <f>IFERROR(__xludf.DUMMYFUNCTION("""COMPUTED_VALUE"""),"")</f>
        <v/>
      </c>
      <c r="T227" t="str">
        <f>IFERROR(__xludf.DUMMYFUNCTION("""COMPUTED_VALUE"""),"")</f>
        <v/>
      </c>
      <c r="U227" t="str">
        <f>IFERROR(__xludf.DUMMYFUNCTION("""COMPUTED_VALUE"""),"")</f>
        <v/>
      </c>
      <c r="V227" t="str">
        <f>IFERROR(__xludf.DUMMYFUNCTION("""COMPUTED_VALUE"""),"")</f>
        <v/>
      </c>
      <c r="W227" t="str">
        <f>IFERROR(__xludf.DUMMYFUNCTION("""COMPUTED_VALUE"""),"")</f>
        <v/>
      </c>
      <c r="X227" t="str">
        <f>IFERROR(__xludf.DUMMYFUNCTION("""COMPUTED_VALUE"""),"")</f>
        <v/>
      </c>
      <c r="Y227" t="str">
        <f>IFERROR(__xludf.DUMMYFUNCTION("""COMPUTED_VALUE"""),"")</f>
        <v/>
      </c>
      <c r="Z227" t="str">
        <f>IFERROR(__xludf.DUMMYFUNCTION("""COMPUTED_VALUE"""),"")</f>
        <v/>
      </c>
      <c r="AA227" t="str">
        <f>IFERROR(__xludf.DUMMYFUNCTION("""COMPUTED_VALUE"""),"")</f>
        <v/>
      </c>
      <c r="AB227" t="str">
        <f>IFERROR(__xludf.DUMMYFUNCTION("""COMPUTED_VALUE"""),"")</f>
        <v/>
      </c>
      <c r="AC227" t="str">
        <f>IFERROR(__xludf.DUMMYFUNCTION("""COMPUTED_VALUE"""),"")</f>
        <v/>
      </c>
      <c r="AD227" t="str">
        <f>IFERROR(__xludf.DUMMYFUNCTION("""COMPUTED_VALUE"""),"")</f>
        <v/>
      </c>
      <c r="AE227" s="460" t="str">
        <f>IFERROR(__xludf.DUMMYFUNCTION("""COMPUTED_VALUE"""),"")</f>
        <v/>
      </c>
      <c r="AF227" s="372" t="str">
        <f>IFERROR(__xludf.DUMMYFUNCTION("""COMPUTED_VALUE"""),"")</f>
        <v/>
      </c>
    </row>
    <row r="228" ht="16.5" customHeight="1">
      <c r="A228" s="494" t="str">
        <f>IFERROR(__xludf.DUMMYFUNCTION("""COMPUTED_VALUE"""),"")</f>
        <v/>
      </c>
      <c r="B228" s="494" t="str">
        <f>IFERROR(__xludf.DUMMYFUNCTION("""COMPUTED_VALUE"""),"")</f>
        <v/>
      </c>
      <c r="C228" s="494" t="str">
        <f>IFERROR(__xludf.DUMMYFUNCTION("""COMPUTED_VALUE"""),"")</f>
        <v/>
      </c>
      <c r="D228" s="494" t="str">
        <f>IFERROR(__xludf.DUMMYFUNCTION("""COMPUTED_VALUE"""),"")</f>
        <v/>
      </c>
      <c r="E228" s="494" t="str">
        <f>IFERROR(__xludf.DUMMYFUNCTION("""COMPUTED_VALUE"""),"")</f>
        <v/>
      </c>
      <c r="F228" s="494" t="str">
        <f>IFERROR(__xludf.DUMMYFUNCTION("""COMPUTED_VALUE"""),"")</f>
        <v/>
      </c>
      <c r="G228" s="494" t="str">
        <f>IFERROR(__xludf.DUMMYFUNCTION("""COMPUTED_VALUE"""),"")</f>
        <v/>
      </c>
      <c r="H228" s="494" t="str">
        <f>IFERROR(__xludf.DUMMYFUNCTION("""COMPUTED_VALUE"""),"")</f>
        <v/>
      </c>
      <c r="I228" s="494" t="str">
        <f>IFERROR(__xludf.DUMMYFUNCTION("""COMPUTED_VALUE"""),"")</f>
        <v/>
      </c>
      <c r="J228" t="str">
        <f>IFERROR(__xludf.DUMMYFUNCTION("""COMPUTED_VALUE"""),"")</f>
        <v/>
      </c>
      <c r="K228" t="str">
        <f>IFERROR(__xludf.DUMMYFUNCTION("""COMPUTED_VALUE"""),"")</f>
        <v/>
      </c>
      <c r="L228" t="str">
        <f>IFERROR(__xludf.DUMMYFUNCTION("""COMPUTED_VALUE"""),"")</f>
        <v/>
      </c>
      <c r="M228" t="str">
        <f>IFERROR(__xludf.DUMMYFUNCTION("""COMPUTED_VALUE"""),"")</f>
        <v/>
      </c>
      <c r="N228" t="str">
        <f>IFERROR(__xludf.DUMMYFUNCTION("""COMPUTED_VALUE"""),"")</f>
        <v/>
      </c>
      <c r="O228" t="str">
        <f>IFERROR(__xludf.DUMMYFUNCTION("""COMPUTED_VALUE"""),"")</f>
        <v/>
      </c>
      <c r="P228" s="371" t="str">
        <f>IFERROR(__xludf.DUMMYFUNCTION("""COMPUTED_VALUE"""),"")</f>
        <v/>
      </c>
      <c r="Q228" s="458" t="str">
        <f>IFERROR(__xludf.DUMMYFUNCTION("""COMPUTED_VALUE"""),"")</f>
        <v/>
      </c>
      <c r="R228" s="459" t="str">
        <f>IFERROR(__xludf.DUMMYFUNCTION("""COMPUTED_VALUE"""),"")</f>
        <v/>
      </c>
      <c r="S228" s="459" t="str">
        <f>IFERROR(__xludf.DUMMYFUNCTION("""COMPUTED_VALUE"""),"")</f>
        <v/>
      </c>
      <c r="T228" t="str">
        <f>IFERROR(__xludf.DUMMYFUNCTION("""COMPUTED_VALUE"""),"")</f>
        <v/>
      </c>
      <c r="U228" t="str">
        <f>IFERROR(__xludf.DUMMYFUNCTION("""COMPUTED_VALUE"""),"")</f>
        <v/>
      </c>
      <c r="V228" t="str">
        <f>IFERROR(__xludf.DUMMYFUNCTION("""COMPUTED_VALUE"""),"")</f>
        <v/>
      </c>
      <c r="W228" t="str">
        <f>IFERROR(__xludf.DUMMYFUNCTION("""COMPUTED_VALUE"""),"")</f>
        <v/>
      </c>
      <c r="X228" t="str">
        <f>IFERROR(__xludf.DUMMYFUNCTION("""COMPUTED_VALUE"""),"")</f>
        <v/>
      </c>
      <c r="Y228" t="str">
        <f>IFERROR(__xludf.DUMMYFUNCTION("""COMPUTED_VALUE"""),"")</f>
        <v/>
      </c>
      <c r="Z228" t="str">
        <f>IFERROR(__xludf.DUMMYFUNCTION("""COMPUTED_VALUE"""),"")</f>
        <v/>
      </c>
      <c r="AA228" t="str">
        <f>IFERROR(__xludf.DUMMYFUNCTION("""COMPUTED_VALUE"""),"")</f>
        <v/>
      </c>
      <c r="AB228" t="str">
        <f>IFERROR(__xludf.DUMMYFUNCTION("""COMPUTED_VALUE"""),"")</f>
        <v/>
      </c>
      <c r="AC228" t="str">
        <f>IFERROR(__xludf.DUMMYFUNCTION("""COMPUTED_VALUE"""),"")</f>
        <v/>
      </c>
      <c r="AD228" t="str">
        <f>IFERROR(__xludf.DUMMYFUNCTION("""COMPUTED_VALUE"""),"")</f>
        <v/>
      </c>
      <c r="AE228" s="460" t="str">
        <f>IFERROR(__xludf.DUMMYFUNCTION("""COMPUTED_VALUE"""),"")</f>
        <v/>
      </c>
      <c r="AF228" s="372" t="str">
        <f>IFERROR(__xludf.DUMMYFUNCTION("""COMPUTED_VALUE"""),"")</f>
        <v/>
      </c>
    </row>
    <row r="229" ht="16.5" customHeight="1">
      <c r="A229" s="494" t="str">
        <f>IFERROR(__xludf.DUMMYFUNCTION("""COMPUTED_VALUE"""),"")</f>
        <v/>
      </c>
      <c r="B229" s="494" t="str">
        <f>IFERROR(__xludf.DUMMYFUNCTION("""COMPUTED_VALUE"""),"")</f>
        <v/>
      </c>
      <c r="C229" s="494" t="str">
        <f>IFERROR(__xludf.DUMMYFUNCTION("""COMPUTED_VALUE"""),"")</f>
        <v/>
      </c>
      <c r="D229" s="494" t="str">
        <f>IFERROR(__xludf.DUMMYFUNCTION("""COMPUTED_VALUE"""),"")</f>
        <v/>
      </c>
      <c r="E229" s="494" t="str">
        <f>IFERROR(__xludf.DUMMYFUNCTION("""COMPUTED_VALUE"""),"")</f>
        <v/>
      </c>
      <c r="F229" s="494" t="str">
        <f>IFERROR(__xludf.DUMMYFUNCTION("""COMPUTED_VALUE"""),"")</f>
        <v/>
      </c>
      <c r="G229" s="494" t="str">
        <f>IFERROR(__xludf.DUMMYFUNCTION("""COMPUTED_VALUE"""),"")</f>
        <v/>
      </c>
      <c r="H229" s="494" t="str">
        <f>IFERROR(__xludf.DUMMYFUNCTION("""COMPUTED_VALUE"""),"")</f>
        <v/>
      </c>
      <c r="I229" s="494" t="str">
        <f>IFERROR(__xludf.DUMMYFUNCTION("""COMPUTED_VALUE"""),"")</f>
        <v/>
      </c>
      <c r="J229" t="str">
        <f>IFERROR(__xludf.DUMMYFUNCTION("""COMPUTED_VALUE"""),"")</f>
        <v/>
      </c>
      <c r="K229" t="str">
        <f>IFERROR(__xludf.DUMMYFUNCTION("""COMPUTED_VALUE"""),"")</f>
        <v/>
      </c>
      <c r="L229" t="str">
        <f>IFERROR(__xludf.DUMMYFUNCTION("""COMPUTED_VALUE"""),"")</f>
        <v/>
      </c>
      <c r="M229" t="str">
        <f>IFERROR(__xludf.DUMMYFUNCTION("""COMPUTED_VALUE"""),"")</f>
        <v/>
      </c>
      <c r="N229" t="str">
        <f>IFERROR(__xludf.DUMMYFUNCTION("""COMPUTED_VALUE"""),"")</f>
        <v/>
      </c>
      <c r="O229" t="str">
        <f>IFERROR(__xludf.DUMMYFUNCTION("""COMPUTED_VALUE"""),"")</f>
        <v/>
      </c>
      <c r="P229" s="371" t="str">
        <f>IFERROR(__xludf.DUMMYFUNCTION("""COMPUTED_VALUE"""),"")</f>
        <v/>
      </c>
      <c r="Q229" s="458" t="str">
        <f>IFERROR(__xludf.DUMMYFUNCTION("""COMPUTED_VALUE"""),"")</f>
        <v/>
      </c>
      <c r="R229" s="459" t="str">
        <f>IFERROR(__xludf.DUMMYFUNCTION("""COMPUTED_VALUE"""),"")</f>
        <v/>
      </c>
      <c r="S229" s="459" t="str">
        <f>IFERROR(__xludf.DUMMYFUNCTION("""COMPUTED_VALUE"""),"")</f>
        <v/>
      </c>
      <c r="T229" t="str">
        <f>IFERROR(__xludf.DUMMYFUNCTION("""COMPUTED_VALUE"""),"")</f>
        <v/>
      </c>
      <c r="U229" t="str">
        <f>IFERROR(__xludf.DUMMYFUNCTION("""COMPUTED_VALUE"""),"")</f>
        <v/>
      </c>
      <c r="V229" t="str">
        <f>IFERROR(__xludf.DUMMYFUNCTION("""COMPUTED_VALUE"""),"")</f>
        <v/>
      </c>
      <c r="W229" t="str">
        <f>IFERROR(__xludf.DUMMYFUNCTION("""COMPUTED_VALUE"""),"")</f>
        <v/>
      </c>
      <c r="X229" t="str">
        <f>IFERROR(__xludf.DUMMYFUNCTION("""COMPUTED_VALUE"""),"")</f>
        <v/>
      </c>
      <c r="Y229" t="str">
        <f>IFERROR(__xludf.DUMMYFUNCTION("""COMPUTED_VALUE"""),"")</f>
        <v/>
      </c>
      <c r="Z229" t="str">
        <f>IFERROR(__xludf.DUMMYFUNCTION("""COMPUTED_VALUE"""),"")</f>
        <v/>
      </c>
      <c r="AA229" t="str">
        <f>IFERROR(__xludf.DUMMYFUNCTION("""COMPUTED_VALUE"""),"")</f>
        <v/>
      </c>
      <c r="AB229" t="str">
        <f>IFERROR(__xludf.DUMMYFUNCTION("""COMPUTED_VALUE"""),"")</f>
        <v/>
      </c>
      <c r="AC229" t="str">
        <f>IFERROR(__xludf.DUMMYFUNCTION("""COMPUTED_VALUE"""),"")</f>
        <v/>
      </c>
      <c r="AD229" t="str">
        <f>IFERROR(__xludf.DUMMYFUNCTION("""COMPUTED_VALUE"""),"")</f>
        <v/>
      </c>
      <c r="AE229" s="460" t="str">
        <f>IFERROR(__xludf.DUMMYFUNCTION("""COMPUTED_VALUE"""),"")</f>
        <v/>
      </c>
      <c r="AF229" s="372" t="str">
        <f>IFERROR(__xludf.DUMMYFUNCTION("""COMPUTED_VALUE"""),"")</f>
        <v/>
      </c>
    </row>
    <row r="230" ht="16.5" customHeight="1">
      <c r="A230" s="494" t="str">
        <f>IFERROR(__xludf.DUMMYFUNCTION("""COMPUTED_VALUE"""),"")</f>
        <v/>
      </c>
      <c r="B230" s="494" t="str">
        <f>IFERROR(__xludf.DUMMYFUNCTION("""COMPUTED_VALUE"""),"")</f>
        <v/>
      </c>
      <c r="C230" s="494" t="str">
        <f>IFERROR(__xludf.DUMMYFUNCTION("""COMPUTED_VALUE"""),"")</f>
        <v/>
      </c>
      <c r="D230" s="494" t="str">
        <f>IFERROR(__xludf.DUMMYFUNCTION("""COMPUTED_VALUE"""),"")</f>
        <v/>
      </c>
      <c r="E230" s="494" t="str">
        <f>IFERROR(__xludf.DUMMYFUNCTION("""COMPUTED_VALUE"""),"")</f>
        <v/>
      </c>
      <c r="F230" s="494" t="str">
        <f>IFERROR(__xludf.DUMMYFUNCTION("""COMPUTED_VALUE"""),"")</f>
        <v/>
      </c>
      <c r="G230" s="494" t="str">
        <f>IFERROR(__xludf.DUMMYFUNCTION("""COMPUTED_VALUE"""),"")</f>
        <v/>
      </c>
      <c r="H230" s="494" t="str">
        <f>IFERROR(__xludf.DUMMYFUNCTION("""COMPUTED_VALUE"""),"")</f>
        <v/>
      </c>
      <c r="I230" s="494" t="str">
        <f>IFERROR(__xludf.DUMMYFUNCTION("""COMPUTED_VALUE"""),"")</f>
        <v/>
      </c>
      <c r="J230" t="str">
        <f>IFERROR(__xludf.DUMMYFUNCTION("""COMPUTED_VALUE"""),"")</f>
        <v/>
      </c>
      <c r="K230" t="str">
        <f>IFERROR(__xludf.DUMMYFUNCTION("""COMPUTED_VALUE"""),"")</f>
        <v/>
      </c>
      <c r="L230" t="str">
        <f>IFERROR(__xludf.DUMMYFUNCTION("""COMPUTED_VALUE"""),"")</f>
        <v/>
      </c>
      <c r="M230" t="str">
        <f>IFERROR(__xludf.DUMMYFUNCTION("""COMPUTED_VALUE"""),"")</f>
        <v/>
      </c>
      <c r="N230" t="str">
        <f>IFERROR(__xludf.DUMMYFUNCTION("""COMPUTED_VALUE"""),"")</f>
        <v/>
      </c>
      <c r="O230" t="str">
        <f>IFERROR(__xludf.DUMMYFUNCTION("""COMPUTED_VALUE"""),"")</f>
        <v/>
      </c>
      <c r="P230" s="371" t="str">
        <f>IFERROR(__xludf.DUMMYFUNCTION("""COMPUTED_VALUE"""),"")</f>
        <v/>
      </c>
      <c r="Q230" s="458" t="str">
        <f>IFERROR(__xludf.DUMMYFUNCTION("""COMPUTED_VALUE"""),"")</f>
        <v/>
      </c>
      <c r="R230" s="459" t="str">
        <f>IFERROR(__xludf.DUMMYFUNCTION("""COMPUTED_VALUE"""),"")</f>
        <v/>
      </c>
      <c r="S230" s="459" t="str">
        <f>IFERROR(__xludf.DUMMYFUNCTION("""COMPUTED_VALUE"""),"")</f>
        <v/>
      </c>
      <c r="T230" t="str">
        <f>IFERROR(__xludf.DUMMYFUNCTION("""COMPUTED_VALUE"""),"")</f>
        <v/>
      </c>
      <c r="U230" t="str">
        <f>IFERROR(__xludf.DUMMYFUNCTION("""COMPUTED_VALUE"""),"")</f>
        <v/>
      </c>
      <c r="V230" t="str">
        <f>IFERROR(__xludf.DUMMYFUNCTION("""COMPUTED_VALUE"""),"")</f>
        <v/>
      </c>
      <c r="W230" t="str">
        <f>IFERROR(__xludf.DUMMYFUNCTION("""COMPUTED_VALUE"""),"")</f>
        <v/>
      </c>
      <c r="X230" t="str">
        <f>IFERROR(__xludf.DUMMYFUNCTION("""COMPUTED_VALUE"""),"")</f>
        <v/>
      </c>
      <c r="Y230" t="str">
        <f>IFERROR(__xludf.DUMMYFUNCTION("""COMPUTED_VALUE"""),"")</f>
        <v/>
      </c>
      <c r="Z230" t="str">
        <f>IFERROR(__xludf.DUMMYFUNCTION("""COMPUTED_VALUE"""),"")</f>
        <v/>
      </c>
      <c r="AA230" t="str">
        <f>IFERROR(__xludf.DUMMYFUNCTION("""COMPUTED_VALUE"""),"")</f>
        <v/>
      </c>
      <c r="AB230" t="str">
        <f>IFERROR(__xludf.DUMMYFUNCTION("""COMPUTED_VALUE"""),"")</f>
        <v/>
      </c>
      <c r="AC230" t="str">
        <f>IFERROR(__xludf.DUMMYFUNCTION("""COMPUTED_VALUE"""),"")</f>
        <v/>
      </c>
      <c r="AD230" t="str">
        <f>IFERROR(__xludf.DUMMYFUNCTION("""COMPUTED_VALUE"""),"")</f>
        <v/>
      </c>
      <c r="AE230" s="460" t="str">
        <f>IFERROR(__xludf.DUMMYFUNCTION("""COMPUTED_VALUE"""),"")</f>
        <v/>
      </c>
      <c r="AF230" s="372" t="str">
        <f>IFERROR(__xludf.DUMMYFUNCTION("""COMPUTED_VALUE"""),"")</f>
        <v/>
      </c>
    </row>
    <row r="231" ht="16.5" customHeight="1">
      <c r="A231" s="494" t="str">
        <f>IFERROR(__xludf.DUMMYFUNCTION("""COMPUTED_VALUE"""),"")</f>
        <v/>
      </c>
      <c r="B231" s="494" t="str">
        <f>IFERROR(__xludf.DUMMYFUNCTION("""COMPUTED_VALUE"""),"")</f>
        <v/>
      </c>
      <c r="C231" s="494" t="str">
        <f>IFERROR(__xludf.DUMMYFUNCTION("""COMPUTED_VALUE"""),"")</f>
        <v/>
      </c>
      <c r="D231" s="494" t="str">
        <f>IFERROR(__xludf.DUMMYFUNCTION("""COMPUTED_VALUE"""),"")</f>
        <v/>
      </c>
      <c r="E231" s="494" t="str">
        <f>IFERROR(__xludf.DUMMYFUNCTION("""COMPUTED_VALUE"""),"")</f>
        <v/>
      </c>
      <c r="F231" s="494" t="str">
        <f>IFERROR(__xludf.DUMMYFUNCTION("""COMPUTED_VALUE"""),"")</f>
        <v/>
      </c>
      <c r="G231" s="494" t="str">
        <f>IFERROR(__xludf.DUMMYFUNCTION("""COMPUTED_VALUE"""),"")</f>
        <v/>
      </c>
      <c r="H231" s="494" t="str">
        <f>IFERROR(__xludf.DUMMYFUNCTION("""COMPUTED_VALUE"""),"")</f>
        <v/>
      </c>
      <c r="I231" s="494" t="str">
        <f>IFERROR(__xludf.DUMMYFUNCTION("""COMPUTED_VALUE"""),"")</f>
        <v/>
      </c>
      <c r="J231" t="str">
        <f>IFERROR(__xludf.DUMMYFUNCTION("""COMPUTED_VALUE"""),"")</f>
        <v/>
      </c>
      <c r="K231" t="str">
        <f>IFERROR(__xludf.DUMMYFUNCTION("""COMPUTED_VALUE"""),"")</f>
        <v/>
      </c>
      <c r="L231" t="str">
        <f>IFERROR(__xludf.DUMMYFUNCTION("""COMPUTED_VALUE"""),"")</f>
        <v/>
      </c>
      <c r="M231" t="str">
        <f>IFERROR(__xludf.DUMMYFUNCTION("""COMPUTED_VALUE"""),"")</f>
        <v/>
      </c>
      <c r="N231" t="str">
        <f>IFERROR(__xludf.DUMMYFUNCTION("""COMPUTED_VALUE"""),"")</f>
        <v/>
      </c>
      <c r="O231" t="str">
        <f>IFERROR(__xludf.DUMMYFUNCTION("""COMPUTED_VALUE"""),"")</f>
        <v/>
      </c>
      <c r="P231" s="371" t="str">
        <f>IFERROR(__xludf.DUMMYFUNCTION("""COMPUTED_VALUE"""),"")</f>
        <v/>
      </c>
      <c r="Q231" s="458" t="str">
        <f>IFERROR(__xludf.DUMMYFUNCTION("""COMPUTED_VALUE"""),"")</f>
        <v/>
      </c>
      <c r="R231" s="459" t="str">
        <f>IFERROR(__xludf.DUMMYFUNCTION("""COMPUTED_VALUE"""),"")</f>
        <v/>
      </c>
      <c r="S231" s="459" t="str">
        <f>IFERROR(__xludf.DUMMYFUNCTION("""COMPUTED_VALUE"""),"")</f>
        <v/>
      </c>
      <c r="T231" t="str">
        <f>IFERROR(__xludf.DUMMYFUNCTION("""COMPUTED_VALUE"""),"")</f>
        <v/>
      </c>
      <c r="U231" t="str">
        <f>IFERROR(__xludf.DUMMYFUNCTION("""COMPUTED_VALUE"""),"")</f>
        <v/>
      </c>
      <c r="V231" t="str">
        <f>IFERROR(__xludf.DUMMYFUNCTION("""COMPUTED_VALUE"""),"")</f>
        <v/>
      </c>
      <c r="W231" t="str">
        <f>IFERROR(__xludf.DUMMYFUNCTION("""COMPUTED_VALUE"""),"")</f>
        <v/>
      </c>
      <c r="X231" t="str">
        <f>IFERROR(__xludf.DUMMYFUNCTION("""COMPUTED_VALUE"""),"")</f>
        <v/>
      </c>
      <c r="Y231" t="str">
        <f>IFERROR(__xludf.DUMMYFUNCTION("""COMPUTED_VALUE"""),"")</f>
        <v/>
      </c>
      <c r="Z231" t="str">
        <f>IFERROR(__xludf.DUMMYFUNCTION("""COMPUTED_VALUE"""),"")</f>
        <v/>
      </c>
      <c r="AA231" t="str">
        <f>IFERROR(__xludf.DUMMYFUNCTION("""COMPUTED_VALUE"""),"")</f>
        <v/>
      </c>
      <c r="AB231" t="str">
        <f>IFERROR(__xludf.DUMMYFUNCTION("""COMPUTED_VALUE"""),"")</f>
        <v/>
      </c>
      <c r="AC231" t="str">
        <f>IFERROR(__xludf.DUMMYFUNCTION("""COMPUTED_VALUE"""),"")</f>
        <v/>
      </c>
      <c r="AD231" t="str">
        <f>IFERROR(__xludf.DUMMYFUNCTION("""COMPUTED_VALUE"""),"")</f>
        <v/>
      </c>
      <c r="AE231" s="460" t="str">
        <f>IFERROR(__xludf.DUMMYFUNCTION("""COMPUTED_VALUE"""),"")</f>
        <v/>
      </c>
      <c r="AF231" s="372" t="str">
        <f>IFERROR(__xludf.DUMMYFUNCTION("""COMPUTED_VALUE"""),"")</f>
        <v/>
      </c>
    </row>
    <row r="232" ht="16.5" customHeight="1">
      <c r="A232" s="494" t="str">
        <f>IFERROR(__xludf.DUMMYFUNCTION("""COMPUTED_VALUE"""),"")</f>
        <v/>
      </c>
      <c r="B232" s="494" t="str">
        <f>IFERROR(__xludf.DUMMYFUNCTION("""COMPUTED_VALUE"""),"")</f>
        <v/>
      </c>
      <c r="C232" s="494" t="str">
        <f>IFERROR(__xludf.DUMMYFUNCTION("""COMPUTED_VALUE"""),"")</f>
        <v/>
      </c>
      <c r="D232" s="494" t="str">
        <f>IFERROR(__xludf.DUMMYFUNCTION("""COMPUTED_VALUE"""),"")</f>
        <v/>
      </c>
      <c r="E232" s="494" t="str">
        <f>IFERROR(__xludf.DUMMYFUNCTION("""COMPUTED_VALUE"""),"")</f>
        <v/>
      </c>
      <c r="F232" s="494" t="str">
        <f>IFERROR(__xludf.DUMMYFUNCTION("""COMPUTED_VALUE"""),"")</f>
        <v/>
      </c>
      <c r="G232" s="494" t="str">
        <f>IFERROR(__xludf.DUMMYFUNCTION("""COMPUTED_VALUE"""),"")</f>
        <v/>
      </c>
      <c r="H232" s="494" t="str">
        <f>IFERROR(__xludf.DUMMYFUNCTION("""COMPUTED_VALUE"""),"")</f>
        <v/>
      </c>
      <c r="I232" s="494" t="str">
        <f>IFERROR(__xludf.DUMMYFUNCTION("""COMPUTED_VALUE"""),"")</f>
        <v/>
      </c>
      <c r="J232" t="str">
        <f>IFERROR(__xludf.DUMMYFUNCTION("""COMPUTED_VALUE"""),"")</f>
        <v/>
      </c>
      <c r="K232" t="str">
        <f>IFERROR(__xludf.DUMMYFUNCTION("""COMPUTED_VALUE"""),"")</f>
        <v/>
      </c>
      <c r="L232" t="str">
        <f>IFERROR(__xludf.DUMMYFUNCTION("""COMPUTED_VALUE"""),"")</f>
        <v/>
      </c>
      <c r="M232" t="str">
        <f>IFERROR(__xludf.DUMMYFUNCTION("""COMPUTED_VALUE"""),"")</f>
        <v/>
      </c>
      <c r="N232" t="str">
        <f>IFERROR(__xludf.DUMMYFUNCTION("""COMPUTED_VALUE"""),"")</f>
        <v/>
      </c>
      <c r="O232" t="str">
        <f>IFERROR(__xludf.DUMMYFUNCTION("""COMPUTED_VALUE"""),"")</f>
        <v/>
      </c>
      <c r="P232" s="371" t="str">
        <f>IFERROR(__xludf.DUMMYFUNCTION("""COMPUTED_VALUE"""),"")</f>
        <v/>
      </c>
      <c r="Q232" s="458" t="str">
        <f>IFERROR(__xludf.DUMMYFUNCTION("""COMPUTED_VALUE"""),"")</f>
        <v/>
      </c>
      <c r="R232" s="459" t="str">
        <f>IFERROR(__xludf.DUMMYFUNCTION("""COMPUTED_VALUE"""),"")</f>
        <v/>
      </c>
      <c r="S232" s="459" t="str">
        <f>IFERROR(__xludf.DUMMYFUNCTION("""COMPUTED_VALUE"""),"")</f>
        <v/>
      </c>
      <c r="T232" t="str">
        <f>IFERROR(__xludf.DUMMYFUNCTION("""COMPUTED_VALUE"""),"")</f>
        <v/>
      </c>
      <c r="U232" t="str">
        <f>IFERROR(__xludf.DUMMYFUNCTION("""COMPUTED_VALUE"""),"")</f>
        <v/>
      </c>
      <c r="V232" t="str">
        <f>IFERROR(__xludf.DUMMYFUNCTION("""COMPUTED_VALUE"""),"")</f>
        <v/>
      </c>
      <c r="W232" t="str">
        <f>IFERROR(__xludf.DUMMYFUNCTION("""COMPUTED_VALUE"""),"")</f>
        <v/>
      </c>
      <c r="X232" t="str">
        <f>IFERROR(__xludf.DUMMYFUNCTION("""COMPUTED_VALUE"""),"")</f>
        <v/>
      </c>
      <c r="Y232" t="str">
        <f>IFERROR(__xludf.DUMMYFUNCTION("""COMPUTED_VALUE"""),"")</f>
        <v/>
      </c>
      <c r="Z232" t="str">
        <f>IFERROR(__xludf.DUMMYFUNCTION("""COMPUTED_VALUE"""),"")</f>
        <v/>
      </c>
      <c r="AA232" t="str">
        <f>IFERROR(__xludf.DUMMYFUNCTION("""COMPUTED_VALUE"""),"")</f>
        <v/>
      </c>
      <c r="AB232" t="str">
        <f>IFERROR(__xludf.DUMMYFUNCTION("""COMPUTED_VALUE"""),"")</f>
        <v/>
      </c>
      <c r="AC232" t="str">
        <f>IFERROR(__xludf.DUMMYFUNCTION("""COMPUTED_VALUE"""),"")</f>
        <v/>
      </c>
      <c r="AD232" t="str">
        <f>IFERROR(__xludf.DUMMYFUNCTION("""COMPUTED_VALUE"""),"")</f>
        <v/>
      </c>
      <c r="AE232" s="460" t="str">
        <f>IFERROR(__xludf.DUMMYFUNCTION("""COMPUTED_VALUE"""),"")</f>
        <v/>
      </c>
      <c r="AF232" s="372" t="str">
        <f>IFERROR(__xludf.DUMMYFUNCTION("""COMPUTED_VALUE"""),"")</f>
        <v/>
      </c>
    </row>
    <row r="233" ht="16.5" customHeight="1">
      <c r="A233" s="494" t="str">
        <f>IFERROR(__xludf.DUMMYFUNCTION("""COMPUTED_VALUE"""),"")</f>
        <v/>
      </c>
      <c r="B233" s="494" t="str">
        <f>IFERROR(__xludf.DUMMYFUNCTION("""COMPUTED_VALUE"""),"")</f>
        <v/>
      </c>
      <c r="C233" s="494" t="str">
        <f>IFERROR(__xludf.DUMMYFUNCTION("""COMPUTED_VALUE"""),"")</f>
        <v/>
      </c>
      <c r="D233" s="494" t="str">
        <f>IFERROR(__xludf.DUMMYFUNCTION("""COMPUTED_VALUE"""),"")</f>
        <v/>
      </c>
      <c r="E233" s="494" t="str">
        <f>IFERROR(__xludf.DUMMYFUNCTION("""COMPUTED_VALUE"""),"")</f>
        <v/>
      </c>
      <c r="F233" s="494" t="str">
        <f>IFERROR(__xludf.DUMMYFUNCTION("""COMPUTED_VALUE"""),"")</f>
        <v/>
      </c>
      <c r="G233" s="494" t="str">
        <f>IFERROR(__xludf.DUMMYFUNCTION("""COMPUTED_VALUE"""),"")</f>
        <v/>
      </c>
      <c r="H233" s="494" t="str">
        <f>IFERROR(__xludf.DUMMYFUNCTION("""COMPUTED_VALUE"""),"")</f>
        <v/>
      </c>
      <c r="I233" s="494" t="str">
        <f>IFERROR(__xludf.DUMMYFUNCTION("""COMPUTED_VALUE"""),"")</f>
        <v/>
      </c>
      <c r="J233" t="str">
        <f>IFERROR(__xludf.DUMMYFUNCTION("""COMPUTED_VALUE"""),"")</f>
        <v/>
      </c>
      <c r="K233" t="str">
        <f>IFERROR(__xludf.DUMMYFUNCTION("""COMPUTED_VALUE"""),"")</f>
        <v/>
      </c>
      <c r="L233" t="str">
        <f>IFERROR(__xludf.DUMMYFUNCTION("""COMPUTED_VALUE"""),"")</f>
        <v/>
      </c>
      <c r="M233" t="str">
        <f>IFERROR(__xludf.DUMMYFUNCTION("""COMPUTED_VALUE"""),"")</f>
        <v/>
      </c>
      <c r="N233" t="str">
        <f>IFERROR(__xludf.DUMMYFUNCTION("""COMPUTED_VALUE"""),"")</f>
        <v/>
      </c>
      <c r="O233" t="str">
        <f>IFERROR(__xludf.DUMMYFUNCTION("""COMPUTED_VALUE"""),"")</f>
        <v/>
      </c>
      <c r="P233" s="371" t="str">
        <f>IFERROR(__xludf.DUMMYFUNCTION("""COMPUTED_VALUE"""),"")</f>
        <v/>
      </c>
      <c r="Q233" s="458" t="str">
        <f>IFERROR(__xludf.DUMMYFUNCTION("""COMPUTED_VALUE"""),"")</f>
        <v/>
      </c>
      <c r="R233" s="459" t="str">
        <f>IFERROR(__xludf.DUMMYFUNCTION("""COMPUTED_VALUE"""),"")</f>
        <v/>
      </c>
      <c r="S233" s="459" t="str">
        <f>IFERROR(__xludf.DUMMYFUNCTION("""COMPUTED_VALUE"""),"")</f>
        <v/>
      </c>
      <c r="T233" t="str">
        <f>IFERROR(__xludf.DUMMYFUNCTION("""COMPUTED_VALUE"""),"")</f>
        <v/>
      </c>
      <c r="U233" t="str">
        <f>IFERROR(__xludf.DUMMYFUNCTION("""COMPUTED_VALUE"""),"")</f>
        <v/>
      </c>
      <c r="V233" t="str">
        <f>IFERROR(__xludf.DUMMYFUNCTION("""COMPUTED_VALUE"""),"")</f>
        <v/>
      </c>
      <c r="W233" t="str">
        <f>IFERROR(__xludf.DUMMYFUNCTION("""COMPUTED_VALUE"""),"")</f>
        <v/>
      </c>
      <c r="X233" t="str">
        <f>IFERROR(__xludf.DUMMYFUNCTION("""COMPUTED_VALUE"""),"")</f>
        <v/>
      </c>
      <c r="Y233" t="str">
        <f>IFERROR(__xludf.DUMMYFUNCTION("""COMPUTED_VALUE"""),"")</f>
        <v/>
      </c>
      <c r="Z233" t="str">
        <f>IFERROR(__xludf.DUMMYFUNCTION("""COMPUTED_VALUE"""),"")</f>
        <v/>
      </c>
      <c r="AA233" t="str">
        <f>IFERROR(__xludf.DUMMYFUNCTION("""COMPUTED_VALUE"""),"")</f>
        <v/>
      </c>
      <c r="AB233" t="str">
        <f>IFERROR(__xludf.DUMMYFUNCTION("""COMPUTED_VALUE"""),"")</f>
        <v/>
      </c>
      <c r="AC233" t="str">
        <f>IFERROR(__xludf.DUMMYFUNCTION("""COMPUTED_VALUE"""),"")</f>
        <v/>
      </c>
      <c r="AD233" t="str">
        <f>IFERROR(__xludf.DUMMYFUNCTION("""COMPUTED_VALUE"""),"")</f>
        <v/>
      </c>
      <c r="AE233" s="460" t="str">
        <f>IFERROR(__xludf.DUMMYFUNCTION("""COMPUTED_VALUE"""),"")</f>
        <v/>
      </c>
      <c r="AF233" s="372" t="str">
        <f>IFERROR(__xludf.DUMMYFUNCTION("""COMPUTED_VALUE"""),"")</f>
        <v/>
      </c>
    </row>
    <row r="234" ht="16.5" customHeight="1">
      <c r="A234" s="494" t="str">
        <f>IFERROR(__xludf.DUMMYFUNCTION("""COMPUTED_VALUE"""),"")</f>
        <v/>
      </c>
      <c r="B234" s="494" t="str">
        <f>IFERROR(__xludf.DUMMYFUNCTION("""COMPUTED_VALUE"""),"")</f>
        <v/>
      </c>
      <c r="C234" s="494" t="str">
        <f>IFERROR(__xludf.DUMMYFUNCTION("""COMPUTED_VALUE"""),"")</f>
        <v/>
      </c>
      <c r="D234" s="494" t="str">
        <f>IFERROR(__xludf.DUMMYFUNCTION("""COMPUTED_VALUE"""),"")</f>
        <v/>
      </c>
      <c r="E234" s="494" t="str">
        <f>IFERROR(__xludf.DUMMYFUNCTION("""COMPUTED_VALUE"""),"")</f>
        <v/>
      </c>
      <c r="F234" s="494" t="str">
        <f>IFERROR(__xludf.DUMMYFUNCTION("""COMPUTED_VALUE"""),"")</f>
        <v/>
      </c>
      <c r="G234" s="494" t="str">
        <f>IFERROR(__xludf.DUMMYFUNCTION("""COMPUTED_VALUE"""),"")</f>
        <v/>
      </c>
      <c r="H234" s="494" t="str">
        <f>IFERROR(__xludf.DUMMYFUNCTION("""COMPUTED_VALUE"""),"")</f>
        <v/>
      </c>
      <c r="I234" s="494" t="str">
        <f>IFERROR(__xludf.DUMMYFUNCTION("""COMPUTED_VALUE"""),"")</f>
        <v/>
      </c>
      <c r="J234" t="str">
        <f>IFERROR(__xludf.DUMMYFUNCTION("""COMPUTED_VALUE"""),"")</f>
        <v/>
      </c>
      <c r="K234" t="str">
        <f>IFERROR(__xludf.DUMMYFUNCTION("""COMPUTED_VALUE"""),"")</f>
        <v/>
      </c>
      <c r="L234" t="str">
        <f>IFERROR(__xludf.DUMMYFUNCTION("""COMPUTED_VALUE"""),"")</f>
        <v/>
      </c>
      <c r="M234" t="str">
        <f>IFERROR(__xludf.DUMMYFUNCTION("""COMPUTED_VALUE"""),"")</f>
        <v/>
      </c>
      <c r="N234" t="str">
        <f>IFERROR(__xludf.DUMMYFUNCTION("""COMPUTED_VALUE"""),"")</f>
        <v/>
      </c>
      <c r="O234" t="str">
        <f>IFERROR(__xludf.DUMMYFUNCTION("""COMPUTED_VALUE"""),"")</f>
        <v/>
      </c>
      <c r="P234" s="371" t="str">
        <f>IFERROR(__xludf.DUMMYFUNCTION("""COMPUTED_VALUE"""),"")</f>
        <v/>
      </c>
      <c r="Q234" s="458" t="str">
        <f>IFERROR(__xludf.DUMMYFUNCTION("""COMPUTED_VALUE"""),"")</f>
        <v/>
      </c>
      <c r="R234" s="459" t="str">
        <f>IFERROR(__xludf.DUMMYFUNCTION("""COMPUTED_VALUE"""),"")</f>
        <v/>
      </c>
      <c r="S234" s="459" t="str">
        <f>IFERROR(__xludf.DUMMYFUNCTION("""COMPUTED_VALUE"""),"")</f>
        <v/>
      </c>
      <c r="T234" t="str">
        <f>IFERROR(__xludf.DUMMYFUNCTION("""COMPUTED_VALUE"""),"")</f>
        <v/>
      </c>
      <c r="U234" t="str">
        <f>IFERROR(__xludf.DUMMYFUNCTION("""COMPUTED_VALUE"""),"")</f>
        <v/>
      </c>
      <c r="V234" t="str">
        <f>IFERROR(__xludf.DUMMYFUNCTION("""COMPUTED_VALUE"""),"")</f>
        <v/>
      </c>
      <c r="W234" t="str">
        <f>IFERROR(__xludf.DUMMYFUNCTION("""COMPUTED_VALUE"""),"")</f>
        <v/>
      </c>
      <c r="X234" t="str">
        <f>IFERROR(__xludf.DUMMYFUNCTION("""COMPUTED_VALUE"""),"")</f>
        <v/>
      </c>
      <c r="Y234" t="str">
        <f>IFERROR(__xludf.DUMMYFUNCTION("""COMPUTED_VALUE"""),"")</f>
        <v/>
      </c>
      <c r="Z234" t="str">
        <f>IFERROR(__xludf.DUMMYFUNCTION("""COMPUTED_VALUE"""),"")</f>
        <v/>
      </c>
      <c r="AA234" t="str">
        <f>IFERROR(__xludf.DUMMYFUNCTION("""COMPUTED_VALUE"""),"")</f>
        <v/>
      </c>
      <c r="AB234" t="str">
        <f>IFERROR(__xludf.DUMMYFUNCTION("""COMPUTED_VALUE"""),"")</f>
        <v/>
      </c>
      <c r="AC234" t="str">
        <f>IFERROR(__xludf.DUMMYFUNCTION("""COMPUTED_VALUE"""),"")</f>
        <v/>
      </c>
      <c r="AD234" t="str">
        <f>IFERROR(__xludf.DUMMYFUNCTION("""COMPUTED_VALUE"""),"")</f>
        <v/>
      </c>
      <c r="AE234" s="460" t="str">
        <f>IFERROR(__xludf.DUMMYFUNCTION("""COMPUTED_VALUE"""),"")</f>
        <v/>
      </c>
      <c r="AF234" s="372" t="str">
        <f>IFERROR(__xludf.DUMMYFUNCTION("""COMPUTED_VALUE"""),"")</f>
        <v/>
      </c>
    </row>
    <row r="235" ht="16.5" customHeight="1">
      <c r="A235" s="494"/>
      <c r="B235" s="494"/>
      <c r="C235" s="494"/>
      <c r="D235" s="494"/>
      <c r="E235" s="494"/>
      <c r="F235" s="494"/>
      <c r="G235" s="494"/>
      <c r="H235" s="494"/>
      <c r="I235" s="494"/>
      <c r="P235" s="371"/>
      <c r="Q235" s="458"/>
      <c r="R235" s="459"/>
      <c r="S235" s="459"/>
      <c r="AE235" s="460"/>
      <c r="AF235" s="372"/>
    </row>
  </sheetData>
  <mergeCells count="439">
    <mergeCell ref="B183:B187"/>
    <mergeCell ref="A188:C189"/>
    <mergeCell ref="A183:A187"/>
    <mergeCell ref="C183:C187"/>
    <mergeCell ref="D225:D226"/>
    <mergeCell ref="D188:D189"/>
    <mergeCell ref="C168:C172"/>
    <mergeCell ref="B178:B182"/>
    <mergeCell ref="B173:B177"/>
    <mergeCell ref="A225:C226"/>
    <mergeCell ref="B215:B219"/>
    <mergeCell ref="E225:E226"/>
    <mergeCell ref="C220:C224"/>
    <mergeCell ref="B220:B224"/>
    <mergeCell ref="A220:A224"/>
    <mergeCell ref="E188:E189"/>
    <mergeCell ref="B163:B167"/>
    <mergeCell ref="C163:C167"/>
    <mergeCell ref="A158:A162"/>
    <mergeCell ref="A153:A157"/>
    <mergeCell ref="D151:D152"/>
    <mergeCell ref="E151:E152"/>
    <mergeCell ref="B158:B162"/>
    <mergeCell ref="C158:C162"/>
    <mergeCell ref="B89:B93"/>
    <mergeCell ref="A89:A93"/>
    <mergeCell ref="A84:A88"/>
    <mergeCell ref="A94:A98"/>
    <mergeCell ref="B109:B113"/>
    <mergeCell ref="C116:C120"/>
    <mergeCell ref="C109:C113"/>
    <mergeCell ref="G114:G115"/>
    <mergeCell ref="H114:H115"/>
    <mergeCell ref="G225:G226"/>
    <mergeCell ref="F225:F226"/>
    <mergeCell ref="G188:G189"/>
    <mergeCell ref="F188:F189"/>
    <mergeCell ref="H225:H226"/>
    <mergeCell ref="H188:H189"/>
    <mergeCell ref="A109:A113"/>
    <mergeCell ref="A114:C115"/>
    <mergeCell ref="A99:A103"/>
    <mergeCell ref="A104:A108"/>
    <mergeCell ref="E114:E115"/>
    <mergeCell ref="D114:D115"/>
    <mergeCell ref="C99:C103"/>
    <mergeCell ref="G77:G78"/>
    <mergeCell ref="H77:H78"/>
    <mergeCell ref="C79:C83"/>
    <mergeCell ref="A77:C78"/>
    <mergeCell ref="F77:F78"/>
    <mergeCell ref="D77:D78"/>
    <mergeCell ref="E77:E78"/>
    <mergeCell ref="B79:B83"/>
    <mergeCell ref="A79:A83"/>
    <mergeCell ref="C47:C51"/>
    <mergeCell ref="D40:D41"/>
    <mergeCell ref="C42:C46"/>
    <mergeCell ref="C30:C34"/>
    <mergeCell ref="C35:C39"/>
    <mergeCell ref="B52:B56"/>
    <mergeCell ref="C52:C56"/>
    <mergeCell ref="C10:C14"/>
    <mergeCell ref="F3:F4"/>
    <mergeCell ref="G3:G4"/>
    <mergeCell ref="H3:H4"/>
    <mergeCell ref="B42:B46"/>
    <mergeCell ref="Q25:Q29"/>
    <mergeCell ref="Q20:Q24"/>
    <mergeCell ref="Q15:Q19"/>
    <mergeCell ref="S35:S39"/>
    <mergeCell ref="R35:R39"/>
    <mergeCell ref="Q35:Q39"/>
    <mergeCell ref="Q40:S41"/>
    <mergeCell ref="S42:S46"/>
    <mergeCell ref="S47:S51"/>
    <mergeCell ref="S52:S56"/>
    <mergeCell ref="R52:R56"/>
    <mergeCell ref="S10:S14"/>
    <mergeCell ref="S5:S9"/>
    <mergeCell ref="R25:R29"/>
    <mergeCell ref="S25:S29"/>
    <mergeCell ref="S15:S19"/>
    <mergeCell ref="S20:S24"/>
    <mergeCell ref="R20:R24"/>
    <mergeCell ref="R15:R19"/>
    <mergeCell ref="S30:S34"/>
    <mergeCell ref="D3:D4"/>
    <mergeCell ref="E3:E4"/>
    <mergeCell ref="A2:F2"/>
    <mergeCell ref="A3:C4"/>
    <mergeCell ref="L3:M4"/>
    <mergeCell ref="J3:K4"/>
    <mergeCell ref="N3:N4"/>
    <mergeCell ref="A20:A24"/>
    <mergeCell ref="A25:A29"/>
    <mergeCell ref="A47:A51"/>
    <mergeCell ref="A42:A46"/>
    <mergeCell ref="C15:C19"/>
    <mergeCell ref="A15:A19"/>
    <mergeCell ref="B15:B19"/>
    <mergeCell ref="A5:A9"/>
    <mergeCell ref="B5:B9"/>
    <mergeCell ref="C5:C9"/>
    <mergeCell ref="A10:A14"/>
    <mergeCell ref="O25:O29"/>
    <mergeCell ref="O20:O24"/>
    <mergeCell ref="O15:O19"/>
    <mergeCell ref="L40:M41"/>
    <mergeCell ref="J40:K41"/>
    <mergeCell ref="O52:O56"/>
    <mergeCell ref="B10:B14"/>
    <mergeCell ref="B25:B29"/>
    <mergeCell ref="B20:B24"/>
    <mergeCell ref="C20:C24"/>
    <mergeCell ref="C25:C29"/>
    <mergeCell ref="R10:R14"/>
    <mergeCell ref="R5:R9"/>
    <mergeCell ref="Q10:Q14"/>
    <mergeCell ref="R47:R51"/>
    <mergeCell ref="Q42:Q46"/>
    <mergeCell ref="Q52:Q56"/>
    <mergeCell ref="Q47:Q51"/>
    <mergeCell ref="O67:O71"/>
    <mergeCell ref="O62:O66"/>
    <mergeCell ref="O72:O76"/>
    <mergeCell ref="O77:O78"/>
    <mergeCell ref="N77:N78"/>
    <mergeCell ref="L77:M78"/>
    <mergeCell ref="J77:K78"/>
    <mergeCell ref="A67:A71"/>
    <mergeCell ref="B67:B71"/>
    <mergeCell ref="C57:C61"/>
    <mergeCell ref="B57:B61"/>
    <mergeCell ref="A57:A61"/>
    <mergeCell ref="A52:A56"/>
    <mergeCell ref="B47:B51"/>
    <mergeCell ref="C62:C66"/>
    <mergeCell ref="A72:A76"/>
    <mergeCell ref="Q67:Q71"/>
    <mergeCell ref="R67:R71"/>
    <mergeCell ref="Q72:Q76"/>
    <mergeCell ref="R72:R76"/>
    <mergeCell ref="S72:S76"/>
    <mergeCell ref="R62:R66"/>
    <mergeCell ref="Q62:Q66"/>
    <mergeCell ref="S62:S66"/>
    <mergeCell ref="S57:S61"/>
    <mergeCell ref="B62:B66"/>
    <mergeCell ref="A62:A66"/>
    <mergeCell ref="S67:S71"/>
    <mergeCell ref="R42:R46"/>
    <mergeCell ref="O57:O61"/>
    <mergeCell ref="C67:C71"/>
    <mergeCell ref="R57:R61"/>
    <mergeCell ref="A116:A120"/>
    <mergeCell ref="A121:A125"/>
    <mergeCell ref="A141:A145"/>
    <mergeCell ref="A136:A140"/>
    <mergeCell ref="A131:A135"/>
    <mergeCell ref="A126:A130"/>
    <mergeCell ref="C121:C125"/>
    <mergeCell ref="B121:B125"/>
    <mergeCell ref="B126:B130"/>
    <mergeCell ref="C126:C130"/>
    <mergeCell ref="B131:B135"/>
    <mergeCell ref="C131:C135"/>
    <mergeCell ref="B168:B172"/>
    <mergeCell ref="A163:A167"/>
    <mergeCell ref="C84:C88"/>
    <mergeCell ref="C89:C93"/>
    <mergeCell ref="B99:B103"/>
    <mergeCell ref="B94:B98"/>
    <mergeCell ref="B104:B108"/>
    <mergeCell ref="C72:C76"/>
    <mergeCell ref="B72:B76"/>
    <mergeCell ref="B84:B88"/>
    <mergeCell ref="C94:C98"/>
    <mergeCell ref="C104:C108"/>
    <mergeCell ref="C215:C219"/>
    <mergeCell ref="C210:C214"/>
    <mergeCell ref="C205:C209"/>
    <mergeCell ref="C200:C204"/>
    <mergeCell ref="A178:A182"/>
    <mergeCell ref="A168:A172"/>
    <mergeCell ref="A173:A177"/>
    <mergeCell ref="C190:C194"/>
    <mergeCell ref="B190:B194"/>
    <mergeCell ref="C178:C182"/>
    <mergeCell ref="C173:C177"/>
    <mergeCell ref="C195:C199"/>
    <mergeCell ref="A195:A199"/>
    <mergeCell ref="A190:A194"/>
    <mergeCell ref="A205:A209"/>
    <mergeCell ref="B200:B204"/>
    <mergeCell ref="A200:A204"/>
    <mergeCell ref="B141:B145"/>
    <mergeCell ref="B153:B157"/>
    <mergeCell ref="B210:B214"/>
    <mergeCell ref="B195:B199"/>
    <mergeCell ref="B205:B209"/>
    <mergeCell ref="A210:A214"/>
    <mergeCell ref="A215:A219"/>
    <mergeCell ref="Q30:Q34"/>
    <mergeCell ref="O30:O34"/>
    <mergeCell ref="B30:B34"/>
    <mergeCell ref="B35:B39"/>
    <mergeCell ref="A30:A34"/>
    <mergeCell ref="A35:A39"/>
    <mergeCell ref="E40:E41"/>
    <mergeCell ref="H40:H41"/>
    <mergeCell ref="N40:N41"/>
    <mergeCell ref="F40:F41"/>
    <mergeCell ref="G40:G41"/>
    <mergeCell ref="A40:C41"/>
    <mergeCell ref="R30:R34"/>
    <mergeCell ref="S109:S113"/>
    <mergeCell ref="S104:S108"/>
    <mergeCell ref="R121:R125"/>
    <mergeCell ref="R126:R130"/>
    <mergeCell ref="Q178:Q182"/>
    <mergeCell ref="Q183:Q187"/>
    <mergeCell ref="R146:R150"/>
    <mergeCell ref="R141:R145"/>
    <mergeCell ref="Q141:Q145"/>
    <mergeCell ref="R99:R103"/>
    <mergeCell ref="R94:R98"/>
    <mergeCell ref="S99:S103"/>
    <mergeCell ref="S131:S135"/>
    <mergeCell ref="S84:S88"/>
    <mergeCell ref="Q114:S115"/>
    <mergeCell ref="S116:S120"/>
    <mergeCell ref="B116:B120"/>
    <mergeCell ref="B136:B140"/>
    <mergeCell ref="C141:C145"/>
    <mergeCell ref="C136:C140"/>
    <mergeCell ref="C153:C157"/>
    <mergeCell ref="A151:C152"/>
    <mergeCell ref="A146:A150"/>
    <mergeCell ref="B146:B150"/>
    <mergeCell ref="C146:C150"/>
    <mergeCell ref="N114:N115"/>
    <mergeCell ref="F114:F115"/>
    <mergeCell ref="G151:G152"/>
    <mergeCell ref="F151:F152"/>
    <mergeCell ref="H151:H152"/>
    <mergeCell ref="R109:R113"/>
    <mergeCell ref="R104:R108"/>
    <mergeCell ref="R84:R88"/>
    <mergeCell ref="R89:R93"/>
    <mergeCell ref="S89:S93"/>
    <mergeCell ref="S94:S98"/>
    <mergeCell ref="Q104:Q108"/>
    <mergeCell ref="Q109:Q113"/>
    <mergeCell ref="Q136:Q140"/>
    <mergeCell ref="R136:R140"/>
    <mergeCell ref="O200:O204"/>
    <mergeCell ref="O195:O199"/>
    <mergeCell ref="O188:O189"/>
    <mergeCell ref="O190:O194"/>
    <mergeCell ref="R173:R177"/>
    <mergeCell ref="Q173:Q177"/>
    <mergeCell ref="S173:S177"/>
    <mergeCell ref="O178:O182"/>
    <mergeCell ref="O183:O187"/>
    <mergeCell ref="S183:S187"/>
    <mergeCell ref="S178:S182"/>
    <mergeCell ref="O205:O209"/>
    <mergeCell ref="Q188:S189"/>
    <mergeCell ref="O173:O177"/>
    <mergeCell ref="L114:M115"/>
    <mergeCell ref="J114:K115"/>
    <mergeCell ref="V114:V115"/>
    <mergeCell ref="W114:W115"/>
    <mergeCell ref="U114:U115"/>
    <mergeCell ref="S168:S172"/>
    <mergeCell ref="R168:R172"/>
    <mergeCell ref="N188:N189"/>
    <mergeCell ref="J188:K189"/>
    <mergeCell ref="L188:M189"/>
    <mergeCell ref="W188:W189"/>
    <mergeCell ref="V188:V189"/>
    <mergeCell ref="O168:O172"/>
    <mergeCell ref="R163:R167"/>
    <mergeCell ref="S163:S167"/>
    <mergeCell ref="O215:O219"/>
    <mergeCell ref="O210:O214"/>
    <mergeCell ref="O220:O224"/>
    <mergeCell ref="O225:O226"/>
    <mergeCell ref="N225:N226"/>
    <mergeCell ref="L225:M226"/>
    <mergeCell ref="J225:K226"/>
    <mergeCell ref="O116:O120"/>
    <mergeCell ref="O121:O125"/>
    <mergeCell ref="O158:O162"/>
    <mergeCell ref="O153:O157"/>
    <mergeCell ref="O163:O167"/>
    <mergeCell ref="Q94:Q98"/>
    <mergeCell ref="Q99:Q103"/>
    <mergeCell ref="S121:S125"/>
    <mergeCell ref="S126:S130"/>
    <mergeCell ref="Q84:Q88"/>
    <mergeCell ref="Q89:Q93"/>
    <mergeCell ref="Q121:Q125"/>
    <mergeCell ref="Q116:Q120"/>
    <mergeCell ref="R131:R135"/>
    <mergeCell ref="AE94:AE98"/>
    <mergeCell ref="AE79:AE83"/>
    <mergeCell ref="AE109:AE113"/>
    <mergeCell ref="AE99:AE103"/>
    <mergeCell ref="AE104:AE108"/>
    <mergeCell ref="AE116:AE120"/>
    <mergeCell ref="AE121:AE125"/>
    <mergeCell ref="AE173:AE177"/>
    <mergeCell ref="AE52:AE56"/>
    <mergeCell ref="AE57:AE61"/>
    <mergeCell ref="AE114:AE115"/>
    <mergeCell ref="AE153:AE157"/>
    <mergeCell ref="AE151:AE152"/>
    <mergeCell ref="AE146:AE150"/>
    <mergeCell ref="AE136:AE140"/>
    <mergeCell ref="AE141:AE145"/>
    <mergeCell ref="AE62:AE66"/>
    <mergeCell ref="AE77:AE78"/>
    <mergeCell ref="AE72:AE76"/>
    <mergeCell ref="AE67:AE71"/>
    <mergeCell ref="AE35:AE39"/>
    <mergeCell ref="AE40:AE41"/>
    <mergeCell ref="AB40:AC41"/>
    <mergeCell ref="AD40:AD41"/>
    <mergeCell ref="Z40:AA41"/>
    <mergeCell ref="AE84:AE88"/>
    <mergeCell ref="AE89:AE93"/>
    <mergeCell ref="AE47:AE51"/>
    <mergeCell ref="AE30:AE34"/>
    <mergeCell ref="AE42:AE46"/>
    <mergeCell ref="AD3:AD4"/>
    <mergeCell ref="AE3:AE4"/>
    <mergeCell ref="AE25:AE29"/>
    <mergeCell ref="AE15:AE19"/>
    <mergeCell ref="AE20:AE24"/>
    <mergeCell ref="AE10:AE14"/>
    <mergeCell ref="AE5:AE9"/>
    <mergeCell ref="AB3:AC4"/>
    <mergeCell ref="Z3:AA4"/>
    <mergeCell ref="W77:W78"/>
    <mergeCell ref="V77:V78"/>
    <mergeCell ref="U77:U78"/>
    <mergeCell ref="O79:O83"/>
    <mergeCell ref="O84:O88"/>
    <mergeCell ref="R79:R83"/>
    <mergeCell ref="S79:S83"/>
    <mergeCell ref="Q79:Q83"/>
    <mergeCell ref="W40:W41"/>
    <mergeCell ref="V40:V41"/>
    <mergeCell ref="U40:U41"/>
    <mergeCell ref="X3:X4"/>
    <mergeCell ref="W3:W4"/>
    <mergeCell ref="U3:U4"/>
    <mergeCell ref="V3:V4"/>
    <mergeCell ref="X40:X41"/>
    <mergeCell ref="O42:O46"/>
    <mergeCell ref="O40:O41"/>
    <mergeCell ref="O5:O9"/>
    <mergeCell ref="Q5:Q9"/>
    <mergeCell ref="O47:O51"/>
    <mergeCell ref="Q57:Q61"/>
    <mergeCell ref="T77:T78"/>
    <mergeCell ref="Q77:S78"/>
    <mergeCell ref="Q3:S4"/>
    <mergeCell ref="O10:O14"/>
    <mergeCell ref="T40:T41"/>
    <mergeCell ref="O35:O39"/>
    <mergeCell ref="T3:T4"/>
    <mergeCell ref="O104:O108"/>
    <mergeCell ref="O109:O113"/>
    <mergeCell ref="O89:O93"/>
    <mergeCell ref="O3:O4"/>
    <mergeCell ref="O94:O98"/>
    <mergeCell ref="O99:O103"/>
    <mergeCell ref="O136:O140"/>
    <mergeCell ref="O141:O145"/>
    <mergeCell ref="O131:O135"/>
    <mergeCell ref="O126:O130"/>
    <mergeCell ref="O114:O115"/>
    <mergeCell ref="Z114:AA115"/>
    <mergeCell ref="T114:T115"/>
    <mergeCell ref="X114:X115"/>
    <mergeCell ref="Q131:Q135"/>
    <mergeCell ref="S136:S140"/>
    <mergeCell ref="X77:X78"/>
    <mergeCell ref="AB77:AC78"/>
    <mergeCell ref="AD77:AD78"/>
    <mergeCell ref="Z77:AA78"/>
    <mergeCell ref="R116:R120"/>
    <mergeCell ref="Q163:Q167"/>
    <mergeCell ref="S158:S162"/>
    <mergeCell ref="R158:R162"/>
    <mergeCell ref="Q158:Q162"/>
    <mergeCell ref="AE158:AE162"/>
    <mergeCell ref="AE168:AE172"/>
    <mergeCell ref="AE163:AE167"/>
    <mergeCell ref="Q153:Q157"/>
    <mergeCell ref="S153:S157"/>
    <mergeCell ref="R153:R157"/>
    <mergeCell ref="AD151:AD152"/>
    <mergeCell ref="AB151:AC152"/>
    <mergeCell ref="Z151:AA152"/>
    <mergeCell ref="T151:T152"/>
    <mergeCell ref="X151:X152"/>
    <mergeCell ref="AE183:AE187"/>
    <mergeCell ref="AE178:AE182"/>
    <mergeCell ref="AB188:AC189"/>
    <mergeCell ref="AD188:AD189"/>
    <mergeCell ref="Z188:AA189"/>
    <mergeCell ref="X188:X189"/>
    <mergeCell ref="AE188:AE189"/>
    <mergeCell ref="S141:S145"/>
    <mergeCell ref="S146:S150"/>
    <mergeCell ref="Q168:Q172"/>
    <mergeCell ref="Q126:Q130"/>
    <mergeCell ref="R183:R187"/>
    <mergeCell ref="R178:R182"/>
    <mergeCell ref="U188:U189"/>
    <mergeCell ref="T188:T189"/>
    <mergeCell ref="U151:U152"/>
    <mergeCell ref="AE126:AE130"/>
    <mergeCell ref="AE131:AE135"/>
    <mergeCell ref="AD114:AD115"/>
    <mergeCell ref="AB114:AC115"/>
    <mergeCell ref="O151:O152"/>
    <mergeCell ref="Q151:S152"/>
    <mergeCell ref="J151:K152"/>
    <mergeCell ref="N151:N152"/>
    <mergeCell ref="L151:M152"/>
    <mergeCell ref="W151:W152"/>
    <mergeCell ref="V151:V152"/>
    <mergeCell ref="O146:O150"/>
    <mergeCell ref="Q146:Q150"/>
  </mergeCells>
  <hyperlinks>
    <hyperlink r:id="rId1" ref="G2"/>
    <hyperlink r:id="rId2" location="Pirate_Ship" ref="G5"/>
    <hyperlink r:id="rId3" location="Marseille" ref="G6"/>
    <hyperlink r:id="rId4" location="Tower.27s_Top_Floor" ref="W6"/>
    <hyperlink r:id="rId5" location="Pirate_Island" ref="G7"/>
    <hyperlink r:id="rId6" location="Forgotten_Temple" ref="W7"/>
    <hyperlink r:id="rId7" location="Dallas" ref="G8"/>
    <hyperlink r:id="rId8" location="Riverside_Town" ref="W8"/>
    <hyperlink r:id="rId9" location="Montgomery" ref="G9"/>
    <hyperlink r:id="rId10" location="Unknown_Coordinates_X-C" ref="G10"/>
    <hyperlink r:id="rId11" location="Unknown_Coordinates_X-G" ref="G11"/>
    <hyperlink r:id="rId12" location="Unknown_Coordinates_X-D" ref="G12"/>
    <hyperlink r:id="rId13" location="Palace_of_the_Dragon_King" ref="W12"/>
    <hyperlink r:id="rId14" location="Unknown_Coordinates_X-B" ref="G13"/>
    <hyperlink r:id="rId15" location="Chicago" ref="W13"/>
    <hyperlink r:id="rId16" location="Germania" ref="G14"/>
    <hyperlink r:id="rId17" location="Vast_Land_of_Nothingness" ref="W14"/>
    <hyperlink r:id="rId18" location="Deming" ref="G15"/>
    <hyperlink r:id="rId19" location="Island_of_Wyverns" ref="G16"/>
    <hyperlink r:id="rId20" location="Eridu" ref="G17"/>
    <hyperlink r:id="rId21" location="Infinitude_Territory" ref="W17"/>
    <hyperlink r:id="rId22" location="Mapped_Island" ref="G18"/>
    <hyperlink r:id="rId23" location="Northern_Sacred_Mountain" ref="W18"/>
    <hyperlink r:id="rId24" location="Jungle_at_the_Foothills" ref="G19"/>
    <hyperlink r:id="rId25" location="Dewar" ref="W19"/>
    <hyperlink r:id="rId26" location="Charlotte" ref="G20"/>
    <hyperlink r:id="rId27" location="Remnants_of_Western_Village" ref="G21"/>
    <hyperlink r:id="rId28" location="Riverton" ref="G22"/>
    <hyperlink r:id="rId29" location="Vast_Land_of_Nothingness" ref="W22"/>
    <hyperlink r:id="rId30" location="Massilia" ref="G23"/>
    <hyperlink r:id="rId31" location="Nippur" ref="W23"/>
    <hyperlink r:id="rId32" location="Ys" ref="G24"/>
    <hyperlink r:id="rId33" location="Wilderness_of_Death" ref="G25"/>
    <hyperlink r:id="rId34" location="Great_Temple" ref="G26"/>
    <hyperlink r:id="rId35" location="Suburb_Mansion" ref="G27"/>
    <hyperlink r:id="rId36" location="Great_Temple" ref="W27"/>
    <hyperlink r:id="rId37" location="Quay" ref="G28"/>
    <hyperlink r:id="rId38" location="Carter_House" ref="W28"/>
    <hyperlink r:id="rId39" location="Northern_Palisade" ref="G29"/>
    <hyperlink r:id="rId40" location="Shinjuku_Imperial_Garden" ref="W29"/>
    <hyperlink r:id="rId41" location="Phragmites_Prairie_.2F_Field_of_Reeds" ref="G30"/>
    <hyperlink r:id="rId42" location="Plateau" ref="G31"/>
    <hyperlink r:id="rId43" location="Anchor_Point" ref="G32"/>
    <hyperlink r:id="rId44" location="Hill_Behind_The_Hermitage" ref="W32"/>
    <hyperlink r:id="rId45" location="Icicles_Grotto" ref="G33"/>
    <hyperlink r:id="rId46" location="Great_Valley_Stronghold" ref="W33"/>
    <hyperlink r:id="rId47" location="Northern_Wall" ref="G34"/>
    <hyperlink r:id="rId48" location="Clerkenwell" ref="W34"/>
    <hyperlink r:id="rId49" location="Shinjuku_Station" ref="G35"/>
    <hyperlink r:id="rId50" location="Yoyogi_2-chome" ref="G36"/>
    <hyperlink r:id="rId51" location="Japan_National_Route_20" ref="G37"/>
    <hyperlink r:id="rId52" location="Holy_City_Districts" ref="W37"/>
    <hyperlink r:id="rId53" location="Shinjuku_4-chome" ref="G38"/>
    <hyperlink r:id="rId54" location="Subterranean_Moor" ref="W38"/>
    <hyperlink r:id="rId55" location="Shinjuku_Imperial_Garden" ref="G39"/>
    <hyperlink r:id="rId56" location="Shinjuku_4-chome" ref="W39"/>
    <hyperlink r:id="rId57" location="Gallow_Hill" ref="G42"/>
    <hyperlink r:id="rId58" location="Carter_House" ref="G43"/>
    <hyperlink r:id="rId59" location="Suburb_Mansion" ref="G44"/>
    <hyperlink r:id="rId60" location="Vacant_House" ref="G45"/>
    <hyperlink r:id="rId61" location="Castle_Town" ref="W45"/>
    <hyperlink r:id="rId62" location="Meadows" ref="G46"/>
    <hyperlink r:id="rId63" location="Hill_Behind_The_Hermitage" ref="W46"/>
    <hyperlink r:id="rId64" location="Yaga_Smolensk" ref="G47"/>
    <hyperlink r:id="rId65" location="Yaga_Sychyovka" ref="G48"/>
    <hyperlink r:id="rId66" location="Rebellion_Army.27s_Stronghold" ref="G49"/>
    <hyperlink r:id="rId67" location="Devastated_Village" ref="G50"/>
    <hyperlink r:id="rId68" location="Shinjuku_Station" ref="W50"/>
    <hyperlink r:id="rId69" location="Yaga_Vyazma" ref="G51"/>
    <hyperlink r:id="rId70" location="Shiquan_Gorge" ref="W51"/>
    <hyperlink r:id="rId71" location="Abolished_Metropolis_Babylon" ref="G52"/>
    <hyperlink r:id="rId72" location="Quiet_Forest" ref="G53"/>
    <hyperlink r:id="rId73" location="Refuge" ref="G54"/>
    <hyperlink r:id="rId74" location="Riverside_Town" ref="G55"/>
    <hyperlink r:id="rId75" location="Initiate_Point" ref="W55"/>
    <hyperlink r:id="rId76" location="Paddy_Fields" ref="G56"/>
    <hyperlink r:id="rId77" location="Whateley_House" ref="W56"/>
    <hyperlink r:id="rId78" location="Cuthah" ref="G57"/>
    <hyperlink r:id="rId79" location="Evening_Bell_Mausoleum" ref="G58"/>
    <hyperlink r:id="rId80" location="Stormy_Seas" ref="G59"/>
    <hyperlink r:id="rId81" location="Paddy_Fields" ref="G60"/>
    <hyperlink r:id="rId82" location="Castle_of_Ice_and_Snow" ref="W60"/>
    <hyperlink r:id="rId83" location="Hill_Behind_The_Hermitage" ref="G61"/>
    <hyperlink r:id="rId84" location="Forgotten_Temple" ref="W61"/>
    <hyperlink r:id="rId85" location="Peach_Blossom_Spring" ref="G62"/>
    <hyperlink r:id="rId86" location="Holy_City_Districts" ref="G63"/>
    <hyperlink r:id="rId87" location="Heroes.27_Cellar" ref="G64"/>
    <hyperlink r:id="rId88" location="Dunes_of_Daybreak" ref="W64"/>
    <hyperlink r:id="rId89" location="Hill_Behind_The_Hermitage" ref="G65"/>
    <hyperlink r:id="rId90" location="Chasm_on_The_Ground" ref="W65"/>
    <hyperlink r:id="rId91" location="Two-Current_Sea" ref="G66"/>
    <hyperlink r:id="rId92" location="Chasm_on_The_Ground" ref="G67"/>
    <hyperlink r:id="rId93" location="Marshland.2FBog" ref="G68"/>
    <hyperlink r:id="rId94" location="Sunken_Rock_Seas" ref="G69"/>
    <hyperlink r:id="rId95" location="Yaga_Moscow" ref="W70"/>
    <hyperlink r:id="rId96" location="Eight_Gates_Cave" ref="W71"/>
    <hyperlink r:id="rId97" location="Town_Hall" ref="G72"/>
    <hyperlink r:id="rId98" location="Subterranean_Large_River" ref="G73"/>
    <hyperlink r:id="rId99" location="Riverside_Town" ref="G74"/>
    <hyperlink r:id="rId100" location="Vacant_House" ref="G75"/>
    <hyperlink r:id="rId101" location="Giants.27_Flower_Patio" ref="W75"/>
    <hyperlink r:id="rId102" location="Quay" ref="G76"/>
    <hyperlink r:id="rId103" location="Pathway_Towards_The_Peak" ref="W76"/>
    <hyperlink r:id="rId104" location="Barrel_Tower" ref="G79"/>
    <hyperlink r:id="rId105" location="Chicago" ref="G80"/>
    <hyperlink r:id="rId106" location="Seeding_Point" ref="G81"/>
    <hyperlink r:id="rId107" location="Unknown_Coordinates_X-A" ref="W81"/>
    <hyperlink r:id="rId108" location="Kabukich.C5.8D" ref="G82"/>
    <hyperlink r:id="rId109" location="Unknown_Coordinates_X-C" ref="W82"/>
    <hyperlink r:id="rId110" location="Shiquan_Gorge" ref="G83"/>
    <hyperlink r:id="rId111" location="Unknown_Coordinates_X-D" ref="W83"/>
    <hyperlink r:id="rId112" location="Shinjuku_2-chome" ref="G84"/>
    <hyperlink r:id="rId113" location="Hyde_Park" ref="G85"/>
    <hyperlink r:id="rId114" location="Unknown_Coordinates_X-D" ref="W86"/>
    <hyperlink r:id="rId115" location="Black_Hills" ref="W87"/>
    <hyperlink r:id="rId116" location="Florence" ref="W88"/>
    <hyperlink r:id="rId117" location="Whateley_House" ref="G89"/>
    <hyperlink r:id="rId118" location="Southwark_.2F_Borough_of_Southwark" ref="G90"/>
    <hyperlink r:id="rId119" location="Westminster_.2F_City_of_Westminster" ref="G91"/>
    <hyperlink r:id="rId120" location="Bordeaux" ref="W91"/>
    <hyperlink r:id="rId121" location="City_Of_London" ref="G92"/>
    <hyperlink r:id="rId122" location="City_Of_London" ref="W92"/>
    <hyperlink r:id="rId123" location="Unknown_Coordinates_X-C" ref="W93"/>
    <hyperlink r:id="rId124" location="Vast_Land_of_Nothingness" ref="G94"/>
    <hyperlink r:id="rId125" location="Caldera_Island" ref="G95"/>
    <hyperlink r:id="rId126" location="Thiers" ref="W95"/>
    <hyperlink r:id="rId127" location="La_Charit.C3.A9" ref="W96"/>
    <hyperlink r:id="rId128" location="Island_of_Wyverns" ref="W98"/>
    <hyperlink r:id="rId129" location="Sovereign_Castle" ref="G99"/>
    <hyperlink r:id="rId130" location="Holy_City_Main_Entrance" ref="G100"/>
    <hyperlink r:id="rId131" location="Round_Table_Fortress" ref="G101"/>
    <hyperlink r:id="rId132" location="Shinjuku_Imperial_Garden" ref="W101"/>
    <hyperlink r:id="rId133" location="Yoyogi_2-chome" ref="W102"/>
    <hyperlink r:id="rId134" location="Shinjuku_4-chome" ref="W103"/>
    <hyperlink r:id="rId135" location="Observatory" ref="G104"/>
    <hyperlink r:id="rId136" location="Archipelago" ref="G105"/>
    <hyperlink r:id="rId137" location="Icicles_Grotto" ref="G106"/>
    <hyperlink r:id="rId138" location="Old_Street" ref="W106"/>
    <hyperlink r:id="rId139" location="Devastated_Village" ref="G107"/>
    <hyperlink r:id="rId140" location="Mt._Etna" ref="W107"/>
    <hyperlink r:id="rId141" location="Trampled_Village" ref="G108"/>
    <hyperlink r:id="rId142" location="Stormy_Seas" ref="W108"/>
    <hyperlink r:id="rId143" location="Castle_Town" ref="G109"/>
    <hyperlink r:id="rId144" location="Tokejou" ref="G110"/>
    <hyperlink r:id="rId145" location="Hamlet" ref="G111"/>
    <hyperlink r:id="rId146" location="Remains_of_the_Divine_Floating_Rock" ref="W111"/>
    <hyperlink r:id="rId147" location="Battlefield" ref="G112"/>
    <hyperlink r:id="rId148" location="Gaul" ref="W112"/>
    <hyperlink r:id="rId149" location="Hermitage" ref="G113"/>
    <hyperlink r:id="rId150" location="Gallow_Hill" ref="W113"/>
    <hyperlink r:id="rId151" location="Yaga_Moscow" ref="G116"/>
    <hyperlink r:id="rId152" location="Trampled_Village" ref="G117"/>
    <hyperlink r:id="rId153" location="Yaga_Ryazan" ref="G118"/>
    <hyperlink r:id="rId154" location="Yaga_Demensk" ref="G119"/>
    <hyperlink r:id="rId155" location="Yaga_Tula" ref="G120"/>
    <hyperlink r:id="rId156" location="Sovereign_Castle" ref="W120"/>
    <hyperlink r:id="rId157" location="Giants.27_Flower_Patio" ref="G121"/>
    <hyperlink r:id="rId158" location="Neighbouring_Village" ref="G122"/>
    <hyperlink r:id="rId159" location="Knoll_of_Thin_Ice" ref="G123"/>
    <hyperlink r:id="rId160" location="Northern_Boundary" ref="G124"/>
    <hyperlink r:id="rId161" location="Montgomery" ref="W124"/>
    <hyperlink r:id="rId162" location="Ablazed_Mansion" ref="G125"/>
    <hyperlink r:id="rId163" location="Castle_of_Ice_and_Snow" ref="G126"/>
    <hyperlink r:id="rId164" location="67th_Settlement" ref="G127"/>
    <hyperlink r:id="rId165" location="23rd_Settlement" ref="G128"/>
    <hyperlink r:id="rId166" location="Ablazed_Mansion" ref="G129"/>
    <hyperlink r:id="rId167" location="Riverton" ref="W129"/>
    <hyperlink r:id="rId168" location="Forgotten_Temple" ref="G130"/>
    <hyperlink r:id="rId169" location="Des_Moines" ref="W130"/>
    <hyperlink r:id="rId170" location="Eight_Gates_Cave" ref="G131"/>
    <hyperlink r:id="rId171" location="Detention_Centre" ref="G132"/>
    <hyperlink r:id="rId172" location="Dapingyu" ref="G133"/>
    <hyperlink r:id="rId173" location="Xianyang" ref="G134"/>
    <hyperlink r:id="rId174" location="Pirate_Island" ref="W135"/>
    <hyperlink r:id="rId175" location="Remains_of_the_Divine_Floating_Rock" ref="G136"/>
    <hyperlink r:id="rId176" location="Initiate_Point" ref="G137"/>
    <hyperlink r:id="rId177" location="Secluded_Grotto" ref="G138"/>
    <hyperlink r:id="rId178" location="Western_Fault" ref="G139"/>
    <hyperlink r:id="rId179" location="Westminster_.2F_City_of_Westminster" ref="W139"/>
    <hyperlink r:id="rId180" location="Dewar" ref="G140"/>
    <hyperlink r:id="rId181" location="SOHO" ref="W140"/>
    <hyperlink r:id="rId182" location="Des_Moines" ref="G141"/>
    <hyperlink r:id="rId183" location="Subterranean_Moor" ref="G142"/>
    <hyperlink r:id="rId184" location="Yaga_Ryazan" ref="G143"/>
    <hyperlink r:id="rId185" location="Western_Fault" ref="G144"/>
    <hyperlink r:id="rId186" location="Shinjuku_4-chome" ref="G145"/>
    <hyperlink r:id="rId187" location="Remnants_of_Western_Village" ref="W145"/>
    <hyperlink r:id="rId188" location="Carter_House" ref="G146"/>
    <hyperlink r:id="rId189" location="Shinjuku_Imperial_Garden" ref="G147"/>
    <hyperlink r:id="rId190" location="Charlotte" ref="W148"/>
    <hyperlink r:id="rId191" location="Nippur" ref="G153"/>
    <hyperlink r:id="rId192" location="Mobile_Coordinates.2C_Point_0" ref="W157"/>
    <hyperlink r:id="rId193" location="Holy_City_Districts" ref="G158"/>
    <hyperlink r:id="rId194" location="Tower.27s_Top_Floor" ref="G159"/>
    <hyperlink r:id="rId195" location="Forgotten_Temple" ref="G160"/>
    <hyperlink r:id="rId196" location="Washington" ref="G161"/>
    <hyperlink r:id="rId197" location="Montgomery" ref="W162"/>
    <hyperlink r:id="rId198" location="Campsite" ref="G163"/>
    <hyperlink r:id="rId199" location="Initiate_Point" ref="G164"/>
    <hyperlink r:id="rId200" location="Rebellion_Army.27s_Stronghold" ref="G165"/>
    <hyperlink r:id="rId201" location="Anchor_Point" ref="G166"/>
    <hyperlink r:id="rId202" location="Yaga_Demensk" ref="G167"/>
    <hyperlink r:id="rId203" location="Riverton" ref="W167"/>
    <hyperlink r:id="rId204" location="Shinjuku_2-chome" ref="G168"/>
    <hyperlink r:id="rId205" location="Alexandria" ref="G169"/>
    <hyperlink r:id="rId206" location="Jura" ref="W172"/>
    <hyperlink r:id="rId207" location="Secluded_Grotto" ref="G173"/>
    <hyperlink r:id="rId208" location="Northern_Palisade" ref="G174"/>
    <hyperlink r:id="rId209" location="Northern_Hill" ref="G175"/>
    <hyperlink r:id="rId210" location="Lubbock" ref="G176"/>
    <hyperlink r:id="rId211" location="Orleans" ref="W177"/>
    <hyperlink r:id="rId212" location="Jail" ref="G178"/>
    <hyperlink r:id="rId213" location="Eastern_Puspavatika" ref="G179"/>
    <hyperlink r:id="rId214" location="Concealed_Village" ref="G180"/>
    <hyperlink r:id="rId215" location="Dunes_of_Daybreak" ref="G181"/>
    <hyperlink r:id="rId216" location="Lyon" ref="W181"/>
    <hyperlink r:id="rId217" location="Great_Temple" ref="G183"/>
    <hyperlink r:id="rId218" location="Desert_Sandstorm" ref="G184"/>
    <hyperlink r:id="rId219" location="Charlotte" ref="W187"/>
    <hyperlink r:id="rId220" location="Blood_Fort_Andromeda" ref="G190"/>
    <hyperlink r:id="rId221" location="67th_Settlement" ref="G191"/>
    <hyperlink r:id="rId222" location="Pathway_Towards_The_Peak" ref="G192"/>
    <hyperlink r:id="rId223" location="Landing_Point" ref="G193"/>
    <hyperlink r:id="rId224" location="Black_Cedar_Forest" ref="G194"/>
    <hyperlink r:id="rId225" location="Arakawa_Prairie" ref="G195"/>
    <hyperlink r:id="rId226" location="Mount_Ahv.C4.81z" ref="G196"/>
    <hyperlink r:id="rId227" location="Palace_of_the_Dragon_King" ref="G200"/>
    <hyperlink r:id="rId228" location="Icy_Cold_Grotto" ref="G201"/>
    <hyperlink r:id="rId229" location="Great_Valley_Stronghold" ref="G202"/>
    <hyperlink r:id="rId230" location="Tokejou" ref="G203"/>
    <hyperlink r:id="rId231" location="Detention_Centre" ref="G205"/>
    <hyperlink r:id="rId232" location="Shiquan_Gorge" ref="G206"/>
    <hyperlink r:id="rId233" location="Jing_Yangyuan" ref="G207"/>
    <hyperlink r:id="rId234" location="Xianyang" ref="G208"/>
    <hyperlink r:id="rId235" location="Shanyang_Knoll" ref="G209"/>
    <hyperlink r:id="rId236" location="Hill_Behind_The_Hermitage" ref="G210"/>
    <hyperlink r:id="rId237" location="Dewar" ref="G215"/>
    <hyperlink r:id="rId238" location="Infinitude_Territory" ref="G216"/>
    <hyperlink r:id="rId239" location="Northern_Sacred_Mountain" ref="G217"/>
  </hyperlinks>
  <drawing r:id="rId24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4.57"/>
    <col customWidth="1" hidden="1" min="2" max="2" width="2.86"/>
    <col customWidth="1" min="3" max="3" width="12.14"/>
    <col customWidth="1" min="4" max="4" width="3.86"/>
    <col customWidth="1" hidden="1" min="5" max="5" width="9.57"/>
    <col customWidth="1" min="6" max="6" width="18.71"/>
    <col customWidth="1" min="7" max="7" width="34.43"/>
    <col customWidth="1" min="8" max="8" width="3.29"/>
    <col customWidth="1" min="9" max="9" width="9.43"/>
    <col customWidth="1" min="10" max="10" width="7.86"/>
    <col customWidth="1" min="11" max="11" width="3.0"/>
    <col customWidth="1" min="12" max="12" width="9.86"/>
    <col customWidth="1" min="13" max="13" width="2.71"/>
    <col customWidth="1" min="14" max="14" width="8.0"/>
    <col customWidth="1" min="15" max="15" width="12.14"/>
    <col customWidth="1" min="16" max="16" width="0.86"/>
    <col customWidth="1" min="17" max="17" width="14.57"/>
    <col customWidth="1" hidden="1" min="18" max="18" width="2.86"/>
    <col customWidth="1" min="19" max="19" width="10.86"/>
    <col customWidth="1" min="20" max="20" width="3.86"/>
    <col customWidth="1" hidden="1" min="21" max="21" width="9.57"/>
    <col customWidth="1" min="22" max="22" width="18.71"/>
    <col customWidth="1" min="23" max="23" width="34.43"/>
    <col customWidth="1" min="24" max="24" width="3.29"/>
    <col customWidth="1" min="25" max="25" width="9.43"/>
    <col customWidth="1" min="26" max="26" width="7.86"/>
    <col customWidth="1" min="27" max="27" width="3.0"/>
    <col customWidth="1" min="28" max="28" width="9.86"/>
    <col customWidth="1" min="29" max="29" width="2.71"/>
    <col customWidth="1" min="30" max="30" width="8.0"/>
    <col customWidth="1" min="31" max="31" width="11.71"/>
    <col customWidth="1" min="32" max="32" width="5.71"/>
  </cols>
  <sheetData>
    <row r="1" hidden="1">
      <c r="A1" s="5" t="str">
        <f>IFERROR(__xludf.DUMMYFUNCTION("IMPORTRANGE(Setup!C9,Setup!C11&amp;""!""&amp;Setup!F11)"),"")</f>
        <v/>
      </c>
      <c r="B1" s="5" t="str">
        <f>IFERROR(__xludf.DUMMYFUNCTION("""COMPUTED_VALUE"""),"")</f>
        <v/>
      </c>
      <c r="C1" s="5" t="str">
        <f>IFERROR(__xludf.DUMMYFUNCTION("""COMPUTED_VALUE"""),"")</f>
        <v/>
      </c>
      <c r="D1" s="5" t="str">
        <f>IFERROR(__xludf.DUMMYFUNCTION("""COMPUTED_VALUE"""),"")</f>
        <v/>
      </c>
      <c r="E1" s="5">
        <f>IFERROR(__xludf.DUMMYFUNCTION("""COMPUTED_VALUE"""),2.0)</f>
        <v>2</v>
      </c>
      <c r="F1" s="5" t="str">
        <f>IFERROR(__xludf.DUMMYFUNCTION("""COMPUTED_VALUE"""),"")</f>
        <v/>
      </c>
      <c r="G1" s="7" t="str">
        <f>IFERROR(__xludf.DUMMYFUNCTION("""COMPUTED_VALUE"""),"")</f>
        <v/>
      </c>
      <c r="H1" s="8" t="str">
        <f>IFERROR(__xludf.DUMMYFUNCTION("""COMPUTED_VALUE"""),"")</f>
        <v/>
      </c>
      <c r="I1" s="8">
        <f>IFERROR(__xludf.DUMMYFUNCTION("""COMPUTED_VALUE"""),26.0)</f>
        <v>26</v>
      </c>
      <c r="J1" s="8" t="str">
        <f>IFERROR(__xludf.DUMMYFUNCTION("""COMPUTED_VALUE"""),"")</f>
        <v/>
      </c>
      <c r="K1" s="8" t="str">
        <f>IFERROR(__xludf.DUMMYFUNCTION("""COMPUTED_VALUE"""),"")</f>
        <v/>
      </c>
      <c r="L1" s="8" t="str">
        <f>IFERROR(__xludf.DUMMYFUNCTION("""COMPUTED_VALUE"""),"")</f>
        <v/>
      </c>
      <c r="M1" s="8" t="str">
        <f>IFERROR(__xludf.DUMMYFUNCTION("""COMPUTED_VALUE"""),"")</f>
        <v/>
      </c>
      <c r="N1" s="8" t="str">
        <f>IFERROR(__xludf.DUMMYFUNCTION("""COMPUTED_VALUE"""),"")</f>
        <v/>
      </c>
      <c r="O1" s="8" t="str">
        <f>IFERROR(__xludf.DUMMYFUNCTION("""COMPUTED_VALUE"""),"")</f>
        <v/>
      </c>
      <c r="P1" s="9" t="str">
        <f>IFERROR(__xludf.DUMMYFUNCTION("""COMPUTED_VALUE"""),"")</f>
        <v/>
      </c>
      <c r="Q1" s="11" t="str">
        <f>IFERROR(__xludf.DUMMYFUNCTION("""COMPUTED_VALUE"""),"")</f>
        <v/>
      </c>
      <c r="R1" s="11" t="str">
        <f>IFERROR(__xludf.DUMMYFUNCTION("""COMPUTED_VALUE"""),"")</f>
        <v/>
      </c>
      <c r="S1" s="11" t="str">
        <f>IFERROR(__xludf.DUMMYFUNCTION("""COMPUTED_VALUE"""),"")</f>
        <v/>
      </c>
      <c r="T1" s="11" t="str">
        <f>IFERROR(__xludf.DUMMYFUNCTION("""COMPUTED_VALUE"""),"")</f>
        <v/>
      </c>
      <c r="U1" s="11" t="str">
        <f>IFERROR(__xludf.DUMMYFUNCTION("""COMPUTED_VALUE"""),"")</f>
        <v/>
      </c>
      <c r="V1" s="11" t="str">
        <f>IFERROR(__xludf.DUMMYFUNCTION("""COMPUTED_VALUE"""),"")</f>
        <v/>
      </c>
      <c r="W1" s="11" t="str">
        <f>IFERROR(__xludf.DUMMYFUNCTION("""COMPUTED_VALUE"""),"")</f>
        <v/>
      </c>
      <c r="X1" s="11" t="str">
        <f>IFERROR(__xludf.DUMMYFUNCTION("""COMPUTED_VALUE"""),"")</f>
        <v/>
      </c>
      <c r="Y1" t="str">
        <f>IFERROR(__xludf.DUMMYFUNCTION("""COMPUTED_VALUE"""),"")</f>
        <v/>
      </c>
      <c r="Z1" s="12" t="str">
        <f>IFERROR(__xludf.DUMMYFUNCTION("""COMPUTED_VALUE"""),"")</f>
        <v/>
      </c>
      <c r="AA1" s="12" t="str">
        <f>IFERROR(__xludf.DUMMYFUNCTION("""COMPUTED_VALUE"""),"")</f>
        <v/>
      </c>
      <c r="AB1" t="str">
        <f>IFERROR(__xludf.DUMMYFUNCTION("""COMPUTED_VALUE"""),"")</f>
        <v/>
      </c>
      <c r="AC1" s="12" t="str">
        <f>IFERROR(__xludf.DUMMYFUNCTION("""COMPUTED_VALUE"""),"")</f>
        <v/>
      </c>
      <c r="AD1" s="12" t="str">
        <f>IFERROR(__xludf.DUMMYFUNCTION("""COMPUTED_VALUE"""),"")</f>
        <v/>
      </c>
      <c r="AE1" s="14" t="str">
        <f>IFERROR(__xludf.DUMMYFUNCTION("""COMPUTED_VALUE"""),"")</f>
        <v/>
      </c>
      <c r="AF1" s="12" t="str">
        <f>IFERROR(__xludf.DUMMYFUNCTION("""COMPUTED_VALUE"""),"")</f>
        <v/>
      </c>
    </row>
    <row r="2" ht="16.5" customHeight="1">
      <c r="A2" s="5" t="str">
        <f>IFERROR(__xludf.DUMMYFUNCTION("""COMPUTED_VALUE"""),"Best 5 Droprate Locations (JP)")</f>
        <v>Best 5 Droprate Locations (JP)</v>
      </c>
      <c r="G2" s="21" t="str">
        <f>IFERROR(__xludf.DUMMYFUNCTION("""COMPUTED_VALUE"""),"Advanced Sheet")</f>
        <v>Advanced Sheet</v>
      </c>
      <c r="H2" s="8" t="str">
        <f>IFERROR(__xludf.DUMMYFUNCTION("""COMPUTED_VALUE"""),"")</f>
        <v/>
      </c>
      <c r="I2" s="8" t="str">
        <f>IFERROR(__xludf.DUMMYFUNCTION("""COMPUTED_VALUE"""),"")</f>
        <v/>
      </c>
      <c r="J2" s="8" t="str">
        <f>IFERROR(__xludf.DUMMYFUNCTION("""COMPUTED_VALUE"""),"")</f>
        <v/>
      </c>
      <c r="K2" s="8" t="str">
        <f>IFERROR(__xludf.DUMMYFUNCTION("""COMPUTED_VALUE"""),"")</f>
        <v/>
      </c>
      <c r="L2" s="8" t="str">
        <f>IFERROR(__xludf.DUMMYFUNCTION("""COMPUTED_VALUE"""),"")</f>
        <v/>
      </c>
      <c r="M2" s="8" t="str">
        <f>IFERROR(__xludf.DUMMYFUNCTION("""COMPUTED_VALUE"""),"")</f>
        <v/>
      </c>
      <c r="N2" s="8" t="str">
        <f>IFERROR(__xludf.DUMMYFUNCTION("""COMPUTED_VALUE"""),"")</f>
        <v/>
      </c>
      <c r="O2" s="8" t="str">
        <f>IFERROR(__xludf.DUMMYFUNCTION("""COMPUTED_VALUE"""),"")</f>
        <v/>
      </c>
      <c r="P2" s="9" t="str">
        <f>IFERROR(__xludf.DUMMYFUNCTION("""COMPUTED_VALUE"""),"")</f>
        <v/>
      </c>
      <c r="Q2" s="11" t="str">
        <f>IFERROR(__xludf.DUMMYFUNCTION("""COMPUTED_VALUE"""),"")</f>
        <v/>
      </c>
      <c r="R2" s="11" t="str">
        <f>IFERROR(__xludf.DUMMYFUNCTION("""COMPUTED_VALUE"""),"")</f>
        <v/>
      </c>
      <c r="S2" s="11" t="str">
        <f>IFERROR(__xludf.DUMMYFUNCTION("""COMPUTED_VALUE"""),"")</f>
        <v/>
      </c>
      <c r="T2" s="11" t="str">
        <f>IFERROR(__xludf.DUMMYFUNCTION("""COMPUTED_VALUE"""),"")</f>
        <v/>
      </c>
      <c r="U2" s="11" t="str">
        <f>IFERROR(__xludf.DUMMYFUNCTION("""COMPUTED_VALUE"""),"")</f>
        <v/>
      </c>
      <c r="V2" s="11" t="str">
        <f>IFERROR(__xludf.DUMMYFUNCTION("""COMPUTED_VALUE"""),"")</f>
        <v/>
      </c>
      <c r="W2" s="11" t="str">
        <f>IFERROR(__xludf.DUMMYFUNCTION("""COMPUTED_VALUE"""),"")</f>
        <v/>
      </c>
      <c r="X2" s="11" t="str">
        <f>IFERROR(__xludf.DUMMYFUNCTION("""COMPUTED_VALUE"""),"")</f>
        <v/>
      </c>
      <c r="Y2" t="str">
        <f>IFERROR(__xludf.DUMMYFUNCTION("""COMPUTED_VALUE"""),"")</f>
        <v/>
      </c>
      <c r="Z2" s="12" t="str">
        <f>IFERROR(__xludf.DUMMYFUNCTION("""COMPUTED_VALUE"""),"")</f>
        <v/>
      </c>
      <c r="AA2" s="12" t="str">
        <f>IFERROR(__xludf.DUMMYFUNCTION("""COMPUTED_VALUE"""),"")</f>
        <v/>
      </c>
      <c r="AB2" t="str">
        <f>IFERROR(__xludf.DUMMYFUNCTION("""COMPUTED_VALUE"""),"")</f>
        <v/>
      </c>
      <c r="AC2" s="12" t="str">
        <f>IFERROR(__xludf.DUMMYFUNCTION("""COMPUTED_VALUE"""),"")</f>
        <v/>
      </c>
      <c r="AD2" s="12" t="str">
        <f>IFERROR(__xludf.DUMMYFUNCTION("""COMPUTED_VALUE"""),"")</f>
        <v/>
      </c>
      <c r="AE2" s="14" t="str">
        <f>IFERROR(__xludf.DUMMYFUNCTION("""COMPUTED_VALUE"""),"")</f>
        <v/>
      </c>
      <c r="AF2" s="12" t="str">
        <f>IFERROR(__xludf.DUMMYFUNCTION("""COMPUTED_VALUE"""),"")</f>
        <v/>
      </c>
    </row>
    <row r="3" ht="16.5" customHeight="1">
      <c r="A3" s="25" t="str">
        <f>IFERROR(__xludf.DUMMYFUNCTION("""COMPUTED_VALUE"""),"Item")</f>
        <v>Item</v>
      </c>
      <c r="B3" s="27"/>
      <c r="C3" s="28"/>
      <c r="D3" s="30" t="str">
        <f>IFERROR(__xludf.DUMMYFUNCTION("""COMPUTED_VALUE"""),"No.")</f>
        <v>No.</v>
      </c>
      <c r="E3" s="31" t="str">
        <f>IFERROR(__xludf.DUMMYFUNCTION("""COMPUTED_VALUE"""),"Node Code")</f>
        <v>Node Code</v>
      </c>
      <c r="F3" s="31" t="str">
        <f>IFERROR(__xludf.DUMMYFUNCTION("""COMPUTED_VALUE"""),"Area")</f>
        <v>Area</v>
      </c>
      <c r="G3" s="31" t="str">
        <f>IFERROR(__xludf.DUMMYFUNCTION("""COMPUTED_VALUE"""),"Quest")</f>
        <v>Quest</v>
      </c>
      <c r="H3" s="30" t="str">
        <f>IFERROR(__xludf.DUMMYFUNCTION("""COMPUTED_VALUE"""),"AP")</f>
        <v>AP</v>
      </c>
      <c r="I3" s="34" t="str">
        <f>IFERROR(__xludf.DUMMYFUNCTION("""COMPUTED_VALUE"""),"BP/AP")</f>
        <v>BP/AP</v>
      </c>
      <c r="J3" s="36" t="str">
        <f>IFERROR(__xludf.DUMMYFUNCTION("""COMPUTED_VALUE"""),"AP/Drop")</f>
        <v>AP/Drop</v>
      </c>
      <c r="K3" s="28"/>
      <c r="L3" s="36" t="str">
        <f>IFERROR(__xludf.DUMMYFUNCTION("""COMPUTED_VALUE"""),"Drop Chance")</f>
        <v>Drop Chance</v>
      </c>
      <c r="M3" s="28"/>
      <c r="N3" s="38" t="str">
        <f>IFERROR(__xludf.DUMMYFUNCTION("""COMPUTED_VALUE"""),"Runs")</f>
        <v>Runs</v>
      </c>
      <c r="O3" s="40" t="str">
        <f>IFERROR(__xludf.DUMMYFUNCTION("""COMPUTED_VALUE"""),"")</f>
        <v/>
      </c>
      <c r="P3" s="42" t="str">
        <f>IFERROR(__xludf.DUMMYFUNCTION("""COMPUTED_VALUE"""),"")</f>
        <v/>
      </c>
      <c r="Q3" s="25" t="str">
        <f>IFERROR(__xludf.DUMMYFUNCTION("""COMPUTED_VALUE"""),"Item")</f>
        <v>Item</v>
      </c>
      <c r="R3" s="27"/>
      <c r="S3" s="28"/>
      <c r="T3" s="30" t="str">
        <f>IFERROR(__xludf.DUMMYFUNCTION("""COMPUTED_VALUE"""),"No.")</f>
        <v>No.</v>
      </c>
      <c r="U3" s="31" t="str">
        <f>IFERROR(__xludf.DUMMYFUNCTION("""COMPUTED_VALUE"""),"Node Code")</f>
        <v>Node Code</v>
      </c>
      <c r="V3" s="31" t="str">
        <f>IFERROR(__xludf.DUMMYFUNCTION("""COMPUTED_VALUE"""),"Area")</f>
        <v>Area</v>
      </c>
      <c r="W3" s="31" t="str">
        <f>IFERROR(__xludf.DUMMYFUNCTION("""COMPUTED_VALUE"""),"Quest")</f>
        <v>Quest</v>
      </c>
      <c r="X3" s="30" t="str">
        <f>IFERROR(__xludf.DUMMYFUNCTION("""COMPUTED_VALUE"""),"AP")</f>
        <v>AP</v>
      </c>
      <c r="Y3" s="34" t="str">
        <f>IFERROR(__xludf.DUMMYFUNCTION("""COMPUTED_VALUE"""),"BP/AP")</f>
        <v>BP/AP</v>
      </c>
      <c r="Z3" s="36" t="str">
        <f>IFERROR(__xludf.DUMMYFUNCTION("""COMPUTED_VALUE"""),"AP/Drop")</f>
        <v>AP/Drop</v>
      </c>
      <c r="AA3" s="28"/>
      <c r="AB3" s="36" t="str">
        <f>IFERROR(__xludf.DUMMYFUNCTION("""COMPUTED_VALUE"""),"Drop Chance")</f>
        <v>Drop Chance</v>
      </c>
      <c r="AC3" s="28"/>
      <c r="AD3" s="38" t="str">
        <f>IFERROR(__xludf.DUMMYFUNCTION("""COMPUTED_VALUE"""),"Runs")</f>
        <v>Runs</v>
      </c>
      <c r="AE3" s="40" t="str">
        <f>IFERROR(__xludf.DUMMYFUNCTION("""COMPUTED_VALUE"""),"")</f>
        <v/>
      </c>
      <c r="AF3" s="51" t="str">
        <f>IFERROR(__xludf.DUMMYFUNCTION("""COMPUTED_VALUE"""),"")</f>
        <v/>
      </c>
    </row>
    <row r="4" ht="16.5" customHeight="1">
      <c r="A4" s="54"/>
      <c r="B4" s="55"/>
      <c r="C4" s="57"/>
      <c r="D4" s="57"/>
      <c r="E4" s="57"/>
      <c r="F4" s="57"/>
      <c r="G4" s="57"/>
      <c r="H4" s="57"/>
      <c r="I4" s="58" t="str">
        <f>IFERROR(__xludf.DUMMYFUNCTION("""COMPUTED_VALUE"""),"1P+1L+1T")</f>
        <v>1P+1L+1T</v>
      </c>
      <c r="J4" s="55"/>
      <c r="K4" s="57"/>
      <c r="L4" s="55"/>
      <c r="M4" s="57"/>
      <c r="N4" s="57"/>
      <c r="O4" s="57"/>
      <c r="P4" s="42" t="str">
        <f>IFERROR(__xludf.DUMMYFUNCTION("""COMPUTED_VALUE"""),"")</f>
        <v/>
      </c>
      <c r="Q4" s="54"/>
      <c r="R4" s="55"/>
      <c r="S4" s="57"/>
      <c r="T4" s="57"/>
      <c r="U4" s="57"/>
      <c r="V4" s="57"/>
      <c r="W4" s="57"/>
      <c r="X4" s="57"/>
      <c r="Y4" s="58" t="str">
        <f>IFERROR(__xludf.DUMMYFUNCTION("""COMPUTED_VALUE"""),"1P+1L+1T")</f>
        <v>1P+1L+1T</v>
      </c>
      <c r="Z4" s="55"/>
      <c r="AA4" s="57"/>
      <c r="AB4" s="55"/>
      <c r="AC4" s="57"/>
      <c r="AD4" s="57"/>
      <c r="AE4" s="57"/>
      <c r="AF4" s="51" t="str">
        <f>IFERROR(__xludf.DUMMYFUNCTION("""COMPUTED_VALUE"""),"")</f>
        <v/>
      </c>
    </row>
    <row r="5" ht="16.5" customHeight="1">
      <c r="A5" s="61" t="str">
        <f>IFERROR(__xludf.DUMMYFUNCTION("""COMPUTED_VALUE"""),"")</f>
        <v/>
      </c>
      <c r="B5" s="63" t="str">
        <f>IFERROR(__xludf.DUMMYFUNCTION("""COMPUTED_VALUE"""),"A301")</f>
        <v>A301</v>
      </c>
      <c r="C5" s="65" t="str">
        <f>IFERROR(__xludf.DUMMYFUNCTION("""COMPUTED_VALUE"""),"Proof of Hero")</f>
        <v>Proof of Hero</v>
      </c>
      <c r="D5" s="70">
        <f>IFERROR(__xludf.DUMMYFUNCTION("""COMPUTED_VALUE"""),1.0)</f>
        <v>1</v>
      </c>
      <c r="E5" s="73" t="str">
        <f>IFERROR(__xludf.DUMMYFUNCTION("""COMPUTED_VALUE"""),"EPU5")</f>
        <v>EPU5</v>
      </c>
      <c r="F5" s="76" t="str">
        <f>IFERROR(__xludf.DUMMYFUNCTION("""COMPUTED_VALUE"""),"E Pluribus Unum")</f>
        <v>E Pluribus Unum</v>
      </c>
      <c r="G5" s="85" t="str">
        <f>IFERROR(__xludf.DUMMYFUNCTION("""COMPUTED_VALUE"""),"Dallas")</f>
        <v>Dallas</v>
      </c>
      <c r="H5" s="87">
        <f>IFERROR(__xludf.DUMMYFUNCTION("""COMPUTED_VALUE"""),17.0)</f>
        <v>17</v>
      </c>
      <c r="I5" s="90">
        <f>IFERROR(__xludf.DUMMYFUNCTION("""COMPUTED_VALUE"""),43.75)</f>
        <v>43.75</v>
      </c>
      <c r="J5" s="92">
        <f>IFERROR(__xludf.DUMMYFUNCTION("""COMPUTED_VALUE"""),25.5)</f>
        <v>25.5</v>
      </c>
      <c r="K5" s="94" t="str">
        <f>IFERROR(__xludf.DUMMYFUNCTION("""COMPUTED_VALUE"""),"AP")</f>
        <v>AP</v>
      </c>
      <c r="L5" s="96">
        <f>IFERROR(__xludf.DUMMYFUNCTION("""COMPUTED_VALUE"""),66.8)</f>
        <v>66.8</v>
      </c>
      <c r="M5" s="94" t="str">
        <f>IFERROR(__xludf.DUMMYFUNCTION("""COMPUTED_VALUE"""),"％")</f>
        <v>％</v>
      </c>
      <c r="N5" s="87">
        <f>IFERROR(__xludf.DUMMYFUNCTION("""COMPUTED_VALUE"""),6739.0)</f>
        <v>6739</v>
      </c>
      <c r="O5" s="97" t="str">
        <f>IFERROR(__xludf.DUMMYFUNCTION("""COMPUTED_VALUE"""),"Proof of Hero")</f>
        <v>Proof of Hero</v>
      </c>
      <c r="P5" s="93" t="str">
        <f>IFERROR(__xludf.DUMMYFUNCTION("""COMPUTED_VALUE"""),"")</f>
        <v/>
      </c>
      <c r="Q5" s="61" t="str">
        <f>IFERROR(__xludf.DUMMYFUNCTION("""COMPUTED_VALUE"""),"")</f>
        <v/>
      </c>
      <c r="R5" s="95" t="str">
        <f>IFERROR(__xludf.DUMMYFUNCTION("""COMPUTED_VALUE"""),"B101")</f>
        <v>B101</v>
      </c>
      <c r="S5" s="65" t="str">
        <f>IFERROR(__xludf.DUMMYFUNCTION("""COMPUTED_VALUE"""),"Secret Gem of Saber")</f>
        <v>Secret Gem of Saber</v>
      </c>
      <c r="T5" s="70">
        <f>IFERROR(__xludf.DUMMYFUNCTION("""COMPUTED_VALUE"""),1.0)</f>
        <v>1</v>
      </c>
      <c r="U5" s="73" t="str">
        <f>IFERROR(__xludf.DUMMYFUNCTION("""COMPUTED_VALUE"""),"TRF28")</f>
        <v>TRF28</v>
      </c>
      <c r="V5" s="76" t="str">
        <f>IFERROR(__xludf.DUMMYFUNCTION("""COMPUTED_VALUE"""),"Chaldea Gate (Sun)")</f>
        <v>Chaldea Gate (Sun)</v>
      </c>
      <c r="W5" s="76" t="str">
        <f>IFERROR(__xludf.DUMMYFUNCTION("""COMPUTED_VALUE"""),"SUN Saber Training Ground- Exp")</f>
        <v>SUN Saber Training Ground- Exp</v>
      </c>
      <c r="X5" s="87">
        <f>IFERROR(__xludf.DUMMYFUNCTION("""COMPUTED_VALUE"""),40.0)</f>
        <v>40</v>
      </c>
      <c r="Y5" s="90">
        <f>IFERROR(__xludf.DUMMYFUNCTION("""COMPUTED_VALUE"""),20.46875)</f>
        <v>20.46875</v>
      </c>
      <c r="Z5" s="92">
        <f>IFERROR(__xludf.DUMMYFUNCTION("""COMPUTED_VALUE"""),144.0)</f>
        <v>144</v>
      </c>
      <c r="AA5" s="94" t="str">
        <f>IFERROR(__xludf.DUMMYFUNCTION("""COMPUTED_VALUE"""),"AP")</f>
        <v>AP</v>
      </c>
      <c r="AB5" s="96">
        <f>IFERROR(__xludf.DUMMYFUNCTION("""COMPUTED_VALUE"""),27.8)</f>
        <v>27.8</v>
      </c>
      <c r="AC5" s="94" t="str">
        <f>IFERROR(__xludf.DUMMYFUNCTION("""COMPUTED_VALUE"""),"％")</f>
        <v>％</v>
      </c>
      <c r="AD5" s="87">
        <f>IFERROR(__xludf.DUMMYFUNCTION("""COMPUTED_VALUE"""),21334.0)</f>
        <v>21334</v>
      </c>
      <c r="AE5" s="97" t="str">
        <f>IFERROR(__xludf.DUMMYFUNCTION("""COMPUTED_VALUE"""),"Secret Gem of Saber")</f>
        <v>Secret Gem of Saber</v>
      </c>
      <c r="AF5" s="98" t="str">
        <f>IFERROR(__xludf.DUMMYFUNCTION("""COMPUTED_VALUE"""),"")</f>
        <v/>
      </c>
    </row>
    <row r="6" ht="16.5" customHeight="1">
      <c r="B6" s="99"/>
      <c r="C6" s="100"/>
      <c r="D6" s="105">
        <f>IFERROR(__xludf.DUMMYFUNCTION("""COMPUTED_VALUE"""),2.0)</f>
        <v>2</v>
      </c>
      <c r="E6" s="106" t="str">
        <f>IFERROR(__xludf.DUMMYFUNCTION("""COMPUTED_VALUE"""),"EPU8")</f>
        <v>EPU8</v>
      </c>
      <c r="F6" s="107" t="str">
        <f>IFERROR(__xludf.DUMMYFUNCTION("""COMPUTED_VALUE"""),"E Pluribus Unum")</f>
        <v>E Pluribus Unum</v>
      </c>
      <c r="G6" s="114" t="str">
        <f>IFERROR(__xludf.DUMMYFUNCTION("""COMPUTED_VALUE"""),"Montgomery")</f>
        <v>Montgomery</v>
      </c>
      <c r="H6" s="116">
        <f>IFERROR(__xludf.DUMMYFUNCTION("""COMPUTED_VALUE"""),18.0)</f>
        <v>18</v>
      </c>
      <c r="I6" s="118">
        <f>IFERROR(__xludf.DUMMYFUNCTION("""COMPUTED_VALUE"""),44.09722222222222)</f>
        <v>44.09722222</v>
      </c>
      <c r="J6" s="120">
        <f>IFERROR(__xludf.DUMMYFUNCTION("""COMPUTED_VALUE"""),29.5)</f>
        <v>29.5</v>
      </c>
      <c r="K6" s="122" t="str">
        <f>IFERROR(__xludf.DUMMYFUNCTION("""COMPUTED_VALUE"""),"AP")</f>
        <v>AP</v>
      </c>
      <c r="L6" s="124">
        <f>IFERROR(__xludf.DUMMYFUNCTION("""COMPUTED_VALUE"""),61.0)</f>
        <v>61</v>
      </c>
      <c r="M6" s="122" t="str">
        <f>IFERROR(__xludf.DUMMYFUNCTION("""COMPUTED_VALUE"""),"％")</f>
        <v>％</v>
      </c>
      <c r="N6" s="116">
        <f>IFERROR(__xludf.DUMMYFUNCTION("""COMPUTED_VALUE"""),2068.0)</f>
        <v>2068</v>
      </c>
      <c r="O6" s="100"/>
      <c r="P6" s="93" t="str">
        <f>IFERROR(__xludf.DUMMYFUNCTION("""COMPUTED_VALUE"""),"")</f>
        <v/>
      </c>
      <c r="S6" s="100"/>
      <c r="T6" s="105">
        <f>IFERROR(__xludf.DUMMYFUNCTION("""COMPUTED_VALUE"""),2.0)</f>
        <v>2</v>
      </c>
      <c r="U6" s="106" t="str">
        <f>IFERROR(__xludf.DUMMYFUNCTION("""COMPUTED_VALUE"""),"TRF27")</f>
        <v>TRF27</v>
      </c>
      <c r="V6" s="107" t="str">
        <f>IFERROR(__xludf.DUMMYFUNCTION("""COMPUTED_VALUE"""),"Chaldea Gate (Sun)")</f>
        <v>Chaldea Gate (Sun)</v>
      </c>
      <c r="W6" s="107" t="str">
        <f>IFERROR(__xludf.DUMMYFUNCTION("""COMPUTED_VALUE"""),"SUN Saber Training Ground- Adv")</f>
        <v>SUN Saber Training Ground- Adv</v>
      </c>
      <c r="X6" s="116">
        <f>IFERROR(__xludf.DUMMYFUNCTION("""COMPUTED_VALUE"""),30.0)</f>
        <v>30</v>
      </c>
      <c r="Y6" s="118">
        <f>IFERROR(__xludf.DUMMYFUNCTION("""COMPUTED_VALUE"""),18.958333333333332)</f>
        <v>18.95833333</v>
      </c>
      <c r="Z6" s="120">
        <f>IFERROR(__xludf.DUMMYFUNCTION("""COMPUTED_VALUE"""),597.2)</f>
        <v>597.2</v>
      </c>
      <c r="AA6" s="122" t="str">
        <f>IFERROR(__xludf.DUMMYFUNCTION("""COMPUTED_VALUE"""),"AP")</f>
        <v>AP</v>
      </c>
      <c r="AB6" s="124">
        <f>IFERROR(__xludf.DUMMYFUNCTION("""COMPUTED_VALUE"""),5.0)</f>
        <v>5</v>
      </c>
      <c r="AC6" s="122" t="str">
        <f>IFERROR(__xludf.DUMMYFUNCTION("""COMPUTED_VALUE"""),"％")</f>
        <v>％</v>
      </c>
      <c r="AD6" s="116">
        <f>IFERROR(__xludf.DUMMYFUNCTION("""COMPUTED_VALUE"""),3782.0)</f>
        <v>3782</v>
      </c>
      <c r="AE6" s="100"/>
      <c r="AF6" s="98" t="str">
        <f>IFERROR(__xludf.DUMMYFUNCTION("""COMPUTED_VALUE"""),"")</f>
        <v/>
      </c>
    </row>
    <row r="7" ht="16.5" customHeight="1">
      <c r="B7" s="99"/>
      <c r="C7" s="100"/>
      <c r="D7" s="128">
        <f>IFERROR(__xludf.DUMMYFUNCTION("""COMPUTED_VALUE"""),3.0)</f>
        <v>3</v>
      </c>
      <c r="E7" s="129" t="str">
        <f>IFERROR(__xludf.DUMMYFUNCTION("""COMPUTED_VALUE"""),"OKN1")</f>
        <v>OKN1</v>
      </c>
      <c r="F7" s="131" t="str">
        <f>IFERROR(__xludf.DUMMYFUNCTION("""COMPUTED_VALUE"""),"Okeanos")</f>
        <v>Okeanos</v>
      </c>
      <c r="G7" s="134" t="str">
        <f>IFERROR(__xludf.DUMMYFUNCTION("""COMPUTED_VALUE"""),"Pirate Ship")</f>
        <v>Pirate Ship</v>
      </c>
      <c r="H7" s="136">
        <f>IFERROR(__xludf.DUMMYFUNCTION("""COMPUTED_VALUE"""),12.0)</f>
        <v>12</v>
      </c>
      <c r="I7" s="138">
        <f>IFERROR(__xludf.DUMMYFUNCTION("""COMPUTED_VALUE"""),34.895833333333336)</f>
        <v>34.89583333</v>
      </c>
      <c r="J7" s="140">
        <f>IFERROR(__xludf.DUMMYFUNCTION("""COMPUTED_VALUE"""),20.2)</f>
        <v>20.2</v>
      </c>
      <c r="K7" s="142" t="str">
        <f>IFERROR(__xludf.DUMMYFUNCTION("""COMPUTED_VALUE"""),"AP")</f>
        <v>AP</v>
      </c>
      <c r="L7" s="144">
        <f>IFERROR(__xludf.DUMMYFUNCTION("""COMPUTED_VALUE"""),59.4)</f>
        <v>59.4</v>
      </c>
      <c r="M7" s="142" t="str">
        <f>IFERROR(__xludf.DUMMYFUNCTION("""COMPUTED_VALUE"""),"％")</f>
        <v>％</v>
      </c>
      <c r="N7" s="136">
        <f>IFERROR(__xludf.DUMMYFUNCTION("""COMPUTED_VALUE"""),4770.0)</f>
        <v>4770</v>
      </c>
      <c r="O7" s="100"/>
      <c r="P7" s="93" t="str">
        <f>IFERROR(__xludf.DUMMYFUNCTION("""COMPUTED_VALUE"""),"")</f>
        <v/>
      </c>
      <c r="S7" s="100"/>
      <c r="T7" s="128">
        <f>IFERROR(__xludf.DUMMYFUNCTION("""COMPUTED_VALUE"""),3.0)</f>
        <v>3</v>
      </c>
      <c r="U7" s="129" t="str">
        <f>IFERROR(__xludf.DUMMYFUNCTION("""COMPUTED_VALUE"""),"SJK8")</f>
        <v>SJK8</v>
      </c>
      <c r="V7" s="131" t="str">
        <f>IFERROR(__xludf.DUMMYFUNCTION("""COMPUTED_VALUE"""),"Shinjuku")</f>
        <v>Shinjuku</v>
      </c>
      <c r="W7" s="134" t="str">
        <f>IFERROR(__xludf.DUMMYFUNCTION("""COMPUTED_VALUE"""),"Tower - Top Floor")</f>
        <v>Tower - Top Floor</v>
      </c>
      <c r="X7" s="136">
        <f>IFERROR(__xludf.DUMMYFUNCTION("""COMPUTED_VALUE"""),21.0)</f>
        <v>21</v>
      </c>
      <c r="Y7" s="138">
        <f>IFERROR(__xludf.DUMMYFUNCTION("""COMPUTED_VALUE"""),49.70238095238095)</f>
        <v>49.70238095</v>
      </c>
      <c r="Z7" s="140">
        <f>IFERROR(__xludf.DUMMYFUNCTION("""COMPUTED_VALUE"""),455.9)</f>
        <v>455.9</v>
      </c>
      <c r="AA7" s="142" t="str">
        <f>IFERROR(__xludf.DUMMYFUNCTION("""COMPUTED_VALUE"""),"AP")</f>
        <v>AP</v>
      </c>
      <c r="AB7" s="144">
        <f>IFERROR(__xludf.DUMMYFUNCTION("""COMPUTED_VALUE"""),4.6)</f>
        <v>4.6</v>
      </c>
      <c r="AC7" s="142" t="str">
        <f>IFERROR(__xludf.DUMMYFUNCTION("""COMPUTED_VALUE"""),"％")</f>
        <v>％</v>
      </c>
      <c r="AD7" s="136">
        <f>IFERROR(__xludf.DUMMYFUNCTION("""COMPUTED_VALUE"""),3200.0)</f>
        <v>3200</v>
      </c>
      <c r="AE7" s="100"/>
      <c r="AF7" s="98" t="str">
        <f>IFERROR(__xludf.DUMMYFUNCTION("""COMPUTED_VALUE"""),"")</f>
        <v/>
      </c>
    </row>
    <row r="8" ht="16.5" customHeight="1">
      <c r="B8" s="99"/>
      <c r="C8" s="100"/>
      <c r="D8" s="147">
        <f>IFERROR(__xludf.DUMMYFUNCTION("""COMPUTED_VALUE"""),4.0)</f>
        <v>4</v>
      </c>
      <c r="E8" s="149" t="str">
        <f>IFERROR(__xludf.DUMMYFUNCTION("""COMPUTED_VALUE"""),"EPU9")</f>
        <v>EPU9</v>
      </c>
      <c r="F8" s="151" t="str">
        <f>IFERROR(__xludf.DUMMYFUNCTION("""COMPUTED_VALUE"""),"E Pluribus Unum")</f>
        <v>E Pluribus Unum</v>
      </c>
      <c r="G8" s="153" t="str">
        <f>IFERROR(__xludf.DUMMYFUNCTION("""COMPUTED_VALUE"""),"Lubbock")</f>
        <v>Lubbock</v>
      </c>
      <c r="H8" s="155">
        <f>IFERROR(__xludf.DUMMYFUNCTION("""COMPUTED_VALUE"""),18.0)</f>
        <v>18</v>
      </c>
      <c r="I8" s="157">
        <f>IFERROR(__xludf.DUMMYFUNCTION("""COMPUTED_VALUE"""),45.486111111111114)</f>
        <v>45.48611111</v>
      </c>
      <c r="J8" s="159">
        <f>IFERROR(__xludf.DUMMYFUNCTION("""COMPUTED_VALUE"""),32.7)</f>
        <v>32.7</v>
      </c>
      <c r="K8" s="161" t="str">
        <f>IFERROR(__xludf.DUMMYFUNCTION("""COMPUTED_VALUE"""),"AP")</f>
        <v>AP</v>
      </c>
      <c r="L8" s="163">
        <f>IFERROR(__xludf.DUMMYFUNCTION("""COMPUTED_VALUE"""),55.0)</f>
        <v>55</v>
      </c>
      <c r="M8" s="161" t="str">
        <f>IFERROR(__xludf.DUMMYFUNCTION("""COMPUTED_VALUE"""),"％")</f>
        <v>％</v>
      </c>
      <c r="N8" s="155">
        <f>IFERROR(__xludf.DUMMYFUNCTION("""COMPUTED_VALUE"""),440.0)</f>
        <v>440</v>
      </c>
      <c r="O8" s="100"/>
      <c r="P8" s="93" t="str">
        <f>IFERROR(__xludf.DUMMYFUNCTION("""COMPUTED_VALUE"""),"")</f>
        <v/>
      </c>
      <c r="S8" s="100"/>
      <c r="T8" s="147">
        <f>IFERROR(__xludf.DUMMYFUNCTION("""COMPUTED_VALUE"""),4.0)</f>
        <v>4</v>
      </c>
      <c r="U8" s="149" t="str">
        <f>IFERROR(__xludf.DUMMYFUNCTION("""COMPUTED_VALUE"""),"GTT11")</f>
        <v>GTT11</v>
      </c>
      <c r="V8" s="151" t="str">
        <f>IFERROR(__xludf.DUMMYFUNCTION("""COMPUTED_VALUE"""),"Götterdämmerung")</f>
        <v>Götterdämmerung</v>
      </c>
      <c r="W8" s="153" t="str">
        <f>IFERROR(__xludf.DUMMYFUNCTION("""COMPUTED_VALUE"""),"Forgotten Temple")</f>
        <v>Forgotten Temple</v>
      </c>
      <c r="X8" s="155">
        <f>IFERROR(__xludf.DUMMYFUNCTION("""COMPUTED_VALUE"""),21.0)</f>
        <v>21</v>
      </c>
      <c r="Y8" s="157">
        <f>IFERROR(__xludf.DUMMYFUNCTION("""COMPUTED_VALUE"""),50.892857142857146)</f>
        <v>50.89285714</v>
      </c>
      <c r="Z8" s="159">
        <f>IFERROR(__xludf.DUMMYFUNCTION("""COMPUTED_VALUE"""),515.7)</f>
        <v>515.7</v>
      </c>
      <c r="AA8" s="161" t="str">
        <f>IFERROR(__xludf.DUMMYFUNCTION("""COMPUTED_VALUE"""),"AP")</f>
        <v>AP</v>
      </c>
      <c r="AB8" s="163">
        <f>IFERROR(__xludf.DUMMYFUNCTION("""COMPUTED_VALUE"""),4.1)</f>
        <v>4.1</v>
      </c>
      <c r="AC8" s="161" t="str">
        <f>IFERROR(__xludf.DUMMYFUNCTION("""COMPUTED_VALUE"""),"％")</f>
        <v>％</v>
      </c>
      <c r="AD8" s="155">
        <f>IFERROR(__xludf.DUMMYFUNCTION("""COMPUTED_VALUE"""),3740.0)</f>
        <v>3740</v>
      </c>
      <c r="AE8" s="100"/>
      <c r="AF8" s="98" t="str">
        <f>IFERROR(__xludf.DUMMYFUNCTION("""COMPUTED_VALUE"""),"")</f>
        <v/>
      </c>
    </row>
    <row r="9" ht="16.5" customHeight="1">
      <c r="A9" s="166"/>
      <c r="B9" s="167"/>
      <c r="C9" s="168"/>
      <c r="D9" s="169">
        <f>IFERROR(__xludf.DUMMYFUNCTION("""COMPUTED_VALUE"""),5.0)</f>
        <v>5</v>
      </c>
      <c r="E9" s="170" t="str">
        <f>IFERROR(__xludf.DUMMYFUNCTION("""COMPUTED_VALUE"""),"EPU6")</f>
        <v>EPU6</v>
      </c>
      <c r="F9" s="51" t="str">
        <f>IFERROR(__xludf.DUMMYFUNCTION("""COMPUTED_VALUE"""),"E Pluribus Unum")</f>
        <v>E Pluribus Unum</v>
      </c>
      <c r="G9" s="171" t="str">
        <f>IFERROR(__xludf.DUMMYFUNCTION("""COMPUTED_VALUE"""),"Alcatraz")</f>
        <v>Alcatraz</v>
      </c>
      <c r="H9" s="172">
        <f>IFERROR(__xludf.DUMMYFUNCTION("""COMPUTED_VALUE"""),18.0)</f>
        <v>18</v>
      </c>
      <c r="I9" s="173">
        <f>IFERROR(__xludf.DUMMYFUNCTION("""COMPUTED_VALUE"""),42.708333333333336)</f>
        <v>42.70833333</v>
      </c>
      <c r="J9" s="174">
        <f>IFERROR(__xludf.DUMMYFUNCTION("""COMPUTED_VALUE"""),33.6)</f>
        <v>33.6</v>
      </c>
      <c r="K9" s="175" t="str">
        <f>IFERROR(__xludf.DUMMYFUNCTION("""COMPUTED_VALUE"""),"AP")</f>
        <v>AP</v>
      </c>
      <c r="L9" s="176">
        <f>IFERROR(__xludf.DUMMYFUNCTION("""COMPUTED_VALUE"""),53.5)</f>
        <v>53.5</v>
      </c>
      <c r="M9" s="175" t="str">
        <f>IFERROR(__xludf.DUMMYFUNCTION("""COMPUTED_VALUE"""),"％")</f>
        <v>％</v>
      </c>
      <c r="N9" s="172">
        <f>IFERROR(__xludf.DUMMYFUNCTION("""COMPUTED_VALUE"""),284.0)</f>
        <v>284</v>
      </c>
      <c r="O9" s="168"/>
      <c r="P9" s="177" t="str">
        <f>IFERROR(__xludf.DUMMYFUNCTION("""COMPUTED_VALUE"""),"")</f>
        <v/>
      </c>
      <c r="Q9" s="166"/>
      <c r="R9" s="178"/>
      <c r="S9" s="168"/>
      <c r="T9" s="169">
        <f>IFERROR(__xludf.DUMMYFUNCTION("""COMPUTED_VALUE"""),5.0)</f>
        <v>5</v>
      </c>
      <c r="U9" s="170" t="str">
        <f>IFERROR(__xludf.DUMMYFUNCTION("""COMPUTED_VALUE"""),"AGT3")</f>
        <v>AGT3</v>
      </c>
      <c r="V9" s="51" t="str">
        <f>IFERROR(__xludf.DUMMYFUNCTION("""COMPUTED_VALUE"""),"Agartha")</f>
        <v>Agartha</v>
      </c>
      <c r="W9" s="171" t="str">
        <f>IFERROR(__xludf.DUMMYFUNCTION("""COMPUTED_VALUE"""),"Riverside Town")</f>
        <v>Riverside Town</v>
      </c>
      <c r="X9" s="172">
        <f>IFERROR(__xludf.DUMMYFUNCTION("""COMPUTED_VALUE"""),20.0)</f>
        <v>20</v>
      </c>
      <c r="Y9" s="173">
        <f>IFERROR(__xludf.DUMMYFUNCTION("""COMPUTED_VALUE"""),48.4375)</f>
        <v>48.4375</v>
      </c>
      <c r="Z9" s="174">
        <f>IFERROR(__xludf.DUMMYFUNCTION("""COMPUTED_VALUE"""),543.5)</f>
        <v>543.5</v>
      </c>
      <c r="AA9" s="175" t="str">
        <f>IFERROR(__xludf.DUMMYFUNCTION("""COMPUTED_VALUE"""),"AP")</f>
        <v>AP</v>
      </c>
      <c r="AB9" s="176">
        <f>IFERROR(__xludf.DUMMYFUNCTION("""COMPUTED_VALUE"""),3.7)</f>
        <v>3.7</v>
      </c>
      <c r="AC9" s="175" t="str">
        <f>IFERROR(__xludf.DUMMYFUNCTION("""COMPUTED_VALUE"""),"％")</f>
        <v>％</v>
      </c>
      <c r="AD9" s="172">
        <f>IFERROR(__xludf.DUMMYFUNCTION("""COMPUTED_VALUE"""),10369.0)</f>
        <v>10369</v>
      </c>
      <c r="AE9" s="168"/>
      <c r="AF9" s="98" t="str">
        <f>IFERROR(__xludf.DUMMYFUNCTION("""COMPUTED_VALUE"""),"")</f>
        <v/>
      </c>
    </row>
    <row r="10" ht="16.5" customHeight="1">
      <c r="A10" s="61" t="str">
        <f>IFERROR(__xludf.DUMMYFUNCTION("""COMPUTED_VALUE"""),"")</f>
        <v/>
      </c>
      <c r="B10" s="183" t="str">
        <f>IFERROR(__xludf.DUMMYFUNCTION("""COMPUTED_VALUE"""),"A302")</f>
        <v>A302</v>
      </c>
      <c r="C10" s="180" t="str">
        <f>IFERROR(__xludf.DUMMYFUNCTION("""COMPUTED_VALUE"""),"Evil Bone")</f>
        <v>Evil Bone</v>
      </c>
      <c r="D10" s="185">
        <f>IFERROR(__xludf.DUMMYFUNCTION("""COMPUTED_VALUE"""),1.0)</f>
        <v>1</v>
      </c>
      <c r="E10" s="187" t="str">
        <f>IFERROR(__xludf.DUMMYFUNCTION("""COMPUTED_VALUE"""),"FUY7")</f>
        <v>FUY7</v>
      </c>
      <c r="F10" s="188" t="str">
        <f>IFERROR(__xludf.DUMMYFUNCTION("""COMPUTED_VALUE"""),"Fuyuki")</f>
        <v>Fuyuki</v>
      </c>
      <c r="G10" s="193" t="str">
        <f>IFERROR(__xludf.DUMMYFUNCTION("""COMPUTED_VALUE"""),"Unknown Coordinates X-G")</f>
        <v>Unknown Coordinates X-G</v>
      </c>
      <c r="H10" s="195">
        <f>IFERROR(__xludf.DUMMYFUNCTION("""COMPUTED_VALUE"""),15.0)</f>
        <v>15</v>
      </c>
      <c r="I10" s="196">
        <f>IFERROR(__xludf.DUMMYFUNCTION("""COMPUTED_VALUE"""),37.916666666666664)</f>
        <v>37.91666667</v>
      </c>
      <c r="J10" s="198">
        <f>IFERROR(__xludf.DUMMYFUNCTION("""COMPUTED_VALUE"""),23.5)</f>
        <v>23.5</v>
      </c>
      <c r="K10" s="200" t="str">
        <f>IFERROR(__xludf.DUMMYFUNCTION("""COMPUTED_VALUE"""),"AP")</f>
        <v>AP</v>
      </c>
      <c r="L10" s="198">
        <f>IFERROR(__xludf.DUMMYFUNCTION("""COMPUTED_VALUE"""),63.7)</f>
        <v>63.7</v>
      </c>
      <c r="M10" s="201" t="str">
        <f>IFERROR(__xludf.DUMMYFUNCTION("""COMPUTED_VALUE"""),"％")</f>
        <v>％</v>
      </c>
      <c r="N10" s="195">
        <f>IFERROR(__xludf.DUMMYFUNCTION("""COMPUTED_VALUE"""),61810.0)</f>
        <v>61810</v>
      </c>
      <c r="O10" s="197" t="str">
        <f>IFERROR(__xludf.DUMMYFUNCTION("""COMPUTED_VALUE"""),"Evil Bone")</f>
        <v>Evil Bone</v>
      </c>
      <c r="P10" s="93" t="str">
        <f>IFERROR(__xludf.DUMMYFUNCTION("""COMPUTED_VALUE"""),"")</f>
        <v/>
      </c>
      <c r="Q10" s="61" t="str">
        <f>IFERROR(__xludf.DUMMYFUNCTION("""COMPUTED_VALUE"""),"")</f>
        <v/>
      </c>
      <c r="R10" s="202" t="str">
        <f>IFERROR(__xludf.DUMMYFUNCTION("""COMPUTED_VALUE"""),"B102")</f>
        <v>B102</v>
      </c>
      <c r="S10" s="180" t="str">
        <f>IFERROR(__xludf.DUMMYFUNCTION("""COMPUTED_VALUE"""),"Secret Gem of Archer")</f>
        <v>Secret Gem of Archer</v>
      </c>
      <c r="T10" s="185">
        <f>IFERROR(__xludf.DUMMYFUNCTION("""COMPUTED_VALUE"""),1.0)</f>
        <v>1</v>
      </c>
      <c r="U10" s="187" t="str">
        <f>IFERROR(__xludf.DUMMYFUNCTION("""COMPUTED_VALUE"""),"TRF4")</f>
        <v>TRF4</v>
      </c>
      <c r="V10" s="188" t="str">
        <f>IFERROR(__xludf.DUMMYFUNCTION("""COMPUTED_VALUE"""),"Chaldea Gate (Mon)")</f>
        <v>Chaldea Gate (Mon)</v>
      </c>
      <c r="W10" s="188" t="str">
        <f>IFERROR(__xludf.DUMMYFUNCTION("""COMPUTED_VALUE"""),"MON Archer Training Ground- Exp")</f>
        <v>MON Archer Training Ground- Exp</v>
      </c>
      <c r="X10" s="195">
        <f>IFERROR(__xludf.DUMMYFUNCTION("""COMPUTED_VALUE"""),40.0)</f>
        <v>40</v>
      </c>
      <c r="Y10" s="196">
        <f>IFERROR(__xludf.DUMMYFUNCTION("""COMPUTED_VALUE"""),20.46875)</f>
        <v>20.46875</v>
      </c>
      <c r="Z10" s="198">
        <f>IFERROR(__xludf.DUMMYFUNCTION("""COMPUTED_VALUE"""),135.1)</f>
        <v>135.1</v>
      </c>
      <c r="AA10" s="200" t="str">
        <f>IFERROR(__xludf.DUMMYFUNCTION("""COMPUTED_VALUE"""),"AP")</f>
        <v>AP</v>
      </c>
      <c r="AB10" s="198">
        <f>IFERROR(__xludf.DUMMYFUNCTION("""COMPUTED_VALUE"""),29.6)</f>
        <v>29.6</v>
      </c>
      <c r="AC10" s="201" t="str">
        <f>IFERROR(__xludf.DUMMYFUNCTION("""COMPUTED_VALUE"""),"％")</f>
        <v>％</v>
      </c>
      <c r="AD10" s="195">
        <f>IFERROR(__xludf.DUMMYFUNCTION("""COMPUTED_VALUE"""),9159.0)</f>
        <v>9159</v>
      </c>
      <c r="AE10" s="197" t="str">
        <f>IFERROR(__xludf.DUMMYFUNCTION("""COMPUTED_VALUE"""),"Secret Gem of Archer")</f>
        <v>Secret Gem of Archer</v>
      </c>
      <c r="AF10" s="98" t="str">
        <f>IFERROR(__xludf.DUMMYFUNCTION("""COMPUTED_VALUE"""),"")</f>
        <v/>
      </c>
    </row>
    <row r="11" ht="16.5" customHeight="1">
      <c r="B11" s="203"/>
      <c r="C11" s="204"/>
      <c r="D11" s="208">
        <f>IFERROR(__xludf.DUMMYFUNCTION("""COMPUTED_VALUE"""),2.0)</f>
        <v>2</v>
      </c>
      <c r="E11" s="210" t="str">
        <f>IFERROR(__xludf.DUMMYFUNCTION("""COMPUTED_VALUE"""),"FUY7")</f>
        <v>FUY7</v>
      </c>
      <c r="F11" s="212" t="str">
        <f>IFERROR(__xludf.DUMMYFUNCTION("""COMPUTED_VALUE"""),"Fuyuki")</f>
        <v>Fuyuki</v>
      </c>
      <c r="G11" s="216" t="str">
        <f>IFERROR(__xludf.DUMMYFUNCTION("""COMPUTED_VALUE"""),"Unknown Coordinates X-G")</f>
        <v>Unknown Coordinates X-G</v>
      </c>
      <c r="H11" s="218">
        <f>IFERROR(__xludf.DUMMYFUNCTION("""COMPUTED_VALUE"""),15.0)</f>
        <v>15</v>
      </c>
      <c r="I11" s="219">
        <f>IFERROR(__xludf.DUMMYFUNCTION("""COMPUTED_VALUE"""),37.916666666666664)</f>
        <v>37.91666667</v>
      </c>
      <c r="J11" s="220">
        <f>IFERROR(__xludf.DUMMYFUNCTION("""COMPUTED_VALUE"""),23.5)</f>
        <v>23.5</v>
      </c>
      <c r="K11" s="221" t="str">
        <f>IFERROR(__xludf.DUMMYFUNCTION("""COMPUTED_VALUE"""),"AP")</f>
        <v>AP</v>
      </c>
      <c r="L11" s="220">
        <f>IFERROR(__xludf.DUMMYFUNCTION("""COMPUTED_VALUE"""),63.7)</f>
        <v>63.7</v>
      </c>
      <c r="M11" s="221" t="str">
        <f>IFERROR(__xludf.DUMMYFUNCTION("""COMPUTED_VALUE"""),"％")</f>
        <v>％</v>
      </c>
      <c r="N11" s="218">
        <f>IFERROR(__xludf.DUMMYFUNCTION("""COMPUTED_VALUE"""),61810.0)</f>
        <v>61810</v>
      </c>
      <c r="O11" s="217"/>
      <c r="P11" s="93" t="str">
        <f>IFERROR(__xludf.DUMMYFUNCTION("""COMPUTED_VALUE"""),"")</f>
        <v/>
      </c>
      <c r="R11" s="203"/>
      <c r="S11" s="204"/>
      <c r="T11" s="208">
        <f>IFERROR(__xludf.DUMMYFUNCTION("""COMPUTED_VALUE"""),2.0)</f>
        <v>2</v>
      </c>
      <c r="U11" s="210" t="str">
        <f>IFERROR(__xludf.DUMMYFUNCTION("""COMPUTED_VALUE"""),"TRF3")</f>
        <v>TRF3</v>
      </c>
      <c r="V11" s="212" t="str">
        <f>IFERROR(__xludf.DUMMYFUNCTION("""COMPUTED_VALUE"""),"Chaldea Gate (Mon)")</f>
        <v>Chaldea Gate (Mon)</v>
      </c>
      <c r="W11" s="212" t="str">
        <f>IFERROR(__xludf.DUMMYFUNCTION("""COMPUTED_VALUE"""),"MON Archer Training Ground- Adv")</f>
        <v>MON Archer Training Ground- Adv</v>
      </c>
      <c r="X11" s="218">
        <f>IFERROR(__xludf.DUMMYFUNCTION("""COMPUTED_VALUE"""),30.0)</f>
        <v>30</v>
      </c>
      <c r="Y11" s="219">
        <f>IFERROR(__xludf.DUMMYFUNCTION("""COMPUTED_VALUE"""),18.958333333333332)</f>
        <v>18.95833333</v>
      </c>
      <c r="Z11" s="220">
        <f>IFERROR(__xludf.DUMMYFUNCTION("""COMPUTED_VALUE"""),191.0)</f>
        <v>191</v>
      </c>
      <c r="AA11" s="221" t="str">
        <f>IFERROR(__xludf.DUMMYFUNCTION("""COMPUTED_VALUE"""),"AP")</f>
        <v>AP</v>
      </c>
      <c r="AB11" s="220">
        <f>IFERROR(__xludf.DUMMYFUNCTION("""COMPUTED_VALUE"""),15.7)</f>
        <v>15.7</v>
      </c>
      <c r="AC11" s="221" t="str">
        <f>IFERROR(__xludf.DUMMYFUNCTION("""COMPUTED_VALUE"""),"％")</f>
        <v>％</v>
      </c>
      <c r="AD11" s="218">
        <f>IFERROR(__xludf.DUMMYFUNCTION("""COMPUTED_VALUE"""),817.0)</f>
        <v>817</v>
      </c>
      <c r="AE11" s="217"/>
      <c r="AF11" s="98" t="str">
        <f>IFERROR(__xludf.DUMMYFUNCTION("""COMPUTED_VALUE"""),"")</f>
        <v/>
      </c>
    </row>
    <row r="12" ht="16.5" customHeight="1">
      <c r="B12" s="203"/>
      <c r="C12" s="204"/>
      <c r="D12" s="225">
        <f>IFERROR(__xludf.DUMMYFUNCTION("""COMPUTED_VALUE"""),3.0)</f>
        <v>3</v>
      </c>
      <c r="E12" s="227" t="str">
        <f>IFERROR(__xludf.DUMMYFUNCTION("""COMPUTED_VALUE"""),"SEP6")</f>
        <v>SEP6</v>
      </c>
      <c r="F12" s="229" t="str">
        <f>IFERROR(__xludf.DUMMYFUNCTION("""COMPUTED_VALUE"""),"Septem")</f>
        <v>Septem</v>
      </c>
      <c r="G12" s="233" t="str">
        <f>IFERROR(__xludf.DUMMYFUNCTION("""COMPUTED_VALUE"""),"Germania")</f>
        <v>Germania</v>
      </c>
      <c r="H12" s="234">
        <f>IFERROR(__xludf.DUMMYFUNCTION("""COMPUTED_VALUE"""),15.0)</f>
        <v>15</v>
      </c>
      <c r="I12" s="235">
        <f>IFERROR(__xludf.DUMMYFUNCTION("""COMPUTED_VALUE"""),37.916666666666664)</f>
        <v>37.91666667</v>
      </c>
      <c r="J12" s="236">
        <f>IFERROR(__xludf.DUMMYFUNCTION("""COMPUTED_VALUE"""),29.2)</f>
        <v>29.2</v>
      </c>
      <c r="K12" s="237" t="str">
        <f>IFERROR(__xludf.DUMMYFUNCTION("""COMPUTED_VALUE"""),"AP")</f>
        <v>AP</v>
      </c>
      <c r="L12" s="236">
        <f>IFERROR(__xludf.DUMMYFUNCTION("""COMPUTED_VALUE"""),51.4)</f>
        <v>51.4</v>
      </c>
      <c r="M12" s="237" t="str">
        <f>IFERROR(__xludf.DUMMYFUNCTION("""COMPUTED_VALUE"""),"％")</f>
        <v>％</v>
      </c>
      <c r="N12" s="234">
        <f>IFERROR(__xludf.DUMMYFUNCTION("""COMPUTED_VALUE"""),794.0)</f>
        <v>794</v>
      </c>
      <c r="O12" s="217"/>
      <c r="P12" s="93" t="str">
        <f>IFERROR(__xludf.DUMMYFUNCTION("""COMPUTED_VALUE"""),"")</f>
        <v/>
      </c>
      <c r="R12" s="203"/>
      <c r="S12" s="204"/>
      <c r="T12" s="225">
        <f>IFERROR(__xludf.DUMMYFUNCTION("""COMPUTED_VALUE"""),3.0)</f>
        <v>3</v>
      </c>
      <c r="U12" s="227" t="str">
        <f>IFERROR(__xludf.DUMMYFUNCTION("""COMPUTED_VALUE"""),"AGT9")</f>
        <v>AGT9</v>
      </c>
      <c r="V12" s="229" t="str">
        <f>IFERROR(__xludf.DUMMYFUNCTION("""COMPUTED_VALUE"""),"Agartha")</f>
        <v>Agartha</v>
      </c>
      <c r="W12" s="233" t="str">
        <f>IFERROR(__xludf.DUMMYFUNCTION("""COMPUTED_VALUE"""),"Palace of Dragon King")</f>
        <v>Palace of Dragon King</v>
      </c>
      <c r="X12" s="234">
        <f>IFERROR(__xludf.DUMMYFUNCTION("""COMPUTED_VALUE"""),21.0)</f>
        <v>21</v>
      </c>
      <c r="Y12" s="235">
        <f>IFERROR(__xludf.DUMMYFUNCTION("""COMPUTED_VALUE"""),49.70238095238095)</f>
        <v>49.70238095</v>
      </c>
      <c r="Z12" s="236">
        <f>IFERROR(__xludf.DUMMYFUNCTION("""COMPUTED_VALUE"""),439.8)</f>
        <v>439.8</v>
      </c>
      <c r="AA12" s="237" t="str">
        <f>IFERROR(__xludf.DUMMYFUNCTION("""COMPUTED_VALUE"""),"AP")</f>
        <v>AP</v>
      </c>
      <c r="AB12" s="236">
        <f>IFERROR(__xludf.DUMMYFUNCTION("""COMPUTED_VALUE"""),4.8)</f>
        <v>4.8</v>
      </c>
      <c r="AC12" s="237" t="str">
        <f>IFERROR(__xludf.DUMMYFUNCTION("""COMPUTED_VALUE"""),"％")</f>
        <v>％</v>
      </c>
      <c r="AD12" s="234">
        <f>IFERROR(__xludf.DUMMYFUNCTION("""COMPUTED_VALUE"""),2172.0)</f>
        <v>2172</v>
      </c>
      <c r="AE12" s="217"/>
      <c r="AF12" s="98" t="str">
        <f>IFERROR(__xludf.DUMMYFUNCTION("""COMPUTED_VALUE"""),"")</f>
        <v/>
      </c>
    </row>
    <row r="13" ht="16.5" customHeight="1">
      <c r="B13" s="203"/>
      <c r="C13" s="204"/>
      <c r="D13" s="239">
        <f>IFERROR(__xludf.DUMMYFUNCTION("""COMPUTED_VALUE"""),4.0)</f>
        <v>4</v>
      </c>
      <c r="E13" s="241" t="str">
        <f>IFERROR(__xludf.DUMMYFUNCTION("""COMPUTED_VALUE"""),"SMS5")</f>
        <v>SMS5</v>
      </c>
      <c r="F13" s="243" t="str">
        <f>IFERROR(__xludf.DUMMYFUNCTION("""COMPUTED_VALUE"""),"Shimosa")</f>
        <v>Shimosa</v>
      </c>
      <c r="G13" s="245" t="str">
        <f>IFERROR(__xludf.DUMMYFUNCTION("""COMPUTED_VALUE"""),"Battlefield")</f>
        <v>Battlefield</v>
      </c>
      <c r="H13" s="247">
        <f>IFERROR(__xludf.DUMMYFUNCTION("""COMPUTED_VALUE"""),21.0)</f>
        <v>21</v>
      </c>
      <c r="I13" s="249">
        <f>IFERROR(__xludf.DUMMYFUNCTION("""COMPUTED_VALUE"""),48.51190476190476)</f>
        <v>48.51190476</v>
      </c>
      <c r="J13" s="251">
        <f>IFERROR(__xludf.DUMMYFUNCTION("""COMPUTED_VALUE"""),52.9)</f>
        <v>52.9</v>
      </c>
      <c r="K13" s="253" t="str">
        <f>IFERROR(__xludf.DUMMYFUNCTION("""COMPUTED_VALUE"""),"AP")</f>
        <v>AP</v>
      </c>
      <c r="L13" s="251">
        <f>IFERROR(__xludf.DUMMYFUNCTION("""COMPUTED_VALUE"""),39.7)</f>
        <v>39.7</v>
      </c>
      <c r="M13" s="253" t="str">
        <f>IFERROR(__xludf.DUMMYFUNCTION("""COMPUTED_VALUE"""),"％")</f>
        <v>％</v>
      </c>
      <c r="N13" s="247">
        <f>IFERROR(__xludf.DUMMYFUNCTION("""COMPUTED_VALUE"""),55672.0)</f>
        <v>55672</v>
      </c>
      <c r="O13" s="217"/>
      <c r="P13" s="177" t="str">
        <f>IFERROR(__xludf.DUMMYFUNCTION("""COMPUTED_VALUE"""),"")</f>
        <v/>
      </c>
      <c r="R13" s="203"/>
      <c r="S13" s="204"/>
      <c r="T13" s="239">
        <f>IFERROR(__xludf.DUMMYFUNCTION("""COMPUTED_VALUE"""),4.0)</f>
        <v>4</v>
      </c>
      <c r="U13" s="241" t="str">
        <f>IFERROR(__xludf.DUMMYFUNCTION("""COMPUTED_VALUE"""),"EPU14")</f>
        <v>EPU14</v>
      </c>
      <c r="V13" s="243" t="str">
        <f>IFERROR(__xludf.DUMMYFUNCTION("""COMPUTED_VALUE"""),"E Pluribus Unum")</f>
        <v>E Pluribus Unum</v>
      </c>
      <c r="W13" s="245" t="str">
        <f>IFERROR(__xludf.DUMMYFUNCTION("""COMPUTED_VALUE"""),"Chicago")</f>
        <v>Chicago</v>
      </c>
      <c r="X13" s="247">
        <f>IFERROR(__xludf.DUMMYFUNCTION("""COMPUTED_VALUE"""),21.0)</f>
        <v>21</v>
      </c>
      <c r="Y13" s="249">
        <f>IFERROR(__xludf.DUMMYFUNCTION("""COMPUTED_VALUE"""),48.51190476190476)</f>
        <v>48.51190476</v>
      </c>
      <c r="Z13" s="251">
        <f>IFERROR(__xludf.DUMMYFUNCTION("""COMPUTED_VALUE"""),518.1)</f>
        <v>518.1</v>
      </c>
      <c r="AA13" s="253" t="str">
        <f>IFERROR(__xludf.DUMMYFUNCTION("""COMPUTED_VALUE"""),"AP")</f>
        <v>AP</v>
      </c>
      <c r="AB13" s="251">
        <f>IFERROR(__xludf.DUMMYFUNCTION("""COMPUTED_VALUE"""),4.1)</f>
        <v>4.1</v>
      </c>
      <c r="AC13" s="253" t="str">
        <f>IFERROR(__xludf.DUMMYFUNCTION("""COMPUTED_VALUE"""),"％")</f>
        <v>％</v>
      </c>
      <c r="AD13" s="247">
        <f>IFERROR(__xludf.DUMMYFUNCTION("""COMPUTED_VALUE"""),3079.0)</f>
        <v>3079</v>
      </c>
      <c r="AE13" s="217"/>
      <c r="AF13" s="98" t="str">
        <f>IFERROR(__xludf.DUMMYFUNCTION("""COMPUTED_VALUE"""),"")</f>
        <v/>
      </c>
    </row>
    <row r="14" ht="16.5" customHeight="1">
      <c r="A14" s="166"/>
      <c r="B14" s="254"/>
      <c r="C14" s="255"/>
      <c r="D14" s="256">
        <f>IFERROR(__xludf.DUMMYFUNCTION("""COMPUTED_VALUE"""),5.0)</f>
        <v>5</v>
      </c>
      <c r="E14" s="257" t="str">
        <f>IFERROR(__xludf.DUMMYFUNCTION("""COMPUTED_VALUE"""),"LDN9")</f>
        <v>LDN9</v>
      </c>
      <c r="F14" s="42" t="str">
        <f>IFERROR(__xludf.DUMMYFUNCTION("""COMPUTED_VALUE"""),"London")</f>
        <v>London</v>
      </c>
      <c r="G14" s="258" t="str">
        <f>IFERROR(__xludf.DUMMYFUNCTION("""COMPUTED_VALUE"""),"Hyde Park")</f>
        <v>Hyde Park</v>
      </c>
      <c r="H14" s="259">
        <f>IFERROR(__xludf.DUMMYFUNCTION("""COMPUTED_VALUE"""),20.0)</f>
        <v>20</v>
      </c>
      <c r="I14" s="260">
        <f>IFERROR(__xludf.DUMMYFUNCTION("""COMPUTED_VALUE"""),45.9375)</f>
        <v>45.9375</v>
      </c>
      <c r="J14" s="261">
        <f>IFERROR(__xludf.DUMMYFUNCTION("""COMPUTED_VALUE"""),54.1)</f>
        <v>54.1</v>
      </c>
      <c r="K14" s="262" t="str">
        <f>IFERROR(__xludf.DUMMYFUNCTION("""COMPUTED_VALUE"""),"AP")</f>
        <v>AP</v>
      </c>
      <c r="L14" s="261">
        <f>IFERROR(__xludf.DUMMYFUNCTION("""COMPUTED_VALUE"""),37.0)</f>
        <v>37</v>
      </c>
      <c r="M14" s="262" t="str">
        <f>IFERROR(__xludf.DUMMYFUNCTION("""COMPUTED_VALUE"""),"％")</f>
        <v>％</v>
      </c>
      <c r="N14" s="259">
        <f>IFERROR(__xludf.DUMMYFUNCTION("""COMPUTED_VALUE"""),13147.0)</f>
        <v>13147</v>
      </c>
      <c r="O14" s="263"/>
      <c r="P14" s="93" t="str">
        <f>IFERROR(__xludf.DUMMYFUNCTION("""COMPUTED_VALUE"""),"")</f>
        <v/>
      </c>
      <c r="Q14" s="166"/>
      <c r="R14" s="254"/>
      <c r="S14" s="255"/>
      <c r="T14" s="256">
        <f>IFERROR(__xludf.DUMMYFUNCTION("""COMPUTED_VALUE"""),5.0)</f>
        <v>5</v>
      </c>
      <c r="U14" s="257" t="str">
        <f>IFERROR(__xludf.DUMMYFUNCTION("""COMPUTED_VALUE"""),"CML13")</f>
        <v>CML13</v>
      </c>
      <c r="V14" s="42" t="str">
        <f>IFERROR(__xludf.DUMMYFUNCTION("""COMPUTED_VALUE"""),"Camelot")</f>
        <v>Camelot</v>
      </c>
      <c r="W14" s="258" t="str">
        <f>IFERROR(__xludf.DUMMYFUNCTION("""COMPUTED_VALUE"""),"Land of the Void")</f>
        <v>Land of the Void</v>
      </c>
      <c r="X14" s="259">
        <f>IFERROR(__xludf.DUMMYFUNCTION("""COMPUTED_VALUE"""),22.0)</f>
        <v>22</v>
      </c>
      <c r="Y14" s="260">
        <f>IFERROR(__xludf.DUMMYFUNCTION("""COMPUTED_VALUE"""),49.71590909090909)</f>
        <v>49.71590909</v>
      </c>
      <c r="Z14" s="261">
        <f>IFERROR(__xludf.DUMMYFUNCTION("""COMPUTED_VALUE"""),720.1)</f>
        <v>720.1</v>
      </c>
      <c r="AA14" s="262" t="str">
        <f>IFERROR(__xludf.DUMMYFUNCTION("""COMPUTED_VALUE"""),"AP")</f>
        <v>AP</v>
      </c>
      <c r="AB14" s="261">
        <f>IFERROR(__xludf.DUMMYFUNCTION("""COMPUTED_VALUE"""),3.1)</f>
        <v>3.1</v>
      </c>
      <c r="AC14" s="262" t="str">
        <f>IFERROR(__xludf.DUMMYFUNCTION("""COMPUTED_VALUE"""),"％")</f>
        <v>％</v>
      </c>
      <c r="AD14" s="259">
        <f>IFERROR(__xludf.DUMMYFUNCTION("""COMPUTED_VALUE"""),4024.0)</f>
        <v>4024</v>
      </c>
      <c r="AE14" s="263"/>
      <c r="AF14" s="98" t="str">
        <f>IFERROR(__xludf.DUMMYFUNCTION("""COMPUTED_VALUE"""),"")</f>
        <v/>
      </c>
    </row>
    <row r="15" ht="16.5" customHeight="1">
      <c r="A15" s="61" t="str">
        <f>IFERROR(__xludf.DUMMYFUNCTION("""COMPUTED_VALUE"""),"")</f>
        <v/>
      </c>
      <c r="B15" s="264" t="str">
        <f>IFERROR(__xludf.DUMMYFUNCTION("""COMPUTED_VALUE"""),"A303")</f>
        <v>A303</v>
      </c>
      <c r="C15" s="65" t="str">
        <f>IFERROR(__xludf.DUMMYFUNCTION("""COMPUTED_VALUE"""),"Dragon Fang")</f>
        <v>Dragon Fang</v>
      </c>
      <c r="D15" s="70">
        <f>IFERROR(__xludf.DUMMYFUNCTION("""COMPUTED_VALUE"""),1.0)</f>
        <v>1</v>
      </c>
      <c r="E15" s="73" t="str">
        <f>IFERROR(__xludf.DUMMYFUNCTION("""COMPUTED_VALUE"""),"BBL7")</f>
        <v>BBL7</v>
      </c>
      <c r="F15" s="76" t="str">
        <f>IFERROR(__xludf.DUMMYFUNCTION("""COMPUTED_VALUE"""),"Babylonia")</f>
        <v>Babylonia</v>
      </c>
      <c r="G15" s="85" t="str">
        <f>IFERROR(__xludf.DUMMYFUNCTION("""COMPUTED_VALUE"""),"Eridu")</f>
        <v>Eridu</v>
      </c>
      <c r="H15" s="87">
        <f>IFERROR(__xludf.DUMMYFUNCTION("""COMPUTED_VALUE"""),21.0)</f>
        <v>21</v>
      </c>
      <c r="I15" s="90">
        <f>IFERROR(__xludf.DUMMYFUNCTION("""COMPUTED_VALUE"""),47.32142857142857)</f>
        <v>47.32142857</v>
      </c>
      <c r="J15" s="92">
        <f>IFERROR(__xludf.DUMMYFUNCTION("""COMPUTED_VALUE"""),31.8)</f>
        <v>31.8</v>
      </c>
      <c r="K15" s="94" t="str">
        <f>IFERROR(__xludf.DUMMYFUNCTION("""COMPUTED_VALUE"""),"AP")</f>
        <v>AP</v>
      </c>
      <c r="L15" s="96">
        <f>IFERROR(__xludf.DUMMYFUNCTION("""COMPUTED_VALUE"""),66.1)</f>
        <v>66.1</v>
      </c>
      <c r="M15" s="94" t="str">
        <f>IFERROR(__xludf.DUMMYFUNCTION("""COMPUTED_VALUE"""),"％")</f>
        <v>％</v>
      </c>
      <c r="N15" s="87">
        <f>IFERROR(__xludf.DUMMYFUNCTION("""COMPUTED_VALUE"""),9008.0)</f>
        <v>9008</v>
      </c>
      <c r="O15" s="97" t="str">
        <f>IFERROR(__xludf.DUMMYFUNCTION("""COMPUTED_VALUE"""),"Dragon Fang")</f>
        <v>Dragon Fang</v>
      </c>
      <c r="P15" s="93" t="str">
        <f>IFERROR(__xludf.DUMMYFUNCTION("""COMPUTED_VALUE"""),"")</f>
        <v/>
      </c>
      <c r="Q15" s="61" t="str">
        <f>IFERROR(__xludf.DUMMYFUNCTION("""COMPUTED_VALUE"""),"")</f>
        <v/>
      </c>
      <c r="R15" s="266" t="str">
        <f>IFERROR(__xludf.DUMMYFUNCTION("""COMPUTED_VALUE"""),"B103")</f>
        <v>B103</v>
      </c>
      <c r="S15" s="65" t="str">
        <f>IFERROR(__xludf.DUMMYFUNCTION("""COMPUTED_VALUE"""),"Secret Gem of Lancer")</f>
        <v>Secret Gem of Lancer</v>
      </c>
      <c r="T15" s="70">
        <f>IFERROR(__xludf.DUMMYFUNCTION("""COMPUTED_VALUE"""),1.0)</f>
        <v>1</v>
      </c>
      <c r="U15" s="73" t="str">
        <f>IFERROR(__xludf.DUMMYFUNCTION("""COMPUTED_VALUE"""),"TRF8")</f>
        <v>TRF8</v>
      </c>
      <c r="V15" s="76" t="str">
        <f>IFERROR(__xludf.DUMMYFUNCTION("""COMPUTED_VALUE"""),"Chaldea Gate (Tue)")</f>
        <v>Chaldea Gate (Tue)</v>
      </c>
      <c r="W15" s="76" t="str">
        <f>IFERROR(__xludf.DUMMYFUNCTION("""COMPUTED_VALUE"""),"TUE Lancer Training Ground- Exp")</f>
        <v>TUE Lancer Training Ground- Exp</v>
      </c>
      <c r="X15" s="87">
        <f>IFERROR(__xludf.DUMMYFUNCTION("""COMPUTED_VALUE"""),40.0)</f>
        <v>40</v>
      </c>
      <c r="Y15" s="90">
        <f>IFERROR(__xludf.DUMMYFUNCTION("""COMPUTED_VALUE"""),20.46875)</f>
        <v>20.46875</v>
      </c>
      <c r="Z15" s="92">
        <f>IFERROR(__xludf.DUMMYFUNCTION("""COMPUTED_VALUE"""),145.4)</f>
        <v>145.4</v>
      </c>
      <c r="AA15" s="94" t="str">
        <f>IFERROR(__xludf.DUMMYFUNCTION("""COMPUTED_VALUE"""),"AP")</f>
        <v>AP</v>
      </c>
      <c r="AB15" s="96">
        <f>IFERROR(__xludf.DUMMYFUNCTION("""COMPUTED_VALUE"""),27.5)</f>
        <v>27.5</v>
      </c>
      <c r="AC15" s="94" t="str">
        <f>IFERROR(__xludf.DUMMYFUNCTION("""COMPUTED_VALUE"""),"％")</f>
        <v>％</v>
      </c>
      <c r="AD15" s="87">
        <f>IFERROR(__xludf.DUMMYFUNCTION("""COMPUTED_VALUE"""),5650.0)</f>
        <v>5650</v>
      </c>
      <c r="AE15" s="97" t="str">
        <f>IFERROR(__xludf.DUMMYFUNCTION("""COMPUTED_VALUE"""),"Secret Gem of Lancer")</f>
        <v>Secret Gem of Lancer</v>
      </c>
      <c r="AF15" s="98" t="str">
        <f>IFERROR(__xludf.DUMMYFUNCTION("""COMPUTED_VALUE"""),"")</f>
        <v/>
      </c>
    </row>
    <row r="16" ht="16.5" customHeight="1">
      <c r="B16" s="268"/>
      <c r="C16" s="100"/>
      <c r="D16" s="105">
        <f>IFERROR(__xludf.DUMMYFUNCTION("""COMPUTED_VALUE"""),2.0)</f>
        <v>2</v>
      </c>
      <c r="E16" s="106" t="str">
        <f>IFERROR(__xludf.DUMMYFUNCTION("""COMPUTED_VALUE"""),"EPU4")</f>
        <v>EPU4</v>
      </c>
      <c r="F16" s="107" t="str">
        <f>IFERROR(__xludf.DUMMYFUNCTION("""COMPUTED_VALUE"""),"E Pluribus Unum")</f>
        <v>E Pluribus Unum</v>
      </c>
      <c r="G16" s="114" t="str">
        <f>IFERROR(__xludf.DUMMYFUNCTION("""COMPUTED_VALUE"""),"Deming")</f>
        <v>Deming</v>
      </c>
      <c r="H16" s="116">
        <f>IFERROR(__xludf.DUMMYFUNCTION("""COMPUTED_VALUE"""),17.0)</f>
        <v>17</v>
      </c>
      <c r="I16" s="118">
        <f>IFERROR(__xludf.DUMMYFUNCTION("""COMPUTED_VALUE"""),43.75)</f>
        <v>43.75</v>
      </c>
      <c r="J16" s="120">
        <f>IFERROR(__xludf.DUMMYFUNCTION("""COMPUTED_VALUE"""),27.3)</f>
        <v>27.3</v>
      </c>
      <c r="K16" s="122" t="str">
        <f>IFERROR(__xludf.DUMMYFUNCTION("""COMPUTED_VALUE"""),"AP")</f>
        <v>AP</v>
      </c>
      <c r="L16" s="124">
        <f>IFERROR(__xludf.DUMMYFUNCTION("""COMPUTED_VALUE"""),62.2)</f>
        <v>62.2</v>
      </c>
      <c r="M16" s="122" t="str">
        <f>IFERROR(__xludf.DUMMYFUNCTION("""COMPUTED_VALUE"""),"％")</f>
        <v>％</v>
      </c>
      <c r="N16" s="116">
        <f>IFERROR(__xludf.DUMMYFUNCTION("""COMPUTED_VALUE"""),5759.0)</f>
        <v>5759</v>
      </c>
      <c r="O16" s="100"/>
      <c r="P16" s="93" t="str">
        <f>IFERROR(__xludf.DUMMYFUNCTION("""COMPUTED_VALUE"""),"")</f>
        <v/>
      </c>
      <c r="R16" s="268"/>
      <c r="S16" s="100"/>
      <c r="T16" s="105">
        <f>IFERROR(__xludf.DUMMYFUNCTION("""COMPUTED_VALUE"""),2.0)</f>
        <v>2</v>
      </c>
      <c r="U16" s="106" t="str">
        <f>IFERROR(__xludf.DUMMYFUNCTION("""COMPUTED_VALUE"""),"TRF7")</f>
        <v>TRF7</v>
      </c>
      <c r="V16" s="107" t="str">
        <f>IFERROR(__xludf.DUMMYFUNCTION("""COMPUTED_VALUE"""),"Chaldea Gate (Tue)")</f>
        <v>Chaldea Gate (Tue)</v>
      </c>
      <c r="W16" s="107" t="str">
        <f>IFERROR(__xludf.DUMMYFUNCTION("""COMPUTED_VALUE"""),"TUE Lancer Training Ground- Adv")</f>
        <v>TUE Lancer Training Ground- Adv</v>
      </c>
      <c r="X16" s="116">
        <f>IFERROR(__xludf.DUMMYFUNCTION("""COMPUTED_VALUE"""),30.0)</f>
        <v>30</v>
      </c>
      <c r="Y16" s="118">
        <f>IFERROR(__xludf.DUMMYFUNCTION("""COMPUTED_VALUE"""),18.958333333333332)</f>
        <v>18.95833333</v>
      </c>
      <c r="Z16" s="120">
        <f>IFERROR(__xludf.DUMMYFUNCTION("""COMPUTED_VALUE"""),175.2)</f>
        <v>175.2</v>
      </c>
      <c r="AA16" s="122" t="str">
        <f>IFERROR(__xludf.DUMMYFUNCTION("""COMPUTED_VALUE"""),"AP")</f>
        <v>AP</v>
      </c>
      <c r="AB16" s="124">
        <f>IFERROR(__xludf.DUMMYFUNCTION("""COMPUTED_VALUE"""),17.1)</f>
        <v>17.1</v>
      </c>
      <c r="AC16" s="122" t="str">
        <f>IFERROR(__xludf.DUMMYFUNCTION("""COMPUTED_VALUE"""),"％")</f>
        <v>％</v>
      </c>
      <c r="AD16" s="116">
        <f>IFERROR(__xludf.DUMMYFUNCTION("""COMPUTED_VALUE"""),1022.0)</f>
        <v>1022</v>
      </c>
      <c r="AE16" s="100"/>
      <c r="AF16" s="98" t="str">
        <f>IFERROR(__xludf.DUMMYFUNCTION("""COMPUTED_VALUE"""),"")</f>
        <v/>
      </c>
    </row>
    <row r="17" ht="16.5" customHeight="1">
      <c r="B17" s="268"/>
      <c r="C17" s="100"/>
      <c r="D17" s="128">
        <f>IFERROR(__xludf.DUMMYFUNCTION("""COMPUTED_VALUE"""),3.0)</f>
        <v>3</v>
      </c>
      <c r="E17" s="129" t="str">
        <f>IFERROR(__xludf.DUMMYFUNCTION("""COMPUTED_VALUE"""),"OKN7")</f>
        <v>OKN7</v>
      </c>
      <c r="F17" s="131" t="str">
        <f>IFERROR(__xludf.DUMMYFUNCTION("""COMPUTED_VALUE"""),"Okeanos")</f>
        <v>Okeanos</v>
      </c>
      <c r="G17" s="134" t="str">
        <f>IFERROR(__xludf.DUMMYFUNCTION("""COMPUTED_VALUE"""),"Island of Wyverns")</f>
        <v>Island of Wyverns</v>
      </c>
      <c r="H17" s="136">
        <f>IFERROR(__xludf.DUMMYFUNCTION("""COMPUTED_VALUE"""),14.0)</f>
        <v>14</v>
      </c>
      <c r="I17" s="138">
        <f>IFERROR(__xludf.DUMMYFUNCTION("""COMPUTED_VALUE"""),38.839285714285715)</f>
        <v>38.83928571</v>
      </c>
      <c r="J17" s="140">
        <f>IFERROR(__xludf.DUMMYFUNCTION("""COMPUTED_VALUE"""),27.6)</f>
        <v>27.6</v>
      </c>
      <c r="K17" s="142" t="str">
        <f>IFERROR(__xludf.DUMMYFUNCTION("""COMPUTED_VALUE"""),"AP")</f>
        <v>AP</v>
      </c>
      <c r="L17" s="144">
        <f>IFERROR(__xludf.DUMMYFUNCTION("""COMPUTED_VALUE"""),50.7)</f>
        <v>50.7</v>
      </c>
      <c r="M17" s="142" t="str">
        <f>IFERROR(__xludf.DUMMYFUNCTION("""COMPUTED_VALUE"""),"％")</f>
        <v>％</v>
      </c>
      <c r="N17" s="136">
        <f>IFERROR(__xludf.DUMMYFUNCTION("""COMPUTED_VALUE"""),1154.0)</f>
        <v>1154</v>
      </c>
      <c r="O17" s="100"/>
      <c r="P17" s="177" t="str">
        <f>IFERROR(__xludf.DUMMYFUNCTION("""COMPUTED_VALUE"""),"")</f>
        <v/>
      </c>
      <c r="R17" s="268"/>
      <c r="S17" s="100"/>
      <c r="T17" s="128">
        <f>IFERROR(__xludf.DUMMYFUNCTION("""COMPUTED_VALUE"""),3.0)</f>
        <v>3</v>
      </c>
      <c r="U17" s="129" t="str">
        <f>IFERROR(__xludf.DUMMYFUNCTION("""COMPUTED_VALUE"""),"YKS4")</f>
        <v>YKS4</v>
      </c>
      <c r="V17" s="131" t="str">
        <f>IFERROR(__xludf.DUMMYFUNCTION("""COMPUTED_VALUE"""),"Yuga Kshetra")</f>
        <v>Yuga Kshetra</v>
      </c>
      <c r="W17" s="134" t="str">
        <f>IFERROR(__xludf.DUMMYFUNCTION("""COMPUTED_VALUE"""),"Northern Sacred Mountain")</f>
        <v>Northern Sacred Mountain</v>
      </c>
      <c r="X17" s="136">
        <f>IFERROR(__xludf.DUMMYFUNCTION("""COMPUTED_VALUE"""),21.0)</f>
        <v>21</v>
      </c>
      <c r="Y17" s="138">
        <f>IFERROR(__xludf.DUMMYFUNCTION("""COMPUTED_VALUE"""),47.32142857142857)</f>
        <v>47.32142857</v>
      </c>
      <c r="Z17" s="140">
        <f>IFERROR(__xludf.DUMMYFUNCTION("""COMPUTED_VALUE"""),504.1)</f>
        <v>504.1</v>
      </c>
      <c r="AA17" s="142" t="str">
        <f>IFERROR(__xludf.DUMMYFUNCTION("""COMPUTED_VALUE"""),"AP")</f>
        <v>AP</v>
      </c>
      <c r="AB17" s="144">
        <f>IFERROR(__xludf.DUMMYFUNCTION("""COMPUTED_VALUE"""),4.2)</f>
        <v>4.2</v>
      </c>
      <c r="AC17" s="142" t="str">
        <f>IFERROR(__xludf.DUMMYFUNCTION("""COMPUTED_VALUE"""),"％")</f>
        <v>％</v>
      </c>
      <c r="AD17" s="136">
        <f>IFERROR(__xludf.DUMMYFUNCTION("""COMPUTED_VALUE"""),9710.0)</f>
        <v>9710</v>
      </c>
      <c r="AE17" s="100"/>
      <c r="AF17" s="98" t="str">
        <f>IFERROR(__xludf.DUMMYFUNCTION("""COMPUTED_VALUE"""),"")</f>
        <v/>
      </c>
    </row>
    <row r="18" ht="16.5" customHeight="1">
      <c r="B18" s="268"/>
      <c r="C18" s="100"/>
      <c r="D18" s="147">
        <f>IFERROR(__xludf.DUMMYFUNCTION("""COMPUTED_VALUE"""),4.0)</f>
        <v>4</v>
      </c>
      <c r="E18" s="149" t="str">
        <f>IFERROR(__xludf.DUMMYFUNCTION("""COMPUTED_VALUE"""),"AGT8")</f>
        <v>AGT8</v>
      </c>
      <c r="F18" s="151" t="str">
        <f>IFERROR(__xludf.DUMMYFUNCTION("""COMPUTED_VALUE"""),"Agartha")</f>
        <v>Agartha</v>
      </c>
      <c r="G18" s="153" t="str">
        <f>IFERROR(__xludf.DUMMYFUNCTION("""COMPUTED_VALUE"""),"Foothills Jungle")</f>
        <v>Foothills Jungle</v>
      </c>
      <c r="H18" s="155">
        <f>IFERROR(__xludf.DUMMYFUNCTION("""COMPUTED_VALUE"""),21.0)</f>
        <v>21</v>
      </c>
      <c r="I18" s="157">
        <f>IFERROR(__xludf.DUMMYFUNCTION("""COMPUTED_VALUE"""),48.51190476190476)</f>
        <v>48.51190476</v>
      </c>
      <c r="J18" s="159">
        <f>IFERROR(__xludf.DUMMYFUNCTION("""COMPUTED_VALUE"""),42.6)</f>
        <v>42.6</v>
      </c>
      <c r="K18" s="161" t="str">
        <f>IFERROR(__xludf.DUMMYFUNCTION("""COMPUTED_VALUE"""),"AP")</f>
        <v>AP</v>
      </c>
      <c r="L18" s="163">
        <f>IFERROR(__xludf.DUMMYFUNCTION("""COMPUTED_VALUE"""),49.3)</f>
        <v>49.3</v>
      </c>
      <c r="M18" s="161" t="str">
        <f>IFERROR(__xludf.DUMMYFUNCTION("""COMPUTED_VALUE"""),"％")</f>
        <v>％</v>
      </c>
      <c r="N18" s="155">
        <f>IFERROR(__xludf.DUMMYFUNCTION("""COMPUTED_VALUE"""),18196.0)</f>
        <v>18196</v>
      </c>
      <c r="O18" s="100"/>
      <c r="P18" s="93" t="str">
        <f>IFERROR(__xludf.DUMMYFUNCTION("""COMPUTED_VALUE"""),"")</f>
        <v/>
      </c>
      <c r="R18" s="268"/>
      <c r="S18" s="100"/>
      <c r="T18" s="147">
        <f>IFERROR(__xludf.DUMMYFUNCTION("""COMPUTED_VALUE"""),4.0)</f>
        <v>4</v>
      </c>
      <c r="U18" s="149" t="str">
        <f>IFERROR(__xludf.DUMMYFUNCTION("""COMPUTED_VALUE"""),"YKS4")</f>
        <v>YKS4</v>
      </c>
      <c r="V18" s="151" t="str">
        <f>IFERROR(__xludf.DUMMYFUNCTION("""COMPUTED_VALUE"""),"Yuga Kshetra")</f>
        <v>Yuga Kshetra</v>
      </c>
      <c r="W18" s="153" t="str">
        <f>IFERROR(__xludf.DUMMYFUNCTION("""COMPUTED_VALUE"""),"Northern Sacred Mountain")</f>
        <v>Northern Sacred Mountain</v>
      </c>
      <c r="X18" s="155">
        <f>IFERROR(__xludf.DUMMYFUNCTION("""COMPUTED_VALUE"""),21.0)</f>
        <v>21</v>
      </c>
      <c r="Y18" s="157">
        <f>IFERROR(__xludf.DUMMYFUNCTION("""COMPUTED_VALUE"""),47.32142857142857)</f>
        <v>47.32142857</v>
      </c>
      <c r="Z18" s="159">
        <f>IFERROR(__xludf.DUMMYFUNCTION("""COMPUTED_VALUE"""),504.1)</f>
        <v>504.1</v>
      </c>
      <c r="AA18" s="161" t="str">
        <f>IFERROR(__xludf.DUMMYFUNCTION("""COMPUTED_VALUE"""),"AP")</f>
        <v>AP</v>
      </c>
      <c r="AB18" s="163">
        <f>IFERROR(__xludf.DUMMYFUNCTION("""COMPUTED_VALUE"""),4.2)</f>
        <v>4.2</v>
      </c>
      <c r="AC18" s="161" t="str">
        <f>IFERROR(__xludf.DUMMYFUNCTION("""COMPUTED_VALUE"""),"％")</f>
        <v>％</v>
      </c>
      <c r="AD18" s="155">
        <f>IFERROR(__xludf.DUMMYFUNCTION("""COMPUTED_VALUE"""),9710.0)</f>
        <v>9710</v>
      </c>
      <c r="AE18" s="100"/>
      <c r="AF18" s="98" t="str">
        <f>IFERROR(__xludf.DUMMYFUNCTION("""COMPUTED_VALUE"""),"")</f>
        <v/>
      </c>
    </row>
    <row r="19" ht="16.5" customHeight="1">
      <c r="A19" s="166"/>
      <c r="B19" s="269"/>
      <c r="C19" s="168"/>
      <c r="D19" s="169">
        <f>IFERROR(__xludf.DUMMYFUNCTION("""COMPUTED_VALUE"""),5.0)</f>
        <v>5</v>
      </c>
      <c r="E19" s="170" t="str">
        <f>IFERROR(__xludf.DUMMYFUNCTION("""COMPUTED_VALUE"""),"TRF16")</f>
        <v>TRF16</v>
      </c>
      <c r="F19" s="51" t="str">
        <f>IFERROR(__xludf.DUMMYFUNCTION("""COMPUTED_VALUE"""),"Chaldea Gate (Thu)")</f>
        <v>Chaldea Gate (Thu)</v>
      </c>
      <c r="G19" s="51" t="str">
        <f>IFERROR(__xludf.DUMMYFUNCTION("""COMPUTED_VALUE"""),"THU Rider Training Ground- Exp")</f>
        <v>THU Rider Training Ground- Exp</v>
      </c>
      <c r="H19" s="172">
        <f>IFERROR(__xludf.DUMMYFUNCTION("""COMPUTED_VALUE"""),40.0)</f>
        <v>40</v>
      </c>
      <c r="I19" s="173">
        <f>IFERROR(__xludf.DUMMYFUNCTION("""COMPUTED_VALUE"""),20.46875)</f>
        <v>20.46875</v>
      </c>
      <c r="J19" s="174">
        <f>IFERROR(__xludf.DUMMYFUNCTION("""COMPUTED_VALUE"""),85.9)</f>
        <v>85.9</v>
      </c>
      <c r="K19" s="175" t="str">
        <f>IFERROR(__xludf.DUMMYFUNCTION("""COMPUTED_VALUE"""),"AP")</f>
        <v>AP</v>
      </c>
      <c r="L19" s="176">
        <f>IFERROR(__xludf.DUMMYFUNCTION("""COMPUTED_VALUE"""),46.5)</f>
        <v>46.5</v>
      </c>
      <c r="M19" s="175" t="str">
        <f>IFERROR(__xludf.DUMMYFUNCTION("""COMPUTED_VALUE"""),"％")</f>
        <v>％</v>
      </c>
      <c r="N19" s="172">
        <f>IFERROR(__xludf.DUMMYFUNCTION("""COMPUTED_VALUE"""),3420.0)</f>
        <v>3420</v>
      </c>
      <c r="O19" s="168"/>
      <c r="P19" s="177" t="str">
        <f>IFERROR(__xludf.DUMMYFUNCTION("""COMPUTED_VALUE"""),"")</f>
        <v/>
      </c>
      <c r="Q19" s="166"/>
      <c r="R19" s="269"/>
      <c r="S19" s="168"/>
      <c r="T19" s="169">
        <f>IFERROR(__xludf.DUMMYFUNCTION("""COMPUTED_VALUE"""),5.0)</f>
        <v>5</v>
      </c>
      <c r="U19" s="170" t="str">
        <f>IFERROR(__xludf.DUMMYFUNCTION("""COMPUTED_VALUE"""),"SMS6")</f>
        <v>SMS6</v>
      </c>
      <c r="V19" s="51" t="str">
        <f>IFERROR(__xludf.DUMMYFUNCTION("""COMPUTED_VALUE"""),"Shimosa")</f>
        <v>Shimosa</v>
      </c>
      <c r="W19" s="171" t="str">
        <f>IFERROR(__xludf.DUMMYFUNCTION("""COMPUTED_VALUE"""),"Toke Castle")</f>
        <v>Toke Castle</v>
      </c>
      <c r="X19" s="172">
        <f>IFERROR(__xludf.DUMMYFUNCTION("""COMPUTED_VALUE"""),21.0)</f>
        <v>21</v>
      </c>
      <c r="Y19" s="173">
        <f>IFERROR(__xludf.DUMMYFUNCTION("""COMPUTED_VALUE"""),49.70238095238095)</f>
        <v>49.70238095</v>
      </c>
      <c r="Z19" s="174">
        <f>IFERROR(__xludf.DUMMYFUNCTION("""COMPUTED_VALUE"""),514.2)</f>
        <v>514.2</v>
      </c>
      <c r="AA19" s="175" t="str">
        <f>IFERROR(__xludf.DUMMYFUNCTION("""COMPUTED_VALUE"""),"AP")</f>
        <v>AP</v>
      </c>
      <c r="AB19" s="176">
        <f>IFERROR(__xludf.DUMMYFUNCTION("""COMPUTED_VALUE"""),4.1)</f>
        <v>4.1</v>
      </c>
      <c r="AC19" s="175" t="str">
        <f>IFERROR(__xludf.DUMMYFUNCTION("""COMPUTED_VALUE"""),"％")</f>
        <v>％</v>
      </c>
      <c r="AD19" s="172">
        <f>IFERROR(__xludf.DUMMYFUNCTION("""COMPUTED_VALUE"""),2163.0)</f>
        <v>2163</v>
      </c>
      <c r="AE19" s="168"/>
      <c r="AF19" s="98" t="str">
        <f>IFERROR(__xludf.DUMMYFUNCTION("""COMPUTED_VALUE"""),"")</f>
        <v/>
      </c>
    </row>
    <row r="20" ht="16.5" customHeight="1">
      <c r="A20" s="61" t="str">
        <f>IFERROR(__xludf.DUMMYFUNCTION("""COMPUTED_VALUE"""),"")</f>
        <v/>
      </c>
      <c r="B20" s="183" t="str">
        <f>IFERROR(__xludf.DUMMYFUNCTION("""COMPUTED_VALUE"""),"A304")</f>
        <v>A304</v>
      </c>
      <c r="C20" s="180" t="str">
        <f>IFERROR(__xludf.DUMMYFUNCTION("""COMPUTED_VALUE"""),"Void's Dust")</f>
        <v>Void's Dust</v>
      </c>
      <c r="D20" s="185">
        <f>IFERROR(__xludf.DUMMYFUNCTION("""COMPUTED_VALUE"""),1.0)</f>
        <v>1</v>
      </c>
      <c r="E20" s="187" t="str">
        <f>IFERROR(__xludf.DUMMYFUNCTION("""COMPUTED_VALUE"""),"EPU12")</f>
        <v>EPU12</v>
      </c>
      <c r="F20" s="188" t="str">
        <f>IFERROR(__xludf.DUMMYFUNCTION("""COMPUTED_VALUE"""),"E Pluribus Unum")</f>
        <v>E Pluribus Unum</v>
      </c>
      <c r="G20" s="193" t="str">
        <f>IFERROR(__xludf.DUMMYFUNCTION("""COMPUTED_VALUE"""),"Charlotte")</f>
        <v>Charlotte</v>
      </c>
      <c r="H20" s="195">
        <f>IFERROR(__xludf.DUMMYFUNCTION("""COMPUTED_VALUE"""),20.0)</f>
        <v>20</v>
      </c>
      <c r="I20" s="196">
        <f>IFERROR(__xludf.DUMMYFUNCTION("""COMPUTED_VALUE"""),47.1875)</f>
        <v>47.1875</v>
      </c>
      <c r="J20" s="198">
        <f>IFERROR(__xludf.DUMMYFUNCTION("""COMPUTED_VALUE"""),31.1)</f>
        <v>31.1</v>
      </c>
      <c r="K20" s="200" t="str">
        <f>IFERROR(__xludf.DUMMYFUNCTION("""COMPUTED_VALUE"""),"AP")</f>
        <v>AP</v>
      </c>
      <c r="L20" s="198">
        <f>IFERROR(__xludf.DUMMYFUNCTION("""COMPUTED_VALUE"""),64.4)</f>
        <v>64.4</v>
      </c>
      <c r="M20" s="201" t="str">
        <f>IFERROR(__xludf.DUMMYFUNCTION("""COMPUTED_VALUE"""),"％")</f>
        <v>％</v>
      </c>
      <c r="N20" s="195">
        <f>IFERROR(__xludf.DUMMYFUNCTION("""COMPUTED_VALUE"""),153252.0)</f>
        <v>153252</v>
      </c>
      <c r="O20" s="197" t="str">
        <f>IFERROR(__xludf.DUMMYFUNCTION("""COMPUTED_VALUE"""),"Void's Dust")</f>
        <v>Void's Dust</v>
      </c>
      <c r="P20" s="93" t="str">
        <f>IFERROR(__xludf.DUMMYFUNCTION("""COMPUTED_VALUE"""),"")</f>
        <v/>
      </c>
      <c r="Q20" s="61" t="str">
        <f>IFERROR(__xludf.DUMMYFUNCTION("""COMPUTED_VALUE"""),"")</f>
        <v/>
      </c>
      <c r="R20" s="202" t="str">
        <f>IFERROR(__xludf.DUMMYFUNCTION("""COMPUTED_VALUE"""),"B104")</f>
        <v>B104</v>
      </c>
      <c r="S20" s="180" t="str">
        <f>IFERROR(__xludf.DUMMYFUNCTION("""COMPUTED_VALUE"""),"Secret Gem of Rider")</f>
        <v>Secret Gem of Rider</v>
      </c>
      <c r="T20" s="185">
        <f>IFERROR(__xludf.DUMMYFUNCTION("""COMPUTED_VALUE"""),1.0)</f>
        <v>1</v>
      </c>
      <c r="U20" s="187" t="str">
        <f>IFERROR(__xludf.DUMMYFUNCTION("""COMPUTED_VALUE"""),"TRF16")</f>
        <v>TRF16</v>
      </c>
      <c r="V20" s="188" t="str">
        <f>IFERROR(__xludf.DUMMYFUNCTION("""COMPUTED_VALUE"""),"Chaldea Gate (Thu)")</f>
        <v>Chaldea Gate (Thu)</v>
      </c>
      <c r="W20" s="188" t="str">
        <f>IFERROR(__xludf.DUMMYFUNCTION("""COMPUTED_VALUE"""),"THU Rider Training Ground- Exp")</f>
        <v>THU Rider Training Ground- Exp</v>
      </c>
      <c r="X20" s="195">
        <f>IFERROR(__xludf.DUMMYFUNCTION("""COMPUTED_VALUE"""),40.0)</f>
        <v>40</v>
      </c>
      <c r="Y20" s="196">
        <f>IFERROR(__xludf.DUMMYFUNCTION("""COMPUTED_VALUE"""),20.46875)</f>
        <v>20.46875</v>
      </c>
      <c r="Z20" s="198">
        <f>IFERROR(__xludf.DUMMYFUNCTION("""COMPUTED_VALUE"""),99.4)</f>
        <v>99.4</v>
      </c>
      <c r="AA20" s="200" t="str">
        <f>IFERROR(__xludf.DUMMYFUNCTION("""COMPUTED_VALUE"""),"AP")</f>
        <v>AP</v>
      </c>
      <c r="AB20" s="198">
        <f>IFERROR(__xludf.DUMMYFUNCTION("""COMPUTED_VALUE"""),40.2)</f>
        <v>40.2</v>
      </c>
      <c r="AC20" s="201" t="str">
        <f>IFERROR(__xludf.DUMMYFUNCTION("""COMPUTED_VALUE"""),"％")</f>
        <v>％</v>
      </c>
      <c r="AD20" s="195">
        <f>IFERROR(__xludf.DUMMYFUNCTION("""COMPUTED_VALUE"""),3420.0)</f>
        <v>3420</v>
      </c>
      <c r="AE20" s="197" t="str">
        <f>IFERROR(__xludf.DUMMYFUNCTION("""COMPUTED_VALUE"""),"Secret Gem of Rider")</f>
        <v>Secret Gem of Rider</v>
      </c>
      <c r="AF20" s="98" t="str">
        <f>IFERROR(__xludf.DUMMYFUNCTION("""COMPUTED_VALUE"""),"")</f>
        <v/>
      </c>
    </row>
    <row r="21" ht="16.5" customHeight="1">
      <c r="B21" s="203"/>
      <c r="C21" s="204"/>
      <c r="D21" s="208">
        <f>IFERROR(__xludf.DUMMYFUNCTION("""COMPUTED_VALUE"""),2.0)</f>
        <v>2</v>
      </c>
      <c r="E21" s="210" t="str">
        <f>IFERROR(__xludf.DUMMYFUNCTION("""COMPUTED_VALUE"""),"CML7")</f>
        <v>CML7</v>
      </c>
      <c r="F21" s="212" t="str">
        <f>IFERROR(__xludf.DUMMYFUNCTION("""COMPUTED_VALUE"""),"Camelot")</f>
        <v>Camelot</v>
      </c>
      <c r="G21" s="216" t="str">
        <f>IFERROR(__xludf.DUMMYFUNCTION("""COMPUTED_VALUE"""),"West Village Ruins")</f>
        <v>West Village Ruins</v>
      </c>
      <c r="H21" s="218">
        <f>IFERROR(__xludf.DUMMYFUNCTION("""COMPUTED_VALUE"""),20.0)</f>
        <v>20</v>
      </c>
      <c r="I21" s="219">
        <f>IFERROR(__xludf.DUMMYFUNCTION("""COMPUTED_VALUE"""),44.6875)</f>
        <v>44.6875</v>
      </c>
      <c r="J21" s="220">
        <f>IFERROR(__xludf.DUMMYFUNCTION("""COMPUTED_VALUE"""),41.8)</f>
        <v>41.8</v>
      </c>
      <c r="K21" s="221" t="str">
        <f>IFERROR(__xludf.DUMMYFUNCTION("""COMPUTED_VALUE"""),"AP")</f>
        <v>AP</v>
      </c>
      <c r="L21" s="220">
        <f>IFERROR(__xludf.DUMMYFUNCTION("""COMPUTED_VALUE"""),47.9)</f>
        <v>47.9</v>
      </c>
      <c r="M21" s="221" t="str">
        <f>IFERROR(__xludf.DUMMYFUNCTION("""COMPUTED_VALUE"""),"％")</f>
        <v>％</v>
      </c>
      <c r="N21" s="218">
        <f>IFERROR(__xludf.DUMMYFUNCTION("""COMPUTED_VALUE"""),731.0)</f>
        <v>731</v>
      </c>
      <c r="O21" s="217"/>
      <c r="P21" s="177" t="str">
        <f>IFERROR(__xludf.DUMMYFUNCTION("""COMPUTED_VALUE"""),"")</f>
        <v/>
      </c>
      <c r="R21" s="203"/>
      <c r="S21" s="204"/>
      <c r="T21" s="208">
        <f>IFERROR(__xludf.DUMMYFUNCTION("""COMPUTED_VALUE"""),2.0)</f>
        <v>2</v>
      </c>
      <c r="U21" s="210" t="str">
        <f>IFERROR(__xludf.DUMMYFUNCTION("""COMPUTED_VALUE"""),"TRF15")</f>
        <v>TRF15</v>
      </c>
      <c r="V21" s="212" t="str">
        <f>IFERROR(__xludf.DUMMYFUNCTION("""COMPUTED_VALUE"""),"Chaldea Gate (Thu)")</f>
        <v>Chaldea Gate (Thu)</v>
      </c>
      <c r="W21" s="212" t="str">
        <f>IFERROR(__xludf.DUMMYFUNCTION("""COMPUTED_VALUE"""),"THU Rider Training Ground- Adv")</f>
        <v>THU Rider Training Ground- Adv</v>
      </c>
      <c r="X21" s="218">
        <f>IFERROR(__xludf.DUMMYFUNCTION("""COMPUTED_VALUE"""),30.0)</f>
        <v>30</v>
      </c>
      <c r="Y21" s="219">
        <f>IFERROR(__xludf.DUMMYFUNCTION("""COMPUTED_VALUE"""),18.958333333333332)</f>
        <v>18.95833333</v>
      </c>
      <c r="Z21" s="220">
        <f>IFERROR(__xludf.DUMMYFUNCTION("""COMPUTED_VALUE"""),116.9)</f>
        <v>116.9</v>
      </c>
      <c r="AA21" s="221" t="str">
        <f>IFERROR(__xludf.DUMMYFUNCTION("""COMPUTED_VALUE"""),"AP")</f>
        <v>AP</v>
      </c>
      <c r="AB21" s="220">
        <f>IFERROR(__xludf.DUMMYFUNCTION("""COMPUTED_VALUE"""),25.7)</f>
        <v>25.7</v>
      </c>
      <c r="AC21" s="221" t="str">
        <f>IFERROR(__xludf.DUMMYFUNCTION("""COMPUTED_VALUE"""),"％")</f>
        <v>％</v>
      </c>
      <c r="AD21" s="218">
        <f>IFERROR(__xludf.DUMMYFUNCTION("""COMPUTED_VALUE"""),721.0)</f>
        <v>721</v>
      </c>
      <c r="AE21" s="217"/>
      <c r="AF21" s="98" t="str">
        <f>IFERROR(__xludf.DUMMYFUNCTION("""COMPUTED_VALUE"""),"")</f>
        <v/>
      </c>
    </row>
    <row r="22" ht="16.5" customHeight="1">
      <c r="B22" s="203"/>
      <c r="C22" s="204"/>
      <c r="D22" s="225">
        <f>IFERROR(__xludf.DUMMYFUNCTION("""COMPUTED_VALUE"""),3.0)</f>
        <v>3</v>
      </c>
      <c r="E22" s="227" t="str">
        <f>IFERROR(__xludf.DUMMYFUNCTION("""COMPUTED_VALUE"""),"AGT5")</f>
        <v>AGT5</v>
      </c>
      <c r="F22" s="229" t="str">
        <f>IFERROR(__xludf.DUMMYFUNCTION("""COMPUTED_VALUE"""),"Agartha")</f>
        <v>Agartha</v>
      </c>
      <c r="G22" s="233" t="str">
        <f>IFERROR(__xludf.DUMMYFUNCTION("""COMPUTED_VALUE"""),"Ys")</f>
        <v>Ys</v>
      </c>
      <c r="H22" s="234">
        <f>IFERROR(__xludf.DUMMYFUNCTION("""COMPUTED_VALUE"""),21.0)</f>
        <v>21</v>
      </c>
      <c r="I22" s="235">
        <f>IFERROR(__xludf.DUMMYFUNCTION("""COMPUTED_VALUE"""),47.32142857142857)</f>
        <v>47.32142857</v>
      </c>
      <c r="J22" s="236">
        <f>IFERROR(__xludf.DUMMYFUNCTION("""COMPUTED_VALUE"""),63.3)</f>
        <v>63.3</v>
      </c>
      <c r="K22" s="237" t="str">
        <f>IFERROR(__xludf.DUMMYFUNCTION("""COMPUTED_VALUE"""),"AP")</f>
        <v>AP</v>
      </c>
      <c r="L22" s="236">
        <f>IFERROR(__xludf.DUMMYFUNCTION("""COMPUTED_VALUE"""),33.2)</f>
        <v>33.2</v>
      </c>
      <c r="M22" s="237" t="str">
        <f>IFERROR(__xludf.DUMMYFUNCTION("""COMPUTED_VALUE"""),"％")</f>
        <v>％</v>
      </c>
      <c r="N22" s="234">
        <f>IFERROR(__xludf.DUMMYFUNCTION("""COMPUTED_VALUE"""),455.0)</f>
        <v>455</v>
      </c>
      <c r="O22" s="217"/>
      <c r="P22" s="177" t="str">
        <f>IFERROR(__xludf.DUMMYFUNCTION("""COMPUTED_VALUE"""),"")</f>
        <v/>
      </c>
      <c r="R22" s="203"/>
      <c r="S22" s="204"/>
      <c r="T22" s="225">
        <f>IFERROR(__xludf.DUMMYFUNCTION("""COMPUTED_VALUE"""),3.0)</f>
        <v>3</v>
      </c>
      <c r="U22" s="227" t="str">
        <f>IFERROR(__xludf.DUMMYFUNCTION("""COMPUTED_VALUE"""),"CML13")</f>
        <v>CML13</v>
      </c>
      <c r="V22" s="229" t="str">
        <f>IFERROR(__xludf.DUMMYFUNCTION("""COMPUTED_VALUE"""),"Camelot")</f>
        <v>Camelot</v>
      </c>
      <c r="W22" s="233" t="str">
        <f>IFERROR(__xludf.DUMMYFUNCTION("""COMPUTED_VALUE"""),"Land of the Void")</f>
        <v>Land of the Void</v>
      </c>
      <c r="X22" s="234">
        <f>IFERROR(__xludf.DUMMYFUNCTION("""COMPUTED_VALUE"""),22.0)</f>
        <v>22</v>
      </c>
      <c r="Y22" s="235">
        <f>IFERROR(__xludf.DUMMYFUNCTION("""COMPUTED_VALUE"""),49.71590909090909)</f>
        <v>49.71590909</v>
      </c>
      <c r="Z22" s="236">
        <f>IFERROR(__xludf.DUMMYFUNCTION("""COMPUTED_VALUE"""),337.9)</f>
        <v>337.9</v>
      </c>
      <c r="AA22" s="237" t="str">
        <f>IFERROR(__xludf.DUMMYFUNCTION("""COMPUTED_VALUE"""),"AP")</f>
        <v>AP</v>
      </c>
      <c r="AB22" s="236">
        <f>IFERROR(__xludf.DUMMYFUNCTION("""COMPUTED_VALUE"""),6.5)</f>
        <v>6.5</v>
      </c>
      <c r="AC22" s="237" t="str">
        <f>IFERROR(__xludf.DUMMYFUNCTION("""COMPUTED_VALUE"""),"％")</f>
        <v>％</v>
      </c>
      <c r="AD22" s="234">
        <f>IFERROR(__xludf.DUMMYFUNCTION("""COMPUTED_VALUE"""),4024.0)</f>
        <v>4024</v>
      </c>
      <c r="AE22" s="217"/>
      <c r="AF22" s="98" t="str">
        <f>IFERROR(__xludf.DUMMYFUNCTION("""COMPUTED_VALUE"""),"")</f>
        <v/>
      </c>
    </row>
    <row r="23" ht="16.5" customHeight="1">
      <c r="B23" s="203"/>
      <c r="C23" s="204"/>
      <c r="D23" s="239">
        <f>IFERROR(__xludf.DUMMYFUNCTION("""COMPUTED_VALUE"""),4.0)</f>
        <v>4</v>
      </c>
      <c r="E23" s="241" t="str">
        <f>IFERROR(__xludf.DUMMYFUNCTION("""COMPUTED_VALUE"""),"SIN5")</f>
        <v>SIN5</v>
      </c>
      <c r="F23" s="243" t="str">
        <f>IFERROR(__xludf.DUMMYFUNCTION("""COMPUTED_VALUE"""),"SIN")</f>
        <v>SIN</v>
      </c>
      <c r="G23" s="245" t="str">
        <f>IFERROR(__xludf.DUMMYFUNCTION("""COMPUTED_VALUE"""),"Jing Yangyuan")</f>
        <v>Jing Yangyuan</v>
      </c>
      <c r="H23" s="247">
        <f>IFERROR(__xludf.DUMMYFUNCTION("""COMPUTED_VALUE"""),21.0)</f>
        <v>21</v>
      </c>
      <c r="I23" s="249">
        <f>IFERROR(__xludf.DUMMYFUNCTION("""COMPUTED_VALUE"""),47.32142857142857)</f>
        <v>47.32142857</v>
      </c>
      <c r="J23" s="251">
        <f>IFERROR(__xludf.DUMMYFUNCTION("""COMPUTED_VALUE"""),64.1)</f>
        <v>64.1</v>
      </c>
      <c r="K23" s="253" t="str">
        <f>IFERROR(__xludf.DUMMYFUNCTION("""COMPUTED_VALUE"""),"AP")</f>
        <v>AP</v>
      </c>
      <c r="L23" s="251">
        <f>IFERROR(__xludf.DUMMYFUNCTION("""COMPUTED_VALUE"""),32.8)</f>
        <v>32.8</v>
      </c>
      <c r="M23" s="253" t="str">
        <f>IFERROR(__xludf.DUMMYFUNCTION("""COMPUTED_VALUE"""),"％")</f>
        <v>％</v>
      </c>
      <c r="N23" s="247">
        <f>IFERROR(__xludf.DUMMYFUNCTION("""COMPUTED_VALUE"""),3985.0)</f>
        <v>3985</v>
      </c>
      <c r="O23" s="217"/>
      <c r="P23" s="93" t="str">
        <f>IFERROR(__xludf.DUMMYFUNCTION("""COMPUTED_VALUE"""),"")</f>
        <v/>
      </c>
      <c r="R23" s="203"/>
      <c r="S23" s="204"/>
      <c r="T23" s="239">
        <f>IFERROR(__xludf.DUMMYFUNCTION("""COMPUTED_VALUE"""),4.0)</f>
        <v>4</v>
      </c>
      <c r="U23" s="241" t="str">
        <f>IFERROR(__xludf.DUMMYFUNCTION("""COMPUTED_VALUE"""),"BBL12")</f>
        <v>BBL12</v>
      </c>
      <c r="V23" s="243" t="str">
        <f>IFERROR(__xludf.DUMMYFUNCTION("""COMPUTED_VALUE"""),"Babylonia")</f>
        <v>Babylonia</v>
      </c>
      <c r="W23" s="245" t="str">
        <f>IFERROR(__xludf.DUMMYFUNCTION("""COMPUTED_VALUE"""),"Nippur")</f>
        <v>Nippur</v>
      </c>
      <c r="X23" s="247">
        <f>IFERROR(__xludf.DUMMYFUNCTION("""COMPUTED_VALUE"""),21.0)</f>
        <v>21</v>
      </c>
      <c r="Y23" s="249">
        <f>IFERROR(__xludf.DUMMYFUNCTION("""COMPUTED_VALUE"""),50.892857142857146)</f>
        <v>50.89285714</v>
      </c>
      <c r="Z23" s="251">
        <f>IFERROR(__xludf.DUMMYFUNCTION("""COMPUTED_VALUE"""),600.3)</f>
        <v>600.3</v>
      </c>
      <c r="AA23" s="253" t="str">
        <f>IFERROR(__xludf.DUMMYFUNCTION("""COMPUTED_VALUE"""),"AP")</f>
        <v>AP</v>
      </c>
      <c r="AB23" s="251">
        <f>IFERROR(__xludf.DUMMYFUNCTION("""COMPUTED_VALUE"""),3.5)</f>
        <v>3.5</v>
      </c>
      <c r="AC23" s="253" t="str">
        <f>IFERROR(__xludf.DUMMYFUNCTION("""COMPUTED_VALUE"""),"％")</f>
        <v>％</v>
      </c>
      <c r="AD23" s="247">
        <f>IFERROR(__xludf.DUMMYFUNCTION("""COMPUTED_VALUE"""),24813.0)</f>
        <v>24813</v>
      </c>
      <c r="AE23" s="217"/>
      <c r="AF23" s="98" t="str">
        <f>IFERROR(__xludf.DUMMYFUNCTION("""COMPUTED_VALUE"""),"")</f>
        <v/>
      </c>
    </row>
    <row r="24" ht="16.5" customHeight="1">
      <c r="A24" s="166"/>
      <c r="B24" s="254"/>
      <c r="C24" s="255"/>
      <c r="D24" s="256">
        <f>IFERROR(__xludf.DUMMYFUNCTION("""COMPUTED_VALUE"""),5.0)</f>
        <v>5</v>
      </c>
      <c r="E24" s="257" t="str">
        <f>IFERROR(__xludf.DUMMYFUNCTION("""COMPUTED_VALUE"""),"EPU2")</f>
        <v>EPU2</v>
      </c>
      <c r="F24" s="42" t="str">
        <f>IFERROR(__xludf.DUMMYFUNCTION("""COMPUTED_VALUE"""),"E Pluribus Unum")</f>
        <v>E Pluribus Unum</v>
      </c>
      <c r="G24" s="258" t="str">
        <f>IFERROR(__xludf.DUMMYFUNCTION("""COMPUTED_VALUE"""),"Riverton")</f>
        <v>Riverton</v>
      </c>
      <c r="H24" s="259">
        <f>IFERROR(__xludf.DUMMYFUNCTION("""COMPUTED_VALUE"""),17.0)</f>
        <v>17</v>
      </c>
      <c r="I24" s="260">
        <f>IFERROR(__xludf.DUMMYFUNCTION("""COMPUTED_VALUE"""),42.279411764705884)</f>
        <v>42.27941176</v>
      </c>
      <c r="J24" s="261">
        <f>IFERROR(__xludf.DUMMYFUNCTION("""COMPUTED_VALUE"""),52.9)</f>
        <v>52.9</v>
      </c>
      <c r="K24" s="262" t="str">
        <f>IFERROR(__xludf.DUMMYFUNCTION("""COMPUTED_VALUE"""),"AP")</f>
        <v>AP</v>
      </c>
      <c r="L24" s="261">
        <f>IFERROR(__xludf.DUMMYFUNCTION("""COMPUTED_VALUE"""),32.1)</f>
        <v>32.1</v>
      </c>
      <c r="M24" s="262" t="str">
        <f>IFERROR(__xludf.DUMMYFUNCTION("""COMPUTED_VALUE"""),"％")</f>
        <v>％</v>
      </c>
      <c r="N24" s="259">
        <f>IFERROR(__xludf.DUMMYFUNCTION("""COMPUTED_VALUE"""),336.0)</f>
        <v>336</v>
      </c>
      <c r="O24" s="263"/>
      <c r="P24" s="93" t="str">
        <f>IFERROR(__xludf.DUMMYFUNCTION("""COMPUTED_VALUE"""),"")</f>
        <v/>
      </c>
      <c r="Q24" s="166"/>
      <c r="R24" s="254"/>
      <c r="S24" s="255"/>
      <c r="T24" s="256">
        <f>IFERROR(__xludf.DUMMYFUNCTION("""COMPUTED_VALUE"""),5.0)</f>
        <v>5</v>
      </c>
      <c r="U24" s="257" t="str">
        <f>IFERROR(__xludf.DUMMYFUNCTION("""COMPUTED_VALUE"""),"")</f>
        <v/>
      </c>
      <c r="V24" s="42" t="str">
        <f>IFERROR(__xludf.DUMMYFUNCTION("""COMPUTED_VALUE"""),"")</f>
        <v/>
      </c>
      <c r="W24" s="42" t="str">
        <f>IFERROR(__xludf.DUMMYFUNCTION("""COMPUTED_VALUE"""),"")</f>
        <v/>
      </c>
      <c r="X24" s="259" t="str">
        <f>IFERROR(__xludf.DUMMYFUNCTION("""COMPUTED_VALUE"""),"")</f>
        <v/>
      </c>
      <c r="Y24" s="260" t="str">
        <f>IFERROR(__xludf.DUMMYFUNCTION("""COMPUTED_VALUE"""),"")</f>
        <v/>
      </c>
      <c r="Z24" s="261" t="str">
        <f>IFERROR(__xludf.DUMMYFUNCTION("""COMPUTED_VALUE"""),"")</f>
        <v/>
      </c>
      <c r="AA24" s="262" t="str">
        <f>IFERROR(__xludf.DUMMYFUNCTION("""COMPUTED_VALUE"""),"AP")</f>
        <v>AP</v>
      </c>
      <c r="AB24" s="261" t="str">
        <f>IFERROR(__xludf.DUMMYFUNCTION("""COMPUTED_VALUE"""),"")</f>
        <v/>
      </c>
      <c r="AC24" s="262" t="str">
        <f>IFERROR(__xludf.DUMMYFUNCTION("""COMPUTED_VALUE"""),"％")</f>
        <v>％</v>
      </c>
      <c r="AD24" s="259" t="str">
        <f>IFERROR(__xludf.DUMMYFUNCTION("""COMPUTED_VALUE"""),"")</f>
        <v/>
      </c>
      <c r="AE24" s="263"/>
      <c r="AF24" s="98" t="str">
        <f>IFERROR(__xludf.DUMMYFUNCTION("""COMPUTED_VALUE"""),"")</f>
        <v/>
      </c>
    </row>
    <row r="25" ht="16.5" customHeight="1">
      <c r="A25" s="61" t="str">
        <f>IFERROR(__xludf.DUMMYFUNCTION("""COMPUTED_VALUE"""),"")</f>
        <v/>
      </c>
      <c r="B25" s="264" t="str">
        <f>IFERROR(__xludf.DUMMYFUNCTION("""COMPUTED_VALUE"""),"A305")</f>
        <v>A305</v>
      </c>
      <c r="C25" s="65" t="str">
        <f>IFERROR(__xludf.DUMMYFUNCTION("""COMPUTED_VALUE"""),"Fool's Chain")</f>
        <v>Fool's Chain</v>
      </c>
      <c r="D25" s="70">
        <f>IFERROR(__xludf.DUMMYFUNCTION("""COMPUTED_VALUE"""),1.0)</f>
        <v>1</v>
      </c>
      <c r="E25" s="73" t="str">
        <f>IFERROR(__xludf.DUMMYFUNCTION("""COMPUTED_VALUE"""),"CML3")</f>
        <v>CML3</v>
      </c>
      <c r="F25" s="76" t="str">
        <f>IFERROR(__xludf.DUMMYFUNCTION("""COMPUTED_VALUE"""),"Camelot")</f>
        <v>Camelot</v>
      </c>
      <c r="G25" s="85" t="str">
        <f>IFERROR(__xludf.DUMMYFUNCTION("""COMPUTED_VALUE"""),"Wastelands of Death")</f>
        <v>Wastelands of Death</v>
      </c>
      <c r="H25" s="87">
        <f>IFERROR(__xludf.DUMMYFUNCTION("""COMPUTED_VALUE"""),19.0)</f>
        <v>19</v>
      </c>
      <c r="I25" s="90">
        <f>IFERROR(__xludf.DUMMYFUNCTION("""COMPUTED_VALUE"""),45.723684210526315)</f>
        <v>45.72368421</v>
      </c>
      <c r="J25" s="92">
        <f>IFERROR(__xludf.DUMMYFUNCTION("""COMPUTED_VALUE"""),29.2)</f>
        <v>29.2</v>
      </c>
      <c r="K25" s="94" t="str">
        <f>IFERROR(__xludf.DUMMYFUNCTION("""COMPUTED_VALUE"""),"AP")</f>
        <v>AP</v>
      </c>
      <c r="L25" s="96">
        <f>IFERROR(__xludf.DUMMYFUNCTION("""COMPUTED_VALUE"""),65.1)</f>
        <v>65.1</v>
      </c>
      <c r="M25" s="94" t="str">
        <f>IFERROR(__xludf.DUMMYFUNCTION("""COMPUTED_VALUE"""),"％")</f>
        <v>％</v>
      </c>
      <c r="N25" s="87">
        <f>IFERROR(__xludf.DUMMYFUNCTION("""COMPUTED_VALUE"""),12986.0)</f>
        <v>12986</v>
      </c>
      <c r="O25" s="97" t="str">
        <f>IFERROR(__xludf.DUMMYFUNCTION("""COMPUTED_VALUE"""),"Fool's Chain")</f>
        <v>Fool's Chain</v>
      </c>
      <c r="P25" s="93" t="str">
        <f>IFERROR(__xludf.DUMMYFUNCTION("""COMPUTED_VALUE"""),"")</f>
        <v/>
      </c>
      <c r="Q25" s="61" t="str">
        <f>IFERROR(__xludf.DUMMYFUNCTION("""COMPUTED_VALUE"""),"")</f>
        <v/>
      </c>
      <c r="R25" s="266" t="str">
        <f>IFERROR(__xludf.DUMMYFUNCTION("""COMPUTED_VALUE"""),"B105")</f>
        <v>B105</v>
      </c>
      <c r="S25" s="65" t="str">
        <f>IFERROR(__xludf.DUMMYFUNCTION("""COMPUTED_VALUE"""),"Secret Gem of Caster")</f>
        <v>Secret Gem of Caster</v>
      </c>
      <c r="T25" s="70">
        <f>IFERROR(__xludf.DUMMYFUNCTION("""COMPUTED_VALUE"""),1.0)</f>
        <v>1</v>
      </c>
      <c r="U25" s="73" t="str">
        <f>IFERROR(__xludf.DUMMYFUNCTION("""COMPUTED_VALUE"""),"TRF20")</f>
        <v>TRF20</v>
      </c>
      <c r="V25" s="76" t="str">
        <f>IFERROR(__xludf.DUMMYFUNCTION("""COMPUTED_VALUE"""),"Chaldea Gate (Fri)")</f>
        <v>Chaldea Gate (Fri)</v>
      </c>
      <c r="W25" s="76" t="str">
        <f>IFERROR(__xludf.DUMMYFUNCTION("""COMPUTED_VALUE"""),"FRI Caster Training Ground- Exp")</f>
        <v>FRI Caster Training Ground- Exp</v>
      </c>
      <c r="X25" s="87">
        <f>IFERROR(__xludf.DUMMYFUNCTION("""COMPUTED_VALUE"""),40.0)</f>
        <v>40</v>
      </c>
      <c r="Y25" s="90">
        <f>IFERROR(__xludf.DUMMYFUNCTION("""COMPUTED_VALUE"""),20.46875)</f>
        <v>20.46875</v>
      </c>
      <c r="Z25" s="92">
        <f>IFERROR(__xludf.DUMMYFUNCTION("""COMPUTED_VALUE"""),52.7)</f>
        <v>52.7</v>
      </c>
      <c r="AA25" s="94" t="str">
        <f>IFERROR(__xludf.DUMMYFUNCTION("""COMPUTED_VALUE"""),"AP")</f>
        <v>AP</v>
      </c>
      <c r="AB25" s="96">
        <f>IFERROR(__xludf.DUMMYFUNCTION("""COMPUTED_VALUE"""),75.9)</f>
        <v>75.9</v>
      </c>
      <c r="AC25" s="94" t="str">
        <f>IFERROR(__xludf.DUMMYFUNCTION("""COMPUTED_VALUE"""),"％")</f>
        <v>％</v>
      </c>
      <c r="AD25" s="87">
        <f>IFERROR(__xludf.DUMMYFUNCTION("""COMPUTED_VALUE"""),10906.0)</f>
        <v>10906</v>
      </c>
      <c r="AE25" s="97" t="str">
        <f>IFERROR(__xludf.DUMMYFUNCTION("""COMPUTED_VALUE"""),"Secret Gem of Caster")</f>
        <v>Secret Gem of Caster</v>
      </c>
      <c r="AF25" s="98" t="str">
        <f>IFERROR(__xludf.DUMMYFUNCTION("""COMPUTED_VALUE"""),"")</f>
        <v/>
      </c>
    </row>
    <row r="26" ht="16.5" customHeight="1">
      <c r="B26" s="268"/>
      <c r="C26" s="100"/>
      <c r="D26" s="105">
        <f>IFERROR(__xludf.DUMMYFUNCTION("""COMPUTED_VALUE"""),2.0)</f>
        <v>2</v>
      </c>
      <c r="E26" s="106" t="str">
        <f>IFERROR(__xludf.DUMMYFUNCTION("""COMPUTED_VALUE"""),"CML14")</f>
        <v>CML14</v>
      </c>
      <c r="F26" s="107" t="str">
        <f>IFERROR(__xludf.DUMMYFUNCTION("""COMPUTED_VALUE"""),"Camelot")</f>
        <v>Camelot</v>
      </c>
      <c r="G26" s="114" t="str">
        <f>IFERROR(__xludf.DUMMYFUNCTION("""COMPUTED_VALUE"""),"Great Temple")</f>
        <v>Great Temple</v>
      </c>
      <c r="H26" s="116">
        <f>IFERROR(__xludf.DUMMYFUNCTION("""COMPUTED_VALUE"""),22.0)</f>
        <v>22</v>
      </c>
      <c r="I26" s="118">
        <f>IFERROR(__xludf.DUMMYFUNCTION("""COMPUTED_VALUE"""),50.85227272727273)</f>
        <v>50.85227273</v>
      </c>
      <c r="J26" s="120">
        <f>IFERROR(__xludf.DUMMYFUNCTION("""COMPUTED_VALUE"""),51.6)</f>
        <v>51.6</v>
      </c>
      <c r="K26" s="122" t="str">
        <f>IFERROR(__xludf.DUMMYFUNCTION("""COMPUTED_VALUE"""),"AP")</f>
        <v>AP</v>
      </c>
      <c r="L26" s="124">
        <f>IFERROR(__xludf.DUMMYFUNCTION("""COMPUTED_VALUE"""),42.6)</f>
        <v>42.6</v>
      </c>
      <c r="M26" s="122" t="str">
        <f>IFERROR(__xludf.DUMMYFUNCTION("""COMPUTED_VALUE"""),"％")</f>
        <v>％</v>
      </c>
      <c r="N26" s="116">
        <f>IFERROR(__xludf.DUMMYFUNCTION("""COMPUTED_VALUE"""),28645.0)</f>
        <v>28645</v>
      </c>
      <c r="O26" s="100"/>
      <c r="P26" s="93" t="str">
        <f>IFERROR(__xludf.DUMMYFUNCTION("""COMPUTED_VALUE"""),"")</f>
        <v/>
      </c>
      <c r="R26" s="268"/>
      <c r="S26" s="100"/>
      <c r="T26" s="105">
        <f>IFERROR(__xludf.DUMMYFUNCTION("""COMPUTED_VALUE"""),2.0)</f>
        <v>2</v>
      </c>
      <c r="U26" s="106" t="str">
        <f>IFERROR(__xludf.DUMMYFUNCTION("""COMPUTED_VALUE"""),"TRF19")</f>
        <v>TRF19</v>
      </c>
      <c r="V26" s="107" t="str">
        <f>IFERROR(__xludf.DUMMYFUNCTION("""COMPUTED_VALUE"""),"Chaldea Gate (Fri)")</f>
        <v>Chaldea Gate (Fri)</v>
      </c>
      <c r="W26" s="107" t="str">
        <f>IFERROR(__xludf.DUMMYFUNCTION("""COMPUTED_VALUE"""),"FRI Caster Training Ground- Adv")</f>
        <v>FRI Caster Training Ground- Adv</v>
      </c>
      <c r="X26" s="116">
        <f>IFERROR(__xludf.DUMMYFUNCTION("""COMPUTED_VALUE"""),30.0)</f>
        <v>30</v>
      </c>
      <c r="Y26" s="118">
        <f>IFERROR(__xludf.DUMMYFUNCTION("""COMPUTED_VALUE"""),18.958333333333332)</f>
        <v>18.95833333</v>
      </c>
      <c r="Z26" s="120">
        <f>IFERROR(__xludf.DUMMYFUNCTION("""COMPUTED_VALUE"""),133.1)</f>
        <v>133.1</v>
      </c>
      <c r="AA26" s="122" t="str">
        <f>IFERROR(__xludf.DUMMYFUNCTION("""COMPUTED_VALUE"""),"AP")</f>
        <v>AP</v>
      </c>
      <c r="AB26" s="124">
        <f>IFERROR(__xludf.DUMMYFUNCTION("""COMPUTED_VALUE"""),22.5)</f>
        <v>22.5</v>
      </c>
      <c r="AC26" s="122" t="str">
        <f>IFERROR(__xludf.DUMMYFUNCTION("""COMPUTED_VALUE"""),"％")</f>
        <v>％</v>
      </c>
      <c r="AD26" s="116">
        <f>IFERROR(__xludf.DUMMYFUNCTION("""COMPUTED_VALUE"""),1241.0)</f>
        <v>1241</v>
      </c>
      <c r="AE26" s="100"/>
      <c r="AF26" s="98" t="str">
        <f>IFERROR(__xludf.DUMMYFUNCTION("""COMPUTED_VALUE"""),"")</f>
        <v/>
      </c>
    </row>
    <row r="27" ht="16.5" customHeight="1">
      <c r="B27" s="268"/>
      <c r="C27" s="100"/>
      <c r="D27" s="128">
        <f>IFERROR(__xludf.DUMMYFUNCTION("""COMPUTED_VALUE"""),3.0)</f>
        <v>3</v>
      </c>
      <c r="E27" s="129" t="str">
        <f>IFERROR(__xludf.DUMMYFUNCTION("""COMPUTED_VALUE"""),"SLM6")</f>
        <v>SLM6</v>
      </c>
      <c r="F27" s="131" t="str">
        <f>IFERROR(__xludf.DUMMYFUNCTION("""COMPUTED_VALUE"""),"Salem")</f>
        <v>Salem</v>
      </c>
      <c r="G27" s="134" t="str">
        <f>IFERROR(__xludf.DUMMYFUNCTION("""COMPUTED_VALUE"""),"Suburb Mansion")</f>
        <v>Suburb Mansion</v>
      </c>
      <c r="H27" s="136">
        <f>IFERROR(__xludf.DUMMYFUNCTION("""COMPUTED_VALUE"""),21.0)</f>
        <v>21</v>
      </c>
      <c r="I27" s="138">
        <f>IFERROR(__xludf.DUMMYFUNCTION("""COMPUTED_VALUE"""),48.51190476190476)</f>
        <v>48.51190476</v>
      </c>
      <c r="J27" s="140">
        <f>IFERROR(__xludf.DUMMYFUNCTION("""COMPUTED_VALUE"""),51.8)</f>
        <v>51.8</v>
      </c>
      <c r="K27" s="142" t="str">
        <f>IFERROR(__xludf.DUMMYFUNCTION("""COMPUTED_VALUE"""),"AP")</f>
        <v>AP</v>
      </c>
      <c r="L27" s="144">
        <f>IFERROR(__xludf.DUMMYFUNCTION("""COMPUTED_VALUE"""),40.5)</f>
        <v>40.5</v>
      </c>
      <c r="M27" s="142" t="str">
        <f>IFERROR(__xludf.DUMMYFUNCTION("""COMPUTED_VALUE"""),"％")</f>
        <v>％</v>
      </c>
      <c r="N27" s="136">
        <f>IFERROR(__xludf.DUMMYFUNCTION("""COMPUTED_VALUE"""),16357.0)</f>
        <v>16357</v>
      </c>
      <c r="O27" s="100"/>
      <c r="P27" s="93" t="str">
        <f>IFERROR(__xludf.DUMMYFUNCTION("""COMPUTED_VALUE"""),"")</f>
        <v/>
      </c>
      <c r="R27" s="268"/>
      <c r="S27" s="100"/>
      <c r="T27" s="128">
        <f>IFERROR(__xludf.DUMMYFUNCTION("""COMPUTED_VALUE"""),3.0)</f>
        <v>3</v>
      </c>
      <c r="U27" s="129" t="str">
        <f>IFERROR(__xludf.DUMMYFUNCTION("""COMPUTED_VALUE"""),"CML14")</f>
        <v>CML14</v>
      </c>
      <c r="V27" s="131" t="str">
        <f>IFERROR(__xludf.DUMMYFUNCTION("""COMPUTED_VALUE"""),"Camelot")</f>
        <v>Camelot</v>
      </c>
      <c r="W27" s="134" t="str">
        <f>IFERROR(__xludf.DUMMYFUNCTION("""COMPUTED_VALUE"""),"Great Temple")</f>
        <v>Great Temple</v>
      </c>
      <c r="X27" s="136">
        <f>IFERROR(__xludf.DUMMYFUNCTION("""COMPUTED_VALUE"""),22.0)</f>
        <v>22</v>
      </c>
      <c r="Y27" s="138">
        <f>IFERROR(__xludf.DUMMYFUNCTION("""COMPUTED_VALUE"""),50.85227272727273)</f>
        <v>50.85227273</v>
      </c>
      <c r="Z27" s="140">
        <f>IFERROR(__xludf.DUMMYFUNCTION("""COMPUTED_VALUE"""),365.7)</f>
        <v>365.7</v>
      </c>
      <c r="AA27" s="142" t="str">
        <f>IFERROR(__xludf.DUMMYFUNCTION("""COMPUTED_VALUE"""),"AP")</f>
        <v>AP</v>
      </c>
      <c r="AB27" s="144">
        <f>IFERROR(__xludf.DUMMYFUNCTION("""COMPUTED_VALUE"""),6.0)</f>
        <v>6</v>
      </c>
      <c r="AC27" s="142" t="str">
        <f>IFERROR(__xludf.DUMMYFUNCTION("""COMPUTED_VALUE"""),"％")</f>
        <v>％</v>
      </c>
      <c r="AD27" s="136">
        <f>IFERROR(__xludf.DUMMYFUNCTION("""COMPUTED_VALUE"""),28645.0)</f>
        <v>28645</v>
      </c>
      <c r="AE27" s="100"/>
      <c r="AF27" s="98" t="str">
        <f>IFERROR(__xludf.DUMMYFUNCTION("""COMPUTED_VALUE"""),"")</f>
        <v/>
      </c>
    </row>
    <row r="28" ht="16.5" customHeight="1">
      <c r="B28" s="268"/>
      <c r="C28" s="100"/>
      <c r="D28" s="147">
        <f>IFERROR(__xludf.DUMMYFUNCTION("""COMPUTED_VALUE"""),4.0)</f>
        <v>4</v>
      </c>
      <c r="E28" s="149" t="str">
        <f>IFERROR(__xludf.DUMMYFUNCTION("""COMPUTED_VALUE"""),"SLM4")</f>
        <v>SLM4</v>
      </c>
      <c r="F28" s="151" t="str">
        <f>IFERROR(__xludf.DUMMYFUNCTION("""COMPUTED_VALUE"""),"Salem")</f>
        <v>Salem</v>
      </c>
      <c r="G28" s="153" t="str">
        <f>IFERROR(__xludf.DUMMYFUNCTION("""COMPUTED_VALUE"""),"Quay")</f>
        <v>Quay</v>
      </c>
      <c r="H28" s="155">
        <f>IFERROR(__xludf.DUMMYFUNCTION("""COMPUTED_VALUE"""),21.0)</f>
        <v>21</v>
      </c>
      <c r="I28" s="157">
        <f>IFERROR(__xludf.DUMMYFUNCTION("""COMPUTED_VALUE"""),47.32142857142857)</f>
        <v>47.32142857</v>
      </c>
      <c r="J28" s="159">
        <f>IFERROR(__xludf.DUMMYFUNCTION("""COMPUTED_VALUE"""),52.6)</f>
        <v>52.6</v>
      </c>
      <c r="K28" s="161" t="str">
        <f>IFERROR(__xludf.DUMMYFUNCTION("""COMPUTED_VALUE"""),"AP")</f>
        <v>AP</v>
      </c>
      <c r="L28" s="163">
        <f>IFERROR(__xludf.DUMMYFUNCTION("""COMPUTED_VALUE"""),39.9)</f>
        <v>39.9</v>
      </c>
      <c r="M28" s="161" t="str">
        <f>IFERROR(__xludf.DUMMYFUNCTION("""COMPUTED_VALUE"""),"％")</f>
        <v>％</v>
      </c>
      <c r="N28" s="155">
        <f>IFERROR(__xludf.DUMMYFUNCTION("""COMPUTED_VALUE"""),25430.0)</f>
        <v>25430</v>
      </c>
      <c r="O28" s="100"/>
      <c r="P28" s="93" t="str">
        <f>IFERROR(__xludf.DUMMYFUNCTION("""COMPUTED_VALUE"""),"")</f>
        <v/>
      </c>
      <c r="R28" s="268"/>
      <c r="S28" s="100"/>
      <c r="T28" s="147">
        <f>IFERROR(__xludf.DUMMYFUNCTION("""COMPUTED_VALUE"""),4.0)</f>
        <v>4</v>
      </c>
      <c r="U28" s="149" t="str">
        <f>IFERROR(__xludf.DUMMYFUNCTION("""COMPUTED_VALUE"""),"SLM2")</f>
        <v>SLM2</v>
      </c>
      <c r="V28" s="151" t="str">
        <f>IFERROR(__xludf.DUMMYFUNCTION("""COMPUTED_VALUE"""),"Salem")</f>
        <v>Salem</v>
      </c>
      <c r="W28" s="153" t="str">
        <f>IFERROR(__xludf.DUMMYFUNCTION("""COMPUTED_VALUE"""),"Carter House")</f>
        <v>Carter House</v>
      </c>
      <c r="X28" s="155">
        <f>IFERROR(__xludf.DUMMYFUNCTION("""COMPUTED_VALUE"""),20.0)</f>
        <v>20</v>
      </c>
      <c r="Y28" s="157">
        <f>IFERROR(__xludf.DUMMYFUNCTION("""COMPUTED_VALUE"""),48.4375)</f>
        <v>48.4375</v>
      </c>
      <c r="Z28" s="159">
        <f>IFERROR(__xludf.DUMMYFUNCTION("""COMPUTED_VALUE"""),438.1)</f>
        <v>438.1</v>
      </c>
      <c r="AA28" s="161" t="str">
        <f>IFERROR(__xludf.DUMMYFUNCTION("""COMPUTED_VALUE"""),"AP")</f>
        <v>AP</v>
      </c>
      <c r="AB28" s="163">
        <f>IFERROR(__xludf.DUMMYFUNCTION("""COMPUTED_VALUE"""),4.6)</f>
        <v>4.6</v>
      </c>
      <c r="AC28" s="161" t="str">
        <f>IFERROR(__xludf.DUMMYFUNCTION("""COMPUTED_VALUE"""),"％")</f>
        <v>％</v>
      </c>
      <c r="AD28" s="155">
        <f>IFERROR(__xludf.DUMMYFUNCTION("""COMPUTED_VALUE"""),84431.0)</f>
        <v>84431</v>
      </c>
      <c r="AE28" s="100"/>
      <c r="AF28" s="98" t="str">
        <f>IFERROR(__xludf.DUMMYFUNCTION("""COMPUTED_VALUE"""),"")</f>
        <v/>
      </c>
    </row>
    <row r="29" ht="16.5" customHeight="1">
      <c r="A29" s="166"/>
      <c r="B29" s="269"/>
      <c r="C29" s="168"/>
      <c r="D29" s="169">
        <f>IFERROR(__xludf.DUMMYFUNCTION("""COMPUTED_VALUE"""),5.0)</f>
        <v>5</v>
      </c>
      <c r="E29" s="170" t="str">
        <f>IFERROR(__xludf.DUMMYFUNCTION("""COMPUTED_VALUE"""),"AGT6")</f>
        <v>AGT6</v>
      </c>
      <c r="F29" s="51" t="str">
        <f>IFERROR(__xludf.DUMMYFUNCTION("""COMPUTED_VALUE"""),"Agartha")</f>
        <v>Agartha</v>
      </c>
      <c r="G29" s="171" t="str">
        <f>IFERROR(__xludf.DUMMYFUNCTION("""COMPUTED_VALUE"""),"Northern Cliffs")</f>
        <v>Northern Cliffs</v>
      </c>
      <c r="H29" s="172">
        <f>IFERROR(__xludf.DUMMYFUNCTION("""COMPUTED_VALUE"""),21.0)</f>
        <v>21</v>
      </c>
      <c r="I29" s="173">
        <f>IFERROR(__xludf.DUMMYFUNCTION("""COMPUTED_VALUE"""),47.32142857142857)</f>
        <v>47.32142857</v>
      </c>
      <c r="J29" s="174">
        <f>IFERROR(__xludf.DUMMYFUNCTION("""COMPUTED_VALUE"""),53.3)</f>
        <v>53.3</v>
      </c>
      <c r="K29" s="175" t="str">
        <f>IFERROR(__xludf.DUMMYFUNCTION("""COMPUTED_VALUE"""),"AP")</f>
        <v>AP</v>
      </c>
      <c r="L29" s="176">
        <f>IFERROR(__xludf.DUMMYFUNCTION("""COMPUTED_VALUE"""),39.4)</f>
        <v>39.4</v>
      </c>
      <c r="M29" s="175" t="str">
        <f>IFERROR(__xludf.DUMMYFUNCTION("""COMPUTED_VALUE"""),"％")</f>
        <v>％</v>
      </c>
      <c r="N29" s="172">
        <f>IFERROR(__xludf.DUMMYFUNCTION("""COMPUTED_VALUE"""),2040.0)</f>
        <v>2040</v>
      </c>
      <c r="O29" s="168"/>
      <c r="P29" s="93" t="str">
        <f>IFERROR(__xludf.DUMMYFUNCTION("""COMPUTED_VALUE"""),"")</f>
        <v/>
      </c>
      <c r="Q29" s="166"/>
      <c r="R29" s="269"/>
      <c r="S29" s="168"/>
      <c r="T29" s="169">
        <f>IFERROR(__xludf.DUMMYFUNCTION("""COMPUTED_VALUE"""),5.0)</f>
        <v>5</v>
      </c>
      <c r="U29" s="170" t="str">
        <f>IFERROR(__xludf.DUMMYFUNCTION("""COMPUTED_VALUE"""),"SJK9")</f>
        <v>SJK9</v>
      </c>
      <c r="V29" s="51" t="str">
        <f>IFERROR(__xludf.DUMMYFUNCTION("""COMPUTED_VALUE"""),"Shinjuku")</f>
        <v>Shinjuku</v>
      </c>
      <c r="W29" s="171" t="str">
        <f>IFERROR(__xludf.DUMMYFUNCTION("""COMPUTED_VALUE"""),"Shinjuku Gyoen")</f>
        <v>Shinjuku Gyoen</v>
      </c>
      <c r="X29" s="172">
        <f>IFERROR(__xludf.DUMMYFUNCTION("""COMPUTED_VALUE"""),21.0)</f>
        <v>21</v>
      </c>
      <c r="Y29" s="173">
        <f>IFERROR(__xludf.DUMMYFUNCTION("""COMPUTED_VALUE"""),50.892857142857146)</f>
        <v>50.89285714</v>
      </c>
      <c r="Z29" s="174">
        <f>IFERROR(__xludf.DUMMYFUNCTION("""COMPUTED_VALUE"""),460.1)</f>
        <v>460.1</v>
      </c>
      <c r="AA29" s="175" t="str">
        <f>IFERROR(__xludf.DUMMYFUNCTION("""COMPUTED_VALUE"""),"AP")</f>
        <v>AP</v>
      </c>
      <c r="AB29" s="176">
        <f>IFERROR(__xludf.DUMMYFUNCTION("""COMPUTED_VALUE"""),4.599999999)</f>
        <v>4.599999999</v>
      </c>
      <c r="AC29" s="175" t="str">
        <f>IFERROR(__xludf.DUMMYFUNCTION("""COMPUTED_VALUE"""),"％")</f>
        <v>％</v>
      </c>
      <c r="AD29" s="172">
        <f>IFERROR(__xludf.DUMMYFUNCTION("""COMPUTED_VALUE"""),42877.0)</f>
        <v>42877</v>
      </c>
      <c r="AE29" s="168"/>
      <c r="AF29" s="98" t="str">
        <f>IFERROR(__xludf.DUMMYFUNCTION("""COMPUTED_VALUE"""),"")</f>
        <v/>
      </c>
    </row>
    <row r="30" ht="16.5" customHeight="1">
      <c r="A30" s="61" t="str">
        <f>IFERROR(__xludf.DUMMYFUNCTION("""COMPUTED_VALUE"""),"")</f>
        <v/>
      </c>
      <c r="B30" s="183" t="str">
        <f>IFERROR(__xludf.DUMMYFUNCTION("""COMPUTED_VALUE"""),"A306")</f>
        <v>A306</v>
      </c>
      <c r="C30" s="197" t="str">
        <f>IFERROR(__xludf.DUMMYFUNCTION("""COMPUTED_VALUE"""),"Deadly Poisonous Needle")</f>
        <v>Deadly Poisonous Needle</v>
      </c>
      <c r="D30" s="185">
        <f>IFERROR(__xludf.DUMMYFUNCTION("""COMPUTED_VALUE"""),1.0)</f>
        <v>1</v>
      </c>
      <c r="E30" s="187" t="str">
        <f>IFERROR(__xludf.DUMMYFUNCTION("""COMPUTED_VALUE"""),"BBL9")</f>
        <v>BBL9</v>
      </c>
      <c r="F30" s="188" t="str">
        <f>IFERROR(__xludf.DUMMYFUNCTION("""COMPUTED_VALUE"""),"Babylonia")</f>
        <v>Babylonia</v>
      </c>
      <c r="G30" s="193" t="str">
        <f>IFERROR(__xludf.DUMMYFUNCTION("""COMPUTED_VALUE"""),"Field of Reeds")</f>
        <v>Field of Reeds</v>
      </c>
      <c r="H30" s="195">
        <f>IFERROR(__xludf.DUMMYFUNCTION("""COMPUTED_VALUE"""),21.0)</f>
        <v>21</v>
      </c>
      <c r="I30" s="196">
        <f>IFERROR(__xludf.DUMMYFUNCTION("""COMPUTED_VALUE"""),48.51190476190476)</f>
        <v>48.51190476</v>
      </c>
      <c r="J30" s="198">
        <f>IFERROR(__xludf.DUMMYFUNCTION("""COMPUTED_VALUE"""),33.6)</f>
        <v>33.6</v>
      </c>
      <c r="K30" s="200" t="str">
        <f>IFERROR(__xludf.DUMMYFUNCTION("""COMPUTED_VALUE"""),"AP")</f>
        <v>AP</v>
      </c>
      <c r="L30" s="198">
        <f>IFERROR(__xludf.DUMMYFUNCTION("""COMPUTED_VALUE"""),62.5)</f>
        <v>62.5</v>
      </c>
      <c r="M30" s="201" t="str">
        <f>IFERROR(__xludf.DUMMYFUNCTION("""COMPUTED_VALUE"""),"％")</f>
        <v>％</v>
      </c>
      <c r="N30" s="195">
        <f>IFERROR(__xludf.DUMMYFUNCTION("""COMPUTED_VALUE"""),12442.0)</f>
        <v>12442</v>
      </c>
      <c r="O30" s="197" t="str">
        <f>IFERROR(__xludf.DUMMYFUNCTION("""COMPUTED_VALUE"""),"Deadly Poisonous Needle")</f>
        <v>Deadly Poisonous Needle</v>
      </c>
      <c r="P30" s="93" t="str">
        <f>IFERROR(__xludf.DUMMYFUNCTION("""COMPUTED_VALUE"""),"")</f>
        <v/>
      </c>
      <c r="Q30" s="61" t="str">
        <f>IFERROR(__xludf.DUMMYFUNCTION("""COMPUTED_VALUE"""),"")</f>
        <v/>
      </c>
      <c r="R30" s="202" t="str">
        <f>IFERROR(__xludf.DUMMYFUNCTION("""COMPUTED_VALUE"""),"B106")</f>
        <v>B106</v>
      </c>
      <c r="S30" s="197" t="str">
        <f>IFERROR(__xludf.DUMMYFUNCTION("""COMPUTED_VALUE"""),"Secret Gem of Assassin")</f>
        <v>Secret Gem of Assassin</v>
      </c>
      <c r="T30" s="185">
        <f>IFERROR(__xludf.DUMMYFUNCTION("""COMPUTED_VALUE"""),1.0)</f>
        <v>1</v>
      </c>
      <c r="U30" s="187" t="str">
        <f>IFERROR(__xludf.DUMMYFUNCTION("""COMPUTED_VALUE"""),"TRF24")</f>
        <v>TRF24</v>
      </c>
      <c r="V30" s="188" t="str">
        <f>IFERROR(__xludf.DUMMYFUNCTION("""COMPUTED_VALUE"""),"Chaldea Gate (Sat)")</f>
        <v>Chaldea Gate (Sat)</v>
      </c>
      <c r="W30" s="188" t="str">
        <f>IFERROR(__xludf.DUMMYFUNCTION("""COMPUTED_VALUE"""),"SAT Assassin Training Ground- Exp")</f>
        <v>SAT Assassin Training Ground- Exp</v>
      </c>
      <c r="X30" s="195">
        <f>IFERROR(__xludf.DUMMYFUNCTION("""COMPUTED_VALUE"""),40.0)</f>
        <v>40</v>
      </c>
      <c r="Y30" s="196">
        <f>IFERROR(__xludf.DUMMYFUNCTION("""COMPUTED_VALUE"""),20.46875)</f>
        <v>20.46875</v>
      </c>
      <c r="Z30" s="198">
        <f>IFERROR(__xludf.DUMMYFUNCTION("""COMPUTED_VALUE"""),158.1)</f>
        <v>158.1</v>
      </c>
      <c r="AA30" s="200" t="str">
        <f>IFERROR(__xludf.DUMMYFUNCTION("""COMPUTED_VALUE"""),"AP")</f>
        <v>AP</v>
      </c>
      <c r="AB30" s="198">
        <f>IFERROR(__xludf.DUMMYFUNCTION("""COMPUTED_VALUE"""),25.3)</f>
        <v>25.3</v>
      </c>
      <c r="AC30" s="201" t="str">
        <f>IFERROR(__xludf.DUMMYFUNCTION("""COMPUTED_VALUE"""),"％")</f>
        <v>％</v>
      </c>
      <c r="AD30" s="195">
        <f>IFERROR(__xludf.DUMMYFUNCTION("""COMPUTED_VALUE"""),6919.0)</f>
        <v>6919</v>
      </c>
      <c r="AE30" s="197" t="str">
        <f>IFERROR(__xludf.DUMMYFUNCTION("""COMPUTED_VALUE"""),"Secret Gem of Assassin")</f>
        <v>Secret Gem of Assassin</v>
      </c>
      <c r="AF30" s="98" t="str">
        <f>IFERROR(__xludf.DUMMYFUNCTION("""COMPUTED_VALUE"""),"")</f>
        <v/>
      </c>
    </row>
    <row r="31" ht="16.5" customHeight="1">
      <c r="B31" s="203"/>
      <c r="C31" s="217"/>
      <c r="D31" s="208">
        <f>IFERROR(__xludf.DUMMYFUNCTION("""COMPUTED_VALUE"""),2.0)</f>
        <v>2</v>
      </c>
      <c r="E31" s="210" t="str">
        <f>IFERROR(__xludf.DUMMYFUNCTION("""COMPUTED_VALUE"""),"BBL4")</f>
        <v>BBL4</v>
      </c>
      <c r="F31" s="212" t="str">
        <f>IFERROR(__xludf.DUMMYFUNCTION("""COMPUTED_VALUE"""),"Babylonia")</f>
        <v>Babylonia</v>
      </c>
      <c r="G31" s="216" t="str">
        <f>IFERROR(__xludf.DUMMYFUNCTION("""COMPUTED_VALUE"""),"Plateau")</f>
        <v>Plateau</v>
      </c>
      <c r="H31" s="218">
        <f>IFERROR(__xludf.DUMMYFUNCTION("""COMPUTED_VALUE"""),20.0)</f>
        <v>20</v>
      </c>
      <c r="I31" s="219">
        <f>IFERROR(__xludf.DUMMYFUNCTION("""COMPUTED_VALUE"""),48.4375)</f>
        <v>48.4375</v>
      </c>
      <c r="J31" s="220">
        <f>IFERROR(__xludf.DUMMYFUNCTION("""COMPUTED_VALUE"""),40.6)</f>
        <v>40.6</v>
      </c>
      <c r="K31" s="221" t="str">
        <f>IFERROR(__xludf.DUMMYFUNCTION("""COMPUTED_VALUE"""),"AP")</f>
        <v>AP</v>
      </c>
      <c r="L31" s="220">
        <f>IFERROR(__xludf.DUMMYFUNCTION("""COMPUTED_VALUE"""),49.3)</f>
        <v>49.3</v>
      </c>
      <c r="M31" s="221" t="str">
        <f>IFERROR(__xludf.DUMMYFUNCTION("""COMPUTED_VALUE"""),"％")</f>
        <v>％</v>
      </c>
      <c r="N31" s="218">
        <f>IFERROR(__xludf.DUMMYFUNCTION("""COMPUTED_VALUE"""),6608.0)</f>
        <v>6608</v>
      </c>
      <c r="O31" s="217"/>
      <c r="P31" s="93" t="str">
        <f>IFERROR(__xludf.DUMMYFUNCTION("""COMPUTED_VALUE"""),"")</f>
        <v/>
      </c>
      <c r="R31" s="203"/>
      <c r="S31" s="217"/>
      <c r="T31" s="208">
        <f>IFERROR(__xludf.DUMMYFUNCTION("""COMPUTED_VALUE"""),2.0)</f>
        <v>2</v>
      </c>
      <c r="U31" s="210" t="str">
        <f>IFERROR(__xludf.DUMMYFUNCTION("""COMPUTED_VALUE"""),"TRF23")</f>
        <v>TRF23</v>
      </c>
      <c r="V31" s="212" t="str">
        <f>IFERROR(__xludf.DUMMYFUNCTION("""COMPUTED_VALUE"""),"Chaldea Gate (Sat)")</f>
        <v>Chaldea Gate (Sat)</v>
      </c>
      <c r="W31" s="212" t="str">
        <f>IFERROR(__xludf.DUMMYFUNCTION("""COMPUTED_VALUE"""),"SAT Assassin Training Ground- Adv")</f>
        <v>SAT Assassin Training Ground- Adv</v>
      </c>
      <c r="X31" s="218">
        <f>IFERROR(__xludf.DUMMYFUNCTION("""COMPUTED_VALUE"""),30.0)</f>
        <v>30</v>
      </c>
      <c r="Y31" s="219">
        <f>IFERROR(__xludf.DUMMYFUNCTION("""COMPUTED_VALUE"""),18.958333333333332)</f>
        <v>18.95833333</v>
      </c>
      <c r="Z31" s="220">
        <f>IFERROR(__xludf.DUMMYFUNCTION("""COMPUTED_VALUE"""),202.1)</f>
        <v>202.1</v>
      </c>
      <c r="AA31" s="221" t="str">
        <f>IFERROR(__xludf.DUMMYFUNCTION("""COMPUTED_VALUE"""),"AP")</f>
        <v>AP</v>
      </c>
      <c r="AB31" s="220">
        <f>IFERROR(__xludf.DUMMYFUNCTION("""COMPUTED_VALUE"""),14.8)</f>
        <v>14.8</v>
      </c>
      <c r="AC31" s="221" t="str">
        <f>IFERROR(__xludf.DUMMYFUNCTION("""COMPUTED_VALUE"""),"％")</f>
        <v>％</v>
      </c>
      <c r="AD31" s="218">
        <f>IFERROR(__xludf.DUMMYFUNCTION("""COMPUTED_VALUE"""),741.0)</f>
        <v>741</v>
      </c>
      <c r="AE31" s="217"/>
      <c r="AF31" s="98" t="str">
        <f>IFERROR(__xludf.DUMMYFUNCTION("""COMPUTED_VALUE"""),"")</f>
        <v/>
      </c>
    </row>
    <row r="32" ht="16.5" customHeight="1">
      <c r="B32" s="203"/>
      <c r="C32" s="217"/>
      <c r="D32" s="225">
        <f>IFERROR(__xludf.DUMMYFUNCTION("""COMPUTED_VALUE"""),3.0)</f>
        <v>3</v>
      </c>
      <c r="E32" s="227" t="str">
        <f>IFERROR(__xludf.DUMMYFUNCTION("""COMPUTED_VALUE"""),"BBL11")</f>
        <v>BBL11</v>
      </c>
      <c r="F32" s="229" t="str">
        <f>IFERROR(__xludf.DUMMYFUNCTION("""COMPUTED_VALUE"""),"Babylonia")</f>
        <v>Babylonia</v>
      </c>
      <c r="G32" s="233" t="str">
        <f>IFERROR(__xludf.DUMMYFUNCTION("""COMPUTED_VALUE"""),"Northern Wall")</f>
        <v>Northern Wall</v>
      </c>
      <c r="H32" s="234">
        <f>IFERROR(__xludf.DUMMYFUNCTION("""COMPUTED_VALUE"""),21.0)</f>
        <v>21</v>
      </c>
      <c r="I32" s="235">
        <f>IFERROR(__xludf.DUMMYFUNCTION("""COMPUTED_VALUE"""),49.70238095238095)</f>
        <v>49.70238095</v>
      </c>
      <c r="J32" s="236">
        <f>IFERROR(__xludf.DUMMYFUNCTION("""COMPUTED_VALUE"""),49.6)</f>
        <v>49.6</v>
      </c>
      <c r="K32" s="237" t="str">
        <f>IFERROR(__xludf.DUMMYFUNCTION("""COMPUTED_VALUE"""),"AP")</f>
        <v>AP</v>
      </c>
      <c r="L32" s="236">
        <f>IFERROR(__xludf.DUMMYFUNCTION("""COMPUTED_VALUE"""),42.39999999)</f>
        <v>42.39999999</v>
      </c>
      <c r="M32" s="237" t="str">
        <f>IFERROR(__xludf.DUMMYFUNCTION("""COMPUTED_VALUE"""),"％")</f>
        <v>％</v>
      </c>
      <c r="N32" s="234">
        <f>IFERROR(__xludf.DUMMYFUNCTION("""COMPUTED_VALUE"""),2627.0)</f>
        <v>2627</v>
      </c>
      <c r="O32" s="217"/>
      <c r="P32" s="177" t="str">
        <f>IFERROR(__xludf.DUMMYFUNCTION("""COMPUTED_VALUE"""),"")</f>
        <v/>
      </c>
      <c r="R32" s="203"/>
      <c r="S32" s="217"/>
      <c r="T32" s="225">
        <f>IFERROR(__xludf.DUMMYFUNCTION("""COMPUTED_VALUE"""),3.0)</f>
        <v>3</v>
      </c>
      <c r="U32" s="227" t="str">
        <f>IFERROR(__xludf.DUMMYFUNCTION("""COMPUTED_VALUE"""),"ANA12")</f>
        <v>ANA12</v>
      </c>
      <c r="V32" s="229" t="str">
        <f>IFERROR(__xludf.DUMMYFUNCTION("""COMPUTED_VALUE"""),"Anastasia")</f>
        <v>Anastasia</v>
      </c>
      <c r="W32" s="233" t="str">
        <f>IFERROR(__xludf.DUMMYFUNCTION("""COMPUTED_VALUE"""),"Great Valley Stronghold")</f>
        <v>Great Valley Stronghold</v>
      </c>
      <c r="X32" s="234">
        <f>IFERROR(__xludf.DUMMYFUNCTION("""COMPUTED_VALUE"""),21.0)</f>
        <v>21</v>
      </c>
      <c r="Y32" s="235">
        <f>IFERROR(__xludf.DUMMYFUNCTION("""COMPUTED_VALUE"""),49.70238095238095)</f>
        <v>49.70238095</v>
      </c>
      <c r="Z32" s="236">
        <f>IFERROR(__xludf.DUMMYFUNCTION("""COMPUTED_VALUE"""),500.3)</f>
        <v>500.3</v>
      </c>
      <c r="AA32" s="237" t="str">
        <f>IFERROR(__xludf.DUMMYFUNCTION("""COMPUTED_VALUE"""),"AP")</f>
        <v>AP</v>
      </c>
      <c r="AB32" s="236">
        <f>IFERROR(__xludf.DUMMYFUNCTION("""COMPUTED_VALUE"""),4.2)</f>
        <v>4.2</v>
      </c>
      <c r="AC32" s="237" t="str">
        <f>IFERROR(__xludf.DUMMYFUNCTION("""COMPUTED_VALUE"""),"％")</f>
        <v>％</v>
      </c>
      <c r="AD32" s="234">
        <f>IFERROR(__xludf.DUMMYFUNCTION("""COMPUTED_VALUE"""),4585.0)</f>
        <v>4585</v>
      </c>
      <c r="AE32" s="217"/>
      <c r="AF32" s="98" t="str">
        <f>IFERROR(__xludf.DUMMYFUNCTION("""COMPUTED_VALUE"""),"")</f>
        <v/>
      </c>
    </row>
    <row r="33" ht="16.5" customHeight="1">
      <c r="B33" s="203"/>
      <c r="C33" s="217"/>
      <c r="D33" s="239">
        <f>IFERROR(__xludf.DUMMYFUNCTION("""COMPUTED_VALUE"""),4.0)</f>
        <v>4</v>
      </c>
      <c r="E33" s="241" t="str">
        <f>IFERROR(__xludf.DUMMYFUNCTION("""COMPUTED_VALUE"""),"ANA1")</f>
        <v>ANA1</v>
      </c>
      <c r="F33" s="243" t="str">
        <f>IFERROR(__xludf.DUMMYFUNCTION("""COMPUTED_VALUE"""),"Anastasia")</f>
        <v>Anastasia</v>
      </c>
      <c r="G33" s="245" t="str">
        <f>IFERROR(__xludf.DUMMYFUNCTION("""COMPUTED_VALUE"""),"Anchor Point")</f>
        <v>Anchor Point</v>
      </c>
      <c r="H33" s="247">
        <f>IFERROR(__xludf.DUMMYFUNCTION("""COMPUTED_VALUE"""),20.0)</f>
        <v>20</v>
      </c>
      <c r="I33" s="249">
        <f>IFERROR(__xludf.DUMMYFUNCTION("""COMPUTED_VALUE"""),48.4375)</f>
        <v>48.4375</v>
      </c>
      <c r="J33" s="251">
        <f>IFERROR(__xludf.DUMMYFUNCTION("""COMPUTED_VALUE"""),47.5)</f>
        <v>47.5</v>
      </c>
      <c r="K33" s="253" t="str">
        <f>IFERROR(__xludf.DUMMYFUNCTION("""COMPUTED_VALUE"""),"AP")</f>
        <v>AP</v>
      </c>
      <c r="L33" s="251">
        <f>IFERROR(__xludf.DUMMYFUNCTION("""COMPUTED_VALUE"""),42.1)</f>
        <v>42.1</v>
      </c>
      <c r="M33" s="253" t="str">
        <f>IFERROR(__xludf.DUMMYFUNCTION("""COMPUTED_VALUE"""),"％")</f>
        <v>％</v>
      </c>
      <c r="N33" s="247">
        <f>IFERROR(__xludf.DUMMYFUNCTION("""COMPUTED_VALUE"""),2205.0)</f>
        <v>2205</v>
      </c>
      <c r="O33" s="217"/>
      <c r="P33" s="93" t="str">
        <f>IFERROR(__xludf.DUMMYFUNCTION("""COMPUTED_VALUE"""),"")</f>
        <v/>
      </c>
      <c r="R33" s="203"/>
      <c r="S33" s="217"/>
      <c r="T33" s="239">
        <f>IFERROR(__xludf.DUMMYFUNCTION("""COMPUTED_VALUE"""),4.0)</f>
        <v>4</v>
      </c>
      <c r="U33" s="241" t="str">
        <f>IFERROR(__xludf.DUMMYFUNCTION("""COMPUTED_VALUE"""),"SMS9")</f>
        <v>SMS9</v>
      </c>
      <c r="V33" s="243" t="str">
        <f>IFERROR(__xludf.DUMMYFUNCTION("""COMPUTED_VALUE"""),"Shimosa")</f>
        <v>Shimosa</v>
      </c>
      <c r="W33" s="245" t="str">
        <f>IFERROR(__xludf.DUMMYFUNCTION("""COMPUTED_VALUE"""),"Rear Mountain (Trembling in Fear)")</f>
        <v>Rear Mountain (Trembling in Fear)</v>
      </c>
      <c r="X33" s="247">
        <f>IFERROR(__xludf.DUMMYFUNCTION("""COMPUTED_VALUE"""),21.0)</f>
        <v>21</v>
      </c>
      <c r="Y33" s="249">
        <f>IFERROR(__xludf.DUMMYFUNCTION("""COMPUTED_VALUE"""),50.892857142857146)</f>
        <v>50.89285714</v>
      </c>
      <c r="Z33" s="251">
        <f>IFERROR(__xludf.DUMMYFUNCTION("""COMPUTED_VALUE"""),499.3)</f>
        <v>499.3</v>
      </c>
      <c r="AA33" s="253" t="str">
        <f>IFERROR(__xludf.DUMMYFUNCTION("""COMPUTED_VALUE"""),"AP")</f>
        <v>AP</v>
      </c>
      <c r="AB33" s="251">
        <f>IFERROR(__xludf.DUMMYFUNCTION("""COMPUTED_VALUE"""),4.19999999)</f>
        <v>4.19999999</v>
      </c>
      <c r="AC33" s="253" t="str">
        <f>IFERROR(__xludf.DUMMYFUNCTION("""COMPUTED_VALUE"""),"％")</f>
        <v>％</v>
      </c>
      <c r="AD33" s="247">
        <f>IFERROR(__xludf.DUMMYFUNCTION("""COMPUTED_VALUE"""),18465.0)</f>
        <v>18465</v>
      </c>
      <c r="AE33" s="217"/>
      <c r="AF33" s="98" t="str">
        <f>IFERROR(__xludf.DUMMYFUNCTION("""COMPUTED_VALUE"""),"")</f>
        <v/>
      </c>
    </row>
    <row r="34" ht="16.5" customHeight="1">
      <c r="A34" s="166"/>
      <c r="B34" s="254"/>
      <c r="C34" s="263"/>
      <c r="D34" s="256">
        <f>IFERROR(__xludf.DUMMYFUNCTION("""COMPUTED_VALUE"""),5.0)</f>
        <v>5</v>
      </c>
      <c r="E34" s="257" t="str">
        <f>IFERROR(__xludf.DUMMYFUNCTION("""COMPUTED_VALUE"""),"ANA7")</f>
        <v>ANA7</v>
      </c>
      <c r="F34" s="42" t="str">
        <f>IFERROR(__xludf.DUMMYFUNCTION("""COMPUTED_VALUE"""),"Anastasia")</f>
        <v>Anastasia</v>
      </c>
      <c r="G34" s="258" t="str">
        <f>IFERROR(__xludf.DUMMYFUNCTION("""COMPUTED_VALUE"""),"Yaga Vyazma")</f>
        <v>Yaga Vyazma</v>
      </c>
      <c r="H34" s="259">
        <f>IFERROR(__xludf.DUMMYFUNCTION("""COMPUTED_VALUE"""),21.0)</f>
        <v>21</v>
      </c>
      <c r="I34" s="260">
        <f>IFERROR(__xludf.DUMMYFUNCTION("""COMPUTED_VALUE"""),48.51190476190476)</f>
        <v>48.51190476</v>
      </c>
      <c r="J34" s="261">
        <f>IFERROR(__xludf.DUMMYFUNCTION("""COMPUTED_VALUE"""),51.5)</f>
        <v>51.5</v>
      </c>
      <c r="K34" s="262" t="str">
        <f>IFERROR(__xludf.DUMMYFUNCTION("""COMPUTED_VALUE"""),"AP")</f>
        <v>AP</v>
      </c>
      <c r="L34" s="261">
        <f>IFERROR(__xludf.DUMMYFUNCTION("""COMPUTED_VALUE"""),40.8)</f>
        <v>40.8</v>
      </c>
      <c r="M34" s="262" t="str">
        <f>IFERROR(__xludf.DUMMYFUNCTION("""COMPUTED_VALUE"""),"％")</f>
        <v>％</v>
      </c>
      <c r="N34" s="259">
        <f>IFERROR(__xludf.DUMMYFUNCTION("""COMPUTED_VALUE"""),26722.0)</f>
        <v>26722</v>
      </c>
      <c r="O34" s="263"/>
      <c r="P34" s="93" t="str">
        <f>IFERROR(__xludf.DUMMYFUNCTION("""COMPUTED_VALUE"""),"")</f>
        <v/>
      </c>
      <c r="Q34" s="166"/>
      <c r="R34" s="254"/>
      <c r="S34" s="263"/>
      <c r="T34" s="256">
        <f>IFERROR(__xludf.DUMMYFUNCTION("""COMPUTED_VALUE"""),5.0)</f>
        <v>5</v>
      </c>
      <c r="U34" s="257" t="str">
        <f>IFERROR(__xludf.DUMMYFUNCTION("""COMPUTED_VALUE"""),"SIN3")</f>
        <v>SIN3</v>
      </c>
      <c r="V34" s="42" t="str">
        <f>IFERROR(__xludf.DUMMYFUNCTION("""COMPUTED_VALUE"""),"SIN")</f>
        <v>SIN</v>
      </c>
      <c r="W34" s="258" t="str">
        <f>IFERROR(__xludf.DUMMYFUNCTION("""COMPUTED_VALUE"""),"Icy Cold Grotto")</f>
        <v>Icy Cold Grotto</v>
      </c>
      <c r="X34" s="259">
        <f>IFERROR(__xludf.DUMMYFUNCTION("""COMPUTED_VALUE"""),20.0)</f>
        <v>20</v>
      </c>
      <c r="Y34" s="260">
        <f>IFERROR(__xludf.DUMMYFUNCTION("""COMPUTED_VALUE"""),48.4375)</f>
        <v>48.4375</v>
      </c>
      <c r="Z34" s="261">
        <f>IFERROR(__xludf.DUMMYFUNCTION("""COMPUTED_VALUE"""),573.3)</f>
        <v>573.3</v>
      </c>
      <c r="AA34" s="262" t="str">
        <f>IFERROR(__xludf.DUMMYFUNCTION("""COMPUTED_VALUE"""),"AP")</f>
        <v>AP</v>
      </c>
      <c r="AB34" s="261">
        <f>IFERROR(__xludf.DUMMYFUNCTION("""COMPUTED_VALUE"""),3.5)</f>
        <v>3.5</v>
      </c>
      <c r="AC34" s="262" t="str">
        <f>IFERROR(__xludf.DUMMYFUNCTION("""COMPUTED_VALUE"""),"％")</f>
        <v>％</v>
      </c>
      <c r="AD34" s="259">
        <f>IFERROR(__xludf.DUMMYFUNCTION("""COMPUTED_VALUE"""),946.0)</f>
        <v>946</v>
      </c>
      <c r="AE34" s="263"/>
      <c r="AF34" s="98" t="str">
        <f>IFERROR(__xludf.DUMMYFUNCTION("""COMPUTED_VALUE"""),"")</f>
        <v/>
      </c>
    </row>
    <row r="35" ht="16.5" customHeight="1">
      <c r="A35" s="61" t="str">
        <f>IFERROR(__xludf.DUMMYFUNCTION("""COMPUTED_VALUE"""),"")</f>
        <v/>
      </c>
      <c r="B35" s="264" t="str">
        <f>IFERROR(__xludf.DUMMYFUNCTION("""COMPUTED_VALUE"""),"A307")</f>
        <v>A307</v>
      </c>
      <c r="C35" s="65" t="str">
        <f>IFERROR(__xludf.DUMMYFUNCTION("""COMPUTED_VALUE"""),"Mystic Spinal Fluid")</f>
        <v>Mystic Spinal Fluid</v>
      </c>
      <c r="D35" s="70">
        <f>IFERROR(__xludf.DUMMYFUNCTION("""COMPUTED_VALUE"""),1.0)</f>
        <v>1</v>
      </c>
      <c r="E35" s="73" t="str">
        <f>IFERROR(__xludf.DUMMYFUNCTION("""COMPUTED_VALUE"""),"SJK3")</f>
        <v>SJK3</v>
      </c>
      <c r="F35" s="76" t="str">
        <f>IFERROR(__xludf.DUMMYFUNCTION("""COMPUTED_VALUE"""),"Shinjuku")</f>
        <v>Shinjuku</v>
      </c>
      <c r="G35" s="85" t="str">
        <f>IFERROR(__xludf.DUMMYFUNCTION("""COMPUTED_VALUE"""),"Shinjuku Station")</f>
        <v>Shinjuku Station</v>
      </c>
      <c r="H35" s="87">
        <f>IFERROR(__xludf.DUMMYFUNCTION("""COMPUTED_VALUE"""),21.0)</f>
        <v>21</v>
      </c>
      <c r="I35" s="90">
        <f>IFERROR(__xludf.DUMMYFUNCTION("""COMPUTED_VALUE"""),47.32142857142857)</f>
        <v>47.32142857</v>
      </c>
      <c r="J35" s="92">
        <f>IFERROR(__xludf.DUMMYFUNCTION("""COMPUTED_VALUE"""),32.5)</f>
        <v>32.5</v>
      </c>
      <c r="K35" s="94" t="str">
        <f>IFERROR(__xludf.DUMMYFUNCTION("""COMPUTED_VALUE"""),"AP")</f>
        <v>AP</v>
      </c>
      <c r="L35" s="96">
        <f>IFERROR(__xludf.DUMMYFUNCTION("""COMPUTED_VALUE"""),64.6)</f>
        <v>64.6</v>
      </c>
      <c r="M35" s="94" t="str">
        <f>IFERROR(__xludf.DUMMYFUNCTION("""COMPUTED_VALUE"""),"％")</f>
        <v>％</v>
      </c>
      <c r="N35" s="87">
        <f>IFERROR(__xludf.DUMMYFUNCTION("""COMPUTED_VALUE"""),16623.0)</f>
        <v>16623</v>
      </c>
      <c r="O35" s="97" t="str">
        <f>IFERROR(__xludf.DUMMYFUNCTION("""COMPUTED_VALUE"""),"Mystic Spinal Fluid")</f>
        <v>Mystic Spinal Fluid</v>
      </c>
      <c r="P35" s="93" t="str">
        <f>IFERROR(__xludf.DUMMYFUNCTION("""COMPUTED_VALUE"""),"")</f>
        <v/>
      </c>
      <c r="Q35" s="61" t="str">
        <f>IFERROR(__xludf.DUMMYFUNCTION("""COMPUTED_VALUE"""),"")</f>
        <v/>
      </c>
      <c r="R35" s="266" t="str">
        <f>IFERROR(__xludf.DUMMYFUNCTION("""COMPUTED_VALUE"""),"B107")</f>
        <v>B107</v>
      </c>
      <c r="S35" s="65" t="str">
        <f>IFERROR(__xludf.DUMMYFUNCTION("""COMPUTED_VALUE"""),"Secret Gem of Berserker")</f>
        <v>Secret Gem of Berserker</v>
      </c>
      <c r="T35" s="70">
        <f>IFERROR(__xludf.DUMMYFUNCTION("""COMPUTED_VALUE"""),1.0)</f>
        <v>1</v>
      </c>
      <c r="U35" s="73" t="str">
        <f>IFERROR(__xludf.DUMMYFUNCTION("""COMPUTED_VALUE"""),"TRF12")</f>
        <v>TRF12</v>
      </c>
      <c r="V35" s="76" t="str">
        <f>IFERROR(__xludf.DUMMYFUNCTION("""COMPUTED_VALUE"""),"Chaldea Gate (Wed)")</f>
        <v>Chaldea Gate (Wed)</v>
      </c>
      <c r="W35" s="76" t="str">
        <f>IFERROR(__xludf.DUMMYFUNCTION("""COMPUTED_VALUE"""),"WED Berserker Training Ground- Exp")</f>
        <v>WED Berserker Training Ground- Exp</v>
      </c>
      <c r="X35" s="87">
        <f>IFERROR(__xludf.DUMMYFUNCTION("""COMPUTED_VALUE"""),40.0)</f>
        <v>40</v>
      </c>
      <c r="Y35" s="90">
        <f>IFERROR(__xludf.DUMMYFUNCTION("""COMPUTED_VALUE"""),20.46875)</f>
        <v>20.46875</v>
      </c>
      <c r="Z35" s="92">
        <f>IFERROR(__xludf.DUMMYFUNCTION("""COMPUTED_VALUE"""),167.4)</f>
        <v>167.4</v>
      </c>
      <c r="AA35" s="94" t="str">
        <f>IFERROR(__xludf.DUMMYFUNCTION("""COMPUTED_VALUE"""),"AP")</f>
        <v>AP</v>
      </c>
      <c r="AB35" s="96">
        <f>IFERROR(__xludf.DUMMYFUNCTION("""COMPUTED_VALUE"""),23.9)</f>
        <v>23.9</v>
      </c>
      <c r="AC35" s="94" t="str">
        <f>IFERROR(__xludf.DUMMYFUNCTION("""COMPUTED_VALUE"""),"％")</f>
        <v>％</v>
      </c>
      <c r="AD35" s="87">
        <f>IFERROR(__xludf.DUMMYFUNCTION("""COMPUTED_VALUE"""),3095.0)</f>
        <v>3095</v>
      </c>
      <c r="AE35" s="97" t="str">
        <f>IFERROR(__xludf.DUMMYFUNCTION("""COMPUTED_VALUE"""),"Secret Gem of Berserker")</f>
        <v>Secret Gem of Berserker</v>
      </c>
      <c r="AF35" s="98" t="str">
        <f>IFERROR(__xludf.DUMMYFUNCTION("""COMPUTED_VALUE"""),"")</f>
        <v/>
      </c>
    </row>
    <row r="36" ht="16.5" customHeight="1">
      <c r="B36" s="268"/>
      <c r="C36" s="100"/>
      <c r="D36" s="105">
        <f>IFERROR(__xludf.DUMMYFUNCTION("""COMPUTED_VALUE"""),2.0)</f>
        <v>2</v>
      </c>
      <c r="E36" s="106" t="str">
        <f>IFERROR(__xludf.DUMMYFUNCTION("""COMPUTED_VALUE"""),"SJK4")</f>
        <v>SJK4</v>
      </c>
      <c r="F36" s="107" t="str">
        <f>IFERROR(__xludf.DUMMYFUNCTION("""COMPUTED_VALUE"""),"Shinjuku")</f>
        <v>Shinjuku</v>
      </c>
      <c r="G36" s="114" t="str">
        <f>IFERROR(__xludf.DUMMYFUNCTION("""COMPUTED_VALUE"""),"Shinjuku 4-Chome")</f>
        <v>Shinjuku 4-Chome</v>
      </c>
      <c r="H36" s="116">
        <f>IFERROR(__xludf.DUMMYFUNCTION("""COMPUTED_VALUE"""),21.0)</f>
        <v>21</v>
      </c>
      <c r="I36" s="118">
        <f>IFERROR(__xludf.DUMMYFUNCTION("""COMPUTED_VALUE"""),47.32142857142857)</f>
        <v>47.32142857</v>
      </c>
      <c r="J36" s="120">
        <f>IFERROR(__xludf.DUMMYFUNCTION("""COMPUTED_VALUE"""),51.3)</f>
        <v>51.3</v>
      </c>
      <c r="K36" s="122" t="str">
        <f>IFERROR(__xludf.DUMMYFUNCTION("""COMPUTED_VALUE"""),"AP")</f>
        <v>AP</v>
      </c>
      <c r="L36" s="124">
        <f>IFERROR(__xludf.DUMMYFUNCTION("""COMPUTED_VALUE"""),40.9)</f>
        <v>40.9</v>
      </c>
      <c r="M36" s="122" t="str">
        <f>IFERROR(__xludf.DUMMYFUNCTION("""COMPUTED_VALUE"""),"％")</f>
        <v>％</v>
      </c>
      <c r="N36" s="116">
        <f>IFERROR(__xludf.DUMMYFUNCTION("""COMPUTED_VALUE"""),36616.0)</f>
        <v>36616</v>
      </c>
      <c r="O36" s="100"/>
      <c r="P36" s="93" t="str">
        <f>IFERROR(__xludf.DUMMYFUNCTION("""COMPUTED_VALUE"""),"")</f>
        <v/>
      </c>
      <c r="R36" s="268"/>
      <c r="S36" s="100"/>
      <c r="T36" s="105">
        <f>IFERROR(__xludf.DUMMYFUNCTION("""COMPUTED_VALUE"""),2.0)</f>
        <v>2</v>
      </c>
      <c r="U36" s="106" t="str">
        <f>IFERROR(__xludf.DUMMYFUNCTION("""COMPUTED_VALUE"""),"TRF11")</f>
        <v>TRF11</v>
      </c>
      <c r="V36" s="107" t="str">
        <f>IFERROR(__xludf.DUMMYFUNCTION("""COMPUTED_VALUE"""),"Chaldea Gate (Wed)")</f>
        <v>Chaldea Gate (Wed)</v>
      </c>
      <c r="W36" s="107" t="str">
        <f>IFERROR(__xludf.DUMMYFUNCTION("""COMPUTED_VALUE"""),"WED Berserker Training Ground- Adv")</f>
        <v>WED Berserker Training Ground- Adv</v>
      </c>
      <c r="X36" s="116">
        <f>IFERROR(__xludf.DUMMYFUNCTION("""COMPUTED_VALUE"""),30.0)</f>
        <v>30</v>
      </c>
      <c r="Y36" s="118">
        <f>IFERROR(__xludf.DUMMYFUNCTION("""COMPUTED_VALUE"""),18.958333333333332)</f>
        <v>18.95833333</v>
      </c>
      <c r="Z36" s="120">
        <f>IFERROR(__xludf.DUMMYFUNCTION("""COMPUTED_VALUE"""),213.2)</f>
        <v>213.2</v>
      </c>
      <c r="AA36" s="122" t="str">
        <f>IFERROR(__xludf.DUMMYFUNCTION("""COMPUTED_VALUE"""),"AP")</f>
        <v>AP</v>
      </c>
      <c r="AB36" s="124">
        <f>IFERROR(__xludf.DUMMYFUNCTION("""COMPUTED_VALUE"""),14.1)</f>
        <v>14.1</v>
      </c>
      <c r="AC36" s="122" t="str">
        <f>IFERROR(__xludf.DUMMYFUNCTION("""COMPUTED_VALUE"""),"％")</f>
        <v>％</v>
      </c>
      <c r="AD36" s="116">
        <f>IFERROR(__xludf.DUMMYFUNCTION("""COMPUTED_VALUE"""),469.0)</f>
        <v>469</v>
      </c>
      <c r="AE36" s="100"/>
      <c r="AF36" s="98" t="str">
        <f>IFERROR(__xludf.DUMMYFUNCTION("""COMPUTED_VALUE"""),"")</f>
        <v/>
      </c>
    </row>
    <row r="37" ht="16.5" customHeight="1">
      <c r="B37" s="268"/>
      <c r="C37" s="100"/>
      <c r="D37" s="128">
        <f>IFERROR(__xludf.DUMMYFUNCTION("""COMPUTED_VALUE"""),3.0)</f>
        <v>3</v>
      </c>
      <c r="E37" s="129" t="str">
        <f>IFERROR(__xludf.DUMMYFUNCTION("""COMPUTED_VALUE"""),"SJK1")</f>
        <v>SJK1</v>
      </c>
      <c r="F37" s="131" t="str">
        <f>IFERROR(__xludf.DUMMYFUNCTION("""COMPUTED_VALUE"""),"Shinjuku")</f>
        <v>Shinjuku</v>
      </c>
      <c r="G37" s="134" t="str">
        <f>IFERROR(__xludf.DUMMYFUNCTION("""COMPUTED_VALUE"""),"Yoyogi 2-Chome")</f>
        <v>Yoyogi 2-Chome</v>
      </c>
      <c r="H37" s="136">
        <f>IFERROR(__xludf.DUMMYFUNCTION("""COMPUTED_VALUE"""),20.0)</f>
        <v>20</v>
      </c>
      <c r="I37" s="138">
        <f>IFERROR(__xludf.DUMMYFUNCTION("""COMPUTED_VALUE"""),48.4375)</f>
        <v>48.4375</v>
      </c>
      <c r="J37" s="140">
        <f>IFERROR(__xludf.DUMMYFUNCTION("""COMPUTED_VALUE"""),49.4)</f>
        <v>49.4</v>
      </c>
      <c r="K37" s="142" t="str">
        <f>IFERROR(__xludf.DUMMYFUNCTION("""COMPUTED_VALUE"""),"AP")</f>
        <v>AP</v>
      </c>
      <c r="L37" s="144">
        <f>IFERROR(__xludf.DUMMYFUNCTION("""COMPUTED_VALUE"""),40.5)</f>
        <v>40.5</v>
      </c>
      <c r="M37" s="142" t="str">
        <f>IFERROR(__xludf.DUMMYFUNCTION("""COMPUTED_VALUE"""),"％")</f>
        <v>％</v>
      </c>
      <c r="N37" s="136">
        <f>IFERROR(__xludf.DUMMYFUNCTION("""COMPUTED_VALUE"""),299.0)</f>
        <v>299</v>
      </c>
      <c r="O37" s="100"/>
      <c r="P37" s="93" t="str">
        <f>IFERROR(__xludf.DUMMYFUNCTION("""COMPUTED_VALUE"""),"")</f>
        <v/>
      </c>
      <c r="R37" s="268"/>
      <c r="S37" s="100"/>
      <c r="T37" s="128">
        <f>IFERROR(__xludf.DUMMYFUNCTION("""COMPUTED_VALUE"""),3.0)</f>
        <v>3</v>
      </c>
      <c r="U37" s="129" t="str">
        <f>IFERROR(__xludf.DUMMYFUNCTION("""COMPUTED_VALUE"""),"CML10")</f>
        <v>CML10</v>
      </c>
      <c r="V37" s="131" t="str">
        <f>IFERROR(__xludf.DUMMYFUNCTION("""COMPUTED_VALUE"""),"Camelot")</f>
        <v>Camelot</v>
      </c>
      <c r="W37" s="134" t="str">
        <f>IFERROR(__xludf.DUMMYFUNCTION("""COMPUTED_VALUE"""),"Holy City")</f>
        <v>Holy City</v>
      </c>
      <c r="X37" s="136">
        <f>IFERROR(__xludf.DUMMYFUNCTION("""COMPUTED_VALUE"""),20.0)</f>
        <v>20</v>
      </c>
      <c r="Y37" s="138">
        <f>IFERROR(__xludf.DUMMYFUNCTION("""COMPUTED_VALUE"""),47.1875)</f>
        <v>47.1875</v>
      </c>
      <c r="Z37" s="140">
        <f>IFERROR(__xludf.DUMMYFUNCTION("""COMPUTED_VALUE"""),217.4)</f>
        <v>217.4</v>
      </c>
      <c r="AA37" s="142" t="str">
        <f>IFERROR(__xludf.DUMMYFUNCTION("""COMPUTED_VALUE"""),"AP")</f>
        <v>AP</v>
      </c>
      <c r="AB37" s="144">
        <f>IFERROR(__xludf.DUMMYFUNCTION("""COMPUTED_VALUE"""),9.2)</f>
        <v>9.2</v>
      </c>
      <c r="AC37" s="142" t="str">
        <f>IFERROR(__xludf.DUMMYFUNCTION("""COMPUTED_VALUE"""),"％")</f>
        <v>％</v>
      </c>
      <c r="AD37" s="136">
        <f>IFERROR(__xludf.DUMMYFUNCTION("""COMPUTED_VALUE"""),22807.0)</f>
        <v>22807</v>
      </c>
      <c r="AE37" s="100"/>
      <c r="AF37" s="98" t="str">
        <f>IFERROR(__xludf.DUMMYFUNCTION("""COMPUTED_VALUE"""),"")</f>
        <v/>
      </c>
    </row>
    <row r="38" ht="16.5" customHeight="1">
      <c r="B38" s="268"/>
      <c r="C38" s="100"/>
      <c r="D38" s="147">
        <f>IFERROR(__xludf.DUMMYFUNCTION("""COMPUTED_VALUE"""),4.0)</f>
        <v>4</v>
      </c>
      <c r="E38" s="149" t="str">
        <f>IFERROR(__xludf.DUMMYFUNCTION("""COMPUTED_VALUE"""),"SJK2")</f>
        <v>SJK2</v>
      </c>
      <c r="F38" s="151" t="str">
        <f>IFERROR(__xludf.DUMMYFUNCTION("""COMPUTED_VALUE"""),"Shinjuku")</f>
        <v>Shinjuku</v>
      </c>
      <c r="G38" s="153" t="str">
        <f>IFERROR(__xludf.DUMMYFUNCTION("""COMPUTED_VALUE"""),"Route 20")</f>
        <v>Route 20</v>
      </c>
      <c r="H38" s="155">
        <f>IFERROR(__xludf.DUMMYFUNCTION("""COMPUTED_VALUE"""),20.0)</f>
        <v>20</v>
      </c>
      <c r="I38" s="157">
        <f>IFERROR(__xludf.DUMMYFUNCTION("""COMPUTED_VALUE"""),48.4375)</f>
        <v>48.4375</v>
      </c>
      <c r="J38" s="159">
        <f>IFERROR(__xludf.DUMMYFUNCTION("""COMPUTED_VALUE"""),50.6)</f>
        <v>50.6</v>
      </c>
      <c r="K38" s="161" t="str">
        <f>IFERROR(__xludf.DUMMYFUNCTION("""COMPUTED_VALUE"""),"AP")</f>
        <v>AP</v>
      </c>
      <c r="L38" s="163">
        <f>IFERROR(__xludf.DUMMYFUNCTION("""COMPUTED_VALUE"""),39.6)</f>
        <v>39.6</v>
      </c>
      <c r="M38" s="161" t="str">
        <f>IFERROR(__xludf.DUMMYFUNCTION("""COMPUTED_VALUE"""),"％")</f>
        <v>％</v>
      </c>
      <c r="N38" s="155">
        <f>IFERROR(__xludf.DUMMYFUNCTION("""COMPUTED_VALUE"""),6247.0)</f>
        <v>6247</v>
      </c>
      <c r="O38" s="100"/>
      <c r="P38" s="93" t="str">
        <f>IFERROR(__xludf.DUMMYFUNCTION("""COMPUTED_VALUE"""),"")</f>
        <v/>
      </c>
      <c r="R38" s="268"/>
      <c r="S38" s="100"/>
      <c r="T38" s="147">
        <f>IFERROR(__xludf.DUMMYFUNCTION("""COMPUTED_VALUE"""),4.0)</f>
        <v>4</v>
      </c>
      <c r="U38" s="149" t="str">
        <f>IFERROR(__xludf.DUMMYFUNCTION("""COMPUTED_VALUE"""),"SJK4")</f>
        <v>SJK4</v>
      </c>
      <c r="V38" s="151" t="str">
        <f>IFERROR(__xludf.DUMMYFUNCTION("""COMPUTED_VALUE"""),"Shinjuku")</f>
        <v>Shinjuku</v>
      </c>
      <c r="W38" s="153" t="str">
        <f>IFERROR(__xludf.DUMMYFUNCTION("""COMPUTED_VALUE"""),"Shinjuku 4-Chome")</f>
        <v>Shinjuku 4-Chome</v>
      </c>
      <c r="X38" s="155">
        <f>IFERROR(__xludf.DUMMYFUNCTION("""COMPUTED_VALUE"""),21.0)</f>
        <v>21</v>
      </c>
      <c r="Y38" s="157">
        <f>IFERROR(__xludf.DUMMYFUNCTION("""COMPUTED_VALUE"""),47.32142857142857)</f>
        <v>47.32142857</v>
      </c>
      <c r="Z38" s="159">
        <f>IFERROR(__xludf.DUMMYFUNCTION("""COMPUTED_VALUE"""),406.7)</f>
        <v>406.7</v>
      </c>
      <c r="AA38" s="161" t="str">
        <f>IFERROR(__xludf.DUMMYFUNCTION("""COMPUTED_VALUE"""),"AP")</f>
        <v>AP</v>
      </c>
      <c r="AB38" s="163">
        <f>IFERROR(__xludf.DUMMYFUNCTION("""COMPUTED_VALUE"""),5.2)</f>
        <v>5.2</v>
      </c>
      <c r="AC38" s="161" t="str">
        <f>IFERROR(__xludf.DUMMYFUNCTION("""COMPUTED_VALUE"""),"％")</f>
        <v>％</v>
      </c>
      <c r="AD38" s="155">
        <f>IFERROR(__xludf.DUMMYFUNCTION("""COMPUTED_VALUE"""),36616.0)</f>
        <v>36616</v>
      </c>
      <c r="AE38" s="100"/>
      <c r="AF38" s="98" t="str">
        <f>IFERROR(__xludf.DUMMYFUNCTION("""COMPUTED_VALUE"""),"")</f>
        <v/>
      </c>
    </row>
    <row r="39" ht="16.5" customHeight="1">
      <c r="A39" s="166"/>
      <c r="B39" s="269"/>
      <c r="C39" s="168"/>
      <c r="D39" s="169">
        <f>IFERROR(__xludf.DUMMYFUNCTION("""COMPUTED_VALUE"""),5.0)</f>
        <v>5</v>
      </c>
      <c r="E39" s="170" t="str">
        <f>IFERROR(__xludf.DUMMYFUNCTION("""COMPUTED_VALUE"""),"SJK9")</f>
        <v>SJK9</v>
      </c>
      <c r="F39" s="51" t="str">
        <f>IFERROR(__xludf.DUMMYFUNCTION("""COMPUTED_VALUE"""),"Shinjuku")</f>
        <v>Shinjuku</v>
      </c>
      <c r="G39" s="171" t="str">
        <f>IFERROR(__xludf.DUMMYFUNCTION("""COMPUTED_VALUE"""),"Shinjuku Gyoen")</f>
        <v>Shinjuku Gyoen</v>
      </c>
      <c r="H39" s="172">
        <f>IFERROR(__xludf.DUMMYFUNCTION("""COMPUTED_VALUE"""),21.0)</f>
        <v>21</v>
      </c>
      <c r="I39" s="173">
        <f>IFERROR(__xludf.DUMMYFUNCTION("""COMPUTED_VALUE"""),50.892857142857146)</f>
        <v>50.89285714</v>
      </c>
      <c r="J39" s="174">
        <f>IFERROR(__xludf.DUMMYFUNCTION("""COMPUTED_VALUE"""),69.4)</f>
        <v>69.4</v>
      </c>
      <c r="K39" s="175" t="str">
        <f>IFERROR(__xludf.DUMMYFUNCTION("""COMPUTED_VALUE"""),"AP")</f>
        <v>AP</v>
      </c>
      <c r="L39" s="176">
        <f>IFERROR(__xludf.DUMMYFUNCTION("""COMPUTED_VALUE"""),30.2)</f>
        <v>30.2</v>
      </c>
      <c r="M39" s="175" t="str">
        <f>IFERROR(__xludf.DUMMYFUNCTION("""COMPUTED_VALUE"""),"％")</f>
        <v>％</v>
      </c>
      <c r="N39" s="172">
        <f>IFERROR(__xludf.DUMMYFUNCTION("""COMPUTED_VALUE"""),42877.0)</f>
        <v>42877</v>
      </c>
      <c r="O39" s="168"/>
      <c r="P39" s="93" t="str">
        <f>IFERROR(__xludf.DUMMYFUNCTION("""COMPUTED_VALUE"""),"")</f>
        <v/>
      </c>
      <c r="Q39" s="166"/>
      <c r="R39" s="268"/>
      <c r="S39" s="168"/>
      <c r="T39" s="169">
        <f>IFERROR(__xludf.DUMMYFUNCTION("""COMPUTED_VALUE"""),5.0)</f>
        <v>5</v>
      </c>
      <c r="U39" s="170" t="str">
        <f>IFERROR(__xludf.DUMMYFUNCTION("""COMPUTED_VALUE"""),"SJK4")</f>
        <v>SJK4</v>
      </c>
      <c r="V39" s="51" t="str">
        <f>IFERROR(__xludf.DUMMYFUNCTION("""COMPUTED_VALUE"""),"Shinjuku")</f>
        <v>Shinjuku</v>
      </c>
      <c r="W39" s="171" t="str">
        <f>IFERROR(__xludf.DUMMYFUNCTION("""COMPUTED_VALUE"""),"Shinjuku 4-Chome")</f>
        <v>Shinjuku 4-Chome</v>
      </c>
      <c r="X39" s="172">
        <f>IFERROR(__xludf.DUMMYFUNCTION("""COMPUTED_VALUE"""),21.0)</f>
        <v>21</v>
      </c>
      <c r="Y39" s="173">
        <f>IFERROR(__xludf.DUMMYFUNCTION("""COMPUTED_VALUE"""),47.32142857142857)</f>
        <v>47.32142857</v>
      </c>
      <c r="Z39" s="174">
        <f>IFERROR(__xludf.DUMMYFUNCTION("""COMPUTED_VALUE"""),406.7)</f>
        <v>406.7</v>
      </c>
      <c r="AA39" s="175" t="str">
        <f>IFERROR(__xludf.DUMMYFUNCTION("""COMPUTED_VALUE"""),"AP")</f>
        <v>AP</v>
      </c>
      <c r="AB39" s="176">
        <f>IFERROR(__xludf.DUMMYFUNCTION("""COMPUTED_VALUE"""),5.2)</f>
        <v>5.2</v>
      </c>
      <c r="AC39" s="175" t="str">
        <f>IFERROR(__xludf.DUMMYFUNCTION("""COMPUTED_VALUE"""),"％")</f>
        <v>％</v>
      </c>
      <c r="AD39" s="172">
        <f>IFERROR(__xludf.DUMMYFUNCTION("""COMPUTED_VALUE"""),36616.0)</f>
        <v>36616</v>
      </c>
      <c r="AE39" s="168"/>
      <c r="AF39" s="98" t="str">
        <f>IFERROR(__xludf.DUMMYFUNCTION("""COMPUTED_VALUE"""),"")</f>
        <v/>
      </c>
    </row>
    <row r="40" ht="16.5" customHeight="1">
      <c r="A40" s="352" t="str">
        <f>IFERROR(__xludf.DUMMYFUNCTION("""COMPUTED_VALUE"""),"Item")</f>
        <v>Item</v>
      </c>
      <c r="C40" s="353"/>
      <c r="D40" s="30" t="str">
        <f>IFERROR(__xludf.DUMMYFUNCTION("""COMPUTED_VALUE"""),"No.")</f>
        <v>No.</v>
      </c>
      <c r="E40" s="31" t="str">
        <f>IFERROR(__xludf.DUMMYFUNCTION("""COMPUTED_VALUE"""),"Node Code")</f>
        <v>Node Code</v>
      </c>
      <c r="F40" s="31" t="str">
        <f>IFERROR(__xludf.DUMMYFUNCTION("""COMPUTED_VALUE"""),"Area")</f>
        <v>Area</v>
      </c>
      <c r="G40" s="31" t="str">
        <f>IFERROR(__xludf.DUMMYFUNCTION("""COMPUTED_VALUE"""),"Quest")</f>
        <v>Quest</v>
      </c>
      <c r="H40" s="30" t="str">
        <f>IFERROR(__xludf.DUMMYFUNCTION("""COMPUTED_VALUE"""),"AP")</f>
        <v>AP</v>
      </c>
      <c r="I40" s="354" t="str">
        <f>IFERROR(__xludf.DUMMYFUNCTION("""COMPUTED_VALUE"""),"BP/AP")</f>
        <v>BP/AP</v>
      </c>
      <c r="J40" s="36" t="str">
        <f>IFERROR(__xludf.DUMMYFUNCTION("""COMPUTED_VALUE"""),"AP/Drop")</f>
        <v>AP/Drop</v>
      </c>
      <c r="K40" s="28"/>
      <c r="L40" s="36" t="str">
        <f>IFERROR(__xludf.DUMMYFUNCTION("""COMPUTED_VALUE"""),"Drop Chance")</f>
        <v>Drop Chance</v>
      </c>
      <c r="M40" s="28"/>
      <c r="N40" s="38" t="str">
        <f>IFERROR(__xludf.DUMMYFUNCTION("""COMPUTED_VALUE"""),"Runs")</f>
        <v>Runs</v>
      </c>
      <c r="O40" s="355" t="str">
        <f>IFERROR(__xludf.DUMMYFUNCTION("""COMPUTED_VALUE"""),"")</f>
        <v/>
      </c>
      <c r="P40" s="42" t="str">
        <f>IFERROR(__xludf.DUMMYFUNCTION("""COMPUTED_VALUE"""),"")</f>
        <v/>
      </c>
      <c r="Q40" s="352" t="str">
        <f>IFERROR(__xludf.DUMMYFUNCTION("""COMPUTED_VALUE"""),"Item")</f>
        <v>Item</v>
      </c>
      <c r="S40" s="353"/>
      <c r="T40" s="30" t="str">
        <f>IFERROR(__xludf.DUMMYFUNCTION("""COMPUTED_VALUE"""),"No.")</f>
        <v>No.</v>
      </c>
      <c r="U40" s="31" t="str">
        <f>IFERROR(__xludf.DUMMYFUNCTION("""COMPUTED_VALUE"""),"Node Code")</f>
        <v>Node Code</v>
      </c>
      <c r="V40" s="31" t="str">
        <f>IFERROR(__xludf.DUMMYFUNCTION("""COMPUTED_VALUE"""),"Area")</f>
        <v>Area</v>
      </c>
      <c r="W40" s="31" t="str">
        <f>IFERROR(__xludf.DUMMYFUNCTION("""COMPUTED_VALUE"""),"Quest")</f>
        <v>Quest</v>
      </c>
      <c r="X40" s="30" t="str">
        <f>IFERROR(__xludf.DUMMYFUNCTION("""COMPUTED_VALUE"""),"AP")</f>
        <v>AP</v>
      </c>
      <c r="Y40" s="354" t="str">
        <f>IFERROR(__xludf.DUMMYFUNCTION("""COMPUTED_VALUE"""),"BP/AP")</f>
        <v>BP/AP</v>
      </c>
      <c r="Z40" s="36" t="str">
        <f>IFERROR(__xludf.DUMMYFUNCTION("""COMPUTED_VALUE"""),"AP/Drop")</f>
        <v>AP/Drop</v>
      </c>
      <c r="AA40" s="28"/>
      <c r="AB40" s="36" t="str">
        <f>IFERROR(__xludf.DUMMYFUNCTION("""COMPUTED_VALUE"""),"Drop Chance")</f>
        <v>Drop Chance</v>
      </c>
      <c r="AC40" s="28"/>
      <c r="AD40" s="38" t="str">
        <f>IFERROR(__xludf.DUMMYFUNCTION("""COMPUTED_VALUE"""),"Runs")</f>
        <v>Runs</v>
      </c>
      <c r="AE40" s="355" t="str">
        <f>IFERROR(__xludf.DUMMYFUNCTION("""COMPUTED_VALUE"""),"")</f>
        <v/>
      </c>
      <c r="AF40" s="51" t="str">
        <f>IFERROR(__xludf.DUMMYFUNCTION("""COMPUTED_VALUE"""),"")</f>
        <v/>
      </c>
    </row>
    <row r="41" ht="16.5" customHeight="1">
      <c r="A41" s="54"/>
      <c r="B41" s="55"/>
      <c r="C41" s="57"/>
      <c r="D41" s="57"/>
      <c r="E41" s="57"/>
      <c r="F41" s="57"/>
      <c r="G41" s="57"/>
      <c r="H41" s="57"/>
      <c r="I41" s="58" t="str">
        <f>IFERROR(__xludf.DUMMYFUNCTION("""COMPUTED_VALUE"""),"1P+1L+1T")</f>
        <v>1P+1L+1T</v>
      </c>
      <c r="J41" s="55"/>
      <c r="K41" s="57"/>
      <c r="L41" s="55"/>
      <c r="M41" s="57"/>
      <c r="N41" s="57"/>
      <c r="O41" s="57"/>
      <c r="P41" s="42" t="str">
        <f>IFERROR(__xludf.DUMMYFUNCTION("""COMPUTED_VALUE"""),"")</f>
        <v/>
      </c>
      <c r="Q41" s="54"/>
      <c r="R41" s="55"/>
      <c r="S41" s="57"/>
      <c r="T41" s="57"/>
      <c r="U41" s="57"/>
      <c r="V41" s="57"/>
      <c r="W41" s="57"/>
      <c r="X41" s="57"/>
      <c r="Y41" s="58" t="str">
        <f>IFERROR(__xludf.DUMMYFUNCTION("""COMPUTED_VALUE"""),"1P+1L+1T")</f>
        <v>1P+1L+1T</v>
      </c>
      <c r="Z41" s="55"/>
      <c r="AA41" s="57"/>
      <c r="AB41" s="55"/>
      <c r="AC41" s="57"/>
      <c r="AD41" s="57"/>
      <c r="AE41" s="57"/>
      <c r="AF41" s="51" t="str">
        <f>IFERROR(__xludf.DUMMYFUNCTION("""COMPUTED_VALUE"""),"")</f>
        <v/>
      </c>
    </row>
    <row r="42" ht="16.5" customHeight="1">
      <c r="A42" s="61" t="str">
        <f>IFERROR(__xludf.DUMMYFUNCTION("""COMPUTED_VALUE"""),"")</f>
        <v/>
      </c>
      <c r="B42" s="183" t="str">
        <f>IFERROR(__xludf.DUMMYFUNCTION("""COMPUTED_VALUE"""),"A308")</f>
        <v>A308</v>
      </c>
      <c r="C42" s="180" t="str">
        <f>IFERROR(__xludf.DUMMYFUNCTION("""COMPUTED_VALUE"""),"Night-Weeping Iron Stake")</f>
        <v>Night-Weeping Iron Stake</v>
      </c>
      <c r="D42" s="185">
        <f>IFERROR(__xludf.DUMMYFUNCTION("""COMPUTED_VALUE"""),1.0)</f>
        <v>1</v>
      </c>
      <c r="E42" s="187" t="str">
        <f>IFERROR(__xludf.DUMMYFUNCTION("""COMPUTED_VALUE"""),"SLM7")</f>
        <v>SLM7</v>
      </c>
      <c r="F42" s="188" t="str">
        <f>IFERROR(__xludf.DUMMYFUNCTION("""COMPUTED_VALUE"""),"Salem")</f>
        <v>Salem</v>
      </c>
      <c r="G42" s="193" t="str">
        <f>IFERROR(__xludf.DUMMYFUNCTION("""COMPUTED_VALUE"""),"Gallow Hill")</f>
        <v>Gallow Hill</v>
      </c>
      <c r="H42" s="195">
        <f>IFERROR(__xludf.DUMMYFUNCTION("""COMPUTED_VALUE"""),21.0)</f>
        <v>21</v>
      </c>
      <c r="I42" s="196">
        <f>IFERROR(__xludf.DUMMYFUNCTION("""COMPUTED_VALUE"""),49.70238095238095)</f>
        <v>49.70238095</v>
      </c>
      <c r="J42" s="198">
        <f>IFERROR(__xludf.DUMMYFUNCTION("""COMPUTED_VALUE"""),30.6)</f>
        <v>30.6</v>
      </c>
      <c r="K42" s="200" t="str">
        <f>IFERROR(__xludf.DUMMYFUNCTION("""COMPUTED_VALUE"""),"AP")</f>
        <v>AP</v>
      </c>
      <c r="L42" s="198">
        <f>IFERROR(__xludf.DUMMYFUNCTION("""COMPUTED_VALUE"""),68.6)</f>
        <v>68.6</v>
      </c>
      <c r="M42" s="201" t="str">
        <f>IFERROR(__xludf.DUMMYFUNCTION("""COMPUTED_VALUE"""),"％")</f>
        <v>％</v>
      </c>
      <c r="N42" s="195">
        <f>IFERROR(__xludf.DUMMYFUNCTION("""COMPUTED_VALUE"""),8007.0)</f>
        <v>8007</v>
      </c>
      <c r="O42" s="197" t="str">
        <f>IFERROR(__xludf.DUMMYFUNCTION("""COMPUTED_VALUE"""),"Night-Weeping Iron Stake")</f>
        <v>Night-Weeping Iron Stake</v>
      </c>
      <c r="P42" s="93" t="str">
        <f>IFERROR(__xludf.DUMMYFUNCTION("""COMPUTED_VALUE"""),"")</f>
        <v/>
      </c>
      <c r="Q42" s="61" t="str">
        <f>IFERROR(__xludf.DUMMYFUNCTION("""COMPUTED_VALUE"""),"")</f>
        <v/>
      </c>
      <c r="R42" s="183" t="str">
        <f>IFERROR(__xludf.DUMMYFUNCTION("""COMPUTED_VALUE"""),"B111")</f>
        <v>B111</v>
      </c>
      <c r="S42" s="180" t="str">
        <f>IFERROR(__xludf.DUMMYFUNCTION("""COMPUTED_VALUE"""),"Magic Gem of Saber")</f>
        <v>Magic Gem of Saber</v>
      </c>
      <c r="T42" s="185">
        <f>IFERROR(__xludf.DUMMYFUNCTION("""COMPUTED_VALUE"""),1.0)</f>
        <v>1</v>
      </c>
      <c r="U42" s="187" t="str">
        <f>IFERROR(__xludf.DUMMYFUNCTION("""COMPUTED_VALUE"""),"TRF27")</f>
        <v>TRF27</v>
      </c>
      <c r="V42" s="188" t="str">
        <f>IFERROR(__xludf.DUMMYFUNCTION("""COMPUTED_VALUE"""),"Chaldea Gate (Sun)")</f>
        <v>Chaldea Gate (Sun)</v>
      </c>
      <c r="W42" s="188" t="str">
        <f>IFERROR(__xludf.DUMMYFUNCTION("""COMPUTED_VALUE"""),"SUN Saber Training Ground- Adv")</f>
        <v>SUN Saber Training Ground- Adv</v>
      </c>
      <c r="X42" s="195">
        <f>IFERROR(__xludf.DUMMYFUNCTION("""COMPUTED_VALUE"""),30.0)</f>
        <v>30</v>
      </c>
      <c r="Y42" s="196">
        <f>IFERROR(__xludf.DUMMYFUNCTION("""COMPUTED_VALUE"""),18.958333333333332)</f>
        <v>18.95833333</v>
      </c>
      <c r="Z42" s="198">
        <f>IFERROR(__xludf.DUMMYFUNCTION("""COMPUTED_VALUE"""),22.3)</f>
        <v>22.3</v>
      </c>
      <c r="AA42" s="200" t="str">
        <f>IFERROR(__xludf.DUMMYFUNCTION("""COMPUTED_VALUE"""),"AP")</f>
        <v>AP</v>
      </c>
      <c r="AB42" s="198">
        <f>IFERROR(__xludf.DUMMYFUNCTION("""COMPUTED_VALUE"""),134.3)</f>
        <v>134.3</v>
      </c>
      <c r="AC42" s="201" t="str">
        <f>IFERROR(__xludf.DUMMYFUNCTION("""COMPUTED_VALUE"""),"％")</f>
        <v>％</v>
      </c>
      <c r="AD42" s="195">
        <f>IFERROR(__xludf.DUMMYFUNCTION("""COMPUTED_VALUE"""),3782.0)</f>
        <v>3782</v>
      </c>
      <c r="AE42" s="197" t="str">
        <f>IFERROR(__xludf.DUMMYFUNCTION("""COMPUTED_VALUE"""),"Magic Gem of Saber")</f>
        <v>Magic Gem of Saber</v>
      </c>
      <c r="AF42" s="98" t="str">
        <f>IFERROR(__xludf.DUMMYFUNCTION("""COMPUTED_VALUE"""),"")</f>
        <v/>
      </c>
    </row>
    <row r="43" ht="16.5" customHeight="1">
      <c r="B43" s="203"/>
      <c r="C43" s="204"/>
      <c r="D43" s="208">
        <f>IFERROR(__xludf.DUMMYFUNCTION("""COMPUTED_VALUE"""),2.0)</f>
        <v>2</v>
      </c>
      <c r="E43" s="210" t="str">
        <f>IFERROR(__xludf.DUMMYFUNCTION("""COMPUTED_VALUE"""),"SLM6")</f>
        <v>SLM6</v>
      </c>
      <c r="F43" s="212" t="str">
        <f>IFERROR(__xludf.DUMMYFUNCTION("""COMPUTED_VALUE"""),"Salem")</f>
        <v>Salem</v>
      </c>
      <c r="G43" s="216" t="str">
        <f>IFERROR(__xludf.DUMMYFUNCTION("""COMPUTED_VALUE"""),"Suburb Mansion")</f>
        <v>Suburb Mansion</v>
      </c>
      <c r="H43" s="218">
        <f>IFERROR(__xludf.DUMMYFUNCTION("""COMPUTED_VALUE"""),21.0)</f>
        <v>21</v>
      </c>
      <c r="I43" s="219">
        <f>IFERROR(__xludf.DUMMYFUNCTION("""COMPUTED_VALUE"""),48.51190476190476)</f>
        <v>48.51190476</v>
      </c>
      <c r="J43" s="220">
        <f>IFERROR(__xludf.DUMMYFUNCTION("""COMPUTED_VALUE"""),51.5)</f>
        <v>51.5</v>
      </c>
      <c r="K43" s="221" t="str">
        <f>IFERROR(__xludf.DUMMYFUNCTION("""COMPUTED_VALUE"""),"AP")</f>
        <v>AP</v>
      </c>
      <c r="L43" s="220">
        <f>IFERROR(__xludf.DUMMYFUNCTION("""COMPUTED_VALUE"""),40.8)</f>
        <v>40.8</v>
      </c>
      <c r="M43" s="221" t="str">
        <f>IFERROR(__xludf.DUMMYFUNCTION("""COMPUTED_VALUE"""),"％")</f>
        <v>％</v>
      </c>
      <c r="N43" s="218">
        <f>IFERROR(__xludf.DUMMYFUNCTION("""COMPUTED_VALUE"""),16357.0)</f>
        <v>16357</v>
      </c>
      <c r="O43" s="217"/>
      <c r="P43" s="93" t="str">
        <f>IFERROR(__xludf.DUMMYFUNCTION("""COMPUTED_VALUE"""),"")</f>
        <v/>
      </c>
      <c r="R43" s="203"/>
      <c r="S43" s="204"/>
      <c r="T43" s="208">
        <f>IFERROR(__xludf.DUMMYFUNCTION("""COMPUTED_VALUE"""),2.0)</f>
        <v>2</v>
      </c>
      <c r="U43" s="210" t="str">
        <f>IFERROR(__xludf.DUMMYFUNCTION("""COMPUTED_VALUE"""),"TRF28")</f>
        <v>TRF28</v>
      </c>
      <c r="V43" s="212" t="str">
        <f>IFERROR(__xludf.DUMMYFUNCTION("""COMPUTED_VALUE"""),"Chaldea Gate (Sun)")</f>
        <v>Chaldea Gate (Sun)</v>
      </c>
      <c r="W43" s="212" t="str">
        <f>IFERROR(__xludf.DUMMYFUNCTION("""COMPUTED_VALUE"""),"SUN Saber Training Ground- Exp")</f>
        <v>SUN Saber Training Ground- Exp</v>
      </c>
      <c r="X43" s="218">
        <f>IFERROR(__xludf.DUMMYFUNCTION("""COMPUTED_VALUE"""),40.0)</f>
        <v>40</v>
      </c>
      <c r="Y43" s="219">
        <f>IFERROR(__xludf.DUMMYFUNCTION("""COMPUTED_VALUE"""),20.46875)</f>
        <v>20.46875</v>
      </c>
      <c r="Z43" s="220">
        <f>IFERROR(__xludf.DUMMYFUNCTION("""COMPUTED_VALUE"""),34.2)</f>
        <v>34.2</v>
      </c>
      <c r="AA43" s="221" t="str">
        <f>IFERROR(__xludf.DUMMYFUNCTION("""COMPUTED_VALUE"""),"AP")</f>
        <v>AP</v>
      </c>
      <c r="AB43" s="220">
        <f>IFERROR(__xludf.DUMMYFUNCTION("""COMPUTED_VALUE"""),117.0)</f>
        <v>117</v>
      </c>
      <c r="AC43" s="221" t="str">
        <f>IFERROR(__xludf.DUMMYFUNCTION("""COMPUTED_VALUE"""),"％")</f>
        <v>％</v>
      </c>
      <c r="AD43" s="218">
        <f>IFERROR(__xludf.DUMMYFUNCTION("""COMPUTED_VALUE"""),21334.0)</f>
        <v>21334</v>
      </c>
      <c r="AE43" s="217"/>
      <c r="AF43" s="98" t="str">
        <f>IFERROR(__xludf.DUMMYFUNCTION("""COMPUTED_VALUE"""),"")</f>
        <v/>
      </c>
    </row>
    <row r="44" ht="16.5" customHeight="1">
      <c r="B44" s="203"/>
      <c r="C44" s="204"/>
      <c r="D44" s="225">
        <f>IFERROR(__xludf.DUMMYFUNCTION("""COMPUTED_VALUE"""),3.0)</f>
        <v>3</v>
      </c>
      <c r="E44" s="227" t="str">
        <f>IFERROR(__xludf.DUMMYFUNCTION("""COMPUTED_VALUE"""),"SLM9")</f>
        <v>SLM9</v>
      </c>
      <c r="F44" s="229" t="str">
        <f>IFERROR(__xludf.DUMMYFUNCTION("""COMPUTED_VALUE"""),"Salem")</f>
        <v>Salem</v>
      </c>
      <c r="G44" s="233" t="str">
        <f>IFERROR(__xludf.DUMMYFUNCTION("""COMPUTED_VALUE"""),"Vacant House")</f>
        <v>Vacant House</v>
      </c>
      <c r="H44" s="234">
        <f>IFERROR(__xludf.DUMMYFUNCTION("""COMPUTED_VALUE"""),21.0)</f>
        <v>21</v>
      </c>
      <c r="I44" s="235">
        <f>IFERROR(__xludf.DUMMYFUNCTION("""COMPUTED_VALUE"""),50.892857142857146)</f>
        <v>50.89285714</v>
      </c>
      <c r="J44" s="236">
        <f>IFERROR(__xludf.DUMMYFUNCTION("""COMPUTED_VALUE"""),51.8)</f>
        <v>51.8</v>
      </c>
      <c r="K44" s="237" t="str">
        <f>IFERROR(__xludf.DUMMYFUNCTION("""COMPUTED_VALUE"""),"AP")</f>
        <v>AP</v>
      </c>
      <c r="L44" s="236">
        <f>IFERROR(__xludf.DUMMYFUNCTION("""COMPUTED_VALUE"""),40.5)</f>
        <v>40.5</v>
      </c>
      <c r="M44" s="237" t="str">
        <f>IFERROR(__xludf.DUMMYFUNCTION("""COMPUTED_VALUE"""),"％")</f>
        <v>％</v>
      </c>
      <c r="N44" s="234">
        <f>IFERROR(__xludf.DUMMYFUNCTION("""COMPUTED_VALUE"""),6811.0)</f>
        <v>6811</v>
      </c>
      <c r="O44" s="217"/>
      <c r="P44" s="93" t="str">
        <f>IFERROR(__xludf.DUMMYFUNCTION("""COMPUTED_VALUE"""),"")</f>
        <v/>
      </c>
      <c r="R44" s="203"/>
      <c r="S44" s="204"/>
      <c r="T44" s="225">
        <f>IFERROR(__xludf.DUMMYFUNCTION("""COMPUTED_VALUE"""),3.0)</f>
        <v>3</v>
      </c>
      <c r="U44" s="227" t="str">
        <f>IFERROR(__xludf.DUMMYFUNCTION("""COMPUTED_VALUE"""),"TRF26")</f>
        <v>TRF26</v>
      </c>
      <c r="V44" s="229" t="str">
        <f>IFERROR(__xludf.DUMMYFUNCTION("""COMPUTED_VALUE"""),"Chaldea Gate (Sun)")</f>
        <v>Chaldea Gate (Sun)</v>
      </c>
      <c r="W44" s="229" t="str">
        <f>IFERROR(__xludf.DUMMYFUNCTION("""COMPUTED_VALUE"""),"SUN Saber Training Ground- Int")</f>
        <v>SUN Saber Training Ground- Int</v>
      </c>
      <c r="X44" s="234">
        <f>IFERROR(__xludf.DUMMYFUNCTION("""COMPUTED_VALUE"""),20.0)</f>
        <v>20</v>
      </c>
      <c r="Y44" s="235">
        <f>IFERROR(__xludf.DUMMYFUNCTION("""COMPUTED_VALUE"""),19.0625)</f>
        <v>19.0625</v>
      </c>
      <c r="Z44" s="236">
        <f>IFERROR(__xludf.DUMMYFUNCTION("""COMPUTED_VALUE"""),24.3)</f>
        <v>24.3</v>
      </c>
      <c r="AA44" s="237" t="str">
        <f>IFERROR(__xludf.DUMMYFUNCTION("""COMPUTED_VALUE"""),"AP")</f>
        <v>AP</v>
      </c>
      <c r="AB44" s="236">
        <f>IFERROR(__xludf.DUMMYFUNCTION("""COMPUTED_VALUE"""),82.5)</f>
        <v>82.5</v>
      </c>
      <c r="AC44" s="237" t="str">
        <f>IFERROR(__xludf.DUMMYFUNCTION("""COMPUTED_VALUE"""),"％")</f>
        <v>％</v>
      </c>
      <c r="AD44" s="234">
        <f>IFERROR(__xludf.DUMMYFUNCTION("""COMPUTED_VALUE"""),365.0)</f>
        <v>365</v>
      </c>
      <c r="AE44" s="217"/>
      <c r="AF44" s="98" t="str">
        <f>IFERROR(__xludf.DUMMYFUNCTION("""COMPUTED_VALUE"""),"")</f>
        <v/>
      </c>
    </row>
    <row r="45" ht="16.5" customHeight="1">
      <c r="B45" s="203"/>
      <c r="C45" s="204"/>
      <c r="D45" s="239">
        <f>IFERROR(__xludf.DUMMYFUNCTION("""COMPUTED_VALUE"""),4.0)</f>
        <v>4</v>
      </c>
      <c r="E45" s="241" t="str">
        <f>IFERROR(__xludf.DUMMYFUNCTION("""COMPUTED_VALUE"""),"SLM2")</f>
        <v>SLM2</v>
      </c>
      <c r="F45" s="243" t="str">
        <f>IFERROR(__xludf.DUMMYFUNCTION("""COMPUTED_VALUE"""),"Salem")</f>
        <v>Salem</v>
      </c>
      <c r="G45" s="245" t="str">
        <f>IFERROR(__xludf.DUMMYFUNCTION("""COMPUTED_VALUE"""),"Carter House")</f>
        <v>Carter House</v>
      </c>
      <c r="H45" s="247">
        <f>IFERROR(__xludf.DUMMYFUNCTION("""COMPUTED_VALUE"""),20.0)</f>
        <v>20</v>
      </c>
      <c r="I45" s="249">
        <f>IFERROR(__xludf.DUMMYFUNCTION("""COMPUTED_VALUE"""),48.4375)</f>
        <v>48.4375</v>
      </c>
      <c r="J45" s="251">
        <f>IFERROR(__xludf.DUMMYFUNCTION("""COMPUTED_VALUE"""),49.9)</f>
        <v>49.9</v>
      </c>
      <c r="K45" s="253" t="str">
        <f>IFERROR(__xludf.DUMMYFUNCTION("""COMPUTED_VALUE"""),"AP")</f>
        <v>AP</v>
      </c>
      <c r="L45" s="251">
        <f>IFERROR(__xludf.DUMMYFUNCTION("""COMPUTED_VALUE"""),40.1)</f>
        <v>40.1</v>
      </c>
      <c r="M45" s="253" t="str">
        <f>IFERROR(__xludf.DUMMYFUNCTION("""COMPUTED_VALUE"""),"％")</f>
        <v>％</v>
      </c>
      <c r="N45" s="247">
        <f>IFERROR(__xludf.DUMMYFUNCTION("""COMPUTED_VALUE"""),84431.0)</f>
        <v>84431</v>
      </c>
      <c r="O45" s="217"/>
      <c r="P45" s="93" t="str">
        <f>IFERROR(__xludf.DUMMYFUNCTION("""COMPUTED_VALUE"""),"")</f>
        <v/>
      </c>
      <c r="R45" s="203"/>
      <c r="S45" s="204"/>
      <c r="T45" s="239">
        <f>IFERROR(__xludf.DUMMYFUNCTION("""COMPUTED_VALUE"""),4.0)</f>
        <v>4</v>
      </c>
      <c r="U45" s="241" t="str">
        <f>IFERROR(__xludf.DUMMYFUNCTION("""COMPUTED_VALUE"""),"SMS4")</f>
        <v>SMS4</v>
      </c>
      <c r="V45" s="243" t="str">
        <f>IFERROR(__xludf.DUMMYFUNCTION("""COMPUTED_VALUE"""),"Shimosa")</f>
        <v>Shimosa</v>
      </c>
      <c r="W45" s="245" t="str">
        <f>IFERROR(__xludf.DUMMYFUNCTION("""COMPUTED_VALUE"""),"Castle Town")</f>
        <v>Castle Town</v>
      </c>
      <c r="X45" s="247">
        <f>IFERROR(__xludf.DUMMYFUNCTION("""COMPUTED_VALUE"""),21.0)</f>
        <v>21</v>
      </c>
      <c r="Y45" s="249">
        <f>IFERROR(__xludf.DUMMYFUNCTION("""COMPUTED_VALUE"""),48.51190476190476)</f>
        <v>48.51190476</v>
      </c>
      <c r="Z45" s="251">
        <f>IFERROR(__xludf.DUMMYFUNCTION("""COMPUTED_VALUE"""),52.4)</f>
        <v>52.4</v>
      </c>
      <c r="AA45" s="253" t="str">
        <f>IFERROR(__xludf.DUMMYFUNCTION("""COMPUTED_VALUE"""),"AP")</f>
        <v>AP</v>
      </c>
      <c r="AB45" s="251">
        <f>IFERROR(__xludf.DUMMYFUNCTION("""COMPUTED_VALUE"""),40.1)</f>
        <v>40.1</v>
      </c>
      <c r="AC45" s="253" t="str">
        <f>IFERROR(__xludf.DUMMYFUNCTION("""COMPUTED_VALUE"""),"％")</f>
        <v>％</v>
      </c>
      <c r="AD45" s="247">
        <f>IFERROR(__xludf.DUMMYFUNCTION("""COMPUTED_VALUE"""),6883.0)</f>
        <v>6883</v>
      </c>
      <c r="AE45" s="217"/>
      <c r="AF45" s="98" t="str">
        <f>IFERROR(__xludf.DUMMYFUNCTION("""COMPUTED_VALUE"""),"")</f>
        <v/>
      </c>
    </row>
    <row r="46" ht="16.5" customHeight="1">
      <c r="A46" s="166"/>
      <c r="B46" s="254"/>
      <c r="C46" s="255"/>
      <c r="D46" s="256">
        <f>IFERROR(__xludf.DUMMYFUNCTION("""COMPUTED_VALUE"""),5.0)</f>
        <v>5</v>
      </c>
      <c r="E46" s="257" t="str">
        <f>IFERROR(__xludf.DUMMYFUNCTION("""COMPUTED_VALUE"""),"SLM8")</f>
        <v>SLM8</v>
      </c>
      <c r="F46" s="42" t="str">
        <f>IFERROR(__xludf.DUMMYFUNCTION("""COMPUTED_VALUE"""),"Salem")</f>
        <v>Salem</v>
      </c>
      <c r="G46" s="258" t="str">
        <f>IFERROR(__xludf.DUMMYFUNCTION("""COMPUTED_VALUE"""),"Meadows")</f>
        <v>Meadows</v>
      </c>
      <c r="H46" s="259">
        <f>IFERROR(__xludf.DUMMYFUNCTION("""COMPUTED_VALUE"""),21.0)</f>
        <v>21</v>
      </c>
      <c r="I46" s="260">
        <f>IFERROR(__xludf.DUMMYFUNCTION("""COMPUTED_VALUE"""),49.70238095238095)</f>
        <v>49.70238095</v>
      </c>
      <c r="J46" s="261">
        <f>IFERROR(__xludf.DUMMYFUNCTION("""COMPUTED_VALUE"""),52.5)</f>
        <v>52.5</v>
      </c>
      <c r="K46" s="262" t="str">
        <f>IFERROR(__xludf.DUMMYFUNCTION("""COMPUTED_VALUE"""),"AP")</f>
        <v>AP</v>
      </c>
      <c r="L46" s="261">
        <f>IFERROR(__xludf.DUMMYFUNCTION("""COMPUTED_VALUE"""),40.0)</f>
        <v>40</v>
      </c>
      <c r="M46" s="262" t="str">
        <f>IFERROR(__xludf.DUMMYFUNCTION("""COMPUTED_VALUE"""),"％")</f>
        <v>％</v>
      </c>
      <c r="N46" s="259">
        <f>IFERROR(__xludf.DUMMYFUNCTION("""COMPUTED_VALUE"""),3473.0)</f>
        <v>3473</v>
      </c>
      <c r="O46" s="263"/>
      <c r="P46" s="93" t="str">
        <f>IFERROR(__xludf.DUMMYFUNCTION("""COMPUTED_VALUE"""),"")</f>
        <v/>
      </c>
      <c r="Q46" s="166"/>
      <c r="R46" s="254"/>
      <c r="S46" s="255"/>
      <c r="T46" s="256">
        <f>IFERROR(__xludf.DUMMYFUNCTION("""COMPUTED_VALUE"""),5.0)</f>
        <v>5</v>
      </c>
      <c r="U46" s="257" t="str">
        <f>IFERROR(__xludf.DUMMYFUNCTION("""COMPUTED_VALUE"""),"SMS7")</f>
        <v>SMS7</v>
      </c>
      <c r="V46" s="42" t="str">
        <f>IFERROR(__xludf.DUMMYFUNCTION("""COMPUTED_VALUE"""),"Shimosa")</f>
        <v>Shimosa</v>
      </c>
      <c r="W46" s="258" t="str">
        <f>IFERROR(__xludf.DUMMYFUNCTION("""COMPUTED_VALUE"""),"Rear Mountain (Nameless Sacred Mountain)")</f>
        <v>Rear Mountain (Nameless Sacred Mountain)</v>
      </c>
      <c r="X46" s="259">
        <f>IFERROR(__xludf.DUMMYFUNCTION("""COMPUTED_VALUE"""),21.0)</f>
        <v>21</v>
      </c>
      <c r="Y46" s="260">
        <f>IFERROR(__xludf.DUMMYFUNCTION("""COMPUTED_VALUE"""),49.70238095238095)</f>
        <v>49.70238095</v>
      </c>
      <c r="Z46" s="261">
        <f>IFERROR(__xludf.DUMMYFUNCTION("""COMPUTED_VALUE"""),85.7)</f>
        <v>85.7</v>
      </c>
      <c r="AA46" s="262" t="str">
        <f>IFERROR(__xludf.DUMMYFUNCTION("""COMPUTED_VALUE"""),"AP")</f>
        <v>AP</v>
      </c>
      <c r="AB46" s="261">
        <f>IFERROR(__xludf.DUMMYFUNCTION("""COMPUTED_VALUE"""),24.5)</f>
        <v>24.5</v>
      </c>
      <c r="AC46" s="262" t="str">
        <f>IFERROR(__xludf.DUMMYFUNCTION("""COMPUTED_VALUE"""),"％")</f>
        <v>％</v>
      </c>
      <c r="AD46" s="259">
        <f>IFERROR(__xludf.DUMMYFUNCTION("""COMPUTED_VALUE"""),8804.0)</f>
        <v>8804</v>
      </c>
      <c r="AE46" s="263"/>
      <c r="AF46" s="98" t="str">
        <f>IFERROR(__xludf.DUMMYFUNCTION("""COMPUTED_VALUE"""),"")</f>
        <v/>
      </c>
    </row>
    <row r="47" ht="16.5" customHeight="1">
      <c r="A47" s="61" t="str">
        <f>IFERROR(__xludf.DUMMYFUNCTION("""COMPUTED_VALUE"""),"")</f>
        <v/>
      </c>
      <c r="B47" s="360" t="str">
        <f>IFERROR(__xludf.DUMMYFUNCTION("""COMPUTED_VALUE"""),"A309")</f>
        <v>A309</v>
      </c>
      <c r="C47" s="65" t="str">
        <f>IFERROR(__xludf.DUMMYFUNCTION("""COMPUTED_VALUE"""),"Induced Oscillation Gunpowder")</f>
        <v>Induced Oscillation Gunpowder</v>
      </c>
      <c r="D47" s="70">
        <f>IFERROR(__xludf.DUMMYFUNCTION("""COMPUTED_VALUE"""),1.0)</f>
        <v>1</v>
      </c>
      <c r="E47" s="73" t="str">
        <f>IFERROR(__xludf.DUMMYFUNCTION("""COMPUTED_VALUE"""),"ANA2")</f>
        <v>ANA2</v>
      </c>
      <c r="F47" s="76" t="str">
        <f>IFERROR(__xludf.DUMMYFUNCTION("""COMPUTED_VALUE"""),"Anastasia")</f>
        <v>Anastasia</v>
      </c>
      <c r="G47" s="85" t="str">
        <f>IFERROR(__xludf.DUMMYFUNCTION("""COMPUTED_VALUE"""),"Yaga Smolensk")</f>
        <v>Yaga Smolensk</v>
      </c>
      <c r="H47" s="87">
        <f>IFERROR(__xludf.DUMMYFUNCTION("""COMPUTED_VALUE"""),20.0)</f>
        <v>20</v>
      </c>
      <c r="I47" s="90">
        <f>IFERROR(__xludf.DUMMYFUNCTION("""COMPUTED_VALUE"""),48.4375)</f>
        <v>48.4375</v>
      </c>
      <c r="J47" s="92">
        <f>IFERROR(__xludf.DUMMYFUNCTION("""COMPUTED_VALUE"""),30.6)</f>
        <v>30.6</v>
      </c>
      <c r="K47" s="94" t="str">
        <f>IFERROR(__xludf.DUMMYFUNCTION("""COMPUTED_VALUE"""),"AP")</f>
        <v>AP</v>
      </c>
      <c r="L47" s="96">
        <f>IFERROR(__xludf.DUMMYFUNCTION("""COMPUTED_VALUE"""),65.4)</f>
        <v>65.4</v>
      </c>
      <c r="M47" s="94" t="str">
        <f>IFERROR(__xludf.DUMMYFUNCTION("""COMPUTED_VALUE"""),"％")</f>
        <v>％</v>
      </c>
      <c r="N47" s="87">
        <f>IFERROR(__xludf.DUMMYFUNCTION("""COMPUTED_VALUE"""),17025.0)</f>
        <v>17025</v>
      </c>
      <c r="O47" s="97" t="str">
        <f>IFERROR(__xludf.DUMMYFUNCTION("""COMPUTED_VALUE"""),"Induced Oscillation Gunpowder")</f>
        <v>Induced Oscillation Gunpowder</v>
      </c>
      <c r="P47" s="93" t="str">
        <f>IFERROR(__xludf.DUMMYFUNCTION("""COMPUTED_VALUE"""),"")</f>
        <v/>
      </c>
      <c r="Q47" s="61" t="str">
        <f>IFERROR(__xludf.DUMMYFUNCTION("""COMPUTED_VALUE"""),"")</f>
        <v/>
      </c>
      <c r="R47" s="361" t="str">
        <f>IFERROR(__xludf.DUMMYFUNCTION("""COMPUTED_VALUE"""),"B112")</f>
        <v>B112</v>
      </c>
      <c r="S47" s="65" t="str">
        <f>IFERROR(__xludf.DUMMYFUNCTION("""COMPUTED_VALUE"""),"Magic Gem of Archer")</f>
        <v>Magic Gem of Archer</v>
      </c>
      <c r="T47" s="70">
        <f>IFERROR(__xludf.DUMMYFUNCTION("""COMPUTED_VALUE"""),1.0)</f>
        <v>1</v>
      </c>
      <c r="U47" s="73" t="str">
        <f>IFERROR(__xludf.DUMMYFUNCTION("""COMPUTED_VALUE"""),"TRF3")</f>
        <v>TRF3</v>
      </c>
      <c r="V47" s="76" t="str">
        <f>IFERROR(__xludf.DUMMYFUNCTION("""COMPUTED_VALUE"""),"Chaldea Gate (Mon)")</f>
        <v>Chaldea Gate (Mon)</v>
      </c>
      <c r="W47" s="76" t="str">
        <f>IFERROR(__xludf.DUMMYFUNCTION("""COMPUTED_VALUE"""),"MON Archer Training Ground- Adv")</f>
        <v>MON Archer Training Ground- Adv</v>
      </c>
      <c r="X47" s="87">
        <f>IFERROR(__xludf.DUMMYFUNCTION("""COMPUTED_VALUE"""),30.0)</f>
        <v>30</v>
      </c>
      <c r="Y47" s="90">
        <f>IFERROR(__xludf.DUMMYFUNCTION("""COMPUTED_VALUE"""),18.958333333333332)</f>
        <v>18.95833333</v>
      </c>
      <c r="Z47" s="92">
        <f>IFERROR(__xludf.DUMMYFUNCTION("""COMPUTED_VALUE"""),19.4)</f>
        <v>19.4</v>
      </c>
      <c r="AA47" s="94" t="str">
        <f>IFERROR(__xludf.DUMMYFUNCTION("""COMPUTED_VALUE"""),"AP")</f>
        <v>AP</v>
      </c>
      <c r="AB47" s="96">
        <f>IFERROR(__xludf.DUMMYFUNCTION("""COMPUTED_VALUE"""),154.3)</f>
        <v>154.3</v>
      </c>
      <c r="AC47" s="94" t="str">
        <f>IFERROR(__xludf.DUMMYFUNCTION("""COMPUTED_VALUE"""),"％")</f>
        <v>％</v>
      </c>
      <c r="AD47" s="87">
        <f>IFERROR(__xludf.DUMMYFUNCTION("""COMPUTED_VALUE"""),817.0)</f>
        <v>817</v>
      </c>
      <c r="AE47" s="97" t="str">
        <f>IFERROR(__xludf.DUMMYFUNCTION("""COMPUTED_VALUE"""),"Magic Gem of Archer")</f>
        <v>Magic Gem of Archer</v>
      </c>
      <c r="AF47" s="98" t="str">
        <f>IFERROR(__xludf.DUMMYFUNCTION("""COMPUTED_VALUE"""),"")</f>
        <v/>
      </c>
    </row>
    <row r="48" ht="16.5" customHeight="1">
      <c r="B48" s="358"/>
      <c r="C48" s="100"/>
      <c r="D48" s="105">
        <f>IFERROR(__xludf.DUMMYFUNCTION("""COMPUTED_VALUE"""),2.0)</f>
        <v>2</v>
      </c>
      <c r="E48" s="106" t="str">
        <f>IFERROR(__xludf.DUMMYFUNCTION("""COMPUTED_VALUE"""),"ANA5")</f>
        <v>ANA5</v>
      </c>
      <c r="F48" s="107" t="str">
        <f>IFERROR(__xludf.DUMMYFUNCTION("""COMPUTED_VALUE"""),"Anastasia")</f>
        <v>Anastasia</v>
      </c>
      <c r="G48" s="114" t="str">
        <f>IFERROR(__xludf.DUMMYFUNCTION("""COMPUTED_VALUE"""),"Yaga Sychyovka")</f>
        <v>Yaga Sychyovka</v>
      </c>
      <c r="H48" s="116">
        <f>IFERROR(__xludf.DUMMYFUNCTION("""COMPUTED_VALUE"""),21.0)</f>
        <v>21</v>
      </c>
      <c r="I48" s="118">
        <f>IFERROR(__xludf.DUMMYFUNCTION("""COMPUTED_VALUE"""),47.32142857142857)</f>
        <v>47.32142857</v>
      </c>
      <c r="J48" s="120">
        <f>IFERROR(__xludf.DUMMYFUNCTION("""COMPUTED_VALUE"""),48.1)</f>
        <v>48.1</v>
      </c>
      <c r="K48" s="122" t="str">
        <f>IFERROR(__xludf.DUMMYFUNCTION("""COMPUTED_VALUE"""),"AP")</f>
        <v>AP</v>
      </c>
      <c r="L48" s="124">
        <f>IFERROR(__xludf.DUMMYFUNCTION("""COMPUTED_VALUE"""),43.6)</f>
        <v>43.6</v>
      </c>
      <c r="M48" s="122" t="str">
        <f>IFERROR(__xludf.DUMMYFUNCTION("""COMPUTED_VALUE"""),"％")</f>
        <v>％</v>
      </c>
      <c r="N48" s="116">
        <f>IFERROR(__xludf.DUMMYFUNCTION("""COMPUTED_VALUE"""),5752.0)</f>
        <v>5752</v>
      </c>
      <c r="O48" s="100"/>
      <c r="P48" s="93" t="str">
        <f>IFERROR(__xludf.DUMMYFUNCTION("""COMPUTED_VALUE"""),"")</f>
        <v/>
      </c>
      <c r="R48" s="358"/>
      <c r="S48" s="100"/>
      <c r="T48" s="105">
        <f>IFERROR(__xludf.DUMMYFUNCTION("""COMPUTED_VALUE"""),2.0)</f>
        <v>2</v>
      </c>
      <c r="U48" s="106" t="str">
        <f>IFERROR(__xludf.DUMMYFUNCTION("""COMPUTED_VALUE"""),"TRF4")</f>
        <v>TRF4</v>
      </c>
      <c r="V48" s="107" t="str">
        <f>IFERROR(__xludf.DUMMYFUNCTION("""COMPUTED_VALUE"""),"Chaldea Gate (Mon)")</f>
        <v>Chaldea Gate (Mon)</v>
      </c>
      <c r="W48" s="107" t="str">
        <f>IFERROR(__xludf.DUMMYFUNCTION("""COMPUTED_VALUE"""),"MON Archer Training Ground- Exp")</f>
        <v>MON Archer Training Ground- Exp</v>
      </c>
      <c r="X48" s="116">
        <f>IFERROR(__xludf.DUMMYFUNCTION("""COMPUTED_VALUE"""),40.0)</f>
        <v>40</v>
      </c>
      <c r="Y48" s="118">
        <f>IFERROR(__xludf.DUMMYFUNCTION("""COMPUTED_VALUE"""),20.46875)</f>
        <v>20.46875</v>
      </c>
      <c r="Z48" s="120">
        <f>IFERROR(__xludf.DUMMYFUNCTION("""COMPUTED_VALUE"""),33.5)</f>
        <v>33.5</v>
      </c>
      <c r="AA48" s="122" t="str">
        <f>IFERROR(__xludf.DUMMYFUNCTION("""COMPUTED_VALUE"""),"AP")</f>
        <v>AP</v>
      </c>
      <c r="AB48" s="124">
        <f>IFERROR(__xludf.DUMMYFUNCTION("""COMPUTED_VALUE"""),119.5)</f>
        <v>119.5</v>
      </c>
      <c r="AC48" s="122" t="str">
        <f>IFERROR(__xludf.DUMMYFUNCTION("""COMPUTED_VALUE"""),"％")</f>
        <v>％</v>
      </c>
      <c r="AD48" s="116">
        <f>IFERROR(__xludf.DUMMYFUNCTION("""COMPUTED_VALUE"""),9159.0)</f>
        <v>9159</v>
      </c>
      <c r="AE48" s="100"/>
      <c r="AF48" s="98" t="str">
        <f>IFERROR(__xludf.DUMMYFUNCTION("""COMPUTED_VALUE"""),"")</f>
        <v/>
      </c>
    </row>
    <row r="49" ht="16.5" customHeight="1">
      <c r="B49" s="358"/>
      <c r="C49" s="100"/>
      <c r="D49" s="128">
        <f>IFERROR(__xludf.DUMMYFUNCTION("""COMPUTED_VALUE"""),3.0)</f>
        <v>3</v>
      </c>
      <c r="E49" s="129" t="str">
        <f>IFERROR(__xludf.DUMMYFUNCTION("""COMPUTED_VALUE"""),"ANA4")</f>
        <v>ANA4</v>
      </c>
      <c r="F49" s="131" t="str">
        <f>IFERROR(__xludf.DUMMYFUNCTION("""COMPUTED_VALUE"""),"Anastasia")</f>
        <v>Anastasia</v>
      </c>
      <c r="G49" s="134" t="str">
        <f>IFERROR(__xludf.DUMMYFUNCTION("""COMPUTED_VALUE"""),"Rebellion Army's Stronghold")</f>
        <v>Rebellion Army's Stronghold</v>
      </c>
      <c r="H49" s="136">
        <f>IFERROR(__xludf.DUMMYFUNCTION("""COMPUTED_VALUE"""),21.0)</f>
        <v>21</v>
      </c>
      <c r="I49" s="138">
        <f>IFERROR(__xludf.DUMMYFUNCTION("""COMPUTED_VALUE"""),47.32142857142857)</f>
        <v>47.32142857</v>
      </c>
      <c r="J49" s="140">
        <f>IFERROR(__xludf.DUMMYFUNCTION("""COMPUTED_VALUE"""),50.0)</f>
        <v>50</v>
      </c>
      <c r="K49" s="142" t="str">
        <f>IFERROR(__xludf.DUMMYFUNCTION("""COMPUTED_VALUE"""),"AP")</f>
        <v>AP</v>
      </c>
      <c r="L49" s="144">
        <f>IFERROR(__xludf.DUMMYFUNCTION("""COMPUTED_VALUE"""),42.0)</f>
        <v>42</v>
      </c>
      <c r="M49" s="142" t="str">
        <f>IFERROR(__xludf.DUMMYFUNCTION("""COMPUTED_VALUE"""),"％")</f>
        <v>％</v>
      </c>
      <c r="N49" s="136">
        <f>IFERROR(__xludf.DUMMYFUNCTION("""COMPUTED_VALUE"""),1539.0)</f>
        <v>1539</v>
      </c>
      <c r="O49" s="100"/>
      <c r="P49" s="93" t="str">
        <f>IFERROR(__xludf.DUMMYFUNCTION("""COMPUTED_VALUE"""),"")</f>
        <v/>
      </c>
      <c r="R49" s="358"/>
      <c r="S49" s="100"/>
      <c r="T49" s="128">
        <f>IFERROR(__xludf.DUMMYFUNCTION("""COMPUTED_VALUE"""),3.0)</f>
        <v>3</v>
      </c>
      <c r="U49" s="129" t="str">
        <f>IFERROR(__xludf.DUMMYFUNCTION("""COMPUTED_VALUE"""),"TRF2")</f>
        <v>TRF2</v>
      </c>
      <c r="V49" s="131" t="str">
        <f>IFERROR(__xludf.DUMMYFUNCTION("""COMPUTED_VALUE"""),"Chaldea Gate (Mon)")</f>
        <v>Chaldea Gate (Mon)</v>
      </c>
      <c r="W49" s="131" t="str">
        <f>IFERROR(__xludf.DUMMYFUNCTION("""COMPUTED_VALUE"""),"MON Archer Training Ground- Int")</f>
        <v>MON Archer Training Ground- Int</v>
      </c>
      <c r="X49" s="136">
        <f>IFERROR(__xludf.DUMMYFUNCTION("""COMPUTED_VALUE"""),20.0)</f>
        <v>20</v>
      </c>
      <c r="Y49" s="138">
        <f>IFERROR(__xludf.DUMMYFUNCTION("""COMPUTED_VALUE"""),19.0625)</f>
        <v>19.0625</v>
      </c>
      <c r="Z49" s="140">
        <f>IFERROR(__xludf.DUMMYFUNCTION("""COMPUTED_VALUE"""),55.0)</f>
        <v>55</v>
      </c>
      <c r="AA49" s="142" t="str">
        <f>IFERROR(__xludf.DUMMYFUNCTION("""COMPUTED_VALUE"""),"AP")</f>
        <v>AP</v>
      </c>
      <c r="AB49" s="144">
        <f>IFERROR(__xludf.DUMMYFUNCTION("""COMPUTED_VALUE"""),36.4)</f>
        <v>36.4</v>
      </c>
      <c r="AC49" s="142" t="str">
        <f>IFERROR(__xludf.DUMMYFUNCTION("""COMPUTED_VALUE"""),"％")</f>
        <v>％</v>
      </c>
      <c r="AD49" s="136">
        <f>IFERROR(__xludf.DUMMYFUNCTION("""COMPUTED_VALUE"""),657.0)</f>
        <v>657</v>
      </c>
      <c r="AE49" s="100"/>
      <c r="AF49" s="98" t="str">
        <f>IFERROR(__xludf.DUMMYFUNCTION("""COMPUTED_VALUE"""),"")</f>
        <v/>
      </c>
    </row>
    <row r="50" ht="16.5" customHeight="1">
      <c r="B50" s="358"/>
      <c r="C50" s="100"/>
      <c r="D50" s="147">
        <f>IFERROR(__xludf.DUMMYFUNCTION("""COMPUTED_VALUE"""),4.0)</f>
        <v>4</v>
      </c>
      <c r="E50" s="149" t="str">
        <f>IFERROR(__xludf.DUMMYFUNCTION("""COMPUTED_VALUE"""),"ANA6")</f>
        <v>ANA6</v>
      </c>
      <c r="F50" s="151" t="str">
        <f>IFERROR(__xludf.DUMMYFUNCTION("""COMPUTED_VALUE"""),"Anastasia")</f>
        <v>Anastasia</v>
      </c>
      <c r="G50" s="153" t="str">
        <f>IFERROR(__xludf.DUMMYFUNCTION("""COMPUTED_VALUE"""),"Devastated Village")</f>
        <v>Devastated Village</v>
      </c>
      <c r="H50" s="155">
        <f>IFERROR(__xludf.DUMMYFUNCTION("""COMPUTED_VALUE"""),21.0)</f>
        <v>21</v>
      </c>
      <c r="I50" s="157">
        <f>IFERROR(__xludf.DUMMYFUNCTION("""COMPUTED_VALUE"""),47.32142857142857)</f>
        <v>47.32142857</v>
      </c>
      <c r="J50" s="159">
        <f>IFERROR(__xludf.DUMMYFUNCTION("""COMPUTED_VALUE"""),51.8)</f>
        <v>51.8</v>
      </c>
      <c r="K50" s="161" t="str">
        <f>IFERROR(__xludf.DUMMYFUNCTION("""COMPUTED_VALUE"""),"AP")</f>
        <v>AP</v>
      </c>
      <c r="L50" s="163">
        <f>IFERROR(__xludf.DUMMYFUNCTION("""COMPUTED_VALUE"""),40.6)</f>
        <v>40.6</v>
      </c>
      <c r="M50" s="161" t="str">
        <f>IFERROR(__xludf.DUMMYFUNCTION("""COMPUTED_VALUE"""),"％")</f>
        <v>％</v>
      </c>
      <c r="N50" s="155">
        <f>IFERROR(__xludf.DUMMYFUNCTION("""COMPUTED_VALUE"""),56810.0)</f>
        <v>56810</v>
      </c>
      <c r="O50" s="100"/>
      <c r="P50" s="93" t="str">
        <f>IFERROR(__xludf.DUMMYFUNCTION("""COMPUTED_VALUE"""),"")</f>
        <v/>
      </c>
      <c r="R50" s="358"/>
      <c r="S50" s="100"/>
      <c r="T50" s="147">
        <f>IFERROR(__xludf.DUMMYFUNCTION("""COMPUTED_VALUE"""),4.0)</f>
        <v>4</v>
      </c>
      <c r="U50" s="149" t="str">
        <f>IFERROR(__xludf.DUMMYFUNCTION("""COMPUTED_VALUE"""),"SJK3")</f>
        <v>SJK3</v>
      </c>
      <c r="V50" s="151" t="str">
        <f>IFERROR(__xludf.DUMMYFUNCTION("""COMPUTED_VALUE"""),"Shinjuku")</f>
        <v>Shinjuku</v>
      </c>
      <c r="W50" s="153" t="str">
        <f>IFERROR(__xludf.DUMMYFUNCTION("""COMPUTED_VALUE"""),"Shinjuku Station")</f>
        <v>Shinjuku Station</v>
      </c>
      <c r="X50" s="155">
        <f>IFERROR(__xludf.DUMMYFUNCTION("""COMPUTED_VALUE"""),21.0)</f>
        <v>21</v>
      </c>
      <c r="Y50" s="157">
        <f>IFERROR(__xludf.DUMMYFUNCTION("""COMPUTED_VALUE"""),47.32142857142857)</f>
        <v>47.32142857</v>
      </c>
      <c r="Z50" s="159">
        <f>IFERROR(__xludf.DUMMYFUNCTION("""COMPUTED_VALUE"""),86.4)</f>
        <v>86.4</v>
      </c>
      <c r="AA50" s="161" t="str">
        <f>IFERROR(__xludf.DUMMYFUNCTION("""COMPUTED_VALUE"""),"AP")</f>
        <v>AP</v>
      </c>
      <c r="AB50" s="163">
        <f>IFERROR(__xludf.DUMMYFUNCTION("""COMPUTED_VALUE"""),24.3)</f>
        <v>24.3</v>
      </c>
      <c r="AC50" s="161" t="str">
        <f>IFERROR(__xludf.DUMMYFUNCTION("""COMPUTED_VALUE"""),"％")</f>
        <v>％</v>
      </c>
      <c r="AD50" s="155">
        <f>IFERROR(__xludf.DUMMYFUNCTION("""COMPUTED_VALUE"""),16623.0)</f>
        <v>16623</v>
      </c>
      <c r="AE50" s="100"/>
      <c r="AF50" s="98" t="str">
        <f>IFERROR(__xludf.DUMMYFUNCTION("""COMPUTED_VALUE"""),"")</f>
        <v/>
      </c>
    </row>
    <row r="51" ht="16.5" customHeight="1">
      <c r="A51" s="166"/>
      <c r="B51" s="359"/>
      <c r="C51" s="168"/>
      <c r="D51" s="169">
        <f>IFERROR(__xludf.DUMMYFUNCTION("""COMPUTED_VALUE"""),5.0)</f>
        <v>5</v>
      </c>
      <c r="E51" s="170" t="str">
        <f>IFERROR(__xludf.DUMMYFUNCTION("""COMPUTED_VALUE"""),"ANA7")</f>
        <v>ANA7</v>
      </c>
      <c r="F51" s="51" t="str">
        <f>IFERROR(__xludf.DUMMYFUNCTION("""COMPUTED_VALUE"""),"Anastasia")</f>
        <v>Anastasia</v>
      </c>
      <c r="G51" s="171" t="str">
        <f>IFERROR(__xludf.DUMMYFUNCTION("""COMPUTED_VALUE"""),"Yaga Vyazma")</f>
        <v>Yaga Vyazma</v>
      </c>
      <c r="H51" s="172">
        <f>IFERROR(__xludf.DUMMYFUNCTION("""COMPUTED_VALUE"""),21.0)</f>
        <v>21</v>
      </c>
      <c r="I51" s="173">
        <f>IFERROR(__xludf.DUMMYFUNCTION("""COMPUTED_VALUE"""),48.51190476190476)</f>
        <v>48.51190476</v>
      </c>
      <c r="J51" s="174">
        <f>IFERROR(__xludf.DUMMYFUNCTION("""COMPUTED_VALUE"""),53.3)</f>
        <v>53.3</v>
      </c>
      <c r="K51" s="175" t="str">
        <f>IFERROR(__xludf.DUMMYFUNCTION("""COMPUTED_VALUE"""),"AP")</f>
        <v>AP</v>
      </c>
      <c r="L51" s="176">
        <f>IFERROR(__xludf.DUMMYFUNCTION("""COMPUTED_VALUE"""),39.4)</f>
        <v>39.4</v>
      </c>
      <c r="M51" s="175" t="str">
        <f>IFERROR(__xludf.DUMMYFUNCTION("""COMPUTED_VALUE"""),"％")</f>
        <v>％</v>
      </c>
      <c r="N51" s="172">
        <f>IFERROR(__xludf.DUMMYFUNCTION("""COMPUTED_VALUE"""),26722.0)</f>
        <v>26722</v>
      </c>
      <c r="O51" s="168"/>
      <c r="P51" s="93" t="str">
        <f>IFERROR(__xludf.DUMMYFUNCTION("""COMPUTED_VALUE"""),"")</f>
        <v/>
      </c>
      <c r="Q51" s="166"/>
      <c r="R51" s="359"/>
      <c r="S51" s="168"/>
      <c r="T51" s="169">
        <f>IFERROR(__xludf.DUMMYFUNCTION("""COMPUTED_VALUE"""),5.0)</f>
        <v>5</v>
      </c>
      <c r="U51" s="170" t="str">
        <f>IFERROR(__xludf.DUMMYFUNCTION("""COMPUTED_VALUE"""),"SIN8")</f>
        <v>SIN8</v>
      </c>
      <c r="V51" s="51" t="str">
        <f>IFERROR(__xludf.DUMMYFUNCTION("""COMPUTED_VALUE"""),"SIN")</f>
        <v>SIN</v>
      </c>
      <c r="W51" s="171" t="str">
        <f>IFERROR(__xludf.DUMMYFUNCTION("""COMPUTED_VALUE"""),"Shiquan Gorge")</f>
        <v>Shiquan Gorge</v>
      </c>
      <c r="X51" s="172">
        <f>IFERROR(__xludf.DUMMYFUNCTION("""COMPUTED_VALUE"""),21.0)</f>
        <v>21</v>
      </c>
      <c r="Y51" s="173">
        <f>IFERROR(__xludf.DUMMYFUNCTION("""COMPUTED_VALUE"""),49.70238095238095)</f>
        <v>49.70238095</v>
      </c>
      <c r="Z51" s="174">
        <f>IFERROR(__xludf.DUMMYFUNCTION("""COMPUTED_VALUE"""),109.9)</f>
        <v>109.9</v>
      </c>
      <c r="AA51" s="175" t="str">
        <f>IFERROR(__xludf.DUMMYFUNCTION("""COMPUTED_VALUE"""),"AP")</f>
        <v>AP</v>
      </c>
      <c r="AB51" s="176">
        <f>IFERROR(__xludf.DUMMYFUNCTION("""COMPUTED_VALUE"""),19.1)</f>
        <v>19.1</v>
      </c>
      <c r="AC51" s="175" t="str">
        <f>IFERROR(__xludf.DUMMYFUNCTION("""COMPUTED_VALUE"""),"％")</f>
        <v>％</v>
      </c>
      <c r="AD51" s="172">
        <f>IFERROR(__xludf.DUMMYFUNCTION("""COMPUTED_VALUE"""),9582.0)</f>
        <v>9582</v>
      </c>
      <c r="AE51" s="168"/>
      <c r="AF51" s="98" t="str">
        <f>IFERROR(__xludf.DUMMYFUNCTION("""COMPUTED_VALUE"""),"")</f>
        <v/>
      </c>
    </row>
    <row r="52" ht="16.5" customHeight="1">
      <c r="A52" s="61" t="str">
        <f>IFERROR(__xludf.DUMMYFUNCTION("""COMPUTED_VALUE"""),"")</f>
        <v/>
      </c>
      <c r="B52" s="183" t="str">
        <f>IFERROR(__xludf.DUMMYFUNCTION("""COMPUTED_VALUE"""),"A201")</f>
        <v>A201</v>
      </c>
      <c r="C52" s="180" t="str">
        <f>IFERROR(__xludf.DUMMYFUNCTION("""COMPUTED_VALUE"""),"Seed of Yggdrasil")</f>
        <v>Seed of Yggdrasil</v>
      </c>
      <c r="D52" s="185">
        <f>IFERROR(__xludf.DUMMYFUNCTION("""COMPUTED_VALUE"""),1.0)</f>
        <v>1</v>
      </c>
      <c r="E52" s="187" t="str">
        <f>IFERROR(__xludf.DUMMYFUNCTION("""COMPUTED_VALUE"""),"BBL1")</f>
        <v>BBL1</v>
      </c>
      <c r="F52" s="188" t="str">
        <f>IFERROR(__xludf.DUMMYFUNCTION("""COMPUTED_VALUE"""),"Babylonia")</f>
        <v>Babylonia</v>
      </c>
      <c r="G52" s="193" t="str">
        <f>IFERROR(__xludf.DUMMYFUNCTION("""COMPUTED_VALUE"""),"Fallen Babylon")</f>
        <v>Fallen Babylon</v>
      </c>
      <c r="H52" s="195">
        <f>IFERROR(__xludf.DUMMYFUNCTION("""COMPUTED_VALUE"""),20.0)</f>
        <v>20</v>
      </c>
      <c r="I52" s="196">
        <f>IFERROR(__xludf.DUMMYFUNCTION("""COMPUTED_VALUE"""),48.4375)</f>
        <v>48.4375</v>
      </c>
      <c r="J52" s="198">
        <f>IFERROR(__xludf.DUMMYFUNCTION("""COMPUTED_VALUE"""),39.5)</f>
        <v>39.5</v>
      </c>
      <c r="K52" s="200" t="str">
        <f>IFERROR(__xludf.DUMMYFUNCTION("""COMPUTED_VALUE"""),"AP")</f>
        <v>AP</v>
      </c>
      <c r="L52" s="198">
        <f>IFERROR(__xludf.DUMMYFUNCTION("""COMPUTED_VALUE"""),50.7)</f>
        <v>50.7</v>
      </c>
      <c r="M52" s="201" t="str">
        <f>IFERROR(__xludf.DUMMYFUNCTION("""COMPUTED_VALUE"""),"％")</f>
        <v>％</v>
      </c>
      <c r="N52" s="195">
        <f>IFERROR(__xludf.DUMMYFUNCTION("""COMPUTED_VALUE"""),5219.0)</f>
        <v>5219</v>
      </c>
      <c r="O52" s="197" t="str">
        <f>IFERROR(__xludf.DUMMYFUNCTION("""COMPUTED_VALUE"""),"Seed of Yggdrasil")</f>
        <v>Seed of Yggdrasil</v>
      </c>
      <c r="P52" s="93" t="str">
        <f>IFERROR(__xludf.DUMMYFUNCTION("""COMPUTED_VALUE"""),"")</f>
        <v/>
      </c>
      <c r="Q52" s="61" t="str">
        <f>IFERROR(__xludf.DUMMYFUNCTION("""COMPUTED_VALUE"""),"")</f>
        <v/>
      </c>
      <c r="R52" s="202" t="str">
        <f>IFERROR(__xludf.DUMMYFUNCTION("""COMPUTED_VALUE"""),"B113")</f>
        <v>B113</v>
      </c>
      <c r="S52" s="180" t="str">
        <f>IFERROR(__xludf.DUMMYFUNCTION("""COMPUTED_VALUE"""),"Magic Gem of Lancer")</f>
        <v>Magic Gem of Lancer</v>
      </c>
      <c r="T52" s="185">
        <f>IFERROR(__xludf.DUMMYFUNCTION("""COMPUTED_VALUE"""),1.0)</f>
        <v>1</v>
      </c>
      <c r="U52" s="187" t="str">
        <f>IFERROR(__xludf.DUMMYFUNCTION("""COMPUTED_VALUE"""),"TRF7")</f>
        <v>TRF7</v>
      </c>
      <c r="V52" s="188" t="str">
        <f>IFERROR(__xludf.DUMMYFUNCTION("""COMPUTED_VALUE"""),"Chaldea Gate (Tue)")</f>
        <v>Chaldea Gate (Tue)</v>
      </c>
      <c r="W52" s="188" t="str">
        <f>IFERROR(__xludf.DUMMYFUNCTION("""COMPUTED_VALUE"""),"TUE Lancer Training Ground- Adv")</f>
        <v>TUE Lancer Training Ground- Adv</v>
      </c>
      <c r="X52" s="195">
        <f>IFERROR(__xludf.DUMMYFUNCTION("""COMPUTED_VALUE"""),30.0)</f>
        <v>30</v>
      </c>
      <c r="Y52" s="196">
        <f>IFERROR(__xludf.DUMMYFUNCTION("""COMPUTED_VALUE"""),18.958333333333332)</f>
        <v>18.95833333</v>
      </c>
      <c r="Z52" s="198">
        <f>IFERROR(__xludf.DUMMYFUNCTION("""COMPUTED_VALUE"""),20.3)</f>
        <v>20.3</v>
      </c>
      <c r="AA52" s="200" t="str">
        <f>IFERROR(__xludf.DUMMYFUNCTION("""COMPUTED_VALUE"""),"AP")</f>
        <v>AP</v>
      </c>
      <c r="AB52" s="198">
        <f>IFERROR(__xludf.DUMMYFUNCTION("""COMPUTED_VALUE"""),147.7)</f>
        <v>147.7</v>
      </c>
      <c r="AC52" s="201" t="str">
        <f>IFERROR(__xludf.DUMMYFUNCTION("""COMPUTED_VALUE"""),"％")</f>
        <v>％</v>
      </c>
      <c r="AD52" s="195">
        <f>IFERROR(__xludf.DUMMYFUNCTION("""COMPUTED_VALUE"""),1022.0)</f>
        <v>1022</v>
      </c>
      <c r="AE52" s="197" t="str">
        <f>IFERROR(__xludf.DUMMYFUNCTION("""COMPUTED_VALUE"""),"Magic Gem of Lancer")</f>
        <v>Magic Gem of Lancer</v>
      </c>
      <c r="AF52" s="98" t="str">
        <f>IFERROR(__xludf.DUMMYFUNCTION("""COMPUTED_VALUE"""),"")</f>
        <v/>
      </c>
    </row>
    <row r="53" ht="16.5" customHeight="1">
      <c r="B53" s="203"/>
      <c r="C53" s="204"/>
      <c r="D53" s="208">
        <f>IFERROR(__xludf.DUMMYFUNCTION("""COMPUTED_VALUE"""),2.0)</f>
        <v>2</v>
      </c>
      <c r="E53" s="210" t="str">
        <f>IFERROR(__xludf.DUMMYFUNCTION("""COMPUTED_VALUE"""),"SLM1")</f>
        <v>SLM1</v>
      </c>
      <c r="F53" s="212" t="str">
        <f>IFERROR(__xludf.DUMMYFUNCTION("""COMPUTED_VALUE"""),"Salem")</f>
        <v>Salem</v>
      </c>
      <c r="G53" s="216" t="str">
        <f>IFERROR(__xludf.DUMMYFUNCTION("""COMPUTED_VALUE"""),"Quiet Forest")</f>
        <v>Quiet Forest</v>
      </c>
      <c r="H53" s="218">
        <f>IFERROR(__xludf.DUMMYFUNCTION("""COMPUTED_VALUE"""),20.0)</f>
        <v>20</v>
      </c>
      <c r="I53" s="219">
        <f>IFERROR(__xludf.DUMMYFUNCTION("""COMPUTED_VALUE"""),48.4375)</f>
        <v>48.4375</v>
      </c>
      <c r="J53" s="220">
        <f>IFERROR(__xludf.DUMMYFUNCTION("""COMPUTED_VALUE"""),42.4)</f>
        <v>42.4</v>
      </c>
      <c r="K53" s="221" t="str">
        <f>IFERROR(__xludf.DUMMYFUNCTION("""COMPUTED_VALUE"""),"AP")</f>
        <v>AP</v>
      </c>
      <c r="L53" s="220">
        <f>IFERROR(__xludf.DUMMYFUNCTION("""COMPUTED_VALUE"""),47.2)</f>
        <v>47.2</v>
      </c>
      <c r="M53" s="221" t="str">
        <f>IFERROR(__xludf.DUMMYFUNCTION("""COMPUTED_VALUE"""),"％")</f>
        <v>％</v>
      </c>
      <c r="N53" s="218">
        <f>IFERROR(__xludf.DUMMYFUNCTION("""COMPUTED_VALUE"""),992.0)</f>
        <v>992</v>
      </c>
      <c r="O53" s="217"/>
      <c r="P53" s="93" t="str">
        <f>IFERROR(__xludf.DUMMYFUNCTION("""COMPUTED_VALUE"""),"")</f>
        <v/>
      </c>
      <c r="R53" s="203"/>
      <c r="S53" s="204"/>
      <c r="T53" s="208">
        <f>IFERROR(__xludf.DUMMYFUNCTION("""COMPUTED_VALUE"""),2.0)</f>
        <v>2</v>
      </c>
      <c r="U53" s="210" t="str">
        <f>IFERROR(__xludf.DUMMYFUNCTION("""COMPUTED_VALUE"""),"TRF8")</f>
        <v>TRF8</v>
      </c>
      <c r="V53" s="212" t="str">
        <f>IFERROR(__xludf.DUMMYFUNCTION("""COMPUTED_VALUE"""),"Chaldea Gate (Tue)")</f>
        <v>Chaldea Gate (Tue)</v>
      </c>
      <c r="W53" s="212" t="str">
        <f>IFERROR(__xludf.DUMMYFUNCTION("""COMPUTED_VALUE"""),"TUE Lancer Training Ground- Exp")</f>
        <v>TUE Lancer Training Ground- Exp</v>
      </c>
      <c r="X53" s="218">
        <f>IFERROR(__xludf.DUMMYFUNCTION("""COMPUTED_VALUE"""),40.0)</f>
        <v>40</v>
      </c>
      <c r="Y53" s="219">
        <f>IFERROR(__xludf.DUMMYFUNCTION("""COMPUTED_VALUE"""),20.46875)</f>
        <v>20.46875</v>
      </c>
      <c r="Z53" s="220">
        <f>IFERROR(__xludf.DUMMYFUNCTION("""COMPUTED_VALUE"""),33.3)</f>
        <v>33.3</v>
      </c>
      <c r="AA53" s="221" t="str">
        <f>IFERROR(__xludf.DUMMYFUNCTION("""COMPUTED_VALUE"""),"AP")</f>
        <v>AP</v>
      </c>
      <c r="AB53" s="220">
        <f>IFERROR(__xludf.DUMMYFUNCTION("""COMPUTED_VALUE"""),120.1)</f>
        <v>120.1</v>
      </c>
      <c r="AC53" s="221" t="str">
        <f>IFERROR(__xludf.DUMMYFUNCTION("""COMPUTED_VALUE"""),"％")</f>
        <v>％</v>
      </c>
      <c r="AD53" s="218">
        <f>IFERROR(__xludf.DUMMYFUNCTION("""COMPUTED_VALUE"""),5650.0)</f>
        <v>5650</v>
      </c>
      <c r="AE53" s="217"/>
      <c r="AF53" s="98" t="str">
        <f>IFERROR(__xludf.DUMMYFUNCTION("""COMPUTED_VALUE"""),"")</f>
        <v/>
      </c>
    </row>
    <row r="54" ht="16.5" customHeight="1">
      <c r="B54" s="203"/>
      <c r="C54" s="204"/>
      <c r="D54" s="225">
        <f>IFERROR(__xludf.DUMMYFUNCTION("""COMPUTED_VALUE"""),3.0)</f>
        <v>3</v>
      </c>
      <c r="E54" s="227" t="str">
        <f>IFERROR(__xludf.DUMMYFUNCTION("""COMPUTED_VALUE"""),"SLM10")</f>
        <v>SLM10</v>
      </c>
      <c r="F54" s="229" t="str">
        <f>IFERROR(__xludf.DUMMYFUNCTION("""COMPUTED_VALUE"""),"Salem")</f>
        <v>Salem</v>
      </c>
      <c r="G54" s="233" t="str">
        <f>IFERROR(__xludf.DUMMYFUNCTION("""COMPUTED_VALUE"""),"Refuge")</f>
        <v>Refuge</v>
      </c>
      <c r="H54" s="234">
        <f>IFERROR(__xludf.DUMMYFUNCTION("""COMPUTED_VALUE"""),21.0)</f>
        <v>21</v>
      </c>
      <c r="I54" s="235">
        <f>IFERROR(__xludf.DUMMYFUNCTION("""COMPUTED_VALUE"""),50.892857142857146)</f>
        <v>50.89285714</v>
      </c>
      <c r="J54" s="236">
        <f>IFERROR(__xludf.DUMMYFUNCTION("""COMPUTED_VALUE"""),47.4)</f>
        <v>47.4</v>
      </c>
      <c r="K54" s="237" t="str">
        <f>IFERROR(__xludf.DUMMYFUNCTION("""COMPUTED_VALUE"""),"AP")</f>
        <v>AP</v>
      </c>
      <c r="L54" s="236">
        <f>IFERROR(__xludf.DUMMYFUNCTION("""COMPUTED_VALUE"""),44.3)</f>
        <v>44.3</v>
      </c>
      <c r="M54" s="237" t="str">
        <f>IFERROR(__xludf.DUMMYFUNCTION("""COMPUTED_VALUE"""),"％")</f>
        <v>％</v>
      </c>
      <c r="N54" s="234">
        <f>IFERROR(__xludf.DUMMYFUNCTION("""COMPUTED_VALUE"""),5220.0)</f>
        <v>5220</v>
      </c>
      <c r="O54" s="217"/>
      <c r="P54" s="93" t="str">
        <f>IFERROR(__xludf.DUMMYFUNCTION("""COMPUTED_VALUE"""),"")</f>
        <v/>
      </c>
      <c r="R54" s="203"/>
      <c r="S54" s="204"/>
      <c r="T54" s="225">
        <f>IFERROR(__xludf.DUMMYFUNCTION("""COMPUTED_VALUE"""),3.0)</f>
        <v>3</v>
      </c>
      <c r="U54" s="227" t="str">
        <f>IFERROR(__xludf.DUMMYFUNCTION("""COMPUTED_VALUE"""),"TRF6")</f>
        <v>TRF6</v>
      </c>
      <c r="V54" s="229" t="str">
        <f>IFERROR(__xludf.DUMMYFUNCTION("""COMPUTED_VALUE"""),"Chaldea Gate (Tue)")</f>
        <v>Chaldea Gate (Tue)</v>
      </c>
      <c r="W54" s="229" t="str">
        <f>IFERROR(__xludf.DUMMYFUNCTION("""COMPUTED_VALUE"""),"TUE Lancer Training Ground- Int")</f>
        <v>TUE Lancer Training Ground- Int</v>
      </c>
      <c r="X54" s="234">
        <f>IFERROR(__xludf.DUMMYFUNCTION("""COMPUTED_VALUE"""),20.0)</f>
        <v>20</v>
      </c>
      <c r="Y54" s="235">
        <f>IFERROR(__xludf.DUMMYFUNCTION("""COMPUTED_VALUE"""),19.0625)</f>
        <v>19.0625</v>
      </c>
      <c r="Z54" s="236">
        <f>IFERROR(__xludf.DUMMYFUNCTION("""COMPUTED_VALUE"""),31.6)</f>
        <v>31.6</v>
      </c>
      <c r="AA54" s="237" t="str">
        <f>IFERROR(__xludf.DUMMYFUNCTION("""COMPUTED_VALUE"""),"AP")</f>
        <v>AP</v>
      </c>
      <c r="AB54" s="236">
        <f>IFERROR(__xludf.DUMMYFUNCTION("""COMPUTED_VALUE"""),63.3)</f>
        <v>63.3</v>
      </c>
      <c r="AC54" s="237" t="str">
        <f>IFERROR(__xludf.DUMMYFUNCTION("""COMPUTED_VALUE"""),"％")</f>
        <v>％</v>
      </c>
      <c r="AD54" s="234">
        <f>IFERROR(__xludf.DUMMYFUNCTION("""COMPUTED_VALUE"""),338.0)</f>
        <v>338</v>
      </c>
      <c r="AE54" s="217"/>
      <c r="AF54" s="98" t="str">
        <f>IFERROR(__xludf.DUMMYFUNCTION("""COMPUTED_VALUE"""),"")</f>
        <v/>
      </c>
    </row>
    <row r="55" ht="16.5" customHeight="1">
      <c r="B55" s="203"/>
      <c r="C55" s="204"/>
      <c r="D55" s="239">
        <f>IFERROR(__xludf.DUMMYFUNCTION("""COMPUTED_VALUE"""),4.0)</f>
        <v>4</v>
      </c>
      <c r="E55" s="241" t="str">
        <f>IFERROR(__xludf.DUMMYFUNCTION("""COMPUTED_VALUE"""),"AGT3")</f>
        <v>AGT3</v>
      </c>
      <c r="F55" s="243" t="str">
        <f>IFERROR(__xludf.DUMMYFUNCTION("""COMPUTED_VALUE"""),"Agartha")</f>
        <v>Agartha</v>
      </c>
      <c r="G55" s="245" t="str">
        <f>IFERROR(__xludf.DUMMYFUNCTION("""COMPUTED_VALUE"""),"Riverside Town")</f>
        <v>Riverside Town</v>
      </c>
      <c r="H55" s="247">
        <f>IFERROR(__xludf.DUMMYFUNCTION("""COMPUTED_VALUE"""),20.0)</f>
        <v>20</v>
      </c>
      <c r="I55" s="249">
        <f>IFERROR(__xludf.DUMMYFUNCTION("""COMPUTED_VALUE"""),48.4375)</f>
        <v>48.4375</v>
      </c>
      <c r="J55" s="251">
        <f>IFERROR(__xludf.DUMMYFUNCTION("""COMPUTED_VALUE"""),50.1)</f>
        <v>50.1</v>
      </c>
      <c r="K55" s="253" t="str">
        <f>IFERROR(__xludf.DUMMYFUNCTION("""COMPUTED_VALUE"""),"AP")</f>
        <v>AP</v>
      </c>
      <c r="L55" s="251">
        <f>IFERROR(__xludf.DUMMYFUNCTION("""COMPUTED_VALUE"""),39.9)</f>
        <v>39.9</v>
      </c>
      <c r="M55" s="253" t="str">
        <f>IFERROR(__xludf.DUMMYFUNCTION("""COMPUTED_VALUE"""),"％")</f>
        <v>％</v>
      </c>
      <c r="N55" s="247">
        <f>IFERROR(__xludf.DUMMYFUNCTION("""COMPUTED_VALUE"""),10369.0)</f>
        <v>10369</v>
      </c>
      <c r="O55" s="217"/>
      <c r="P55" s="93" t="str">
        <f>IFERROR(__xludf.DUMMYFUNCTION("""COMPUTED_VALUE"""),"")</f>
        <v/>
      </c>
      <c r="R55" s="203"/>
      <c r="S55" s="204"/>
      <c r="T55" s="239">
        <f>IFERROR(__xludf.DUMMYFUNCTION("""COMPUTED_VALUE"""),4.0)</f>
        <v>4</v>
      </c>
      <c r="U55" s="241" t="str">
        <f>IFERROR(__xludf.DUMMYFUNCTION("""COMPUTED_VALUE"""),"YKS1")</f>
        <v>YKS1</v>
      </c>
      <c r="V55" s="243" t="str">
        <f>IFERROR(__xludf.DUMMYFUNCTION("""COMPUTED_VALUE"""),"Yuga Kshetra")</f>
        <v>Yuga Kshetra</v>
      </c>
      <c r="W55" s="245" t="str">
        <f>IFERROR(__xludf.DUMMYFUNCTION("""COMPUTED_VALUE"""),"Initiate Point")</f>
        <v>Initiate Point</v>
      </c>
      <c r="X55" s="247">
        <f>IFERROR(__xludf.DUMMYFUNCTION("""COMPUTED_VALUE"""),20.0)</f>
        <v>20</v>
      </c>
      <c r="Y55" s="249">
        <f>IFERROR(__xludf.DUMMYFUNCTION("""COMPUTED_VALUE"""),48.4375)</f>
        <v>48.4375</v>
      </c>
      <c r="Z55" s="251">
        <f>IFERROR(__xludf.DUMMYFUNCTION("""COMPUTED_VALUE"""),93.0)</f>
        <v>93</v>
      </c>
      <c r="AA55" s="253" t="str">
        <f>IFERROR(__xludf.DUMMYFUNCTION("""COMPUTED_VALUE"""),"AP")</f>
        <v>AP</v>
      </c>
      <c r="AB55" s="251">
        <f>IFERROR(__xludf.DUMMYFUNCTION("""COMPUTED_VALUE"""),21.5)</f>
        <v>21.5</v>
      </c>
      <c r="AC55" s="253" t="str">
        <f>IFERROR(__xludf.DUMMYFUNCTION("""COMPUTED_VALUE"""),"％")</f>
        <v>％</v>
      </c>
      <c r="AD55" s="247">
        <f>IFERROR(__xludf.DUMMYFUNCTION("""COMPUTED_VALUE"""),1430.0)</f>
        <v>1430</v>
      </c>
      <c r="AE55" s="217"/>
      <c r="AF55" s="98" t="str">
        <f>IFERROR(__xludf.DUMMYFUNCTION("""COMPUTED_VALUE"""),"")</f>
        <v/>
      </c>
    </row>
    <row r="56" ht="16.5" customHeight="1">
      <c r="A56" s="166"/>
      <c r="B56" s="254"/>
      <c r="C56" s="255"/>
      <c r="D56" s="256">
        <f>IFERROR(__xludf.DUMMYFUNCTION("""COMPUTED_VALUE"""),5.0)</f>
        <v>5</v>
      </c>
      <c r="E56" s="257" t="str">
        <f>IFERROR(__xludf.DUMMYFUNCTION("""COMPUTED_VALUE"""),"SMS1")</f>
        <v>SMS1</v>
      </c>
      <c r="F56" s="42" t="str">
        <f>IFERROR(__xludf.DUMMYFUNCTION("""COMPUTED_VALUE"""),"Shimosa")</f>
        <v>Shimosa</v>
      </c>
      <c r="G56" s="258" t="str">
        <f>IFERROR(__xludf.DUMMYFUNCTION("""COMPUTED_VALUE"""),"Rice Field")</f>
        <v>Rice Field</v>
      </c>
      <c r="H56" s="259">
        <f>IFERROR(__xludf.DUMMYFUNCTION("""COMPUTED_VALUE"""),20.0)</f>
        <v>20</v>
      </c>
      <c r="I56" s="260">
        <f>IFERROR(__xludf.DUMMYFUNCTION("""COMPUTED_VALUE"""),48.4375)</f>
        <v>48.4375</v>
      </c>
      <c r="J56" s="261">
        <f>IFERROR(__xludf.DUMMYFUNCTION("""COMPUTED_VALUE"""),50.2)</f>
        <v>50.2</v>
      </c>
      <c r="K56" s="262" t="str">
        <f>IFERROR(__xludf.DUMMYFUNCTION("""COMPUTED_VALUE"""),"AP")</f>
        <v>AP</v>
      </c>
      <c r="L56" s="261">
        <f>IFERROR(__xludf.DUMMYFUNCTION("""COMPUTED_VALUE"""),39.8)</f>
        <v>39.8</v>
      </c>
      <c r="M56" s="262" t="str">
        <f>IFERROR(__xludf.DUMMYFUNCTION("""COMPUTED_VALUE"""),"％")</f>
        <v>％</v>
      </c>
      <c r="N56" s="259">
        <f>IFERROR(__xludf.DUMMYFUNCTION("""COMPUTED_VALUE"""),47058.0)</f>
        <v>47058</v>
      </c>
      <c r="O56" s="263"/>
      <c r="P56" s="93" t="str">
        <f>IFERROR(__xludf.DUMMYFUNCTION("""COMPUTED_VALUE"""),"")</f>
        <v/>
      </c>
      <c r="Q56" s="166"/>
      <c r="R56" s="254"/>
      <c r="S56" s="255"/>
      <c r="T56" s="256">
        <f>IFERROR(__xludf.DUMMYFUNCTION("""COMPUTED_VALUE"""),5.0)</f>
        <v>5</v>
      </c>
      <c r="U56" s="257" t="str">
        <f>IFERROR(__xludf.DUMMYFUNCTION("""COMPUTED_VALUE"""),"SLM5")</f>
        <v>SLM5</v>
      </c>
      <c r="V56" s="42" t="str">
        <f>IFERROR(__xludf.DUMMYFUNCTION("""COMPUTED_VALUE"""),"Salem")</f>
        <v>Salem</v>
      </c>
      <c r="W56" s="258" t="str">
        <f>IFERROR(__xludf.DUMMYFUNCTION("""COMPUTED_VALUE"""),"Whateley House")</f>
        <v>Whateley House</v>
      </c>
      <c r="X56" s="259">
        <f>IFERROR(__xludf.DUMMYFUNCTION("""COMPUTED_VALUE"""),21.0)</f>
        <v>21</v>
      </c>
      <c r="Y56" s="260">
        <f>IFERROR(__xludf.DUMMYFUNCTION("""COMPUTED_VALUE"""),48.51190476190476)</f>
        <v>48.51190476</v>
      </c>
      <c r="Z56" s="261">
        <f>IFERROR(__xludf.DUMMYFUNCTION("""COMPUTED_VALUE"""),108.2)</f>
        <v>108.2</v>
      </c>
      <c r="AA56" s="262" t="str">
        <f>IFERROR(__xludf.DUMMYFUNCTION("""COMPUTED_VALUE"""),"AP")</f>
        <v>AP</v>
      </c>
      <c r="AB56" s="261">
        <f>IFERROR(__xludf.DUMMYFUNCTION("""COMPUTED_VALUE"""),19.4)</f>
        <v>19.4</v>
      </c>
      <c r="AC56" s="262" t="str">
        <f>IFERROR(__xludf.DUMMYFUNCTION("""COMPUTED_VALUE"""),"％")</f>
        <v>％</v>
      </c>
      <c r="AD56" s="259">
        <f>IFERROR(__xludf.DUMMYFUNCTION("""COMPUTED_VALUE"""),2483.0)</f>
        <v>2483</v>
      </c>
      <c r="AE56" s="263"/>
      <c r="AF56" s="98" t="str">
        <f>IFERROR(__xludf.DUMMYFUNCTION("""COMPUTED_VALUE"""),"")</f>
        <v/>
      </c>
    </row>
    <row r="57" ht="16.5" customHeight="1">
      <c r="A57" s="61" t="str">
        <f>IFERROR(__xludf.DUMMYFUNCTION("""COMPUTED_VALUE"""),"")</f>
        <v/>
      </c>
      <c r="B57" s="360" t="str">
        <f>IFERROR(__xludf.DUMMYFUNCTION("""COMPUTED_VALUE"""),"A202")</f>
        <v>A202</v>
      </c>
      <c r="C57" s="65" t="str">
        <f>IFERROR(__xludf.DUMMYFUNCTION("""COMPUTED_VALUE"""),"Ghost Lantern")</f>
        <v>Ghost Lantern</v>
      </c>
      <c r="D57" s="70">
        <f>IFERROR(__xludf.DUMMYFUNCTION("""COMPUTED_VALUE"""),1.0)</f>
        <v>1</v>
      </c>
      <c r="E57" s="73" t="str">
        <f>IFERROR(__xludf.DUMMYFUNCTION("""COMPUTED_VALUE"""),"BBL10")</f>
        <v>BBL10</v>
      </c>
      <c r="F57" s="76" t="str">
        <f>IFERROR(__xludf.DUMMYFUNCTION("""COMPUTED_VALUE"""),"Babylonia")</f>
        <v>Babylonia</v>
      </c>
      <c r="G57" s="85" t="str">
        <f>IFERROR(__xludf.DUMMYFUNCTION("""COMPUTED_VALUE"""),"Kutha")</f>
        <v>Kutha</v>
      </c>
      <c r="H57" s="87">
        <f>IFERROR(__xludf.DUMMYFUNCTION("""COMPUTED_VALUE"""),21.0)</f>
        <v>21</v>
      </c>
      <c r="I57" s="90">
        <f>IFERROR(__xludf.DUMMYFUNCTION("""COMPUTED_VALUE"""),49.70238095238095)</f>
        <v>49.70238095</v>
      </c>
      <c r="J57" s="92">
        <f>IFERROR(__xludf.DUMMYFUNCTION("""COMPUTED_VALUE"""),52.1)</f>
        <v>52.1</v>
      </c>
      <c r="K57" s="94" t="str">
        <f>IFERROR(__xludf.DUMMYFUNCTION("""COMPUTED_VALUE"""),"AP")</f>
        <v>AP</v>
      </c>
      <c r="L57" s="96">
        <f>IFERROR(__xludf.DUMMYFUNCTION("""COMPUTED_VALUE"""),40.3)</f>
        <v>40.3</v>
      </c>
      <c r="M57" s="94" t="str">
        <f>IFERROR(__xludf.DUMMYFUNCTION("""COMPUTED_VALUE"""),"％")</f>
        <v>％</v>
      </c>
      <c r="N57" s="87">
        <f>IFERROR(__xludf.DUMMYFUNCTION("""COMPUTED_VALUE"""),12980.0)</f>
        <v>12980</v>
      </c>
      <c r="O57" s="97" t="str">
        <f>IFERROR(__xludf.DUMMYFUNCTION("""COMPUTED_VALUE"""),"Ghost Lantern")</f>
        <v>Ghost Lantern</v>
      </c>
      <c r="P57" s="93" t="str">
        <f>IFERROR(__xludf.DUMMYFUNCTION("""COMPUTED_VALUE"""),"")</f>
        <v/>
      </c>
      <c r="Q57" s="61" t="str">
        <f>IFERROR(__xludf.DUMMYFUNCTION("""COMPUTED_VALUE"""),"")</f>
        <v/>
      </c>
      <c r="R57" s="361" t="str">
        <f>IFERROR(__xludf.DUMMYFUNCTION("""COMPUTED_VALUE"""),"B114")</f>
        <v>B114</v>
      </c>
      <c r="S57" s="65" t="str">
        <f>IFERROR(__xludf.DUMMYFUNCTION("""COMPUTED_VALUE"""),"Magic Gem of Rider")</f>
        <v>Magic Gem of Rider</v>
      </c>
      <c r="T57" s="70">
        <f>IFERROR(__xludf.DUMMYFUNCTION("""COMPUTED_VALUE"""),1.0)</f>
        <v>1</v>
      </c>
      <c r="U57" s="73" t="str">
        <f>IFERROR(__xludf.DUMMYFUNCTION("""COMPUTED_VALUE"""),"TRF15")</f>
        <v>TRF15</v>
      </c>
      <c r="V57" s="76" t="str">
        <f>IFERROR(__xludf.DUMMYFUNCTION("""COMPUTED_VALUE"""),"Chaldea Gate (Thu)")</f>
        <v>Chaldea Gate (Thu)</v>
      </c>
      <c r="W57" s="76" t="str">
        <f>IFERROR(__xludf.DUMMYFUNCTION("""COMPUTED_VALUE"""),"THU Rider Training Ground- Adv")</f>
        <v>THU Rider Training Ground- Adv</v>
      </c>
      <c r="X57" s="87">
        <f>IFERROR(__xludf.DUMMYFUNCTION("""COMPUTED_VALUE"""),30.0)</f>
        <v>30</v>
      </c>
      <c r="Y57" s="90">
        <f>IFERROR(__xludf.DUMMYFUNCTION("""COMPUTED_VALUE"""),18.958333333333332)</f>
        <v>18.95833333</v>
      </c>
      <c r="Z57" s="92">
        <f>IFERROR(__xludf.DUMMYFUNCTION("""COMPUTED_VALUE"""),25.2)</f>
        <v>25.2</v>
      </c>
      <c r="AA57" s="94" t="str">
        <f>IFERROR(__xludf.DUMMYFUNCTION("""COMPUTED_VALUE"""),"AP")</f>
        <v>AP</v>
      </c>
      <c r="AB57" s="96">
        <f>IFERROR(__xludf.DUMMYFUNCTION("""COMPUTED_VALUE"""),119.1)</f>
        <v>119.1</v>
      </c>
      <c r="AC57" s="94" t="str">
        <f>IFERROR(__xludf.DUMMYFUNCTION("""COMPUTED_VALUE"""),"％")</f>
        <v>％</v>
      </c>
      <c r="AD57" s="87">
        <f>IFERROR(__xludf.DUMMYFUNCTION("""COMPUTED_VALUE"""),721.0)</f>
        <v>721</v>
      </c>
      <c r="AE57" s="97" t="str">
        <f>IFERROR(__xludf.DUMMYFUNCTION("""COMPUTED_VALUE"""),"Magic Gem of Rider")</f>
        <v>Magic Gem of Rider</v>
      </c>
      <c r="AF57" s="98" t="str">
        <f>IFERROR(__xludf.DUMMYFUNCTION("""COMPUTED_VALUE"""),"")</f>
        <v/>
      </c>
    </row>
    <row r="58" ht="16.5" customHeight="1">
      <c r="B58" s="358"/>
      <c r="C58" s="100"/>
      <c r="D58" s="105">
        <f>IFERROR(__xludf.DUMMYFUNCTION("""COMPUTED_VALUE"""),2.0)</f>
        <v>2</v>
      </c>
      <c r="E58" s="106" t="str">
        <f>IFERROR(__xludf.DUMMYFUNCTION("""COMPUTED_VALUE"""),"CML6")</f>
        <v>CML6</v>
      </c>
      <c r="F58" s="107" t="str">
        <f>IFERROR(__xludf.DUMMYFUNCTION("""COMPUTED_VALUE"""),"Camelot")</f>
        <v>Camelot</v>
      </c>
      <c r="G58" s="114" t="str">
        <f>IFERROR(__xludf.DUMMYFUNCTION("""COMPUTED_VALUE"""),"Mausoleum of the Evening Bell")</f>
        <v>Mausoleum of the Evening Bell</v>
      </c>
      <c r="H58" s="116">
        <f>IFERROR(__xludf.DUMMYFUNCTION("""COMPUTED_VALUE"""),19.0)</f>
        <v>19</v>
      </c>
      <c r="I58" s="118">
        <f>IFERROR(__xludf.DUMMYFUNCTION("""COMPUTED_VALUE"""),47.03947368421053)</f>
        <v>47.03947368</v>
      </c>
      <c r="J58" s="120">
        <f>IFERROR(__xludf.DUMMYFUNCTION("""COMPUTED_VALUE"""),58.4)</f>
        <v>58.4</v>
      </c>
      <c r="K58" s="122" t="str">
        <f>IFERROR(__xludf.DUMMYFUNCTION("""COMPUTED_VALUE"""),"AP")</f>
        <v>AP</v>
      </c>
      <c r="L58" s="124">
        <f>IFERROR(__xludf.DUMMYFUNCTION("""COMPUTED_VALUE"""),32.6)</f>
        <v>32.6</v>
      </c>
      <c r="M58" s="122" t="str">
        <f>IFERROR(__xludf.DUMMYFUNCTION("""COMPUTED_VALUE"""),"％")</f>
        <v>％</v>
      </c>
      <c r="N58" s="116">
        <f>IFERROR(__xludf.DUMMYFUNCTION("""COMPUTED_VALUE"""),2202.0)</f>
        <v>2202</v>
      </c>
      <c r="O58" s="100"/>
      <c r="P58" s="93" t="str">
        <f>IFERROR(__xludf.DUMMYFUNCTION("""COMPUTED_VALUE"""),"")</f>
        <v/>
      </c>
      <c r="R58" s="358"/>
      <c r="S58" s="100"/>
      <c r="T58" s="105">
        <f>IFERROR(__xludf.DUMMYFUNCTION("""COMPUTED_VALUE"""),2.0)</f>
        <v>2</v>
      </c>
      <c r="U58" s="106" t="str">
        <f>IFERROR(__xludf.DUMMYFUNCTION("""COMPUTED_VALUE"""),"TRF16")</f>
        <v>TRF16</v>
      </c>
      <c r="V58" s="107" t="str">
        <f>IFERROR(__xludf.DUMMYFUNCTION("""COMPUTED_VALUE"""),"Chaldea Gate (Thu)")</f>
        <v>Chaldea Gate (Thu)</v>
      </c>
      <c r="W58" s="107" t="str">
        <f>IFERROR(__xludf.DUMMYFUNCTION("""COMPUTED_VALUE"""),"THU Rider Training Ground- Exp")</f>
        <v>THU Rider Training Ground- Exp</v>
      </c>
      <c r="X58" s="116">
        <f>IFERROR(__xludf.DUMMYFUNCTION("""COMPUTED_VALUE"""),40.0)</f>
        <v>40</v>
      </c>
      <c r="Y58" s="118">
        <f>IFERROR(__xludf.DUMMYFUNCTION("""COMPUTED_VALUE"""),20.46875)</f>
        <v>20.46875</v>
      </c>
      <c r="Z58" s="120">
        <f>IFERROR(__xludf.DUMMYFUNCTION("""COMPUTED_VALUE"""),42.2)</f>
        <v>42.2</v>
      </c>
      <c r="AA58" s="122" t="str">
        <f>IFERROR(__xludf.DUMMYFUNCTION("""COMPUTED_VALUE"""),"AP")</f>
        <v>AP</v>
      </c>
      <c r="AB58" s="124">
        <f>IFERROR(__xludf.DUMMYFUNCTION("""COMPUTED_VALUE"""),94.9)</f>
        <v>94.9</v>
      </c>
      <c r="AC58" s="122" t="str">
        <f>IFERROR(__xludf.DUMMYFUNCTION("""COMPUTED_VALUE"""),"％")</f>
        <v>％</v>
      </c>
      <c r="AD58" s="116">
        <f>IFERROR(__xludf.DUMMYFUNCTION("""COMPUTED_VALUE"""),3420.0)</f>
        <v>3420</v>
      </c>
      <c r="AE58" s="100"/>
      <c r="AF58" s="98" t="str">
        <f>IFERROR(__xludf.DUMMYFUNCTION("""COMPUTED_VALUE"""),"")</f>
        <v/>
      </c>
    </row>
    <row r="59" ht="16.5" customHeight="1">
      <c r="B59" s="358"/>
      <c r="C59" s="100"/>
      <c r="D59" s="128">
        <f>IFERROR(__xludf.DUMMYFUNCTION("""COMPUTED_VALUE"""),3.0)</f>
        <v>3</v>
      </c>
      <c r="E59" s="129" t="str">
        <f>IFERROR(__xludf.DUMMYFUNCTION("""COMPUTED_VALUE"""),"SMS1")</f>
        <v>SMS1</v>
      </c>
      <c r="F59" s="131" t="str">
        <f>IFERROR(__xludf.DUMMYFUNCTION("""COMPUTED_VALUE"""),"Shimosa")</f>
        <v>Shimosa</v>
      </c>
      <c r="G59" s="134" t="str">
        <f>IFERROR(__xludf.DUMMYFUNCTION("""COMPUTED_VALUE"""),"Rice Field")</f>
        <v>Rice Field</v>
      </c>
      <c r="H59" s="136">
        <f>IFERROR(__xludf.DUMMYFUNCTION("""COMPUTED_VALUE"""),20.0)</f>
        <v>20</v>
      </c>
      <c r="I59" s="138">
        <f>IFERROR(__xludf.DUMMYFUNCTION("""COMPUTED_VALUE"""),48.4375)</f>
        <v>48.4375</v>
      </c>
      <c r="J59" s="140">
        <f>IFERROR(__xludf.DUMMYFUNCTION("""COMPUTED_VALUE"""),77.6)</f>
        <v>77.6</v>
      </c>
      <c r="K59" s="142" t="str">
        <f>IFERROR(__xludf.DUMMYFUNCTION("""COMPUTED_VALUE"""),"AP")</f>
        <v>AP</v>
      </c>
      <c r="L59" s="144">
        <f>IFERROR(__xludf.DUMMYFUNCTION("""COMPUTED_VALUE"""),25.8)</f>
        <v>25.8</v>
      </c>
      <c r="M59" s="142" t="str">
        <f>IFERROR(__xludf.DUMMYFUNCTION("""COMPUTED_VALUE"""),"％")</f>
        <v>％</v>
      </c>
      <c r="N59" s="136">
        <f>IFERROR(__xludf.DUMMYFUNCTION("""COMPUTED_VALUE"""),47058.0)</f>
        <v>47058</v>
      </c>
      <c r="O59" s="100"/>
      <c r="P59" s="93" t="str">
        <f>IFERROR(__xludf.DUMMYFUNCTION("""COMPUTED_VALUE"""),"")</f>
        <v/>
      </c>
      <c r="R59" s="358"/>
      <c r="S59" s="100"/>
      <c r="T59" s="128">
        <f>IFERROR(__xludf.DUMMYFUNCTION("""COMPUTED_VALUE"""),3.0)</f>
        <v>3</v>
      </c>
      <c r="U59" s="129" t="str">
        <f>IFERROR(__xludf.DUMMYFUNCTION("""COMPUTED_VALUE"""),"TRF14")</f>
        <v>TRF14</v>
      </c>
      <c r="V59" s="131" t="str">
        <f>IFERROR(__xludf.DUMMYFUNCTION("""COMPUTED_VALUE"""),"Chaldea Gate (Thu)")</f>
        <v>Chaldea Gate (Thu)</v>
      </c>
      <c r="W59" s="131" t="str">
        <f>IFERROR(__xludf.DUMMYFUNCTION("""COMPUTED_VALUE"""),"THU Rider Training Ground- Int")</f>
        <v>THU Rider Training Ground- Int</v>
      </c>
      <c r="X59" s="136">
        <f>IFERROR(__xludf.DUMMYFUNCTION("""COMPUTED_VALUE"""),20.0)</f>
        <v>20</v>
      </c>
      <c r="Y59" s="138">
        <f>IFERROR(__xludf.DUMMYFUNCTION("""COMPUTED_VALUE"""),19.0625)</f>
        <v>19.0625</v>
      </c>
      <c r="Z59" s="140">
        <f>IFERROR(__xludf.DUMMYFUNCTION("""COMPUTED_VALUE"""),21.4)</f>
        <v>21.4</v>
      </c>
      <c r="AA59" s="142" t="str">
        <f>IFERROR(__xludf.DUMMYFUNCTION("""COMPUTED_VALUE"""),"AP")</f>
        <v>AP</v>
      </c>
      <c r="AB59" s="144">
        <f>IFERROR(__xludf.DUMMYFUNCTION("""COMPUTED_VALUE"""),93.3)</f>
        <v>93.3</v>
      </c>
      <c r="AC59" s="142" t="str">
        <f>IFERROR(__xludf.DUMMYFUNCTION("""COMPUTED_VALUE"""),"％")</f>
        <v>％</v>
      </c>
      <c r="AD59" s="136">
        <f>IFERROR(__xludf.DUMMYFUNCTION("""COMPUTED_VALUE"""),712.0)</f>
        <v>712</v>
      </c>
      <c r="AE59" s="100"/>
      <c r="AF59" s="98" t="str">
        <f>IFERROR(__xludf.DUMMYFUNCTION("""COMPUTED_VALUE"""),"")</f>
        <v/>
      </c>
    </row>
    <row r="60" ht="16.5" customHeight="1">
      <c r="B60" s="358"/>
      <c r="C60" s="100"/>
      <c r="D60" s="147">
        <f>IFERROR(__xludf.DUMMYFUNCTION("""COMPUTED_VALUE"""),4.0)</f>
        <v>4</v>
      </c>
      <c r="E60" s="149" t="str">
        <f>IFERROR(__xludf.DUMMYFUNCTION("""COMPUTED_VALUE"""),"SMS9")</f>
        <v>SMS9</v>
      </c>
      <c r="F60" s="151" t="str">
        <f>IFERROR(__xludf.DUMMYFUNCTION("""COMPUTED_VALUE"""),"Shimosa")</f>
        <v>Shimosa</v>
      </c>
      <c r="G60" s="153" t="str">
        <f>IFERROR(__xludf.DUMMYFUNCTION("""COMPUTED_VALUE"""),"Rear Mountain (Trembling in Fear)")</f>
        <v>Rear Mountain (Trembling in Fear)</v>
      </c>
      <c r="H60" s="155">
        <f>IFERROR(__xludf.DUMMYFUNCTION("""COMPUTED_VALUE"""),21.0)</f>
        <v>21</v>
      </c>
      <c r="I60" s="157">
        <f>IFERROR(__xludf.DUMMYFUNCTION("""COMPUTED_VALUE"""),50.892857142857146)</f>
        <v>50.89285714</v>
      </c>
      <c r="J60" s="159">
        <f>IFERROR(__xludf.DUMMYFUNCTION("""COMPUTED_VALUE"""),83.3)</f>
        <v>83.3</v>
      </c>
      <c r="K60" s="161" t="str">
        <f>IFERROR(__xludf.DUMMYFUNCTION("""COMPUTED_VALUE"""),"AP")</f>
        <v>AP</v>
      </c>
      <c r="L60" s="163">
        <f>IFERROR(__xludf.DUMMYFUNCTION("""COMPUTED_VALUE"""),25.2)</f>
        <v>25.2</v>
      </c>
      <c r="M60" s="161" t="str">
        <f>IFERROR(__xludf.DUMMYFUNCTION("""COMPUTED_VALUE"""),"％")</f>
        <v>％</v>
      </c>
      <c r="N60" s="155">
        <f>IFERROR(__xludf.DUMMYFUNCTION("""COMPUTED_VALUE"""),18465.0)</f>
        <v>18465</v>
      </c>
      <c r="O60" s="100"/>
      <c r="P60" s="93" t="str">
        <f>IFERROR(__xludf.DUMMYFUNCTION("""COMPUTED_VALUE"""),"")</f>
        <v/>
      </c>
      <c r="R60" s="358"/>
      <c r="S60" s="100"/>
      <c r="T60" s="147">
        <f>IFERROR(__xludf.DUMMYFUNCTION("""COMPUTED_VALUE"""),4.0)</f>
        <v>4</v>
      </c>
      <c r="U60" s="149" t="str">
        <f>IFERROR(__xludf.DUMMYFUNCTION("""COMPUTED_VALUE"""),"GTT6")</f>
        <v>GTT6</v>
      </c>
      <c r="V60" s="151" t="str">
        <f>IFERROR(__xludf.DUMMYFUNCTION("""COMPUTED_VALUE"""),"Götterdämmerung")</f>
        <v>Götterdämmerung</v>
      </c>
      <c r="W60" s="153" t="str">
        <f>IFERROR(__xludf.DUMMYFUNCTION("""COMPUTED_VALUE"""),"Castle of Ice and Snow")</f>
        <v>Castle of Ice and Snow</v>
      </c>
      <c r="X60" s="155">
        <f>IFERROR(__xludf.DUMMYFUNCTION("""COMPUTED_VALUE"""),21.0)</f>
        <v>21</v>
      </c>
      <c r="Y60" s="157">
        <f>IFERROR(__xludf.DUMMYFUNCTION("""COMPUTED_VALUE"""),48.51190476190476)</f>
        <v>48.51190476</v>
      </c>
      <c r="Z60" s="159">
        <f>IFERROR(__xludf.DUMMYFUNCTION("""COMPUTED_VALUE"""),45.2)</f>
        <v>45.2</v>
      </c>
      <c r="AA60" s="161" t="str">
        <f>IFERROR(__xludf.DUMMYFUNCTION("""COMPUTED_VALUE"""),"AP")</f>
        <v>AP</v>
      </c>
      <c r="AB60" s="163">
        <f>IFERROR(__xludf.DUMMYFUNCTION("""COMPUTED_VALUE"""),46.5)</f>
        <v>46.5</v>
      </c>
      <c r="AC60" s="161" t="str">
        <f>IFERROR(__xludf.DUMMYFUNCTION("""COMPUTED_VALUE"""),"％")</f>
        <v>％</v>
      </c>
      <c r="AD60" s="155">
        <f>IFERROR(__xludf.DUMMYFUNCTION("""COMPUTED_VALUE"""),8569.0)</f>
        <v>8569</v>
      </c>
      <c r="AE60" s="100"/>
      <c r="AF60" s="98" t="str">
        <f>IFERROR(__xludf.DUMMYFUNCTION("""COMPUTED_VALUE"""),"")</f>
        <v/>
      </c>
    </row>
    <row r="61" ht="16.5" customHeight="1">
      <c r="A61" s="166"/>
      <c r="B61" s="359"/>
      <c r="C61" s="168"/>
      <c r="D61" s="169">
        <f>IFERROR(__xludf.DUMMYFUNCTION("""COMPUTED_VALUE"""),5.0)</f>
        <v>5</v>
      </c>
      <c r="E61" s="170" t="str">
        <f>IFERROR(__xludf.DUMMYFUNCTION("""COMPUTED_VALUE"""),"SMS3")</f>
        <v>SMS3</v>
      </c>
      <c r="F61" s="51" t="str">
        <f>IFERROR(__xludf.DUMMYFUNCTION("""COMPUTED_VALUE"""),"Shimosa")</f>
        <v>Shimosa</v>
      </c>
      <c r="G61" s="171" t="str">
        <f>IFERROR(__xludf.DUMMYFUNCTION("""COMPUTED_VALUE"""),"Monastery")</f>
        <v>Monastery</v>
      </c>
      <c r="H61" s="172">
        <f>IFERROR(__xludf.DUMMYFUNCTION("""COMPUTED_VALUE"""),21.0)</f>
        <v>21</v>
      </c>
      <c r="I61" s="173">
        <f>IFERROR(__xludf.DUMMYFUNCTION("""COMPUTED_VALUE"""),47.32142857142857)</f>
        <v>47.32142857</v>
      </c>
      <c r="J61" s="174">
        <f>IFERROR(__xludf.DUMMYFUNCTION("""COMPUTED_VALUE"""),83.7)</f>
        <v>83.7</v>
      </c>
      <c r="K61" s="175" t="str">
        <f>IFERROR(__xludf.DUMMYFUNCTION("""COMPUTED_VALUE"""),"AP")</f>
        <v>AP</v>
      </c>
      <c r="L61" s="176">
        <f>IFERROR(__xludf.DUMMYFUNCTION("""COMPUTED_VALUE"""),25.1)</f>
        <v>25.1</v>
      </c>
      <c r="M61" s="175" t="str">
        <f>IFERROR(__xludf.DUMMYFUNCTION("""COMPUTED_VALUE"""),"％")</f>
        <v>％</v>
      </c>
      <c r="N61" s="172">
        <f>IFERROR(__xludf.DUMMYFUNCTION("""COMPUTED_VALUE"""),9677.0)</f>
        <v>9677</v>
      </c>
      <c r="O61" s="168"/>
      <c r="P61" s="93" t="str">
        <f>IFERROR(__xludf.DUMMYFUNCTION("""COMPUTED_VALUE"""),"")</f>
        <v/>
      </c>
      <c r="Q61" s="166"/>
      <c r="R61" s="359"/>
      <c r="S61" s="168"/>
      <c r="T61" s="169">
        <f>IFERROR(__xludf.DUMMYFUNCTION("""COMPUTED_VALUE"""),5.0)</f>
        <v>5</v>
      </c>
      <c r="U61" s="170" t="str">
        <f>IFERROR(__xludf.DUMMYFUNCTION("""COMPUTED_VALUE"""),"GTT11")</f>
        <v>GTT11</v>
      </c>
      <c r="V61" s="51" t="str">
        <f>IFERROR(__xludf.DUMMYFUNCTION("""COMPUTED_VALUE"""),"Götterdämmerung")</f>
        <v>Götterdämmerung</v>
      </c>
      <c r="W61" s="171" t="str">
        <f>IFERROR(__xludf.DUMMYFUNCTION("""COMPUTED_VALUE"""),"Forgotten Temple")</f>
        <v>Forgotten Temple</v>
      </c>
      <c r="X61" s="172">
        <f>IFERROR(__xludf.DUMMYFUNCTION("""COMPUTED_VALUE"""),21.0)</f>
        <v>21</v>
      </c>
      <c r="Y61" s="173">
        <f>IFERROR(__xludf.DUMMYFUNCTION("""COMPUTED_VALUE"""),50.892857142857146)</f>
        <v>50.89285714</v>
      </c>
      <c r="Z61" s="174">
        <f>IFERROR(__xludf.DUMMYFUNCTION("""COMPUTED_VALUE"""),53.3)</f>
        <v>53.3</v>
      </c>
      <c r="AA61" s="175" t="str">
        <f>IFERROR(__xludf.DUMMYFUNCTION("""COMPUTED_VALUE"""),"AP")</f>
        <v>AP</v>
      </c>
      <c r="AB61" s="176">
        <f>IFERROR(__xludf.DUMMYFUNCTION("""COMPUTED_VALUE"""),39.4)</f>
        <v>39.4</v>
      </c>
      <c r="AC61" s="175" t="str">
        <f>IFERROR(__xludf.DUMMYFUNCTION("""COMPUTED_VALUE"""),"％")</f>
        <v>％</v>
      </c>
      <c r="AD61" s="172">
        <f>IFERROR(__xludf.DUMMYFUNCTION("""COMPUTED_VALUE"""),3740.0)</f>
        <v>3740</v>
      </c>
      <c r="AE61" s="168"/>
      <c r="AF61" s="98" t="str">
        <f>IFERROR(__xludf.DUMMYFUNCTION("""COMPUTED_VALUE"""),"")</f>
        <v/>
      </c>
    </row>
    <row r="62" ht="16.5" customHeight="1">
      <c r="A62" s="61" t="str">
        <f>IFERROR(__xludf.DUMMYFUNCTION("""COMPUTED_VALUE"""),"")</f>
        <v/>
      </c>
      <c r="B62" s="183" t="str">
        <f>IFERROR(__xludf.DUMMYFUNCTION("""COMPUTED_VALUE"""),"A203")</f>
        <v>A203</v>
      </c>
      <c r="C62" s="180" t="str">
        <f>IFERROR(__xludf.DUMMYFUNCTION("""COMPUTED_VALUE"""),"Octuplet Crystal")</f>
        <v>Octuplet Crystal</v>
      </c>
      <c r="D62" s="185">
        <f>IFERROR(__xludf.DUMMYFUNCTION("""COMPUTED_VALUE"""),1.0)</f>
        <v>1</v>
      </c>
      <c r="E62" s="187" t="str">
        <f>IFERROR(__xludf.DUMMYFUNCTION("""COMPUTED_VALUE"""),"AGT4")</f>
        <v>AGT4</v>
      </c>
      <c r="F62" s="188" t="str">
        <f>IFERROR(__xludf.DUMMYFUNCTION("""COMPUTED_VALUE"""),"Agartha")</f>
        <v>Agartha</v>
      </c>
      <c r="G62" s="193" t="str">
        <f>IFERROR(__xludf.DUMMYFUNCTION("""COMPUTED_VALUE"""),"Peach Blossom Shangri-La")</f>
        <v>Peach Blossom Shangri-La</v>
      </c>
      <c r="H62" s="195">
        <f>IFERROR(__xludf.DUMMYFUNCTION("""COMPUTED_VALUE"""),21.0)</f>
        <v>21</v>
      </c>
      <c r="I62" s="196">
        <f>IFERROR(__xludf.DUMMYFUNCTION("""COMPUTED_VALUE"""),47.32142857142857)</f>
        <v>47.32142857</v>
      </c>
      <c r="J62" s="198">
        <f>IFERROR(__xludf.DUMMYFUNCTION("""COMPUTED_VALUE"""),52.2)</f>
        <v>52.2</v>
      </c>
      <c r="K62" s="200" t="str">
        <f>IFERROR(__xludf.DUMMYFUNCTION("""COMPUTED_VALUE"""),"AP")</f>
        <v>AP</v>
      </c>
      <c r="L62" s="198">
        <f>IFERROR(__xludf.DUMMYFUNCTION("""COMPUTED_VALUE"""),40.2)</f>
        <v>40.2</v>
      </c>
      <c r="M62" s="201" t="str">
        <f>IFERROR(__xludf.DUMMYFUNCTION("""COMPUTED_VALUE"""),"％")</f>
        <v>％</v>
      </c>
      <c r="N62" s="195">
        <f>IFERROR(__xludf.DUMMYFUNCTION("""COMPUTED_VALUE"""),12123.0)</f>
        <v>12123</v>
      </c>
      <c r="O62" s="197" t="str">
        <f>IFERROR(__xludf.DUMMYFUNCTION("""COMPUTED_VALUE"""),"Octuplet Crystal")</f>
        <v>Octuplet Crystal</v>
      </c>
      <c r="P62" s="93" t="str">
        <f>IFERROR(__xludf.DUMMYFUNCTION("""COMPUTED_VALUE"""),"")</f>
        <v/>
      </c>
      <c r="Q62" s="61" t="str">
        <f>IFERROR(__xludf.DUMMYFUNCTION("""COMPUTED_VALUE"""),"")</f>
        <v/>
      </c>
      <c r="R62" s="202" t="str">
        <f>IFERROR(__xludf.DUMMYFUNCTION("""COMPUTED_VALUE"""),"B115")</f>
        <v>B115</v>
      </c>
      <c r="S62" s="180" t="str">
        <f>IFERROR(__xludf.DUMMYFUNCTION("""COMPUTED_VALUE"""),"Magic Gem of Caster")</f>
        <v>Magic Gem of Caster</v>
      </c>
      <c r="T62" s="185">
        <f>IFERROR(__xludf.DUMMYFUNCTION("""COMPUTED_VALUE"""),1.0)</f>
        <v>1</v>
      </c>
      <c r="U62" s="187" t="str">
        <f>IFERROR(__xludf.DUMMYFUNCTION("""COMPUTED_VALUE"""),"TRF19")</f>
        <v>TRF19</v>
      </c>
      <c r="V62" s="188" t="str">
        <f>IFERROR(__xludf.DUMMYFUNCTION("""COMPUTED_VALUE"""),"Chaldea Gate (Fri)")</f>
        <v>Chaldea Gate (Fri)</v>
      </c>
      <c r="W62" s="188" t="str">
        <f>IFERROR(__xludf.DUMMYFUNCTION("""COMPUTED_VALUE"""),"FRI Caster Training Ground- Adv")</f>
        <v>FRI Caster Training Ground- Adv</v>
      </c>
      <c r="X62" s="195">
        <f>IFERROR(__xludf.DUMMYFUNCTION("""COMPUTED_VALUE"""),30.0)</f>
        <v>30</v>
      </c>
      <c r="Y62" s="196">
        <f>IFERROR(__xludf.DUMMYFUNCTION("""COMPUTED_VALUE"""),18.958333333333332)</f>
        <v>18.95833333</v>
      </c>
      <c r="Z62" s="198">
        <f>IFERROR(__xludf.DUMMYFUNCTION("""COMPUTED_VALUE"""),17.4)</f>
        <v>17.4</v>
      </c>
      <c r="AA62" s="200" t="str">
        <f>IFERROR(__xludf.DUMMYFUNCTION("""COMPUTED_VALUE"""),"AP")</f>
        <v>AP</v>
      </c>
      <c r="AB62" s="198">
        <f>IFERROR(__xludf.DUMMYFUNCTION("""COMPUTED_VALUE"""),172.5)</f>
        <v>172.5</v>
      </c>
      <c r="AC62" s="201" t="str">
        <f>IFERROR(__xludf.DUMMYFUNCTION("""COMPUTED_VALUE"""),"％")</f>
        <v>％</v>
      </c>
      <c r="AD62" s="195">
        <f>IFERROR(__xludf.DUMMYFUNCTION("""COMPUTED_VALUE"""),1241.0)</f>
        <v>1241</v>
      </c>
      <c r="AE62" s="197" t="str">
        <f>IFERROR(__xludf.DUMMYFUNCTION("""COMPUTED_VALUE"""),"Magic Gem of Caster")</f>
        <v>Magic Gem of Caster</v>
      </c>
      <c r="AF62" s="98" t="str">
        <f>IFERROR(__xludf.DUMMYFUNCTION("""COMPUTED_VALUE"""),"")</f>
        <v/>
      </c>
    </row>
    <row r="63" ht="16.5" customHeight="1">
      <c r="B63" s="203"/>
      <c r="C63" s="204"/>
      <c r="D63" s="208">
        <f>IFERROR(__xludf.DUMMYFUNCTION("""COMPUTED_VALUE"""),2.0)</f>
        <v>2</v>
      </c>
      <c r="E63" s="210" t="str">
        <f>IFERROR(__xludf.DUMMYFUNCTION("""COMPUTED_VALUE"""),"CML10")</f>
        <v>CML10</v>
      </c>
      <c r="F63" s="212" t="str">
        <f>IFERROR(__xludf.DUMMYFUNCTION("""COMPUTED_VALUE"""),"Camelot")</f>
        <v>Camelot</v>
      </c>
      <c r="G63" s="216" t="str">
        <f>IFERROR(__xludf.DUMMYFUNCTION("""COMPUTED_VALUE"""),"Holy City")</f>
        <v>Holy City</v>
      </c>
      <c r="H63" s="218">
        <f>IFERROR(__xludf.DUMMYFUNCTION("""COMPUTED_VALUE"""),20.0)</f>
        <v>20</v>
      </c>
      <c r="I63" s="219">
        <f>IFERROR(__xludf.DUMMYFUNCTION("""COMPUTED_VALUE"""),47.1875)</f>
        <v>47.1875</v>
      </c>
      <c r="J63" s="220">
        <f>IFERROR(__xludf.DUMMYFUNCTION("""COMPUTED_VALUE"""),73.1)</f>
        <v>73.1</v>
      </c>
      <c r="K63" s="221" t="str">
        <f>IFERROR(__xludf.DUMMYFUNCTION("""COMPUTED_VALUE"""),"AP")</f>
        <v>AP</v>
      </c>
      <c r="L63" s="220">
        <f>IFERROR(__xludf.DUMMYFUNCTION("""COMPUTED_VALUE"""),27.4)</f>
        <v>27.4</v>
      </c>
      <c r="M63" s="221" t="str">
        <f>IFERROR(__xludf.DUMMYFUNCTION("""COMPUTED_VALUE"""),"％")</f>
        <v>％</v>
      </c>
      <c r="N63" s="218">
        <f>IFERROR(__xludf.DUMMYFUNCTION("""COMPUTED_VALUE"""),22807.0)</f>
        <v>22807</v>
      </c>
      <c r="O63" s="217"/>
      <c r="P63" s="93" t="str">
        <f>IFERROR(__xludf.DUMMYFUNCTION("""COMPUTED_VALUE"""),"")</f>
        <v/>
      </c>
      <c r="R63" s="203"/>
      <c r="S63" s="204"/>
      <c r="T63" s="208">
        <f>IFERROR(__xludf.DUMMYFUNCTION("""COMPUTED_VALUE"""),2.0)</f>
        <v>2</v>
      </c>
      <c r="U63" s="210" t="str">
        <f>IFERROR(__xludf.DUMMYFUNCTION("""COMPUTED_VALUE"""),"TRF20")</f>
        <v>TRF20</v>
      </c>
      <c r="V63" s="212" t="str">
        <f>IFERROR(__xludf.DUMMYFUNCTION("""COMPUTED_VALUE"""),"Chaldea Gate (Fri)")</f>
        <v>Chaldea Gate (Fri)</v>
      </c>
      <c r="W63" s="212" t="str">
        <f>IFERROR(__xludf.DUMMYFUNCTION("""COMPUTED_VALUE"""),"FRI Caster Training Ground- Exp")</f>
        <v>FRI Caster Training Ground- Exp</v>
      </c>
      <c r="X63" s="218">
        <f>IFERROR(__xludf.DUMMYFUNCTION("""COMPUTED_VALUE"""),40.0)</f>
        <v>40</v>
      </c>
      <c r="Y63" s="219">
        <f>IFERROR(__xludf.DUMMYFUNCTION("""COMPUTED_VALUE"""),20.46875)</f>
        <v>20.46875</v>
      </c>
      <c r="Z63" s="220">
        <f>IFERROR(__xludf.DUMMYFUNCTION("""COMPUTED_VALUE"""),43.9)</f>
        <v>43.9</v>
      </c>
      <c r="AA63" s="221" t="str">
        <f>IFERROR(__xludf.DUMMYFUNCTION("""COMPUTED_VALUE"""),"AP")</f>
        <v>AP</v>
      </c>
      <c r="AB63" s="220">
        <f>IFERROR(__xludf.DUMMYFUNCTION("""COMPUTED_VALUE"""),91.1)</f>
        <v>91.1</v>
      </c>
      <c r="AC63" s="221" t="str">
        <f>IFERROR(__xludf.DUMMYFUNCTION("""COMPUTED_VALUE"""),"％")</f>
        <v>％</v>
      </c>
      <c r="AD63" s="218">
        <f>IFERROR(__xludf.DUMMYFUNCTION("""COMPUTED_VALUE"""),10906.0)</f>
        <v>10906</v>
      </c>
      <c r="AE63" s="217"/>
      <c r="AF63" s="98" t="str">
        <f>IFERROR(__xludf.DUMMYFUNCTION("""COMPUTED_VALUE"""),"")</f>
        <v/>
      </c>
    </row>
    <row r="64" ht="16.5" customHeight="1">
      <c r="B64" s="203"/>
      <c r="C64" s="204"/>
      <c r="D64" s="225">
        <f>IFERROR(__xludf.DUMMYFUNCTION("""COMPUTED_VALUE"""),3.0)</f>
        <v>3</v>
      </c>
      <c r="E64" s="227" t="str">
        <f>IFERROR(__xludf.DUMMYFUNCTION("""COMPUTED_VALUE"""),"GTT5")</f>
        <v>GTT5</v>
      </c>
      <c r="F64" s="229" t="str">
        <f>IFERROR(__xludf.DUMMYFUNCTION("""COMPUTED_VALUE"""),"Götterdämmerung")</f>
        <v>Götterdämmerung</v>
      </c>
      <c r="G64" s="233" t="str">
        <f>IFERROR(__xludf.DUMMYFUNCTION("""COMPUTED_VALUE"""),"Heroes' Cellar")</f>
        <v>Heroes' Cellar</v>
      </c>
      <c r="H64" s="234">
        <f>IFERROR(__xludf.DUMMYFUNCTION("""COMPUTED_VALUE"""),21.0)</f>
        <v>21</v>
      </c>
      <c r="I64" s="235">
        <f>IFERROR(__xludf.DUMMYFUNCTION("""COMPUTED_VALUE"""),47.32142857142857)</f>
        <v>47.32142857</v>
      </c>
      <c r="J64" s="236">
        <f>IFERROR(__xludf.DUMMYFUNCTION("""COMPUTED_VALUE"""),85.0)</f>
        <v>85</v>
      </c>
      <c r="K64" s="237" t="str">
        <f>IFERROR(__xludf.DUMMYFUNCTION("""COMPUTED_VALUE"""),"AP")</f>
        <v>AP</v>
      </c>
      <c r="L64" s="236">
        <f>IFERROR(__xludf.DUMMYFUNCTION("""COMPUTED_VALUE"""),24.7)</f>
        <v>24.7</v>
      </c>
      <c r="M64" s="237" t="str">
        <f>IFERROR(__xludf.DUMMYFUNCTION("""COMPUTED_VALUE"""),"％")</f>
        <v>％</v>
      </c>
      <c r="N64" s="234">
        <f>IFERROR(__xludf.DUMMYFUNCTION("""COMPUTED_VALUE"""),5652.0)</f>
        <v>5652</v>
      </c>
      <c r="O64" s="217"/>
      <c r="P64" s="93" t="str">
        <f>IFERROR(__xludf.DUMMYFUNCTION("""COMPUTED_VALUE"""),"")</f>
        <v/>
      </c>
      <c r="R64" s="203"/>
      <c r="S64" s="204"/>
      <c r="T64" s="225">
        <f>IFERROR(__xludf.DUMMYFUNCTION("""COMPUTED_VALUE"""),3.0)</f>
        <v>3</v>
      </c>
      <c r="U64" s="227" t="str">
        <f>IFERROR(__xludf.DUMMYFUNCTION("""COMPUTED_VALUE"""),"TRF18")</f>
        <v>TRF18</v>
      </c>
      <c r="V64" s="229" t="str">
        <f>IFERROR(__xludf.DUMMYFUNCTION("""COMPUTED_VALUE"""),"Chaldea Gate (Fri)")</f>
        <v>Chaldea Gate (Fri)</v>
      </c>
      <c r="W64" s="229" t="str">
        <f>IFERROR(__xludf.DUMMYFUNCTION("""COMPUTED_VALUE"""),"FRI Caster Training Ground- Int")</f>
        <v>FRI Caster Training Ground- Int</v>
      </c>
      <c r="X64" s="234">
        <f>IFERROR(__xludf.DUMMYFUNCTION("""COMPUTED_VALUE"""),20.0)</f>
        <v>20</v>
      </c>
      <c r="Y64" s="235">
        <f>IFERROR(__xludf.DUMMYFUNCTION("""COMPUTED_VALUE"""),19.0625)</f>
        <v>19.0625</v>
      </c>
      <c r="Z64" s="236">
        <f>IFERROR(__xludf.DUMMYFUNCTION("""COMPUTED_VALUE"""),25.3)</f>
        <v>25.3</v>
      </c>
      <c r="AA64" s="237" t="str">
        <f>IFERROR(__xludf.DUMMYFUNCTION("""COMPUTED_VALUE"""),"AP")</f>
        <v>AP</v>
      </c>
      <c r="AB64" s="236">
        <f>IFERROR(__xludf.DUMMYFUNCTION("""COMPUTED_VALUE"""),79.1)</f>
        <v>79.1</v>
      </c>
      <c r="AC64" s="237" t="str">
        <f>IFERROR(__xludf.DUMMYFUNCTION("""COMPUTED_VALUE"""),"％")</f>
        <v>％</v>
      </c>
      <c r="AD64" s="234">
        <f>IFERROR(__xludf.DUMMYFUNCTION("""COMPUTED_VALUE"""),893.0)</f>
        <v>893</v>
      </c>
      <c r="AE64" s="217"/>
      <c r="AF64" s="98" t="str">
        <f>IFERROR(__xludf.DUMMYFUNCTION("""COMPUTED_VALUE"""),"")</f>
        <v/>
      </c>
    </row>
    <row r="65" ht="16.5" customHeight="1">
      <c r="B65" s="203"/>
      <c r="C65" s="204"/>
      <c r="D65" s="239">
        <f>IFERROR(__xludf.DUMMYFUNCTION("""COMPUTED_VALUE"""),4.0)</f>
        <v>4</v>
      </c>
      <c r="E65" s="241" t="str">
        <f>IFERROR(__xludf.DUMMYFUNCTION("""COMPUTED_VALUE"""),"SMS7")</f>
        <v>SMS7</v>
      </c>
      <c r="F65" s="243" t="str">
        <f>IFERROR(__xludf.DUMMYFUNCTION("""COMPUTED_VALUE"""),"Shimosa")</f>
        <v>Shimosa</v>
      </c>
      <c r="G65" s="245" t="str">
        <f>IFERROR(__xludf.DUMMYFUNCTION("""COMPUTED_VALUE"""),"Rear Mountain (Nameless Sacred Mountain)")</f>
        <v>Rear Mountain (Nameless Sacred Mountain)</v>
      </c>
      <c r="H65" s="247">
        <f>IFERROR(__xludf.DUMMYFUNCTION("""COMPUTED_VALUE"""),21.0)</f>
        <v>21</v>
      </c>
      <c r="I65" s="249">
        <f>IFERROR(__xludf.DUMMYFUNCTION("""COMPUTED_VALUE"""),49.70238095238095)</f>
        <v>49.70238095</v>
      </c>
      <c r="J65" s="251">
        <f>IFERROR(__xludf.DUMMYFUNCTION("""COMPUTED_VALUE"""),85.6)</f>
        <v>85.6</v>
      </c>
      <c r="K65" s="253" t="str">
        <f>IFERROR(__xludf.DUMMYFUNCTION("""COMPUTED_VALUE"""),"AP")</f>
        <v>AP</v>
      </c>
      <c r="L65" s="251">
        <f>IFERROR(__xludf.DUMMYFUNCTION("""COMPUTED_VALUE"""),24.5)</f>
        <v>24.5</v>
      </c>
      <c r="M65" s="253" t="str">
        <f>IFERROR(__xludf.DUMMYFUNCTION("""COMPUTED_VALUE"""),"％")</f>
        <v>％</v>
      </c>
      <c r="N65" s="247">
        <f>IFERROR(__xludf.DUMMYFUNCTION("""COMPUTED_VALUE"""),8804.0)</f>
        <v>8804</v>
      </c>
      <c r="O65" s="217"/>
      <c r="P65" s="93" t="str">
        <f>IFERROR(__xludf.DUMMYFUNCTION("""COMPUTED_VALUE"""),"")</f>
        <v/>
      </c>
      <c r="R65" s="203"/>
      <c r="S65" s="204"/>
      <c r="T65" s="239">
        <f>IFERROR(__xludf.DUMMYFUNCTION("""COMPUTED_VALUE"""),4.0)</f>
        <v>4</v>
      </c>
      <c r="U65" s="241" t="str">
        <f>IFERROR(__xludf.DUMMYFUNCTION("""COMPUTED_VALUE"""),"AGT12")</f>
        <v>AGT12</v>
      </c>
      <c r="V65" s="243" t="str">
        <f>IFERROR(__xludf.DUMMYFUNCTION("""COMPUTED_VALUE"""),"Agartha")</f>
        <v>Agartha</v>
      </c>
      <c r="W65" s="245" t="str">
        <f>IFERROR(__xludf.DUMMYFUNCTION("""COMPUTED_VALUE"""),"Chasm in the Earth")</f>
        <v>Chasm in the Earth</v>
      </c>
      <c r="X65" s="247">
        <f>IFERROR(__xludf.DUMMYFUNCTION("""COMPUTED_VALUE"""),21.0)</f>
        <v>21</v>
      </c>
      <c r="Y65" s="249">
        <f>IFERROR(__xludf.DUMMYFUNCTION("""COMPUTED_VALUE"""),50.892857142857146)</f>
        <v>50.89285714</v>
      </c>
      <c r="Z65" s="251">
        <f>IFERROR(__xludf.DUMMYFUNCTION("""COMPUTED_VALUE"""),42.4)</f>
        <v>42.4</v>
      </c>
      <c r="AA65" s="253" t="str">
        <f>IFERROR(__xludf.DUMMYFUNCTION("""COMPUTED_VALUE"""),"AP")</f>
        <v>AP</v>
      </c>
      <c r="AB65" s="251">
        <f>IFERROR(__xludf.DUMMYFUNCTION("""COMPUTED_VALUE"""),49.5)</f>
        <v>49.5</v>
      </c>
      <c r="AC65" s="253" t="str">
        <f>IFERROR(__xludf.DUMMYFUNCTION("""COMPUTED_VALUE"""),"％")</f>
        <v>％</v>
      </c>
      <c r="AD65" s="247">
        <f>IFERROR(__xludf.DUMMYFUNCTION("""COMPUTED_VALUE"""),664.0)</f>
        <v>664</v>
      </c>
      <c r="AE65" s="217"/>
      <c r="AF65" s="98" t="str">
        <f>IFERROR(__xludf.DUMMYFUNCTION("""COMPUTED_VALUE"""),"")</f>
        <v/>
      </c>
    </row>
    <row r="66" ht="16.5" customHeight="1">
      <c r="A66" s="166"/>
      <c r="B66" s="254"/>
      <c r="C66" s="255"/>
      <c r="D66" s="256">
        <f>IFERROR(__xludf.DUMMYFUNCTION("""COMPUTED_VALUE"""),5.0)</f>
        <v>5</v>
      </c>
      <c r="E66" s="257" t="str">
        <f>IFERROR(__xludf.DUMMYFUNCTION("""COMPUTED_VALUE"""),"TRF12")</f>
        <v>TRF12</v>
      </c>
      <c r="F66" s="42" t="str">
        <f>IFERROR(__xludf.DUMMYFUNCTION("""COMPUTED_VALUE"""),"Chaldea Gate (Wed)")</f>
        <v>Chaldea Gate (Wed)</v>
      </c>
      <c r="G66" s="42" t="str">
        <f>IFERROR(__xludf.DUMMYFUNCTION("""COMPUTED_VALUE"""),"WED Berserker Training Ground- Exp")</f>
        <v>WED Berserker Training Ground- Exp</v>
      </c>
      <c r="H66" s="259">
        <f>IFERROR(__xludf.DUMMYFUNCTION("""COMPUTED_VALUE"""),40.0)</f>
        <v>40</v>
      </c>
      <c r="I66" s="260">
        <f>IFERROR(__xludf.DUMMYFUNCTION("""COMPUTED_VALUE"""),20.46875)</f>
        <v>20.46875</v>
      </c>
      <c r="J66" s="261">
        <f>IFERROR(__xludf.DUMMYFUNCTION("""COMPUTED_VALUE"""),254.0)</f>
        <v>254</v>
      </c>
      <c r="K66" s="262" t="str">
        <f>IFERROR(__xludf.DUMMYFUNCTION("""COMPUTED_VALUE"""),"AP")</f>
        <v>AP</v>
      </c>
      <c r="L66" s="261">
        <f>IFERROR(__xludf.DUMMYFUNCTION("""COMPUTED_VALUE"""),15.7)</f>
        <v>15.7</v>
      </c>
      <c r="M66" s="262" t="str">
        <f>IFERROR(__xludf.DUMMYFUNCTION("""COMPUTED_VALUE"""),"％")</f>
        <v>％</v>
      </c>
      <c r="N66" s="259">
        <f>IFERROR(__xludf.DUMMYFUNCTION("""COMPUTED_VALUE"""),3095.0)</f>
        <v>3095</v>
      </c>
      <c r="O66" s="263"/>
      <c r="P66" s="93" t="str">
        <f>IFERROR(__xludf.DUMMYFUNCTION("""COMPUTED_VALUE"""),"")</f>
        <v/>
      </c>
      <c r="Q66" s="166"/>
      <c r="R66" s="254"/>
      <c r="S66" s="255"/>
      <c r="T66" s="256">
        <f>IFERROR(__xludf.DUMMYFUNCTION("""COMPUTED_VALUE"""),5.0)</f>
        <v>5</v>
      </c>
      <c r="U66" s="257" t="str">
        <f>IFERROR(__xludf.DUMMYFUNCTION("""COMPUTED_VALUE"""),"CML2")</f>
        <v>CML2</v>
      </c>
      <c r="V66" s="42" t="str">
        <f>IFERROR(__xludf.DUMMYFUNCTION("""COMPUTED_VALUE"""),"Camelot")</f>
        <v>Camelot</v>
      </c>
      <c r="W66" s="258" t="str">
        <f>IFERROR(__xludf.DUMMYFUNCTION("""COMPUTED_VALUE"""),"Dune of Dawn")</f>
        <v>Dune of Dawn</v>
      </c>
      <c r="X66" s="259">
        <f>IFERROR(__xludf.DUMMYFUNCTION("""COMPUTED_VALUE"""),19.0)</f>
        <v>19</v>
      </c>
      <c r="Y66" s="260">
        <f>IFERROR(__xludf.DUMMYFUNCTION("""COMPUTED_VALUE"""),44.4078947368421)</f>
        <v>44.40789474</v>
      </c>
      <c r="Z66" s="261">
        <f>IFERROR(__xludf.DUMMYFUNCTION("""COMPUTED_VALUE"""),41.1)</f>
        <v>41.1</v>
      </c>
      <c r="AA66" s="262" t="str">
        <f>IFERROR(__xludf.DUMMYFUNCTION("""COMPUTED_VALUE"""),"AP")</f>
        <v>AP</v>
      </c>
      <c r="AB66" s="261">
        <f>IFERROR(__xludf.DUMMYFUNCTION("""COMPUTED_VALUE"""),46.2)</f>
        <v>46.2</v>
      </c>
      <c r="AC66" s="262" t="str">
        <f>IFERROR(__xludf.DUMMYFUNCTION("""COMPUTED_VALUE"""),"％")</f>
        <v>％</v>
      </c>
      <c r="AD66" s="259">
        <f>IFERROR(__xludf.DUMMYFUNCTION("""COMPUTED_VALUE"""),262.0)</f>
        <v>262</v>
      </c>
      <c r="AE66" s="263"/>
      <c r="AF66" s="98" t="str">
        <f>IFERROR(__xludf.DUMMYFUNCTION("""COMPUTED_VALUE"""),"")</f>
        <v/>
      </c>
    </row>
    <row r="67" ht="16.5" customHeight="1">
      <c r="A67" s="61" t="str">
        <f>IFERROR(__xludf.DUMMYFUNCTION("""COMPUTED_VALUE"""),"")</f>
        <v/>
      </c>
      <c r="B67" s="360" t="str">
        <f>IFERROR(__xludf.DUMMYFUNCTION("""COMPUTED_VALUE"""),"A204")</f>
        <v>A204</v>
      </c>
      <c r="C67" s="65" t="str">
        <f>IFERROR(__xludf.DUMMYFUNCTION("""COMPUTED_VALUE"""),"Serpent Jewel")</f>
        <v>Serpent Jewel</v>
      </c>
      <c r="D67" s="70">
        <f>IFERROR(__xludf.DUMMYFUNCTION("""COMPUTED_VALUE"""),1.0)</f>
        <v>1</v>
      </c>
      <c r="E67" s="73" t="str">
        <f>IFERROR(__xludf.DUMMYFUNCTION("""COMPUTED_VALUE"""),"AGT12")</f>
        <v>AGT12</v>
      </c>
      <c r="F67" s="76" t="str">
        <f>IFERROR(__xludf.DUMMYFUNCTION("""COMPUTED_VALUE"""),"Agartha")</f>
        <v>Agartha</v>
      </c>
      <c r="G67" s="85" t="str">
        <f>IFERROR(__xludf.DUMMYFUNCTION("""COMPUTED_VALUE"""),"Chasm in the Earth")</f>
        <v>Chasm in the Earth</v>
      </c>
      <c r="H67" s="87">
        <f>IFERROR(__xludf.DUMMYFUNCTION("""COMPUTED_VALUE"""),21.0)</f>
        <v>21</v>
      </c>
      <c r="I67" s="90">
        <f>IFERROR(__xludf.DUMMYFUNCTION("""COMPUTED_VALUE"""),50.892857142857146)</f>
        <v>50.89285714</v>
      </c>
      <c r="J67" s="92">
        <f>IFERROR(__xludf.DUMMYFUNCTION("""COMPUTED_VALUE"""),54.7)</f>
        <v>54.7</v>
      </c>
      <c r="K67" s="94" t="str">
        <f>IFERROR(__xludf.DUMMYFUNCTION("""COMPUTED_VALUE"""),"AP")</f>
        <v>AP</v>
      </c>
      <c r="L67" s="96">
        <f>IFERROR(__xludf.DUMMYFUNCTION("""COMPUTED_VALUE"""),38.4)</f>
        <v>38.4</v>
      </c>
      <c r="M67" s="94" t="str">
        <f>IFERROR(__xludf.DUMMYFUNCTION("""COMPUTED_VALUE"""),"％")</f>
        <v>％</v>
      </c>
      <c r="N67" s="87">
        <f>IFERROR(__xludf.DUMMYFUNCTION("""COMPUTED_VALUE"""),664.0)</f>
        <v>664</v>
      </c>
      <c r="O67" s="97" t="str">
        <f>IFERROR(__xludf.DUMMYFUNCTION("""COMPUTED_VALUE"""),"Serpent Jewel")</f>
        <v>Serpent Jewel</v>
      </c>
      <c r="P67" s="93" t="str">
        <f>IFERROR(__xludf.DUMMYFUNCTION("""COMPUTED_VALUE"""),"")</f>
        <v/>
      </c>
      <c r="Q67" s="61" t="str">
        <f>IFERROR(__xludf.DUMMYFUNCTION("""COMPUTED_VALUE"""),"")</f>
        <v/>
      </c>
      <c r="R67" s="361" t="str">
        <f>IFERROR(__xludf.DUMMYFUNCTION("""COMPUTED_VALUE"""),"B116")</f>
        <v>B116</v>
      </c>
      <c r="S67" s="65" t="str">
        <f>IFERROR(__xludf.DUMMYFUNCTION("""COMPUTED_VALUE"""),"Magic Gem of Assassin")</f>
        <v>Magic Gem of Assassin</v>
      </c>
      <c r="T67" s="70">
        <f>IFERROR(__xludf.DUMMYFUNCTION("""COMPUTED_VALUE"""),1.0)</f>
        <v>1</v>
      </c>
      <c r="U67" s="73" t="str">
        <f>IFERROR(__xludf.DUMMYFUNCTION("""COMPUTED_VALUE"""),"TRF23")</f>
        <v>TRF23</v>
      </c>
      <c r="V67" s="76" t="str">
        <f>IFERROR(__xludf.DUMMYFUNCTION("""COMPUTED_VALUE"""),"Chaldea Gate (Sat)")</f>
        <v>Chaldea Gate (Sat)</v>
      </c>
      <c r="W67" s="76" t="str">
        <f>IFERROR(__xludf.DUMMYFUNCTION("""COMPUTED_VALUE"""),"SAT Assassin Training Ground- Adv")</f>
        <v>SAT Assassin Training Ground- Adv</v>
      </c>
      <c r="X67" s="87">
        <f>IFERROR(__xludf.DUMMYFUNCTION("""COMPUTED_VALUE"""),30.0)</f>
        <v>30</v>
      </c>
      <c r="Y67" s="90">
        <f>IFERROR(__xludf.DUMMYFUNCTION("""COMPUTED_VALUE"""),18.958333333333332)</f>
        <v>18.95833333</v>
      </c>
      <c r="Z67" s="92">
        <f>IFERROR(__xludf.DUMMYFUNCTION("""COMPUTED_VALUE"""),20.4)</f>
        <v>20.4</v>
      </c>
      <c r="AA67" s="94" t="str">
        <f>IFERROR(__xludf.DUMMYFUNCTION("""COMPUTED_VALUE"""),"AP")</f>
        <v>AP</v>
      </c>
      <c r="AB67" s="96">
        <f>IFERROR(__xludf.DUMMYFUNCTION("""COMPUTED_VALUE"""),147.0)</f>
        <v>147</v>
      </c>
      <c r="AC67" s="94" t="str">
        <f>IFERROR(__xludf.DUMMYFUNCTION("""COMPUTED_VALUE"""),"％")</f>
        <v>％</v>
      </c>
      <c r="AD67" s="87">
        <f>IFERROR(__xludf.DUMMYFUNCTION("""COMPUTED_VALUE"""),741.0)</f>
        <v>741</v>
      </c>
      <c r="AE67" s="97" t="str">
        <f>IFERROR(__xludf.DUMMYFUNCTION("""COMPUTED_VALUE"""),"Magic Gem of Assassin")</f>
        <v>Magic Gem of Assassin</v>
      </c>
      <c r="AF67" s="98" t="str">
        <f>IFERROR(__xludf.DUMMYFUNCTION("""COMPUTED_VALUE"""),"")</f>
        <v/>
      </c>
    </row>
    <row r="68" ht="16.5" customHeight="1">
      <c r="B68" s="358"/>
      <c r="C68" s="100"/>
      <c r="D68" s="105">
        <f>IFERROR(__xludf.DUMMYFUNCTION("""COMPUTED_VALUE"""),2.0)</f>
        <v>2</v>
      </c>
      <c r="E68" s="106" t="str">
        <f>IFERROR(__xludf.DUMMYFUNCTION("""COMPUTED_VALUE"""),"BBL5")</f>
        <v>BBL5</v>
      </c>
      <c r="F68" s="107" t="str">
        <f>IFERROR(__xludf.DUMMYFUNCTION("""COMPUTED_VALUE"""),"Babylonia")</f>
        <v>Babylonia</v>
      </c>
      <c r="G68" s="114" t="str">
        <f>IFERROR(__xludf.DUMMYFUNCTION("""COMPUTED_VALUE"""),"Bog")</f>
        <v>Bog</v>
      </c>
      <c r="H68" s="116">
        <f>IFERROR(__xludf.DUMMYFUNCTION("""COMPUTED_VALUE"""),21.0)</f>
        <v>21</v>
      </c>
      <c r="I68" s="118">
        <f>IFERROR(__xludf.DUMMYFUNCTION("""COMPUTED_VALUE"""),47.32142857142857)</f>
        <v>47.32142857</v>
      </c>
      <c r="J68" s="120">
        <f>IFERROR(__xludf.DUMMYFUNCTION("""COMPUTED_VALUE"""),83.9)</f>
        <v>83.9</v>
      </c>
      <c r="K68" s="122" t="str">
        <f>IFERROR(__xludf.DUMMYFUNCTION("""COMPUTED_VALUE"""),"AP")</f>
        <v>AP</v>
      </c>
      <c r="L68" s="124">
        <f>IFERROR(__xludf.DUMMYFUNCTION("""COMPUTED_VALUE"""),25.0)</f>
        <v>25</v>
      </c>
      <c r="M68" s="122" t="str">
        <f>IFERROR(__xludf.DUMMYFUNCTION("""COMPUTED_VALUE"""),"％")</f>
        <v>％</v>
      </c>
      <c r="N68" s="116">
        <f>IFERROR(__xludf.DUMMYFUNCTION("""COMPUTED_VALUE"""),1782.0)</f>
        <v>1782</v>
      </c>
      <c r="O68" s="100"/>
      <c r="P68" s="93" t="str">
        <f>IFERROR(__xludf.DUMMYFUNCTION("""COMPUTED_VALUE"""),"")</f>
        <v/>
      </c>
      <c r="R68" s="358"/>
      <c r="S68" s="100"/>
      <c r="T68" s="105">
        <f>IFERROR(__xludf.DUMMYFUNCTION("""COMPUTED_VALUE"""),2.0)</f>
        <v>2</v>
      </c>
      <c r="U68" s="106" t="str">
        <f>IFERROR(__xludf.DUMMYFUNCTION("""COMPUTED_VALUE"""),"TRF24")</f>
        <v>TRF24</v>
      </c>
      <c r="V68" s="107" t="str">
        <f>IFERROR(__xludf.DUMMYFUNCTION("""COMPUTED_VALUE"""),"Chaldea Gate (Sat)")</f>
        <v>Chaldea Gate (Sat)</v>
      </c>
      <c r="W68" s="107" t="str">
        <f>IFERROR(__xludf.DUMMYFUNCTION("""COMPUTED_VALUE"""),"SAT Assassin Training Ground- Exp")</f>
        <v>SAT Assassin Training Ground- Exp</v>
      </c>
      <c r="X68" s="116">
        <f>IFERROR(__xludf.DUMMYFUNCTION("""COMPUTED_VALUE"""),40.0)</f>
        <v>40</v>
      </c>
      <c r="Y68" s="118">
        <f>IFERROR(__xludf.DUMMYFUNCTION("""COMPUTED_VALUE"""),20.46875)</f>
        <v>20.46875</v>
      </c>
      <c r="Z68" s="120">
        <f>IFERROR(__xludf.DUMMYFUNCTION("""COMPUTED_VALUE"""),33.9)</f>
        <v>33.9</v>
      </c>
      <c r="AA68" s="122" t="str">
        <f>IFERROR(__xludf.DUMMYFUNCTION("""COMPUTED_VALUE"""),"AP")</f>
        <v>AP</v>
      </c>
      <c r="AB68" s="124">
        <f>IFERROR(__xludf.DUMMYFUNCTION("""COMPUTED_VALUE"""),118.1)</f>
        <v>118.1</v>
      </c>
      <c r="AC68" s="122" t="str">
        <f>IFERROR(__xludf.DUMMYFUNCTION("""COMPUTED_VALUE"""),"％")</f>
        <v>％</v>
      </c>
      <c r="AD68" s="116">
        <f>IFERROR(__xludf.DUMMYFUNCTION("""COMPUTED_VALUE"""),6919.0)</f>
        <v>6919</v>
      </c>
      <c r="AE68" s="100"/>
      <c r="AF68" s="98" t="str">
        <f>IFERROR(__xludf.DUMMYFUNCTION("""COMPUTED_VALUE"""),"")</f>
        <v/>
      </c>
    </row>
    <row r="69" ht="16.5" customHeight="1">
      <c r="B69" s="358"/>
      <c r="C69" s="100"/>
      <c r="D69" s="128">
        <f>IFERROR(__xludf.DUMMYFUNCTION("""COMPUTED_VALUE"""),3.0)</f>
        <v>3</v>
      </c>
      <c r="E69" s="129" t="str">
        <f>IFERROR(__xludf.DUMMYFUNCTION("""COMPUTED_VALUE"""),"TRF20")</f>
        <v>TRF20</v>
      </c>
      <c r="F69" s="131" t="str">
        <f>IFERROR(__xludf.DUMMYFUNCTION("""COMPUTED_VALUE"""),"Chaldea Gate (Fri)")</f>
        <v>Chaldea Gate (Fri)</v>
      </c>
      <c r="G69" s="131" t="str">
        <f>IFERROR(__xludf.DUMMYFUNCTION("""COMPUTED_VALUE"""),"FRI Caster Training Ground- Exp")</f>
        <v>FRI Caster Training Ground- Exp</v>
      </c>
      <c r="H69" s="136">
        <f>IFERROR(__xludf.DUMMYFUNCTION("""COMPUTED_VALUE"""),40.0)</f>
        <v>40</v>
      </c>
      <c r="I69" s="138">
        <f>IFERROR(__xludf.DUMMYFUNCTION("""COMPUTED_VALUE"""),20.46875)</f>
        <v>20.46875</v>
      </c>
      <c r="J69" s="140">
        <f>IFERROR(__xludf.DUMMYFUNCTION("""COMPUTED_VALUE"""),160.3)</f>
        <v>160.3</v>
      </c>
      <c r="K69" s="142" t="str">
        <f>IFERROR(__xludf.DUMMYFUNCTION("""COMPUTED_VALUE"""),"AP")</f>
        <v>AP</v>
      </c>
      <c r="L69" s="144">
        <f>IFERROR(__xludf.DUMMYFUNCTION("""COMPUTED_VALUE"""),24.99999999)</f>
        <v>24.99999999</v>
      </c>
      <c r="M69" s="142" t="str">
        <f>IFERROR(__xludf.DUMMYFUNCTION("""COMPUTED_VALUE"""),"％")</f>
        <v>％</v>
      </c>
      <c r="N69" s="136">
        <f>IFERROR(__xludf.DUMMYFUNCTION("""COMPUTED_VALUE"""),10906.0)</f>
        <v>10906</v>
      </c>
      <c r="O69" s="100"/>
      <c r="P69" s="93" t="str">
        <f>IFERROR(__xludf.DUMMYFUNCTION("""COMPUTED_VALUE"""),"")</f>
        <v/>
      </c>
      <c r="R69" s="358"/>
      <c r="S69" s="100"/>
      <c r="T69" s="128">
        <f>IFERROR(__xludf.DUMMYFUNCTION("""COMPUTED_VALUE"""),3.0)</f>
        <v>3</v>
      </c>
      <c r="U69" s="129" t="str">
        <f>IFERROR(__xludf.DUMMYFUNCTION("""COMPUTED_VALUE"""),"TRF22")</f>
        <v>TRF22</v>
      </c>
      <c r="V69" s="131" t="str">
        <f>IFERROR(__xludf.DUMMYFUNCTION("""COMPUTED_VALUE"""),"Chaldea Gate (Sat)")</f>
        <v>Chaldea Gate (Sat)</v>
      </c>
      <c r="W69" s="131" t="str">
        <f>IFERROR(__xludf.DUMMYFUNCTION("""COMPUTED_VALUE"""),"SAT Assassin Training Ground- Int")</f>
        <v>SAT Assassin Training Ground- Int</v>
      </c>
      <c r="X69" s="136">
        <f>IFERROR(__xludf.DUMMYFUNCTION("""COMPUTED_VALUE"""),20.0)</f>
        <v>20</v>
      </c>
      <c r="Y69" s="138">
        <f>IFERROR(__xludf.DUMMYFUNCTION("""COMPUTED_VALUE"""),19.0625)</f>
        <v>19.0625</v>
      </c>
      <c r="Z69" s="140">
        <f>IFERROR(__xludf.DUMMYFUNCTION("""COMPUTED_VALUE"""),18.4)</f>
        <v>18.4</v>
      </c>
      <c r="AA69" s="142" t="str">
        <f>IFERROR(__xludf.DUMMYFUNCTION("""COMPUTED_VALUE"""),"AP")</f>
        <v>AP</v>
      </c>
      <c r="AB69" s="144">
        <f>IFERROR(__xludf.DUMMYFUNCTION("""COMPUTED_VALUE"""),108.9)</f>
        <v>108.9</v>
      </c>
      <c r="AC69" s="142" t="str">
        <f>IFERROR(__xludf.DUMMYFUNCTION("""COMPUTED_VALUE"""),"％")</f>
        <v>％</v>
      </c>
      <c r="AD69" s="136">
        <f>IFERROR(__xludf.DUMMYFUNCTION("""COMPUTED_VALUE"""),462.0)</f>
        <v>462</v>
      </c>
      <c r="AE69" s="100"/>
      <c r="AF69" s="98" t="str">
        <f>IFERROR(__xludf.DUMMYFUNCTION("""COMPUTED_VALUE"""),"")</f>
        <v/>
      </c>
    </row>
    <row r="70" ht="16.5" customHeight="1">
      <c r="B70" s="358"/>
      <c r="C70" s="100"/>
      <c r="D70" s="147">
        <f>IFERROR(__xludf.DUMMYFUNCTION("""COMPUTED_VALUE"""),4.0)</f>
        <v>4</v>
      </c>
      <c r="E70" s="149" t="str">
        <f>IFERROR(__xludf.DUMMYFUNCTION("""COMPUTED_VALUE"""),"TRF19")</f>
        <v>TRF19</v>
      </c>
      <c r="F70" s="151" t="str">
        <f>IFERROR(__xludf.DUMMYFUNCTION("""COMPUTED_VALUE"""),"Chaldea Gate (Fri)")</f>
        <v>Chaldea Gate (Fri)</v>
      </c>
      <c r="G70" s="151" t="str">
        <f>IFERROR(__xludf.DUMMYFUNCTION("""COMPUTED_VALUE"""),"FRI Caster Training Ground- Adv")</f>
        <v>FRI Caster Training Ground- Adv</v>
      </c>
      <c r="H70" s="155">
        <f>IFERROR(__xludf.DUMMYFUNCTION("""COMPUTED_VALUE"""),30.0)</f>
        <v>30</v>
      </c>
      <c r="I70" s="157">
        <f>IFERROR(__xludf.DUMMYFUNCTION("""COMPUTED_VALUE"""),18.958333333333332)</f>
        <v>18.95833333</v>
      </c>
      <c r="J70" s="159">
        <f>IFERROR(__xludf.DUMMYFUNCTION("""COMPUTED_VALUE"""),134.2)</f>
        <v>134.2</v>
      </c>
      <c r="K70" s="161" t="str">
        <f>IFERROR(__xludf.DUMMYFUNCTION("""COMPUTED_VALUE"""),"AP")</f>
        <v>AP</v>
      </c>
      <c r="L70" s="163">
        <f>IFERROR(__xludf.DUMMYFUNCTION("""COMPUTED_VALUE"""),22.4)</f>
        <v>22.4</v>
      </c>
      <c r="M70" s="161" t="str">
        <f>IFERROR(__xludf.DUMMYFUNCTION("""COMPUTED_VALUE"""),"％")</f>
        <v>％</v>
      </c>
      <c r="N70" s="155">
        <f>IFERROR(__xludf.DUMMYFUNCTION("""COMPUTED_VALUE"""),1241.0)</f>
        <v>1241</v>
      </c>
      <c r="O70" s="100"/>
      <c r="P70" s="93" t="str">
        <f>IFERROR(__xludf.DUMMYFUNCTION("""COMPUTED_VALUE"""),"")</f>
        <v/>
      </c>
      <c r="R70" s="358"/>
      <c r="S70" s="100"/>
      <c r="T70" s="147">
        <f>IFERROR(__xludf.DUMMYFUNCTION("""COMPUTED_VALUE"""),4.0)</f>
        <v>4</v>
      </c>
      <c r="U70" s="149" t="str">
        <f>IFERROR(__xludf.DUMMYFUNCTION("""COMPUTED_VALUE"""),"ANA11")</f>
        <v>ANA11</v>
      </c>
      <c r="V70" s="151" t="str">
        <f>IFERROR(__xludf.DUMMYFUNCTION("""COMPUTED_VALUE"""),"Anastasia")</f>
        <v>Anastasia</v>
      </c>
      <c r="W70" s="153" t="str">
        <f>IFERROR(__xludf.DUMMYFUNCTION("""COMPUTED_VALUE"""),"Yaga Moscow")</f>
        <v>Yaga Moscow</v>
      </c>
      <c r="X70" s="155">
        <f>IFERROR(__xludf.DUMMYFUNCTION("""COMPUTED_VALUE"""),21.0)</f>
        <v>21</v>
      </c>
      <c r="Y70" s="157">
        <f>IFERROR(__xludf.DUMMYFUNCTION("""COMPUTED_VALUE"""),49.70238095238095)</f>
        <v>49.70238095</v>
      </c>
      <c r="Z70" s="159">
        <f>IFERROR(__xludf.DUMMYFUNCTION("""COMPUTED_VALUE"""),45.7)</f>
        <v>45.7</v>
      </c>
      <c r="AA70" s="161" t="str">
        <f>IFERROR(__xludf.DUMMYFUNCTION("""COMPUTED_VALUE"""),"AP")</f>
        <v>AP</v>
      </c>
      <c r="AB70" s="163">
        <f>IFERROR(__xludf.DUMMYFUNCTION("""COMPUTED_VALUE"""),46.0)</f>
        <v>46</v>
      </c>
      <c r="AC70" s="161" t="str">
        <f>IFERROR(__xludf.DUMMYFUNCTION("""COMPUTED_VALUE"""),"％")</f>
        <v>％</v>
      </c>
      <c r="AD70" s="155">
        <f>IFERROR(__xludf.DUMMYFUNCTION("""COMPUTED_VALUE"""),6376.0)</f>
        <v>6376</v>
      </c>
      <c r="AE70" s="100"/>
      <c r="AF70" s="98" t="str">
        <f>IFERROR(__xludf.DUMMYFUNCTION("""COMPUTED_VALUE"""),"")</f>
        <v/>
      </c>
    </row>
    <row r="71" ht="16.5" customHeight="1">
      <c r="A71" s="166"/>
      <c r="B71" s="359"/>
      <c r="C71" s="168"/>
      <c r="D71" s="169">
        <f>IFERROR(__xludf.DUMMYFUNCTION("""COMPUTED_VALUE"""),5.0)</f>
        <v>5</v>
      </c>
      <c r="E71" s="170" t="str">
        <f>IFERROR(__xludf.DUMMYFUNCTION("""COMPUTED_VALUE"""),"OKN5")</f>
        <v>OKN5</v>
      </c>
      <c r="F71" s="51" t="str">
        <f>IFERROR(__xludf.DUMMYFUNCTION("""COMPUTED_VALUE"""),"Okeanos")</f>
        <v>Okeanos</v>
      </c>
      <c r="G71" s="171" t="str">
        <f>IFERROR(__xludf.DUMMYFUNCTION("""COMPUTED_VALUE"""),"Sunken Rock Seas")</f>
        <v>Sunken Rock Seas</v>
      </c>
      <c r="H71" s="172">
        <f>IFERROR(__xludf.DUMMYFUNCTION("""COMPUTED_VALUE"""),17.0)</f>
        <v>17</v>
      </c>
      <c r="I71" s="173">
        <f>IFERROR(__xludf.DUMMYFUNCTION("""COMPUTED_VALUE"""),40.80882352941177)</f>
        <v>40.80882353</v>
      </c>
      <c r="J71" s="174">
        <f>IFERROR(__xludf.DUMMYFUNCTION("""COMPUTED_VALUE"""),107.2)</f>
        <v>107.2</v>
      </c>
      <c r="K71" s="175" t="str">
        <f>IFERROR(__xludf.DUMMYFUNCTION("""COMPUTED_VALUE"""),"AP")</f>
        <v>AP</v>
      </c>
      <c r="L71" s="176">
        <f>IFERROR(__xludf.DUMMYFUNCTION("""COMPUTED_VALUE"""),15.9)</f>
        <v>15.9</v>
      </c>
      <c r="M71" s="175" t="str">
        <f>IFERROR(__xludf.DUMMYFUNCTION("""COMPUTED_VALUE"""),"％")</f>
        <v>％</v>
      </c>
      <c r="N71" s="172">
        <f>IFERROR(__xludf.DUMMYFUNCTION("""COMPUTED_VALUE"""),1160.0)</f>
        <v>1160</v>
      </c>
      <c r="O71" s="168"/>
      <c r="P71" s="93" t="str">
        <f>IFERROR(__xludf.DUMMYFUNCTION("""COMPUTED_VALUE"""),"")</f>
        <v/>
      </c>
      <c r="Q71" s="166"/>
      <c r="R71" s="359"/>
      <c r="S71" s="168"/>
      <c r="T71" s="169">
        <f>IFERROR(__xludf.DUMMYFUNCTION("""COMPUTED_VALUE"""),5.0)</f>
        <v>5</v>
      </c>
      <c r="U71" s="170" t="str">
        <f>IFERROR(__xludf.DUMMYFUNCTION("""COMPUTED_VALUE"""),"SIN11")</f>
        <v>SIN11</v>
      </c>
      <c r="V71" s="51" t="str">
        <f>IFERROR(__xludf.DUMMYFUNCTION("""COMPUTED_VALUE"""),"SIN")</f>
        <v>SIN</v>
      </c>
      <c r="W71" s="171" t="str">
        <f>IFERROR(__xludf.DUMMYFUNCTION("""COMPUTED_VALUE"""),"Eight Gates Cave")</f>
        <v>Eight Gates Cave</v>
      </c>
      <c r="X71" s="172">
        <f>IFERROR(__xludf.DUMMYFUNCTION("""COMPUTED_VALUE"""),21.0)</f>
        <v>21</v>
      </c>
      <c r="Y71" s="173">
        <f>IFERROR(__xludf.DUMMYFUNCTION("""COMPUTED_VALUE"""),50.892857142857146)</f>
        <v>50.89285714</v>
      </c>
      <c r="Z71" s="174">
        <f>IFERROR(__xludf.DUMMYFUNCTION("""COMPUTED_VALUE"""),46.5)</f>
        <v>46.5</v>
      </c>
      <c r="AA71" s="175" t="str">
        <f>IFERROR(__xludf.DUMMYFUNCTION("""COMPUTED_VALUE"""),"AP")</f>
        <v>AP</v>
      </c>
      <c r="AB71" s="176">
        <f>IFERROR(__xludf.DUMMYFUNCTION("""COMPUTED_VALUE"""),45.2)</f>
        <v>45.2</v>
      </c>
      <c r="AC71" s="175" t="str">
        <f>IFERROR(__xludf.DUMMYFUNCTION("""COMPUTED_VALUE"""),"％")</f>
        <v>％</v>
      </c>
      <c r="AD71" s="172">
        <f>IFERROR(__xludf.DUMMYFUNCTION("""COMPUTED_VALUE"""),22321.0)</f>
        <v>22321</v>
      </c>
      <c r="AE71" s="168"/>
      <c r="AF71" s="98" t="str">
        <f>IFERROR(__xludf.DUMMYFUNCTION("""COMPUTED_VALUE"""),"")</f>
        <v/>
      </c>
    </row>
    <row r="72" ht="16.5" customHeight="1">
      <c r="A72" s="61" t="str">
        <f>IFERROR(__xludf.DUMMYFUNCTION("""COMPUTED_VALUE"""),"")</f>
        <v/>
      </c>
      <c r="B72" s="183" t="str">
        <f>IFERROR(__xludf.DUMMYFUNCTION("""COMPUTED_VALUE"""),"A205")</f>
        <v>A205</v>
      </c>
      <c r="C72" s="197" t="str">
        <f>IFERROR(__xludf.DUMMYFUNCTION("""COMPUTED_VALUE"""),"Phoenix Feather")</f>
        <v>Phoenix Feather</v>
      </c>
      <c r="D72" s="185">
        <f>IFERROR(__xludf.DUMMYFUNCTION("""COMPUTED_VALUE"""),1.0)</f>
        <v>1</v>
      </c>
      <c r="E72" s="187" t="str">
        <f>IFERROR(__xludf.DUMMYFUNCTION("""COMPUTED_VALUE"""),"SLM3")</f>
        <v>SLM3</v>
      </c>
      <c r="F72" s="188" t="str">
        <f>IFERROR(__xludf.DUMMYFUNCTION("""COMPUTED_VALUE"""),"Salem")</f>
        <v>Salem</v>
      </c>
      <c r="G72" s="193" t="str">
        <f>IFERROR(__xludf.DUMMYFUNCTION("""COMPUTED_VALUE"""),"Town Hall")</f>
        <v>Town Hall</v>
      </c>
      <c r="H72" s="195">
        <f>IFERROR(__xludf.DUMMYFUNCTION("""COMPUTED_VALUE"""),21.0)</f>
        <v>21</v>
      </c>
      <c r="I72" s="196">
        <f>IFERROR(__xludf.DUMMYFUNCTION("""COMPUTED_VALUE"""),47.32142857142857)</f>
        <v>47.32142857</v>
      </c>
      <c r="J72" s="198">
        <f>IFERROR(__xludf.DUMMYFUNCTION("""COMPUTED_VALUE"""),59.3)</f>
        <v>59.3</v>
      </c>
      <c r="K72" s="200" t="str">
        <f>IFERROR(__xludf.DUMMYFUNCTION("""COMPUTED_VALUE"""),"AP")</f>
        <v>AP</v>
      </c>
      <c r="L72" s="198">
        <f>IFERROR(__xludf.DUMMYFUNCTION("""COMPUTED_VALUE"""),35.4)</f>
        <v>35.4</v>
      </c>
      <c r="M72" s="201" t="str">
        <f>IFERROR(__xludf.DUMMYFUNCTION("""COMPUTED_VALUE"""),"％")</f>
        <v>％</v>
      </c>
      <c r="N72" s="195">
        <f>IFERROR(__xludf.DUMMYFUNCTION("""COMPUTED_VALUE"""),27463.0)</f>
        <v>27463</v>
      </c>
      <c r="O72" s="197" t="str">
        <f>IFERROR(__xludf.DUMMYFUNCTION("""COMPUTED_VALUE"""),"Phoenix Feather")</f>
        <v>Phoenix Feather</v>
      </c>
      <c r="P72" s="93" t="str">
        <f>IFERROR(__xludf.DUMMYFUNCTION("""COMPUTED_VALUE"""),"")</f>
        <v/>
      </c>
      <c r="Q72" s="61" t="str">
        <f>IFERROR(__xludf.DUMMYFUNCTION("""COMPUTED_VALUE"""),"")</f>
        <v/>
      </c>
      <c r="R72" s="202" t="str">
        <f>IFERROR(__xludf.DUMMYFUNCTION("""COMPUTED_VALUE"""),"B117")</f>
        <v>B117</v>
      </c>
      <c r="S72" s="197" t="str">
        <f>IFERROR(__xludf.DUMMYFUNCTION("""COMPUTED_VALUE"""),"Magic Gem of Berserker")</f>
        <v>Magic Gem of Berserker</v>
      </c>
      <c r="T72" s="185">
        <f>IFERROR(__xludf.DUMMYFUNCTION("""COMPUTED_VALUE"""),1.0)</f>
        <v>1</v>
      </c>
      <c r="U72" s="187" t="str">
        <f>IFERROR(__xludf.DUMMYFUNCTION("""COMPUTED_VALUE"""),"TRF11")</f>
        <v>TRF11</v>
      </c>
      <c r="V72" s="188" t="str">
        <f>IFERROR(__xludf.DUMMYFUNCTION("""COMPUTED_VALUE"""),"Chaldea Gate (Wed)")</f>
        <v>Chaldea Gate (Wed)</v>
      </c>
      <c r="W72" s="188" t="str">
        <f>IFERROR(__xludf.DUMMYFUNCTION("""COMPUTED_VALUE"""),"WED Berserker Training Ground- Adv")</f>
        <v>WED Berserker Training Ground- Adv</v>
      </c>
      <c r="X72" s="195">
        <f>IFERROR(__xludf.DUMMYFUNCTION("""COMPUTED_VALUE"""),30.0)</f>
        <v>30</v>
      </c>
      <c r="Y72" s="196">
        <f>IFERROR(__xludf.DUMMYFUNCTION("""COMPUTED_VALUE"""),18.958333333333332)</f>
        <v>18.95833333</v>
      </c>
      <c r="Z72" s="198">
        <f>IFERROR(__xludf.DUMMYFUNCTION("""COMPUTED_VALUE"""),22.6)</f>
        <v>22.6</v>
      </c>
      <c r="AA72" s="200" t="str">
        <f>IFERROR(__xludf.DUMMYFUNCTION("""COMPUTED_VALUE"""),"AP")</f>
        <v>AP</v>
      </c>
      <c r="AB72" s="198">
        <f>IFERROR(__xludf.DUMMYFUNCTION("""COMPUTED_VALUE"""),132.8)</f>
        <v>132.8</v>
      </c>
      <c r="AC72" s="201" t="str">
        <f>IFERROR(__xludf.DUMMYFUNCTION("""COMPUTED_VALUE"""),"％")</f>
        <v>％</v>
      </c>
      <c r="AD72" s="195">
        <f>IFERROR(__xludf.DUMMYFUNCTION("""COMPUTED_VALUE"""),469.0)</f>
        <v>469</v>
      </c>
      <c r="AE72" s="197" t="str">
        <f>IFERROR(__xludf.DUMMYFUNCTION("""COMPUTED_VALUE"""),"Magic Gem of Berserker")</f>
        <v>Magic Gem of Berserker</v>
      </c>
      <c r="AF72" s="98" t="str">
        <f>IFERROR(__xludf.DUMMYFUNCTION("""COMPUTED_VALUE"""),"")</f>
        <v/>
      </c>
    </row>
    <row r="73" ht="16.5" customHeight="1">
      <c r="B73" s="203"/>
      <c r="C73" s="217"/>
      <c r="D73" s="208">
        <f>IFERROR(__xludf.DUMMYFUNCTION("""COMPUTED_VALUE"""),2.0)</f>
        <v>2</v>
      </c>
      <c r="E73" s="210" t="str">
        <f>IFERROR(__xludf.DUMMYFUNCTION("""COMPUTED_VALUE"""),"AGT10")</f>
        <v>AGT10</v>
      </c>
      <c r="F73" s="212" t="str">
        <f>IFERROR(__xludf.DUMMYFUNCTION("""COMPUTED_VALUE"""),"Agartha")</f>
        <v>Agartha</v>
      </c>
      <c r="G73" s="216" t="str">
        <f>IFERROR(__xludf.DUMMYFUNCTION("""COMPUTED_VALUE"""),"Great Underground River")</f>
        <v>Great Underground River</v>
      </c>
      <c r="H73" s="218">
        <f>IFERROR(__xludf.DUMMYFUNCTION("""COMPUTED_VALUE"""),21.0)</f>
        <v>21</v>
      </c>
      <c r="I73" s="219">
        <f>IFERROR(__xludf.DUMMYFUNCTION("""COMPUTED_VALUE"""),49.70238095238095)</f>
        <v>49.70238095</v>
      </c>
      <c r="J73" s="220">
        <f>IFERROR(__xludf.DUMMYFUNCTION("""COMPUTED_VALUE"""),69.7)</f>
        <v>69.7</v>
      </c>
      <c r="K73" s="221" t="str">
        <f>IFERROR(__xludf.DUMMYFUNCTION("""COMPUTED_VALUE"""),"AP")</f>
        <v>AP</v>
      </c>
      <c r="L73" s="220">
        <f>IFERROR(__xludf.DUMMYFUNCTION("""COMPUTED_VALUE"""),30.1)</f>
        <v>30.1</v>
      </c>
      <c r="M73" s="221" t="str">
        <f>IFERROR(__xludf.DUMMYFUNCTION("""COMPUTED_VALUE"""),"％")</f>
        <v>％</v>
      </c>
      <c r="N73" s="218">
        <f>IFERROR(__xludf.DUMMYFUNCTION("""COMPUTED_VALUE"""),26886.0)</f>
        <v>26886</v>
      </c>
      <c r="O73" s="217"/>
      <c r="P73" s="93" t="str">
        <f>IFERROR(__xludf.DUMMYFUNCTION("""COMPUTED_VALUE"""),"")</f>
        <v/>
      </c>
      <c r="R73" s="203"/>
      <c r="S73" s="217"/>
      <c r="T73" s="208">
        <f>IFERROR(__xludf.DUMMYFUNCTION("""COMPUTED_VALUE"""),2.0)</f>
        <v>2</v>
      </c>
      <c r="U73" s="210" t="str">
        <f>IFERROR(__xludf.DUMMYFUNCTION("""COMPUTED_VALUE"""),"TRF12")</f>
        <v>TRF12</v>
      </c>
      <c r="V73" s="212" t="str">
        <f>IFERROR(__xludf.DUMMYFUNCTION("""COMPUTED_VALUE"""),"Chaldea Gate (Wed)")</f>
        <v>Chaldea Gate (Wed)</v>
      </c>
      <c r="W73" s="212" t="str">
        <f>IFERROR(__xludf.DUMMYFUNCTION("""COMPUTED_VALUE"""),"WED Berserker Training Ground- Exp")</f>
        <v>WED Berserker Training Ground- Exp</v>
      </c>
      <c r="X73" s="218">
        <f>IFERROR(__xludf.DUMMYFUNCTION("""COMPUTED_VALUE"""),40.0)</f>
        <v>40</v>
      </c>
      <c r="Y73" s="219">
        <f>IFERROR(__xludf.DUMMYFUNCTION("""COMPUTED_VALUE"""),20.46875)</f>
        <v>20.46875</v>
      </c>
      <c r="Z73" s="220">
        <f>IFERROR(__xludf.DUMMYFUNCTION("""COMPUTED_VALUE"""),35.5)</f>
        <v>35.5</v>
      </c>
      <c r="AA73" s="221" t="str">
        <f>IFERROR(__xludf.DUMMYFUNCTION("""COMPUTED_VALUE"""),"AP")</f>
        <v>AP</v>
      </c>
      <c r="AB73" s="220">
        <f>IFERROR(__xludf.DUMMYFUNCTION("""COMPUTED_VALUE"""),112.8)</f>
        <v>112.8</v>
      </c>
      <c r="AC73" s="221" t="str">
        <f>IFERROR(__xludf.DUMMYFUNCTION("""COMPUTED_VALUE"""),"％")</f>
        <v>％</v>
      </c>
      <c r="AD73" s="218">
        <f>IFERROR(__xludf.DUMMYFUNCTION("""COMPUTED_VALUE"""),3095.0)</f>
        <v>3095</v>
      </c>
      <c r="AE73" s="217"/>
      <c r="AF73" s="98" t="str">
        <f>IFERROR(__xludf.DUMMYFUNCTION("""COMPUTED_VALUE"""),"")</f>
        <v/>
      </c>
    </row>
    <row r="74" ht="16.5" customHeight="1">
      <c r="B74" s="203"/>
      <c r="C74" s="217"/>
      <c r="D74" s="225">
        <f>IFERROR(__xludf.DUMMYFUNCTION("""COMPUTED_VALUE"""),3.0)</f>
        <v>3</v>
      </c>
      <c r="E74" s="227" t="str">
        <f>IFERROR(__xludf.DUMMYFUNCTION("""COMPUTED_VALUE"""),"AGT3")</f>
        <v>AGT3</v>
      </c>
      <c r="F74" s="229" t="str">
        <f>IFERROR(__xludf.DUMMYFUNCTION("""COMPUTED_VALUE"""),"Agartha")</f>
        <v>Agartha</v>
      </c>
      <c r="G74" s="233" t="str">
        <f>IFERROR(__xludf.DUMMYFUNCTION("""COMPUTED_VALUE"""),"Riverside Town")</f>
        <v>Riverside Town</v>
      </c>
      <c r="H74" s="234">
        <f>IFERROR(__xludf.DUMMYFUNCTION("""COMPUTED_VALUE"""),20.0)</f>
        <v>20</v>
      </c>
      <c r="I74" s="235">
        <f>IFERROR(__xludf.DUMMYFUNCTION("""COMPUTED_VALUE"""),48.4375)</f>
        <v>48.4375</v>
      </c>
      <c r="J74" s="236">
        <f>IFERROR(__xludf.DUMMYFUNCTION("""COMPUTED_VALUE"""),98.0)</f>
        <v>98</v>
      </c>
      <c r="K74" s="237" t="str">
        <f>IFERROR(__xludf.DUMMYFUNCTION("""COMPUTED_VALUE"""),"AP")</f>
        <v>AP</v>
      </c>
      <c r="L74" s="236">
        <f>IFERROR(__xludf.DUMMYFUNCTION("""COMPUTED_VALUE"""),20.4)</f>
        <v>20.4</v>
      </c>
      <c r="M74" s="237" t="str">
        <f>IFERROR(__xludf.DUMMYFUNCTION("""COMPUTED_VALUE"""),"％")</f>
        <v>％</v>
      </c>
      <c r="N74" s="234">
        <f>IFERROR(__xludf.DUMMYFUNCTION("""COMPUTED_VALUE"""),10369.0)</f>
        <v>10369</v>
      </c>
      <c r="O74" s="217"/>
      <c r="P74" s="93" t="str">
        <f>IFERROR(__xludf.DUMMYFUNCTION("""COMPUTED_VALUE"""),"")</f>
        <v/>
      </c>
      <c r="R74" s="203"/>
      <c r="S74" s="217"/>
      <c r="T74" s="225">
        <f>IFERROR(__xludf.DUMMYFUNCTION("""COMPUTED_VALUE"""),3.0)</f>
        <v>3</v>
      </c>
      <c r="U74" s="227" t="str">
        <f>IFERROR(__xludf.DUMMYFUNCTION("""COMPUTED_VALUE"""),"TRF10")</f>
        <v>TRF10</v>
      </c>
      <c r="V74" s="229" t="str">
        <f>IFERROR(__xludf.DUMMYFUNCTION("""COMPUTED_VALUE"""),"Chaldea Gate (Wed)")</f>
        <v>Chaldea Gate (Wed)</v>
      </c>
      <c r="W74" s="229" t="str">
        <f>IFERROR(__xludf.DUMMYFUNCTION("""COMPUTED_VALUE"""),"WED Berserker Training Ground- Int")</f>
        <v>WED Berserker Training Ground- Int</v>
      </c>
      <c r="X74" s="234">
        <f>IFERROR(__xludf.DUMMYFUNCTION("""COMPUTED_VALUE"""),20.0)</f>
        <v>20</v>
      </c>
      <c r="Y74" s="235">
        <f>IFERROR(__xludf.DUMMYFUNCTION("""COMPUTED_VALUE"""),19.0625)</f>
        <v>19.0625</v>
      </c>
      <c r="Z74" s="236">
        <f>IFERROR(__xludf.DUMMYFUNCTION("""COMPUTED_VALUE"""),31.4)</f>
        <v>31.4</v>
      </c>
      <c r="AA74" s="237" t="str">
        <f>IFERROR(__xludf.DUMMYFUNCTION("""COMPUTED_VALUE"""),"AP")</f>
        <v>AP</v>
      </c>
      <c r="AB74" s="236">
        <f>IFERROR(__xludf.DUMMYFUNCTION("""COMPUTED_VALUE"""),63.7)</f>
        <v>63.7</v>
      </c>
      <c r="AC74" s="237" t="str">
        <f>IFERROR(__xludf.DUMMYFUNCTION("""COMPUTED_VALUE"""),"％")</f>
        <v>％</v>
      </c>
      <c r="AD74" s="234">
        <f>IFERROR(__xludf.DUMMYFUNCTION("""COMPUTED_VALUE"""),554.0)</f>
        <v>554</v>
      </c>
      <c r="AE74" s="217"/>
      <c r="AF74" s="98" t="str">
        <f>IFERROR(__xludf.DUMMYFUNCTION("""COMPUTED_VALUE"""),"")</f>
        <v/>
      </c>
    </row>
    <row r="75" ht="16.5" customHeight="1">
      <c r="B75" s="203"/>
      <c r="C75" s="217"/>
      <c r="D75" s="239">
        <f>IFERROR(__xludf.DUMMYFUNCTION("""COMPUTED_VALUE"""),4.0)</f>
        <v>4</v>
      </c>
      <c r="E75" s="241" t="str">
        <f>IFERROR(__xludf.DUMMYFUNCTION("""COMPUTED_VALUE"""),"AGT3")</f>
        <v>AGT3</v>
      </c>
      <c r="F75" s="243" t="str">
        <f>IFERROR(__xludf.DUMMYFUNCTION("""COMPUTED_VALUE"""),"Agartha")</f>
        <v>Agartha</v>
      </c>
      <c r="G75" s="245" t="str">
        <f>IFERROR(__xludf.DUMMYFUNCTION("""COMPUTED_VALUE"""),"Riverside Town")</f>
        <v>Riverside Town</v>
      </c>
      <c r="H75" s="247">
        <f>IFERROR(__xludf.DUMMYFUNCTION("""COMPUTED_VALUE"""),20.0)</f>
        <v>20</v>
      </c>
      <c r="I75" s="249">
        <f>IFERROR(__xludf.DUMMYFUNCTION("""COMPUTED_VALUE"""),48.4375)</f>
        <v>48.4375</v>
      </c>
      <c r="J75" s="251">
        <f>IFERROR(__xludf.DUMMYFUNCTION("""COMPUTED_VALUE"""),98.0)</f>
        <v>98</v>
      </c>
      <c r="K75" s="253" t="str">
        <f>IFERROR(__xludf.DUMMYFUNCTION("""COMPUTED_VALUE"""),"AP")</f>
        <v>AP</v>
      </c>
      <c r="L75" s="251">
        <f>IFERROR(__xludf.DUMMYFUNCTION("""COMPUTED_VALUE"""),20.4)</f>
        <v>20.4</v>
      </c>
      <c r="M75" s="253" t="str">
        <f>IFERROR(__xludf.DUMMYFUNCTION("""COMPUTED_VALUE"""),"％")</f>
        <v>％</v>
      </c>
      <c r="N75" s="247">
        <f>IFERROR(__xludf.DUMMYFUNCTION("""COMPUTED_VALUE"""),10369.0)</f>
        <v>10369</v>
      </c>
      <c r="O75" s="217"/>
      <c r="P75" s="93" t="str">
        <f>IFERROR(__xludf.DUMMYFUNCTION("""COMPUTED_VALUE"""),"")</f>
        <v/>
      </c>
      <c r="R75" s="203"/>
      <c r="S75" s="217"/>
      <c r="T75" s="239">
        <f>IFERROR(__xludf.DUMMYFUNCTION("""COMPUTED_VALUE"""),4.0)</f>
        <v>4</v>
      </c>
      <c r="U75" s="241" t="str">
        <f>IFERROR(__xludf.DUMMYFUNCTION("""COMPUTED_VALUE"""),"GTT3")</f>
        <v>GTT3</v>
      </c>
      <c r="V75" s="243" t="str">
        <f>IFERROR(__xludf.DUMMYFUNCTION("""COMPUTED_VALUE"""),"Götterdämmerung")</f>
        <v>Götterdämmerung</v>
      </c>
      <c r="W75" s="245" t="str">
        <f>IFERROR(__xludf.DUMMYFUNCTION("""COMPUTED_VALUE"""),"Giants' Flower Patio")</f>
        <v>Giants' Flower Patio</v>
      </c>
      <c r="X75" s="247">
        <f>IFERROR(__xludf.DUMMYFUNCTION("""COMPUTED_VALUE"""),20.0)</f>
        <v>20</v>
      </c>
      <c r="Y75" s="249">
        <f>IFERROR(__xludf.DUMMYFUNCTION("""COMPUTED_VALUE"""),48.4375)</f>
        <v>48.4375</v>
      </c>
      <c r="Z75" s="251">
        <f>IFERROR(__xludf.DUMMYFUNCTION("""COMPUTED_VALUE"""),45.0)</f>
        <v>45</v>
      </c>
      <c r="AA75" s="253" t="str">
        <f>IFERROR(__xludf.DUMMYFUNCTION("""COMPUTED_VALUE"""),"AP")</f>
        <v>AP</v>
      </c>
      <c r="AB75" s="251">
        <f>IFERROR(__xludf.DUMMYFUNCTION("""COMPUTED_VALUE"""),44.5)</f>
        <v>44.5</v>
      </c>
      <c r="AC75" s="253" t="str">
        <f>IFERROR(__xludf.DUMMYFUNCTION("""COMPUTED_VALUE"""),"％")</f>
        <v>％</v>
      </c>
      <c r="AD75" s="247">
        <f>IFERROR(__xludf.DUMMYFUNCTION("""COMPUTED_VALUE"""),9123.0)</f>
        <v>9123</v>
      </c>
      <c r="AE75" s="217"/>
      <c r="AF75" s="98" t="str">
        <f>IFERROR(__xludf.DUMMYFUNCTION("""COMPUTED_VALUE"""),"")</f>
        <v/>
      </c>
    </row>
    <row r="76" ht="16.5" customHeight="1">
      <c r="A76" s="166"/>
      <c r="B76" s="254"/>
      <c r="C76" s="263"/>
      <c r="D76" s="256">
        <f>IFERROR(__xludf.DUMMYFUNCTION("""COMPUTED_VALUE"""),5.0)</f>
        <v>5</v>
      </c>
      <c r="E76" s="257" t="str">
        <f>IFERROR(__xludf.DUMMYFUNCTION("""COMPUTED_VALUE"""),"SLM4")</f>
        <v>SLM4</v>
      </c>
      <c r="F76" s="42" t="str">
        <f>IFERROR(__xludf.DUMMYFUNCTION("""COMPUTED_VALUE"""),"Salem")</f>
        <v>Salem</v>
      </c>
      <c r="G76" s="258" t="str">
        <f>IFERROR(__xludf.DUMMYFUNCTION("""COMPUTED_VALUE"""),"Quay")</f>
        <v>Quay</v>
      </c>
      <c r="H76" s="259">
        <f>IFERROR(__xludf.DUMMYFUNCTION("""COMPUTED_VALUE"""),21.0)</f>
        <v>21</v>
      </c>
      <c r="I76" s="260">
        <f>IFERROR(__xludf.DUMMYFUNCTION("""COMPUTED_VALUE"""),47.32142857142857)</f>
        <v>47.32142857</v>
      </c>
      <c r="J76" s="261">
        <f>IFERROR(__xludf.DUMMYFUNCTION("""COMPUTED_VALUE"""),103.4)</f>
        <v>103.4</v>
      </c>
      <c r="K76" s="262" t="str">
        <f>IFERROR(__xludf.DUMMYFUNCTION("""COMPUTED_VALUE"""),"AP")</f>
        <v>AP</v>
      </c>
      <c r="L76" s="261">
        <f>IFERROR(__xludf.DUMMYFUNCTION("""COMPUTED_VALUE"""),20.299999)</f>
        <v>20.299999</v>
      </c>
      <c r="M76" s="262" t="str">
        <f>IFERROR(__xludf.DUMMYFUNCTION("""COMPUTED_VALUE"""),"％")</f>
        <v>％</v>
      </c>
      <c r="N76" s="259">
        <f>IFERROR(__xludf.DUMMYFUNCTION("""COMPUTED_VALUE"""),25430.0)</f>
        <v>25430</v>
      </c>
      <c r="O76" s="263"/>
      <c r="P76" s="93" t="str">
        <f>IFERROR(__xludf.DUMMYFUNCTION("""COMPUTED_VALUE"""),"")</f>
        <v/>
      </c>
      <c r="Q76" s="166"/>
      <c r="R76" s="254"/>
      <c r="S76" s="263"/>
      <c r="T76" s="256">
        <f>IFERROR(__xludf.DUMMYFUNCTION("""COMPUTED_VALUE"""),5.0)</f>
        <v>5</v>
      </c>
      <c r="U76" s="257" t="str">
        <f>IFERROR(__xludf.DUMMYFUNCTION("""COMPUTED_VALUE"""),"GTT7")</f>
        <v>GTT7</v>
      </c>
      <c r="V76" s="42" t="str">
        <f>IFERROR(__xludf.DUMMYFUNCTION("""COMPUTED_VALUE"""),"Götterdämmerung")</f>
        <v>Götterdämmerung</v>
      </c>
      <c r="W76" s="258" t="str">
        <f>IFERROR(__xludf.DUMMYFUNCTION("""COMPUTED_VALUE"""),"Pathway Towards The Peak")</f>
        <v>Pathway Towards The Peak</v>
      </c>
      <c r="X76" s="259">
        <f>IFERROR(__xludf.DUMMYFUNCTION("""COMPUTED_VALUE"""),21.0)</f>
        <v>21</v>
      </c>
      <c r="Y76" s="260">
        <f>IFERROR(__xludf.DUMMYFUNCTION("""COMPUTED_VALUE"""),48.51190476190476)</f>
        <v>48.51190476</v>
      </c>
      <c r="Z76" s="261">
        <f>IFERROR(__xludf.DUMMYFUNCTION("""COMPUTED_VALUE"""),51.6)</f>
        <v>51.6</v>
      </c>
      <c r="AA76" s="262" t="str">
        <f>IFERROR(__xludf.DUMMYFUNCTION("""COMPUTED_VALUE"""),"AP")</f>
        <v>AP</v>
      </c>
      <c r="AB76" s="261">
        <f>IFERROR(__xludf.DUMMYFUNCTION("""COMPUTED_VALUE"""),40.7)</f>
        <v>40.7</v>
      </c>
      <c r="AC76" s="262" t="str">
        <f>IFERROR(__xludf.DUMMYFUNCTION("""COMPUTED_VALUE"""),"％")</f>
        <v>％</v>
      </c>
      <c r="AD76" s="259">
        <f>IFERROR(__xludf.DUMMYFUNCTION("""COMPUTED_VALUE"""),9083.0)</f>
        <v>9083</v>
      </c>
      <c r="AE76" s="263"/>
      <c r="AF76" s="98" t="str">
        <f>IFERROR(__xludf.DUMMYFUNCTION("""COMPUTED_VALUE"""),"")</f>
        <v/>
      </c>
    </row>
    <row r="77" ht="16.5" customHeight="1">
      <c r="A77" s="352" t="str">
        <f>IFERROR(__xludf.DUMMYFUNCTION("""COMPUTED_VALUE"""),"Item")</f>
        <v>Item</v>
      </c>
      <c r="C77" s="353"/>
      <c r="D77" s="30" t="str">
        <f>IFERROR(__xludf.DUMMYFUNCTION("""COMPUTED_VALUE"""),"No.")</f>
        <v>No.</v>
      </c>
      <c r="E77" s="31" t="str">
        <f>IFERROR(__xludf.DUMMYFUNCTION("""COMPUTED_VALUE"""),"Node Code")</f>
        <v>Node Code</v>
      </c>
      <c r="F77" s="31" t="str">
        <f>IFERROR(__xludf.DUMMYFUNCTION("""COMPUTED_VALUE"""),"Area")</f>
        <v>Area</v>
      </c>
      <c r="G77" s="31" t="str">
        <f>IFERROR(__xludf.DUMMYFUNCTION("""COMPUTED_VALUE"""),"Quest")</f>
        <v>Quest</v>
      </c>
      <c r="H77" s="30" t="str">
        <f>IFERROR(__xludf.DUMMYFUNCTION("""COMPUTED_VALUE"""),"AP")</f>
        <v>AP</v>
      </c>
      <c r="I77" s="365" t="str">
        <f>IFERROR(__xludf.DUMMYFUNCTION("""COMPUTED_VALUE"""),"BP/AP")</f>
        <v>BP/AP</v>
      </c>
      <c r="J77" s="36" t="str">
        <f>IFERROR(__xludf.DUMMYFUNCTION("""COMPUTED_VALUE"""),"AP/Drop")</f>
        <v>AP/Drop</v>
      </c>
      <c r="K77" s="28"/>
      <c r="L77" s="36" t="str">
        <f>IFERROR(__xludf.DUMMYFUNCTION("""COMPUTED_VALUE"""),"Drop Chance")</f>
        <v>Drop Chance</v>
      </c>
      <c r="M77" s="28"/>
      <c r="N77" s="38" t="str">
        <f>IFERROR(__xludf.DUMMYFUNCTION("""COMPUTED_VALUE"""),"Runs")</f>
        <v>Runs</v>
      </c>
      <c r="O77" s="355" t="str">
        <f>IFERROR(__xludf.DUMMYFUNCTION("""COMPUTED_VALUE"""),"")</f>
        <v/>
      </c>
      <c r="P77" s="42" t="str">
        <f>IFERROR(__xludf.DUMMYFUNCTION("""COMPUTED_VALUE"""),"")</f>
        <v/>
      </c>
      <c r="Q77" s="352" t="str">
        <f>IFERROR(__xludf.DUMMYFUNCTION("""COMPUTED_VALUE"""),"Item")</f>
        <v>Item</v>
      </c>
      <c r="S77" s="353"/>
      <c r="T77" s="30" t="str">
        <f>IFERROR(__xludf.DUMMYFUNCTION("""COMPUTED_VALUE"""),"No.")</f>
        <v>No.</v>
      </c>
      <c r="U77" s="31" t="str">
        <f>IFERROR(__xludf.DUMMYFUNCTION("""COMPUTED_VALUE"""),"Node Code")</f>
        <v>Node Code</v>
      </c>
      <c r="V77" s="31" t="str">
        <f>IFERROR(__xludf.DUMMYFUNCTION("""COMPUTED_VALUE"""),"Area")</f>
        <v>Area</v>
      </c>
      <c r="W77" s="31" t="str">
        <f>IFERROR(__xludf.DUMMYFUNCTION("""COMPUTED_VALUE"""),"Quest")</f>
        <v>Quest</v>
      </c>
      <c r="X77" s="30" t="str">
        <f>IFERROR(__xludf.DUMMYFUNCTION("""COMPUTED_VALUE"""),"AP")</f>
        <v>AP</v>
      </c>
      <c r="Y77" s="365" t="str">
        <f>IFERROR(__xludf.DUMMYFUNCTION("""COMPUTED_VALUE"""),"BP/AP")</f>
        <v>BP/AP</v>
      </c>
      <c r="Z77" s="36" t="str">
        <f>IFERROR(__xludf.DUMMYFUNCTION("""COMPUTED_VALUE"""),"AP/Drop")</f>
        <v>AP/Drop</v>
      </c>
      <c r="AA77" s="28"/>
      <c r="AB77" s="36" t="str">
        <f>IFERROR(__xludf.DUMMYFUNCTION("""COMPUTED_VALUE"""),"Drop Chance")</f>
        <v>Drop Chance</v>
      </c>
      <c r="AC77" s="28"/>
      <c r="AD77" s="38" t="str">
        <f>IFERROR(__xludf.DUMMYFUNCTION("""COMPUTED_VALUE"""),"Runs")</f>
        <v>Runs</v>
      </c>
      <c r="AE77" s="355" t="str">
        <f>IFERROR(__xludf.DUMMYFUNCTION("""COMPUTED_VALUE"""),"")</f>
        <v/>
      </c>
      <c r="AF77" s="51" t="str">
        <f>IFERROR(__xludf.DUMMYFUNCTION("""COMPUTED_VALUE"""),"")</f>
        <v/>
      </c>
    </row>
    <row r="78" ht="16.5" customHeight="1">
      <c r="A78" s="54"/>
      <c r="B78" s="55"/>
      <c r="C78" s="57"/>
      <c r="D78" s="57"/>
      <c r="E78" s="57"/>
      <c r="F78" s="57"/>
      <c r="G78" s="57"/>
      <c r="H78" s="57"/>
      <c r="I78" s="58" t="str">
        <f>IFERROR(__xludf.DUMMYFUNCTION("""COMPUTED_VALUE"""),"1P+1L+1T")</f>
        <v>1P+1L+1T</v>
      </c>
      <c r="J78" s="55"/>
      <c r="K78" s="57"/>
      <c r="L78" s="55"/>
      <c r="M78" s="57"/>
      <c r="N78" s="57"/>
      <c r="O78" s="57"/>
      <c r="P78" s="42" t="str">
        <f>IFERROR(__xludf.DUMMYFUNCTION("""COMPUTED_VALUE"""),"")</f>
        <v/>
      </c>
      <c r="Q78" s="54"/>
      <c r="R78" s="55"/>
      <c r="S78" s="57"/>
      <c r="T78" s="57"/>
      <c r="U78" s="57"/>
      <c r="V78" s="57"/>
      <c r="W78" s="57"/>
      <c r="X78" s="57"/>
      <c r="Y78" s="58" t="str">
        <f>IFERROR(__xludf.DUMMYFUNCTION("""COMPUTED_VALUE"""),"1P+1L+1T")</f>
        <v>1P+1L+1T</v>
      </c>
      <c r="Z78" s="55"/>
      <c r="AA78" s="57"/>
      <c r="AB78" s="55"/>
      <c r="AC78" s="57"/>
      <c r="AD78" s="57"/>
      <c r="AE78" s="57"/>
      <c r="AF78" s="51" t="str">
        <f>IFERROR(__xludf.DUMMYFUNCTION("""COMPUTED_VALUE"""),"")</f>
        <v/>
      </c>
    </row>
    <row r="79" ht="16.5" customHeight="1">
      <c r="A79" s="61" t="str">
        <f>IFERROR(__xludf.DUMMYFUNCTION("""COMPUTED_VALUE"""),"")</f>
        <v/>
      </c>
      <c r="B79" s="63" t="str">
        <f>IFERROR(__xludf.DUMMYFUNCTION("""COMPUTED_VALUE"""),"A206")</f>
        <v>A206</v>
      </c>
      <c r="C79" s="65" t="str">
        <f>IFERROR(__xludf.DUMMYFUNCTION("""COMPUTED_VALUE"""),"Eternal Gear")</f>
        <v>Eternal Gear</v>
      </c>
      <c r="D79" s="70">
        <f>IFERROR(__xludf.DUMMYFUNCTION("""COMPUTED_VALUE"""),1.0)</f>
        <v>1</v>
      </c>
      <c r="E79" s="73" t="str">
        <f>IFERROR(__xludf.DUMMYFUNCTION("""COMPUTED_VALUE"""),"SJK6")</f>
        <v>SJK6</v>
      </c>
      <c r="F79" s="76" t="str">
        <f>IFERROR(__xludf.DUMMYFUNCTION("""COMPUTED_VALUE"""),"Shinjuku")</f>
        <v>Shinjuku</v>
      </c>
      <c r="G79" s="85" t="str">
        <f>IFERROR(__xludf.DUMMYFUNCTION("""COMPUTED_VALUE"""),"Barrel Tower")</f>
        <v>Barrel Tower</v>
      </c>
      <c r="H79" s="87">
        <f>IFERROR(__xludf.DUMMYFUNCTION("""COMPUTED_VALUE"""),21.0)</f>
        <v>21</v>
      </c>
      <c r="I79" s="90">
        <f>IFERROR(__xludf.DUMMYFUNCTION("""COMPUTED_VALUE"""),48.51190476190476)</f>
        <v>48.51190476</v>
      </c>
      <c r="J79" s="92">
        <f>IFERROR(__xludf.DUMMYFUNCTION("""COMPUTED_VALUE"""),45.9)</f>
        <v>45.9</v>
      </c>
      <c r="K79" s="94" t="str">
        <f>IFERROR(__xludf.DUMMYFUNCTION("""COMPUTED_VALUE"""),"AP")</f>
        <v>AP</v>
      </c>
      <c r="L79" s="96">
        <f>IFERROR(__xludf.DUMMYFUNCTION("""COMPUTED_VALUE"""),45.7)</f>
        <v>45.7</v>
      </c>
      <c r="M79" s="94" t="str">
        <f>IFERROR(__xludf.DUMMYFUNCTION("""COMPUTED_VALUE"""),"％")</f>
        <v>％</v>
      </c>
      <c r="N79" s="87">
        <f>IFERROR(__xludf.DUMMYFUNCTION("""COMPUTED_VALUE"""),8283.0)</f>
        <v>8283</v>
      </c>
      <c r="O79" s="97" t="str">
        <f>IFERROR(__xludf.DUMMYFUNCTION("""COMPUTED_VALUE"""),"Eternal Gear")</f>
        <v>Eternal Gear</v>
      </c>
      <c r="P79" s="362" t="str">
        <f>IFERROR(__xludf.DUMMYFUNCTION("""COMPUTED_VALUE"""),"")</f>
        <v/>
      </c>
      <c r="Q79" s="61" t="str">
        <f>IFERROR(__xludf.DUMMYFUNCTION("""COMPUTED_VALUE"""),"")</f>
        <v/>
      </c>
      <c r="R79" s="363" t="str">
        <f>IFERROR(__xludf.DUMMYFUNCTION("""COMPUTED_VALUE"""),"B121")</f>
        <v>B121</v>
      </c>
      <c r="S79" s="65" t="str">
        <f>IFERROR(__xludf.DUMMYFUNCTION("""COMPUTED_VALUE"""),"Gem of Saber")</f>
        <v>Gem of Saber</v>
      </c>
      <c r="T79" s="70">
        <f>IFERROR(__xludf.DUMMYFUNCTION("""COMPUTED_VALUE"""),1.0)</f>
        <v>1</v>
      </c>
      <c r="U79" s="73" t="str">
        <f>IFERROR(__xludf.DUMMYFUNCTION("""COMPUTED_VALUE"""),"TRF25")</f>
        <v>TRF25</v>
      </c>
      <c r="V79" s="76" t="str">
        <f>IFERROR(__xludf.DUMMYFUNCTION("""COMPUTED_VALUE"""),"Chaldea Gate (Sun)")</f>
        <v>Chaldea Gate (Sun)</v>
      </c>
      <c r="W79" s="76" t="str">
        <f>IFERROR(__xludf.DUMMYFUNCTION("""COMPUTED_VALUE"""),"SUN Saber Training Ground- Nov")</f>
        <v>SUN Saber Training Ground- Nov</v>
      </c>
      <c r="X79" s="87">
        <f>IFERROR(__xludf.DUMMYFUNCTION("""COMPUTED_VALUE"""),10.0)</f>
        <v>10</v>
      </c>
      <c r="Y79" s="90">
        <f>IFERROR(__xludf.DUMMYFUNCTION("""COMPUTED_VALUE"""),19.375)</f>
        <v>19.375</v>
      </c>
      <c r="Z79" s="92">
        <f>IFERROR(__xludf.DUMMYFUNCTION("""COMPUTED_VALUE"""),7.7)</f>
        <v>7.7</v>
      </c>
      <c r="AA79" s="94" t="str">
        <f>IFERROR(__xludf.DUMMYFUNCTION("""COMPUTED_VALUE"""),"AP")</f>
        <v>AP</v>
      </c>
      <c r="AB79" s="96">
        <f>IFERROR(__xludf.DUMMYFUNCTION("""COMPUTED_VALUE"""),129.2)</f>
        <v>129.2</v>
      </c>
      <c r="AC79" s="94" t="str">
        <f>IFERROR(__xludf.DUMMYFUNCTION("""COMPUTED_VALUE"""),"％")</f>
        <v>％</v>
      </c>
      <c r="AD79" s="87">
        <f>IFERROR(__xludf.DUMMYFUNCTION("""COMPUTED_VALUE"""),4306.0)</f>
        <v>4306</v>
      </c>
      <c r="AE79" s="97" t="str">
        <f>IFERROR(__xludf.DUMMYFUNCTION("""COMPUTED_VALUE"""),"Gem of Saber")</f>
        <v>Gem of Saber</v>
      </c>
      <c r="AF79" s="364" t="str">
        <f>IFERROR(__xludf.DUMMYFUNCTION("""COMPUTED_VALUE"""),"")</f>
        <v/>
      </c>
    </row>
    <row r="80" ht="16.5" customHeight="1">
      <c r="B80" s="99"/>
      <c r="C80" s="100"/>
      <c r="D80" s="105">
        <f>IFERROR(__xludf.DUMMYFUNCTION("""COMPUTED_VALUE"""),2.0)</f>
        <v>2</v>
      </c>
      <c r="E80" s="106" t="str">
        <f>IFERROR(__xludf.DUMMYFUNCTION("""COMPUTED_VALUE"""),"EPU14")</f>
        <v>EPU14</v>
      </c>
      <c r="F80" s="107" t="str">
        <f>IFERROR(__xludf.DUMMYFUNCTION("""COMPUTED_VALUE"""),"E Pluribus Unum")</f>
        <v>E Pluribus Unum</v>
      </c>
      <c r="G80" s="114" t="str">
        <f>IFERROR(__xludf.DUMMYFUNCTION("""COMPUTED_VALUE"""),"Chicago")</f>
        <v>Chicago</v>
      </c>
      <c r="H80" s="116">
        <f>IFERROR(__xludf.DUMMYFUNCTION("""COMPUTED_VALUE"""),21.0)</f>
        <v>21</v>
      </c>
      <c r="I80" s="118">
        <f>IFERROR(__xludf.DUMMYFUNCTION("""COMPUTED_VALUE"""),48.51190476190476)</f>
        <v>48.51190476</v>
      </c>
      <c r="J80" s="120">
        <f>IFERROR(__xludf.DUMMYFUNCTION("""COMPUTED_VALUE"""),51.4)</f>
        <v>51.4</v>
      </c>
      <c r="K80" s="122" t="str">
        <f>IFERROR(__xludf.DUMMYFUNCTION("""COMPUTED_VALUE"""),"AP")</f>
        <v>AP</v>
      </c>
      <c r="L80" s="124">
        <f>IFERROR(__xludf.DUMMYFUNCTION("""COMPUTED_VALUE"""),40.8)</f>
        <v>40.8</v>
      </c>
      <c r="M80" s="122" t="str">
        <f>IFERROR(__xludf.DUMMYFUNCTION("""COMPUTED_VALUE"""),"％")</f>
        <v>％</v>
      </c>
      <c r="N80" s="116">
        <f>IFERROR(__xludf.DUMMYFUNCTION("""COMPUTED_VALUE"""),3079.0)</f>
        <v>3079</v>
      </c>
      <c r="O80" s="100"/>
      <c r="P80" s="362" t="str">
        <f>IFERROR(__xludf.DUMMYFUNCTION("""COMPUTED_VALUE"""),"")</f>
        <v/>
      </c>
      <c r="R80" s="99"/>
      <c r="S80" s="100"/>
      <c r="T80" s="105">
        <f>IFERROR(__xludf.DUMMYFUNCTION("""COMPUTED_VALUE"""),2.0)</f>
        <v>2</v>
      </c>
      <c r="U80" s="106" t="str">
        <f>IFERROR(__xludf.DUMMYFUNCTION("""COMPUTED_VALUE"""),"TRF26")</f>
        <v>TRF26</v>
      </c>
      <c r="V80" s="107" t="str">
        <f>IFERROR(__xludf.DUMMYFUNCTION("""COMPUTED_VALUE"""),"Chaldea Gate (Sun)")</f>
        <v>Chaldea Gate (Sun)</v>
      </c>
      <c r="W80" s="107" t="str">
        <f>IFERROR(__xludf.DUMMYFUNCTION("""COMPUTED_VALUE"""),"SUN Saber Training Ground- Int")</f>
        <v>SUN Saber Training Ground- Int</v>
      </c>
      <c r="X80" s="116">
        <f>IFERROR(__xludf.DUMMYFUNCTION("""COMPUTED_VALUE"""),20.0)</f>
        <v>20</v>
      </c>
      <c r="Y80" s="118">
        <f>IFERROR(__xludf.DUMMYFUNCTION("""COMPUTED_VALUE"""),19.0625)</f>
        <v>19.0625</v>
      </c>
      <c r="Z80" s="120">
        <f>IFERROR(__xludf.DUMMYFUNCTION("""COMPUTED_VALUE"""),18.8)</f>
        <v>18.8</v>
      </c>
      <c r="AA80" s="122" t="str">
        <f>IFERROR(__xludf.DUMMYFUNCTION("""COMPUTED_VALUE"""),"AP")</f>
        <v>AP</v>
      </c>
      <c r="AB80" s="124">
        <f>IFERROR(__xludf.DUMMYFUNCTION("""COMPUTED_VALUE"""),106.6)</f>
        <v>106.6</v>
      </c>
      <c r="AC80" s="122" t="str">
        <f>IFERROR(__xludf.DUMMYFUNCTION("""COMPUTED_VALUE"""),"％")</f>
        <v>％</v>
      </c>
      <c r="AD80" s="116">
        <f>IFERROR(__xludf.DUMMYFUNCTION("""COMPUTED_VALUE"""),365.0)</f>
        <v>365</v>
      </c>
      <c r="AE80" s="100"/>
      <c r="AF80" s="364" t="str">
        <f>IFERROR(__xludf.DUMMYFUNCTION("""COMPUTED_VALUE"""),"")</f>
        <v/>
      </c>
    </row>
    <row r="81" ht="16.5" customHeight="1">
      <c r="B81" s="99"/>
      <c r="C81" s="100"/>
      <c r="D81" s="128">
        <f>IFERROR(__xludf.DUMMYFUNCTION("""COMPUTED_VALUE"""),3.0)</f>
        <v>3</v>
      </c>
      <c r="E81" s="129" t="str">
        <f>IFERROR(__xludf.DUMMYFUNCTION("""COMPUTED_VALUE"""),"SJK5")</f>
        <v>SJK5</v>
      </c>
      <c r="F81" s="131" t="str">
        <f>IFERROR(__xludf.DUMMYFUNCTION("""COMPUTED_VALUE"""),"Shinjuku")</f>
        <v>Shinjuku</v>
      </c>
      <c r="G81" s="134" t="str">
        <f>IFERROR(__xludf.DUMMYFUNCTION("""COMPUTED_VALUE"""),"Kabukicho")</f>
        <v>Kabukicho</v>
      </c>
      <c r="H81" s="136">
        <f>IFERROR(__xludf.DUMMYFUNCTION("""COMPUTED_VALUE"""),21.0)</f>
        <v>21</v>
      </c>
      <c r="I81" s="138">
        <f>IFERROR(__xludf.DUMMYFUNCTION("""COMPUTED_VALUE"""),48.51190476190476)</f>
        <v>48.51190476</v>
      </c>
      <c r="J81" s="140">
        <f>IFERROR(__xludf.DUMMYFUNCTION("""COMPUTED_VALUE"""),67.1)</f>
        <v>67.1</v>
      </c>
      <c r="K81" s="142" t="str">
        <f>IFERROR(__xludf.DUMMYFUNCTION("""COMPUTED_VALUE"""),"AP")</f>
        <v>AP</v>
      </c>
      <c r="L81" s="144">
        <f>IFERROR(__xludf.DUMMYFUNCTION("""COMPUTED_VALUE"""),31.3)</f>
        <v>31.3</v>
      </c>
      <c r="M81" s="142" t="str">
        <f>IFERROR(__xludf.DUMMYFUNCTION("""COMPUTED_VALUE"""),"％")</f>
        <v>％</v>
      </c>
      <c r="N81" s="136">
        <f>IFERROR(__xludf.DUMMYFUNCTION("""COMPUTED_VALUE"""),3832.0)</f>
        <v>3832</v>
      </c>
      <c r="O81" s="100"/>
      <c r="P81" s="362" t="str">
        <f>IFERROR(__xludf.DUMMYFUNCTION("""COMPUTED_VALUE"""),"")</f>
        <v/>
      </c>
      <c r="R81" s="99"/>
      <c r="S81" s="100"/>
      <c r="T81" s="128">
        <f>IFERROR(__xludf.DUMMYFUNCTION("""COMPUTED_VALUE"""),3.0)</f>
        <v>3</v>
      </c>
      <c r="U81" s="129" t="str">
        <f>IFERROR(__xludf.DUMMYFUNCTION("""COMPUTED_VALUE"""),"AGT11")</f>
        <v>AGT11</v>
      </c>
      <c r="V81" s="131" t="str">
        <f>IFERROR(__xludf.DUMMYFUNCTION("""COMPUTED_VALUE"""),"Agartha")</f>
        <v>Agartha</v>
      </c>
      <c r="W81" s="134" t="str">
        <f>IFERROR(__xludf.DUMMYFUNCTION("""COMPUTED_VALUE"""),"El Dorado")</f>
        <v>El Dorado</v>
      </c>
      <c r="X81" s="136">
        <f>IFERROR(__xludf.DUMMYFUNCTION("""COMPUTED_VALUE"""),21.0)</f>
        <v>21</v>
      </c>
      <c r="Y81" s="138">
        <f>IFERROR(__xludf.DUMMYFUNCTION("""COMPUTED_VALUE"""),50.892857142857146)</f>
        <v>50.89285714</v>
      </c>
      <c r="Z81" s="140">
        <f>IFERROR(__xludf.DUMMYFUNCTION("""COMPUTED_VALUE"""),40.0)</f>
        <v>40</v>
      </c>
      <c r="AA81" s="142" t="str">
        <f>IFERROR(__xludf.DUMMYFUNCTION("""COMPUTED_VALUE"""),"AP")</f>
        <v>AP</v>
      </c>
      <c r="AB81" s="144">
        <f>IFERROR(__xludf.DUMMYFUNCTION("""COMPUTED_VALUE"""),52.5)</f>
        <v>52.5</v>
      </c>
      <c r="AC81" s="142" t="str">
        <f>IFERROR(__xludf.DUMMYFUNCTION("""COMPUTED_VALUE"""),"％")</f>
        <v>％</v>
      </c>
      <c r="AD81" s="136">
        <f>IFERROR(__xludf.DUMMYFUNCTION("""COMPUTED_VALUE"""),1219.0)</f>
        <v>1219</v>
      </c>
      <c r="AE81" s="100"/>
      <c r="AF81" s="364" t="str">
        <f>IFERROR(__xludf.DUMMYFUNCTION("""COMPUTED_VALUE"""),"")</f>
        <v/>
      </c>
    </row>
    <row r="82" ht="16.5" customHeight="1">
      <c r="B82" s="99"/>
      <c r="C82" s="100"/>
      <c r="D82" s="147">
        <f>IFERROR(__xludf.DUMMYFUNCTION("""COMPUTED_VALUE"""),4.0)</f>
        <v>4</v>
      </c>
      <c r="E82" s="149" t="str">
        <f>IFERROR(__xludf.DUMMYFUNCTION("""COMPUTED_VALUE"""),"SIN8")</f>
        <v>SIN8</v>
      </c>
      <c r="F82" s="151" t="str">
        <f>IFERROR(__xludf.DUMMYFUNCTION("""COMPUTED_VALUE"""),"SIN")</f>
        <v>SIN</v>
      </c>
      <c r="G82" s="153" t="str">
        <f>IFERROR(__xludf.DUMMYFUNCTION("""COMPUTED_VALUE"""),"Shiquan Gorge")</f>
        <v>Shiquan Gorge</v>
      </c>
      <c r="H82" s="155">
        <f>IFERROR(__xludf.DUMMYFUNCTION("""COMPUTED_VALUE"""),21.0)</f>
        <v>21</v>
      </c>
      <c r="I82" s="157">
        <f>IFERROR(__xludf.DUMMYFUNCTION("""COMPUTED_VALUE"""),49.70238095238095)</f>
        <v>49.70238095</v>
      </c>
      <c r="J82" s="159">
        <f>IFERROR(__xludf.DUMMYFUNCTION("""COMPUTED_VALUE"""),69.1)</f>
        <v>69.1</v>
      </c>
      <c r="K82" s="161" t="str">
        <f>IFERROR(__xludf.DUMMYFUNCTION("""COMPUTED_VALUE"""),"AP")</f>
        <v>AP</v>
      </c>
      <c r="L82" s="163">
        <f>IFERROR(__xludf.DUMMYFUNCTION("""COMPUTED_VALUE"""),30.4)</f>
        <v>30.4</v>
      </c>
      <c r="M82" s="161" t="str">
        <f>IFERROR(__xludf.DUMMYFUNCTION("""COMPUTED_VALUE"""),"％")</f>
        <v>％</v>
      </c>
      <c r="N82" s="155">
        <f>IFERROR(__xludf.DUMMYFUNCTION("""COMPUTED_VALUE"""),9582.0)</f>
        <v>9582</v>
      </c>
      <c r="O82" s="100"/>
      <c r="P82" s="362" t="str">
        <f>IFERROR(__xludf.DUMMYFUNCTION("""COMPUTED_VALUE"""),"")</f>
        <v/>
      </c>
      <c r="R82" s="99"/>
      <c r="S82" s="100"/>
      <c r="T82" s="147">
        <f>IFERROR(__xludf.DUMMYFUNCTION("""COMPUTED_VALUE"""),4.0)</f>
        <v>4</v>
      </c>
      <c r="U82" s="149" t="str">
        <f>IFERROR(__xludf.DUMMYFUNCTION("""COMPUTED_VALUE"""),"OKN11")</f>
        <v>OKN11</v>
      </c>
      <c r="V82" s="151" t="str">
        <f>IFERROR(__xludf.DUMMYFUNCTION("""COMPUTED_VALUE"""),"Okeanos")</f>
        <v>Okeanos</v>
      </c>
      <c r="W82" s="153" t="str">
        <f>IFERROR(__xludf.DUMMYFUNCTION("""COMPUTED_VALUE"""),"Archipelago (Hidden island)")</f>
        <v>Archipelago (Hidden island)</v>
      </c>
      <c r="X82" s="155">
        <f>IFERROR(__xludf.DUMMYFUNCTION("""COMPUTED_VALUE"""),16.0)</f>
        <v>16</v>
      </c>
      <c r="Y82" s="157">
        <f>IFERROR(__xludf.DUMMYFUNCTION("""COMPUTED_VALUE"""),40.234375)</f>
        <v>40.234375</v>
      </c>
      <c r="Z82" s="159">
        <f>IFERROR(__xludf.DUMMYFUNCTION("""COMPUTED_VALUE"""),34.0)</f>
        <v>34</v>
      </c>
      <c r="AA82" s="161" t="str">
        <f>IFERROR(__xludf.DUMMYFUNCTION("""COMPUTED_VALUE"""),"AP")</f>
        <v>AP</v>
      </c>
      <c r="AB82" s="163">
        <f>IFERROR(__xludf.DUMMYFUNCTION("""COMPUTED_VALUE"""),47.1)</f>
        <v>47.1</v>
      </c>
      <c r="AC82" s="161" t="str">
        <f>IFERROR(__xludf.DUMMYFUNCTION("""COMPUTED_VALUE"""),"％")</f>
        <v>％</v>
      </c>
      <c r="AD82" s="155">
        <f>IFERROR(__xludf.DUMMYFUNCTION("""COMPUTED_VALUE"""),578.0)</f>
        <v>578</v>
      </c>
      <c r="AE82" s="100"/>
      <c r="AF82" s="364" t="str">
        <f>IFERROR(__xludf.DUMMYFUNCTION("""COMPUTED_VALUE"""),"")</f>
        <v/>
      </c>
    </row>
    <row r="83" ht="16.5" customHeight="1">
      <c r="A83" s="166"/>
      <c r="B83" s="167"/>
      <c r="C83" s="168"/>
      <c r="D83" s="169">
        <f>IFERROR(__xludf.DUMMYFUNCTION("""COMPUTED_VALUE"""),5.0)</f>
        <v>5</v>
      </c>
      <c r="E83" s="170" t="str">
        <f>IFERROR(__xludf.DUMMYFUNCTION("""COMPUTED_VALUE"""),"SIN1")</f>
        <v>SIN1</v>
      </c>
      <c r="F83" s="51" t="str">
        <f>IFERROR(__xludf.DUMMYFUNCTION("""COMPUTED_VALUE"""),"SIN")</f>
        <v>SIN</v>
      </c>
      <c r="G83" s="171" t="str">
        <f>IFERROR(__xludf.DUMMYFUNCTION("""COMPUTED_VALUE"""),"Seeding Point")</f>
        <v>Seeding Point</v>
      </c>
      <c r="H83" s="172">
        <f>IFERROR(__xludf.DUMMYFUNCTION("""COMPUTED_VALUE"""),20.0)</f>
        <v>20</v>
      </c>
      <c r="I83" s="173">
        <f>IFERROR(__xludf.DUMMYFUNCTION("""COMPUTED_VALUE"""),48.4375)</f>
        <v>48.4375</v>
      </c>
      <c r="J83" s="174">
        <f>IFERROR(__xludf.DUMMYFUNCTION("""COMPUTED_VALUE"""),66.6)</f>
        <v>66.6</v>
      </c>
      <c r="K83" s="175" t="str">
        <f>IFERROR(__xludf.DUMMYFUNCTION("""COMPUTED_VALUE"""),"AP")</f>
        <v>AP</v>
      </c>
      <c r="L83" s="176">
        <f>IFERROR(__xludf.DUMMYFUNCTION("""COMPUTED_VALUE"""),30.0)</f>
        <v>30</v>
      </c>
      <c r="M83" s="175" t="str">
        <f>IFERROR(__xludf.DUMMYFUNCTION("""COMPUTED_VALUE"""),"％")</f>
        <v>％</v>
      </c>
      <c r="N83" s="172">
        <f>IFERROR(__xludf.DUMMYFUNCTION("""COMPUTED_VALUE"""),10674.0)</f>
        <v>10674</v>
      </c>
      <c r="O83" s="168"/>
      <c r="P83" s="362" t="str">
        <f>IFERROR(__xludf.DUMMYFUNCTION("""COMPUTED_VALUE"""),"")</f>
        <v/>
      </c>
      <c r="Q83" s="166"/>
      <c r="R83" s="167"/>
      <c r="S83" s="168"/>
      <c r="T83" s="169">
        <f>IFERROR(__xludf.DUMMYFUNCTION("""COMPUTED_VALUE"""),5.0)</f>
        <v>5</v>
      </c>
      <c r="U83" s="170" t="str">
        <f>IFERROR(__xludf.DUMMYFUNCTION("""COMPUTED_VALUE"""),"AGT3")</f>
        <v>AGT3</v>
      </c>
      <c r="V83" s="51" t="str">
        <f>IFERROR(__xludf.DUMMYFUNCTION("""COMPUTED_VALUE"""),"Agartha")</f>
        <v>Agartha</v>
      </c>
      <c r="W83" s="171" t="str">
        <f>IFERROR(__xludf.DUMMYFUNCTION("""COMPUTED_VALUE"""),"Riverside Town")</f>
        <v>Riverside Town</v>
      </c>
      <c r="X83" s="172">
        <f>IFERROR(__xludf.DUMMYFUNCTION("""COMPUTED_VALUE"""),20.0)</f>
        <v>20</v>
      </c>
      <c r="Y83" s="173">
        <f>IFERROR(__xludf.DUMMYFUNCTION("""COMPUTED_VALUE"""),48.4375)</f>
        <v>48.4375</v>
      </c>
      <c r="Z83" s="174">
        <f>IFERROR(__xludf.DUMMYFUNCTION("""COMPUTED_VALUE"""),50.6)</f>
        <v>50.6</v>
      </c>
      <c r="AA83" s="175" t="str">
        <f>IFERROR(__xludf.DUMMYFUNCTION("""COMPUTED_VALUE"""),"AP")</f>
        <v>AP</v>
      </c>
      <c r="AB83" s="176">
        <f>IFERROR(__xludf.DUMMYFUNCTION("""COMPUTED_VALUE"""),39.5)</f>
        <v>39.5</v>
      </c>
      <c r="AC83" s="175" t="str">
        <f>IFERROR(__xludf.DUMMYFUNCTION("""COMPUTED_VALUE"""),"％")</f>
        <v>％</v>
      </c>
      <c r="AD83" s="172">
        <f>IFERROR(__xludf.DUMMYFUNCTION("""COMPUTED_VALUE"""),10369.0)</f>
        <v>10369</v>
      </c>
      <c r="AE83" s="168"/>
      <c r="AF83" s="364" t="str">
        <f>IFERROR(__xludf.DUMMYFUNCTION("""COMPUTED_VALUE"""),"")</f>
        <v/>
      </c>
    </row>
    <row r="84" ht="16.5" customHeight="1">
      <c r="A84" s="61" t="str">
        <f>IFERROR(__xludf.DUMMYFUNCTION("""COMPUTED_VALUE"""),"")</f>
        <v/>
      </c>
      <c r="B84" s="366" t="str">
        <f>IFERROR(__xludf.DUMMYFUNCTION("""COMPUTED_VALUE"""),"A207")</f>
        <v>A207</v>
      </c>
      <c r="C84" s="180" t="str">
        <f>IFERROR(__xludf.DUMMYFUNCTION("""COMPUTED_VALUE"""),"Forbidden Page")</f>
        <v>Forbidden Page</v>
      </c>
      <c r="D84" s="185">
        <f>IFERROR(__xludf.DUMMYFUNCTION("""COMPUTED_VALUE"""),1.0)</f>
        <v>1</v>
      </c>
      <c r="E84" s="187" t="str">
        <f>IFERROR(__xludf.DUMMYFUNCTION("""COMPUTED_VALUE"""),"SJK10")</f>
        <v>SJK10</v>
      </c>
      <c r="F84" s="188" t="str">
        <f>IFERROR(__xludf.DUMMYFUNCTION("""COMPUTED_VALUE"""),"Shinjuku")</f>
        <v>Shinjuku</v>
      </c>
      <c r="G84" s="193" t="str">
        <f>IFERROR(__xludf.DUMMYFUNCTION("""COMPUTED_VALUE"""),"Shinjuku 2-chome")</f>
        <v>Shinjuku 2-chome</v>
      </c>
      <c r="H84" s="195">
        <f>IFERROR(__xludf.DUMMYFUNCTION("""COMPUTED_VALUE"""),21.0)</f>
        <v>21</v>
      </c>
      <c r="I84" s="196">
        <f>IFERROR(__xludf.DUMMYFUNCTION("""COMPUTED_VALUE"""),50.892857142857146)</f>
        <v>50.89285714</v>
      </c>
      <c r="J84" s="198">
        <f>IFERROR(__xludf.DUMMYFUNCTION("""COMPUTED_VALUE"""),69.0)</f>
        <v>69</v>
      </c>
      <c r="K84" s="200" t="str">
        <f>IFERROR(__xludf.DUMMYFUNCTION("""COMPUTED_VALUE"""),"AP")</f>
        <v>AP</v>
      </c>
      <c r="L84" s="198">
        <f>IFERROR(__xludf.DUMMYFUNCTION("""COMPUTED_VALUE"""),30.4)</f>
        <v>30.4</v>
      </c>
      <c r="M84" s="201" t="str">
        <f>IFERROR(__xludf.DUMMYFUNCTION("""COMPUTED_VALUE"""),"％")</f>
        <v>％</v>
      </c>
      <c r="N84" s="195">
        <f>IFERROR(__xludf.DUMMYFUNCTION("""COMPUTED_VALUE"""),38593.0)</f>
        <v>38593</v>
      </c>
      <c r="O84" s="197" t="str">
        <f>IFERROR(__xludf.DUMMYFUNCTION("""COMPUTED_VALUE"""),"Forbidden Page")</f>
        <v>Forbidden Page</v>
      </c>
      <c r="P84" s="93" t="str">
        <f>IFERROR(__xludf.DUMMYFUNCTION("""COMPUTED_VALUE"""),"")</f>
        <v/>
      </c>
      <c r="Q84" s="61" t="str">
        <f>IFERROR(__xludf.DUMMYFUNCTION("""COMPUTED_VALUE"""),"")</f>
        <v/>
      </c>
      <c r="R84" s="366" t="str">
        <f>IFERROR(__xludf.DUMMYFUNCTION("""COMPUTED_VALUE"""),"B122")</f>
        <v>B122</v>
      </c>
      <c r="S84" s="180" t="str">
        <f>IFERROR(__xludf.DUMMYFUNCTION("""COMPUTED_VALUE"""),"Gem of Archer")</f>
        <v>Gem of Archer</v>
      </c>
      <c r="T84" s="185">
        <f>IFERROR(__xludf.DUMMYFUNCTION("""COMPUTED_VALUE"""),1.0)</f>
        <v>1</v>
      </c>
      <c r="U84" s="187" t="str">
        <f>IFERROR(__xludf.DUMMYFUNCTION("""COMPUTED_VALUE"""),"TRF2")</f>
        <v>TRF2</v>
      </c>
      <c r="V84" s="188" t="str">
        <f>IFERROR(__xludf.DUMMYFUNCTION("""COMPUTED_VALUE"""),"Chaldea Gate (Mon)")</f>
        <v>Chaldea Gate (Mon)</v>
      </c>
      <c r="W84" s="188" t="str">
        <f>IFERROR(__xludf.DUMMYFUNCTION("""COMPUTED_VALUE"""),"MON Archer Training Ground- Int")</f>
        <v>MON Archer Training Ground- Int</v>
      </c>
      <c r="X84" s="195">
        <f>IFERROR(__xludf.DUMMYFUNCTION("""COMPUTED_VALUE"""),20.0)</f>
        <v>20</v>
      </c>
      <c r="Y84" s="196">
        <f>IFERROR(__xludf.DUMMYFUNCTION("""COMPUTED_VALUE"""),19.0625)</f>
        <v>19.0625</v>
      </c>
      <c r="Z84" s="198">
        <f>IFERROR(__xludf.DUMMYFUNCTION("""COMPUTED_VALUE"""),14.6)</f>
        <v>14.6</v>
      </c>
      <c r="AA84" s="200" t="str">
        <f>IFERROR(__xludf.DUMMYFUNCTION("""COMPUTED_VALUE"""),"AP")</f>
        <v>AP</v>
      </c>
      <c r="AB84" s="198">
        <f>IFERROR(__xludf.DUMMYFUNCTION("""COMPUTED_VALUE"""),136.5)</f>
        <v>136.5</v>
      </c>
      <c r="AC84" s="201" t="str">
        <f>IFERROR(__xludf.DUMMYFUNCTION("""COMPUTED_VALUE"""),"％")</f>
        <v>％</v>
      </c>
      <c r="AD84" s="195">
        <f>IFERROR(__xludf.DUMMYFUNCTION("""COMPUTED_VALUE"""),657.0)</f>
        <v>657</v>
      </c>
      <c r="AE84" s="197" t="str">
        <f>IFERROR(__xludf.DUMMYFUNCTION("""COMPUTED_VALUE"""),"Gem of Archer")</f>
        <v>Gem of Archer</v>
      </c>
      <c r="AF84" s="98" t="str">
        <f>IFERROR(__xludf.DUMMYFUNCTION("""COMPUTED_VALUE"""),"")</f>
        <v/>
      </c>
    </row>
    <row r="85" ht="16.5" customHeight="1">
      <c r="C85" s="204"/>
      <c r="D85" s="208">
        <f>IFERROR(__xludf.DUMMYFUNCTION("""COMPUTED_VALUE"""),2.0)</f>
        <v>2</v>
      </c>
      <c r="E85" s="210" t="str">
        <f>IFERROR(__xludf.DUMMYFUNCTION("""COMPUTED_VALUE"""),"LDN9")</f>
        <v>LDN9</v>
      </c>
      <c r="F85" s="212" t="str">
        <f>IFERROR(__xludf.DUMMYFUNCTION("""COMPUTED_VALUE"""),"London")</f>
        <v>London</v>
      </c>
      <c r="G85" s="216" t="str">
        <f>IFERROR(__xludf.DUMMYFUNCTION("""COMPUTED_VALUE"""),"Hyde Park")</f>
        <v>Hyde Park</v>
      </c>
      <c r="H85" s="218">
        <f>IFERROR(__xludf.DUMMYFUNCTION("""COMPUTED_VALUE"""),20.0)</f>
        <v>20</v>
      </c>
      <c r="I85" s="219">
        <f>IFERROR(__xludf.DUMMYFUNCTION("""COMPUTED_VALUE"""),45.9375)</f>
        <v>45.9375</v>
      </c>
      <c r="J85" s="220">
        <f>IFERROR(__xludf.DUMMYFUNCTION("""COMPUTED_VALUE"""),73.0)</f>
        <v>73</v>
      </c>
      <c r="K85" s="221" t="str">
        <f>IFERROR(__xludf.DUMMYFUNCTION("""COMPUTED_VALUE"""),"AP")</f>
        <v>AP</v>
      </c>
      <c r="L85" s="220">
        <f>IFERROR(__xludf.DUMMYFUNCTION("""COMPUTED_VALUE"""),27.4)</f>
        <v>27.4</v>
      </c>
      <c r="M85" s="221" t="str">
        <f>IFERROR(__xludf.DUMMYFUNCTION("""COMPUTED_VALUE"""),"％")</f>
        <v>％</v>
      </c>
      <c r="N85" s="218">
        <f>IFERROR(__xludf.DUMMYFUNCTION("""COMPUTED_VALUE"""),13147.0)</f>
        <v>13147</v>
      </c>
      <c r="O85" s="217"/>
      <c r="P85" s="93" t="str">
        <f>IFERROR(__xludf.DUMMYFUNCTION("""COMPUTED_VALUE"""),"")</f>
        <v/>
      </c>
      <c r="S85" s="204"/>
      <c r="T85" s="208">
        <f>IFERROR(__xludf.DUMMYFUNCTION("""COMPUTED_VALUE"""),2.0)</f>
        <v>2</v>
      </c>
      <c r="U85" s="210" t="str">
        <f>IFERROR(__xludf.DUMMYFUNCTION("""COMPUTED_VALUE"""),"TRF1")</f>
        <v>TRF1</v>
      </c>
      <c r="V85" s="212" t="str">
        <f>IFERROR(__xludf.DUMMYFUNCTION("""COMPUTED_VALUE"""),"Chaldea Gate (Mon)")</f>
        <v>Chaldea Gate (Mon)</v>
      </c>
      <c r="W85" s="212" t="str">
        <f>IFERROR(__xludf.DUMMYFUNCTION("""COMPUTED_VALUE"""),"MON Archer Training Ground- Nov")</f>
        <v>MON Archer Training Ground- Nov</v>
      </c>
      <c r="X85" s="218">
        <f>IFERROR(__xludf.DUMMYFUNCTION("""COMPUTED_VALUE"""),10.0)</f>
        <v>10</v>
      </c>
      <c r="Y85" s="219">
        <f>IFERROR(__xludf.DUMMYFUNCTION("""COMPUTED_VALUE"""),19.375)</f>
        <v>19.375</v>
      </c>
      <c r="Z85" s="220">
        <f>IFERROR(__xludf.DUMMYFUNCTION("""COMPUTED_VALUE"""),7.4)</f>
        <v>7.4</v>
      </c>
      <c r="AA85" s="221" t="str">
        <f>IFERROR(__xludf.DUMMYFUNCTION("""COMPUTED_VALUE"""),"AP")</f>
        <v>AP</v>
      </c>
      <c r="AB85" s="220">
        <f>IFERROR(__xludf.DUMMYFUNCTION("""COMPUTED_VALUE"""),135.2)</f>
        <v>135.2</v>
      </c>
      <c r="AC85" s="221" t="str">
        <f>IFERROR(__xludf.DUMMYFUNCTION("""COMPUTED_VALUE"""),"％")</f>
        <v>％</v>
      </c>
      <c r="AD85" s="218">
        <f>IFERROR(__xludf.DUMMYFUNCTION("""COMPUTED_VALUE"""),1558.0)</f>
        <v>1558</v>
      </c>
      <c r="AE85" s="217"/>
      <c r="AF85" s="98" t="str">
        <f>IFERROR(__xludf.DUMMYFUNCTION("""COMPUTED_VALUE"""),"")</f>
        <v/>
      </c>
    </row>
    <row r="86" ht="16.5" customHeight="1">
      <c r="C86" s="204"/>
      <c r="D86" s="225">
        <f>IFERROR(__xludf.DUMMYFUNCTION("""COMPUTED_VALUE"""),3.0)</f>
        <v>3</v>
      </c>
      <c r="E86" s="227" t="str">
        <f>IFERROR(__xludf.DUMMYFUNCTION("""COMPUTED_VALUE"""),"TRF20")</f>
        <v>TRF20</v>
      </c>
      <c r="F86" s="229" t="str">
        <f>IFERROR(__xludf.DUMMYFUNCTION("""COMPUTED_VALUE"""),"Chaldea Gate (Fri)")</f>
        <v>Chaldea Gate (Fri)</v>
      </c>
      <c r="G86" s="229" t="str">
        <f>IFERROR(__xludf.DUMMYFUNCTION("""COMPUTED_VALUE"""),"FRI Caster Training Ground- Exp")</f>
        <v>FRI Caster Training Ground- Exp</v>
      </c>
      <c r="H86" s="234">
        <f>IFERROR(__xludf.DUMMYFUNCTION("""COMPUTED_VALUE"""),40.0)</f>
        <v>40</v>
      </c>
      <c r="I86" s="235">
        <f>IFERROR(__xludf.DUMMYFUNCTION("""COMPUTED_VALUE"""),20.46875)</f>
        <v>20.46875</v>
      </c>
      <c r="J86" s="236">
        <f>IFERROR(__xludf.DUMMYFUNCTION("""COMPUTED_VALUE"""),195.5)</f>
        <v>195.5</v>
      </c>
      <c r="K86" s="237" t="str">
        <f>IFERROR(__xludf.DUMMYFUNCTION("""COMPUTED_VALUE"""),"AP")</f>
        <v>AP</v>
      </c>
      <c r="L86" s="236">
        <f>IFERROR(__xludf.DUMMYFUNCTION("""COMPUTED_VALUE"""),20.5)</f>
        <v>20.5</v>
      </c>
      <c r="M86" s="237" t="str">
        <f>IFERROR(__xludf.DUMMYFUNCTION("""COMPUTED_VALUE"""),"％")</f>
        <v>％</v>
      </c>
      <c r="N86" s="234">
        <f>IFERROR(__xludf.DUMMYFUNCTION("""COMPUTED_VALUE"""),10906.0)</f>
        <v>10906</v>
      </c>
      <c r="O86" s="217"/>
      <c r="P86" s="93" t="str">
        <f>IFERROR(__xludf.DUMMYFUNCTION("""COMPUTED_VALUE"""),"")</f>
        <v/>
      </c>
      <c r="S86" s="204"/>
      <c r="T86" s="225">
        <f>IFERROR(__xludf.DUMMYFUNCTION("""COMPUTED_VALUE"""),3.0)</f>
        <v>3</v>
      </c>
      <c r="U86" s="227" t="str">
        <f>IFERROR(__xludf.DUMMYFUNCTION("""COMPUTED_VALUE"""),"EPU1")</f>
        <v>EPU1</v>
      </c>
      <c r="V86" s="229" t="str">
        <f>IFERROR(__xludf.DUMMYFUNCTION("""COMPUTED_VALUE"""),"E Pluribus Unum")</f>
        <v>E Pluribus Unum</v>
      </c>
      <c r="W86" s="233" t="str">
        <f>IFERROR(__xludf.DUMMYFUNCTION("""COMPUTED_VALUE"""),"Black Hills")</f>
        <v>Black Hills</v>
      </c>
      <c r="X86" s="234">
        <f>IFERROR(__xludf.DUMMYFUNCTION("""COMPUTED_VALUE"""),17.0)</f>
        <v>17</v>
      </c>
      <c r="Y86" s="235">
        <f>IFERROR(__xludf.DUMMYFUNCTION("""COMPUTED_VALUE"""),42.279411764705884)</f>
        <v>42.27941176</v>
      </c>
      <c r="Z86" s="236">
        <f>IFERROR(__xludf.DUMMYFUNCTION("""COMPUTED_VALUE"""),36.6)</f>
        <v>36.6</v>
      </c>
      <c r="AA86" s="237" t="str">
        <f>IFERROR(__xludf.DUMMYFUNCTION("""COMPUTED_VALUE"""),"AP")</f>
        <v>AP</v>
      </c>
      <c r="AB86" s="236">
        <f>IFERROR(__xludf.DUMMYFUNCTION("""COMPUTED_VALUE"""),46.5)</f>
        <v>46.5</v>
      </c>
      <c r="AC86" s="237" t="str">
        <f>IFERROR(__xludf.DUMMYFUNCTION("""COMPUTED_VALUE"""),"％")</f>
        <v>％</v>
      </c>
      <c r="AD86" s="234">
        <f>IFERROR(__xludf.DUMMYFUNCTION("""COMPUTED_VALUE"""),155.0)</f>
        <v>155</v>
      </c>
      <c r="AE86" s="217"/>
      <c r="AF86" s="98" t="str">
        <f>IFERROR(__xludf.DUMMYFUNCTION("""COMPUTED_VALUE"""),"")</f>
        <v/>
      </c>
    </row>
    <row r="87" ht="16.5" customHeight="1">
      <c r="C87" s="204"/>
      <c r="D87" s="239">
        <f>IFERROR(__xludf.DUMMYFUNCTION("""COMPUTED_VALUE"""),4.0)</f>
        <v>4</v>
      </c>
      <c r="E87" s="241" t="str">
        <f>IFERROR(__xludf.DUMMYFUNCTION("""COMPUTED_VALUE"""),"TRF19")</f>
        <v>TRF19</v>
      </c>
      <c r="F87" s="243" t="str">
        <f>IFERROR(__xludf.DUMMYFUNCTION("""COMPUTED_VALUE"""),"Chaldea Gate (Fri)")</f>
        <v>Chaldea Gate (Fri)</v>
      </c>
      <c r="G87" s="243" t="str">
        <f>IFERROR(__xludf.DUMMYFUNCTION("""COMPUTED_VALUE"""),"FRI Caster Training Ground- Adv")</f>
        <v>FRI Caster Training Ground- Adv</v>
      </c>
      <c r="H87" s="247">
        <f>IFERROR(__xludf.DUMMYFUNCTION("""COMPUTED_VALUE"""),30.0)</f>
        <v>30</v>
      </c>
      <c r="I87" s="249">
        <f>IFERROR(__xludf.DUMMYFUNCTION("""COMPUTED_VALUE"""),18.958333333333332)</f>
        <v>18.95833333</v>
      </c>
      <c r="J87" s="251">
        <f>IFERROR(__xludf.DUMMYFUNCTION("""COMPUTED_VALUE"""),195.3)</f>
        <v>195.3</v>
      </c>
      <c r="K87" s="253" t="str">
        <f>IFERROR(__xludf.DUMMYFUNCTION("""COMPUTED_VALUE"""),"AP")</f>
        <v>AP</v>
      </c>
      <c r="L87" s="251">
        <f>IFERROR(__xludf.DUMMYFUNCTION("""COMPUTED_VALUE"""),15.4)</f>
        <v>15.4</v>
      </c>
      <c r="M87" s="253" t="str">
        <f>IFERROR(__xludf.DUMMYFUNCTION("""COMPUTED_VALUE"""),"％")</f>
        <v>％</v>
      </c>
      <c r="N87" s="247">
        <f>IFERROR(__xludf.DUMMYFUNCTION("""COMPUTED_VALUE"""),1241.0)</f>
        <v>1241</v>
      </c>
      <c r="O87" s="217"/>
      <c r="P87" s="93" t="str">
        <f>IFERROR(__xludf.DUMMYFUNCTION("""COMPUTED_VALUE"""),"")</f>
        <v/>
      </c>
      <c r="S87" s="204"/>
      <c r="T87" s="239">
        <f>IFERROR(__xludf.DUMMYFUNCTION("""COMPUTED_VALUE"""),4.0)</f>
        <v>4</v>
      </c>
      <c r="U87" s="241" t="str">
        <f>IFERROR(__xludf.DUMMYFUNCTION("""COMPUTED_VALUE"""),"AGT10")</f>
        <v>AGT10</v>
      </c>
      <c r="V87" s="243" t="str">
        <f>IFERROR(__xludf.DUMMYFUNCTION("""COMPUTED_VALUE"""),"Agartha")</f>
        <v>Agartha</v>
      </c>
      <c r="W87" s="245" t="str">
        <f>IFERROR(__xludf.DUMMYFUNCTION("""COMPUTED_VALUE"""),"Great Underground River")</f>
        <v>Great Underground River</v>
      </c>
      <c r="X87" s="247">
        <f>IFERROR(__xludf.DUMMYFUNCTION("""COMPUTED_VALUE"""),21.0)</f>
        <v>21</v>
      </c>
      <c r="Y87" s="249">
        <f>IFERROR(__xludf.DUMMYFUNCTION("""COMPUTED_VALUE"""),49.70238095238095)</f>
        <v>49.70238095</v>
      </c>
      <c r="Z87" s="251">
        <f>IFERROR(__xludf.DUMMYFUNCTION("""COMPUTED_VALUE"""),54.7)</f>
        <v>54.7</v>
      </c>
      <c r="AA87" s="253" t="str">
        <f>IFERROR(__xludf.DUMMYFUNCTION("""COMPUTED_VALUE"""),"AP")</f>
        <v>AP</v>
      </c>
      <c r="AB87" s="251">
        <f>IFERROR(__xludf.DUMMYFUNCTION("""COMPUTED_VALUE"""),38.4)</f>
        <v>38.4</v>
      </c>
      <c r="AC87" s="253" t="str">
        <f>IFERROR(__xludf.DUMMYFUNCTION("""COMPUTED_VALUE"""),"％")</f>
        <v>％</v>
      </c>
      <c r="AD87" s="247">
        <f>IFERROR(__xludf.DUMMYFUNCTION("""COMPUTED_VALUE"""),26886.0)</f>
        <v>26886</v>
      </c>
      <c r="AE87" s="217"/>
      <c r="AF87" s="98" t="str">
        <f>IFERROR(__xludf.DUMMYFUNCTION("""COMPUTED_VALUE"""),"")</f>
        <v/>
      </c>
    </row>
    <row r="88" ht="16.5" customHeight="1">
      <c r="A88" s="166"/>
      <c r="C88" s="255"/>
      <c r="D88" s="256">
        <f>IFERROR(__xludf.DUMMYFUNCTION("""COMPUTED_VALUE"""),5.0)</f>
        <v>5</v>
      </c>
      <c r="E88" s="257" t="str">
        <f>IFERROR(__xludf.DUMMYFUNCTION("""COMPUTED_VALUE"""),"TRF18")</f>
        <v>TRF18</v>
      </c>
      <c r="F88" s="42" t="str">
        <f>IFERROR(__xludf.DUMMYFUNCTION("""COMPUTED_VALUE"""),"Chaldea Gate (Fri)")</f>
        <v>Chaldea Gate (Fri)</v>
      </c>
      <c r="G88" s="42" t="str">
        <f>IFERROR(__xludf.DUMMYFUNCTION("""COMPUTED_VALUE"""),"FRI Caster Training Ground- Int")</f>
        <v>FRI Caster Training Ground- Int</v>
      </c>
      <c r="H88" s="259">
        <f>IFERROR(__xludf.DUMMYFUNCTION("""COMPUTED_VALUE"""),20.0)</f>
        <v>20</v>
      </c>
      <c r="I88" s="260">
        <f>IFERROR(__xludf.DUMMYFUNCTION("""COMPUTED_VALUE"""),19.0625)</f>
        <v>19.0625</v>
      </c>
      <c r="J88" s="261">
        <f>IFERROR(__xludf.DUMMYFUNCTION("""COMPUTED_VALUE"""),208.3)</f>
        <v>208.3</v>
      </c>
      <c r="K88" s="262" t="str">
        <f>IFERROR(__xludf.DUMMYFUNCTION("""COMPUTED_VALUE"""),"AP")</f>
        <v>AP</v>
      </c>
      <c r="L88" s="261">
        <f>IFERROR(__xludf.DUMMYFUNCTION("""COMPUTED_VALUE"""),9.6)</f>
        <v>9.6</v>
      </c>
      <c r="M88" s="262" t="str">
        <f>IFERROR(__xludf.DUMMYFUNCTION("""COMPUTED_VALUE"""),"％")</f>
        <v>％</v>
      </c>
      <c r="N88" s="259">
        <f>IFERROR(__xludf.DUMMYFUNCTION("""COMPUTED_VALUE"""),893.0)</f>
        <v>893</v>
      </c>
      <c r="O88" s="263"/>
      <c r="P88" s="93" t="str">
        <f>IFERROR(__xludf.DUMMYFUNCTION("""COMPUTED_VALUE"""),"")</f>
        <v/>
      </c>
      <c r="Q88" s="166"/>
      <c r="S88" s="255"/>
      <c r="T88" s="256">
        <f>IFERROR(__xludf.DUMMYFUNCTION("""COMPUTED_VALUE"""),5.0)</f>
        <v>5</v>
      </c>
      <c r="U88" s="257" t="str">
        <f>IFERROR(__xludf.DUMMYFUNCTION("""COMPUTED_VALUE"""),"EPU8")</f>
        <v>EPU8</v>
      </c>
      <c r="V88" s="42" t="str">
        <f>IFERROR(__xludf.DUMMYFUNCTION("""COMPUTED_VALUE"""),"E Pluribus Unum")</f>
        <v>E Pluribus Unum</v>
      </c>
      <c r="W88" s="258" t="str">
        <f>IFERROR(__xludf.DUMMYFUNCTION("""COMPUTED_VALUE"""),"Montgomery")</f>
        <v>Montgomery</v>
      </c>
      <c r="X88" s="259">
        <f>IFERROR(__xludf.DUMMYFUNCTION("""COMPUTED_VALUE"""),18.0)</f>
        <v>18</v>
      </c>
      <c r="Y88" s="260">
        <f>IFERROR(__xludf.DUMMYFUNCTION("""COMPUTED_VALUE"""),44.09722222222222)</f>
        <v>44.09722222</v>
      </c>
      <c r="Z88" s="261">
        <f>IFERROR(__xludf.DUMMYFUNCTION("""COMPUTED_VALUE"""),59.2)</f>
        <v>59.2</v>
      </c>
      <c r="AA88" s="262" t="str">
        <f>IFERROR(__xludf.DUMMYFUNCTION("""COMPUTED_VALUE"""),"AP")</f>
        <v>AP</v>
      </c>
      <c r="AB88" s="261">
        <f>IFERROR(__xludf.DUMMYFUNCTION("""COMPUTED_VALUE"""),30.4)</f>
        <v>30.4</v>
      </c>
      <c r="AC88" s="262" t="str">
        <f>IFERROR(__xludf.DUMMYFUNCTION("""COMPUTED_VALUE"""),"％")</f>
        <v>％</v>
      </c>
      <c r="AD88" s="259">
        <f>IFERROR(__xludf.DUMMYFUNCTION("""COMPUTED_VALUE"""),2068.0)</f>
        <v>2068</v>
      </c>
      <c r="AE88" s="263"/>
      <c r="AF88" s="98" t="str">
        <f>IFERROR(__xludf.DUMMYFUNCTION("""COMPUTED_VALUE"""),"")</f>
        <v/>
      </c>
    </row>
    <row r="89" ht="16.5" customHeight="1">
      <c r="A89" s="61" t="str">
        <f>IFERROR(__xludf.DUMMYFUNCTION("""COMPUTED_VALUE"""),"")</f>
        <v/>
      </c>
      <c r="B89" s="367" t="str">
        <f>IFERROR(__xludf.DUMMYFUNCTION("""COMPUTED_VALUE"""),"A208")</f>
        <v>A208</v>
      </c>
      <c r="C89" s="65" t="str">
        <f>IFERROR(__xludf.DUMMYFUNCTION("""COMPUTED_VALUE"""),"Homunculus Baby")</f>
        <v>Homunculus Baby</v>
      </c>
      <c r="D89" s="70">
        <f>IFERROR(__xludf.DUMMYFUNCTION("""COMPUTED_VALUE"""),1.0)</f>
        <v>1</v>
      </c>
      <c r="E89" s="73" t="str">
        <f>IFERROR(__xludf.DUMMYFUNCTION("""COMPUTED_VALUE"""),"SLM5")</f>
        <v>SLM5</v>
      </c>
      <c r="F89" s="76" t="str">
        <f>IFERROR(__xludf.DUMMYFUNCTION("""COMPUTED_VALUE"""),"Salem")</f>
        <v>Salem</v>
      </c>
      <c r="G89" s="85" t="str">
        <f>IFERROR(__xludf.DUMMYFUNCTION("""COMPUTED_VALUE"""),"Whateley House")</f>
        <v>Whateley House</v>
      </c>
      <c r="H89" s="87">
        <f>IFERROR(__xludf.DUMMYFUNCTION("""COMPUTED_VALUE"""),21.0)</f>
        <v>21</v>
      </c>
      <c r="I89" s="90">
        <f>IFERROR(__xludf.DUMMYFUNCTION("""COMPUTED_VALUE"""),48.51190476190476)</f>
        <v>48.51190476</v>
      </c>
      <c r="J89" s="92">
        <f>IFERROR(__xludf.DUMMYFUNCTION("""COMPUTED_VALUE"""),50.0)</f>
        <v>50</v>
      </c>
      <c r="K89" s="94" t="str">
        <f>IFERROR(__xludf.DUMMYFUNCTION("""COMPUTED_VALUE"""),"AP")</f>
        <v>AP</v>
      </c>
      <c r="L89" s="96">
        <f>IFERROR(__xludf.DUMMYFUNCTION("""COMPUTED_VALUE"""),42.0)</f>
        <v>42</v>
      </c>
      <c r="M89" s="94" t="str">
        <f>IFERROR(__xludf.DUMMYFUNCTION("""COMPUTED_VALUE"""),"％")</f>
        <v>％</v>
      </c>
      <c r="N89" s="87">
        <f>IFERROR(__xludf.DUMMYFUNCTION("""COMPUTED_VALUE"""),2483.0)</f>
        <v>2483</v>
      </c>
      <c r="O89" s="97" t="str">
        <f>IFERROR(__xludf.DUMMYFUNCTION("""COMPUTED_VALUE"""),"Homunculus Baby")</f>
        <v>Homunculus Baby</v>
      </c>
      <c r="P89" s="362" t="str">
        <f>IFERROR(__xludf.DUMMYFUNCTION("""COMPUTED_VALUE"""),"")</f>
        <v/>
      </c>
      <c r="Q89" s="61" t="str">
        <f>IFERROR(__xludf.DUMMYFUNCTION("""COMPUTED_VALUE"""),"")</f>
        <v/>
      </c>
      <c r="R89" s="367" t="str">
        <f>IFERROR(__xludf.DUMMYFUNCTION("""COMPUTED_VALUE"""),"B123")</f>
        <v>B123</v>
      </c>
      <c r="S89" s="65" t="str">
        <f>IFERROR(__xludf.DUMMYFUNCTION("""COMPUTED_VALUE"""),"Gem of Lancer")</f>
        <v>Gem of Lancer</v>
      </c>
      <c r="T89" s="70">
        <f>IFERROR(__xludf.DUMMYFUNCTION("""COMPUTED_VALUE"""),1.0)</f>
        <v>1</v>
      </c>
      <c r="U89" s="73" t="str">
        <f>IFERROR(__xludf.DUMMYFUNCTION("""COMPUTED_VALUE"""),"TRF6")</f>
        <v>TRF6</v>
      </c>
      <c r="V89" s="76" t="str">
        <f>IFERROR(__xludf.DUMMYFUNCTION("""COMPUTED_VALUE"""),"Chaldea Gate (Tue)")</f>
        <v>Chaldea Gate (Tue)</v>
      </c>
      <c r="W89" s="76" t="str">
        <f>IFERROR(__xludf.DUMMYFUNCTION("""COMPUTED_VALUE"""),"TUE Lancer Training Ground- Int")</f>
        <v>TUE Lancer Training Ground- Int</v>
      </c>
      <c r="X89" s="87">
        <f>IFERROR(__xludf.DUMMYFUNCTION("""COMPUTED_VALUE"""),20.0)</f>
        <v>20</v>
      </c>
      <c r="Y89" s="90">
        <f>IFERROR(__xludf.DUMMYFUNCTION("""COMPUTED_VALUE"""),19.0625)</f>
        <v>19.0625</v>
      </c>
      <c r="Z89" s="92">
        <f>IFERROR(__xludf.DUMMYFUNCTION("""COMPUTED_VALUE"""),16.8)</f>
        <v>16.8</v>
      </c>
      <c r="AA89" s="94" t="str">
        <f>IFERROR(__xludf.DUMMYFUNCTION("""COMPUTED_VALUE"""),"AP")</f>
        <v>AP</v>
      </c>
      <c r="AB89" s="96">
        <f>IFERROR(__xludf.DUMMYFUNCTION("""COMPUTED_VALUE"""),118.9)</f>
        <v>118.9</v>
      </c>
      <c r="AC89" s="94" t="str">
        <f>IFERROR(__xludf.DUMMYFUNCTION("""COMPUTED_VALUE"""),"％")</f>
        <v>％</v>
      </c>
      <c r="AD89" s="87">
        <f>IFERROR(__xludf.DUMMYFUNCTION("""COMPUTED_VALUE"""),338.0)</f>
        <v>338</v>
      </c>
      <c r="AE89" s="97" t="str">
        <f>IFERROR(__xludf.DUMMYFUNCTION("""COMPUTED_VALUE"""),"Gem of Lancer")</f>
        <v>Gem of Lancer</v>
      </c>
      <c r="AF89" s="364" t="str">
        <f>IFERROR(__xludf.DUMMYFUNCTION("""COMPUTED_VALUE"""),"")</f>
        <v/>
      </c>
    </row>
    <row r="90" ht="16.5" customHeight="1">
      <c r="C90" s="100"/>
      <c r="D90" s="105">
        <f>IFERROR(__xludf.DUMMYFUNCTION("""COMPUTED_VALUE"""),2.0)</f>
        <v>2</v>
      </c>
      <c r="E90" s="106" t="str">
        <f>IFERROR(__xludf.DUMMYFUNCTION("""COMPUTED_VALUE"""),"LDN8")</f>
        <v>LDN8</v>
      </c>
      <c r="F90" s="107" t="str">
        <f>IFERROR(__xludf.DUMMYFUNCTION("""COMPUTED_VALUE"""),"London")</f>
        <v>London</v>
      </c>
      <c r="G90" s="114" t="str">
        <f>IFERROR(__xludf.DUMMYFUNCTION("""COMPUTED_VALUE"""),"Southwark")</f>
        <v>Southwark</v>
      </c>
      <c r="H90" s="116">
        <f>IFERROR(__xludf.DUMMYFUNCTION("""COMPUTED_VALUE"""),19.0)</f>
        <v>19</v>
      </c>
      <c r="I90" s="118">
        <f>IFERROR(__xludf.DUMMYFUNCTION("""COMPUTED_VALUE"""),45.723684210526315)</f>
        <v>45.72368421</v>
      </c>
      <c r="J90" s="120">
        <f>IFERROR(__xludf.DUMMYFUNCTION("""COMPUTED_VALUE"""),62.5)</f>
        <v>62.5</v>
      </c>
      <c r="K90" s="122" t="str">
        <f>IFERROR(__xludf.DUMMYFUNCTION("""COMPUTED_VALUE"""),"AP")</f>
        <v>AP</v>
      </c>
      <c r="L90" s="124">
        <f>IFERROR(__xludf.DUMMYFUNCTION("""COMPUTED_VALUE"""),30.4)</f>
        <v>30.4</v>
      </c>
      <c r="M90" s="122" t="str">
        <f>IFERROR(__xludf.DUMMYFUNCTION("""COMPUTED_VALUE"""),"％")</f>
        <v>％</v>
      </c>
      <c r="N90" s="116">
        <f>IFERROR(__xludf.DUMMYFUNCTION("""COMPUTED_VALUE"""),5508.0)</f>
        <v>5508</v>
      </c>
      <c r="O90" s="100"/>
      <c r="P90" s="362" t="str">
        <f>IFERROR(__xludf.DUMMYFUNCTION("""COMPUTED_VALUE"""),"")</f>
        <v/>
      </c>
      <c r="S90" s="100"/>
      <c r="T90" s="105">
        <f>IFERROR(__xludf.DUMMYFUNCTION("""COMPUTED_VALUE"""),2.0)</f>
        <v>2</v>
      </c>
      <c r="U90" s="106" t="str">
        <f>IFERROR(__xludf.DUMMYFUNCTION("""COMPUTED_VALUE"""),"TRF5")</f>
        <v>TRF5</v>
      </c>
      <c r="V90" s="107" t="str">
        <f>IFERROR(__xludf.DUMMYFUNCTION("""COMPUTED_VALUE"""),"Chaldea Gate (Tue)")</f>
        <v>Chaldea Gate (Tue)</v>
      </c>
      <c r="W90" s="107" t="str">
        <f>IFERROR(__xludf.DUMMYFUNCTION("""COMPUTED_VALUE"""),"TUE Lancer Training Ground- Nov")</f>
        <v>TUE Lancer Training Ground- Nov</v>
      </c>
      <c r="X90" s="116">
        <f>IFERROR(__xludf.DUMMYFUNCTION("""COMPUTED_VALUE"""),10.0)</f>
        <v>10</v>
      </c>
      <c r="Y90" s="118">
        <f>IFERROR(__xludf.DUMMYFUNCTION("""COMPUTED_VALUE"""),19.375)</f>
        <v>19.375</v>
      </c>
      <c r="Z90" s="120">
        <f>IFERROR(__xludf.DUMMYFUNCTION("""COMPUTED_VALUE"""),8.5)</f>
        <v>8.5</v>
      </c>
      <c r="AA90" s="122" t="str">
        <f>IFERROR(__xludf.DUMMYFUNCTION("""COMPUTED_VALUE"""),"AP")</f>
        <v>AP</v>
      </c>
      <c r="AB90" s="124">
        <f>IFERROR(__xludf.DUMMYFUNCTION("""COMPUTED_VALUE"""),117.1)</f>
        <v>117.1</v>
      </c>
      <c r="AC90" s="122" t="str">
        <f>IFERROR(__xludf.DUMMYFUNCTION("""COMPUTED_VALUE"""),"％")</f>
        <v>％</v>
      </c>
      <c r="AD90" s="116">
        <f>IFERROR(__xludf.DUMMYFUNCTION("""COMPUTED_VALUE"""),1502.0)</f>
        <v>1502</v>
      </c>
      <c r="AE90" s="100"/>
      <c r="AF90" s="364" t="str">
        <f>IFERROR(__xludf.DUMMYFUNCTION("""COMPUTED_VALUE"""),"")</f>
        <v/>
      </c>
    </row>
    <row r="91" ht="16.5" customHeight="1">
      <c r="C91" s="100"/>
      <c r="D91" s="128">
        <f>IFERROR(__xludf.DUMMYFUNCTION("""COMPUTED_VALUE"""),3.0)</f>
        <v>3</v>
      </c>
      <c r="E91" s="129" t="str">
        <f>IFERROR(__xludf.DUMMYFUNCTION("""COMPUTED_VALUE"""),"TRF8")</f>
        <v>TRF8</v>
      </c>
      <c r="F91" s="131" t="str">
        <f>IFERROR(__xludf.DUMMYFUNCTION("""COMPUTED_VALUE"""),"Chaldea Gate (Tue)")</f>
        <v>Chaldea Gate (Tue)</v>
      </c>
      <c r="G91" s="131" t="str">
        <f>IFERROR(__xludf.DUMMYFUNCTION("""COMPUTED_VALUE"""),"TUE Lancer Training Ground- Exp")</f>
        <v>TUE Lancer Training Ground- Exp</v>
      </c>
      <c r="H91" s="136">
        <f>IFERROR(__xludf.DUMMYFUNCTION("""COMPUTED_VALUE"""),40.0)</f>
        <v>40</v>
      </c>
      <c r="I91" s="138">
        <f>IFERROR(__xludf.DUMMYFUNCTION("""COMPUTED_VALUE"""),20.46875)</f>
        <v>20.46875</v>
      </c>
      <c r="J91" s="140">
        <f>IFERROR(__xludf.DUMMYFUNCTION("""COMPUTED_VALUE"""),188.9)</f>
        <v>188.9</v>
      </c>
      <c r="K91" s="142" t="str">
        <f>IFERROR(__xludf.DUMMYFUNCTION("""COMPUTED_VALUE"""),"AP")</f>
        <v>AP</v>
      </c>
      <c r="L91" s="144">
        <f>IFERROR(__xludf.DUMMYFUNCTION("""COMPUTED_VALUE"""),21.2)</f>
        <v>21.2</v>
      </c>
      <c r="M91" s="142" t="str">
        <f>IFERROR(__xludf.DUMMYFUNCTION("""COMPUTED_VALUE"""),"％")</f>
        <v>％</v>
      </c>
      <c r="N91" s="136">
        <f>IFERROR(__xludf.DUMMYFUNCTION("""COMPUTED_VALUE"""),5650.0)</f>
        <v>5650</v>
      </c>
      <c r="O91" s="100"/>
      <c r="P91" s="362" t="str">
        <f>IFERROR(__xludf.DUMMYFUNCTION("""COMPUTED_VALUE"""),"")</f>
        <v/>
      </c>
      <c r="S91" s="100"/>
      <c r="T91" s="128">
        <f>IFERROR(__xludf.DUMMYFUNCTION("""COMPUTED_VALUE"""),3.0)</f>
        <v>3</v>
      </c>
      <c r="U91" s="129" t="str">
        <f>IFERROR(__xludf.DUMMYFUNCTION("""COMPUTED_VALUE"""),"LDN3")</f>
        <v>LDN3</v>
      </c>
      <c r="V91" s="131" t="str">
        <f>IFERROR(__xludf.DUMMYFUNCTION("""COMPUTED_VALUE"""),"London")</f>
        <v>London</v>
      </c>
      <c r="W91" s="134" t="str">
        <f>IFERROR(__xludf.DUMMYFUNCTION("""COMPUTED_VALUE"""),"City of London")</f>
        <v>City of London</v>
      </c>
      <c r="X91" s="136">
        <f>IFERROR(__xludf.DUMMYFUNCTION("""COMPUTED_VALUE"""),15.0)</f>
        <v>15</v>
      </c>
      <c r="Y91" s="138">
        <f>IFERROR(__xludf.DUMMYFUNCTION("""COMPUTED_VALUE"""),39.583333333333336)</f>
        <v>39.58333333</v>
      </c>
      <c r="Z91" s="140">
        <f>IFERROR(__xludf.DUMMYFUNCTION("""COMPUTED_VALUE"""),24.8)</f>
        <v>24.8</v>
      </c>
      <c r="AA91" s="142" t="str">
        <f>IFERROR(__xludf.DUMMYFUNCTION("""COMPUTED_VALUE"""),"AP")</f>
        <v>AP</v>
      </c>
      <c r="AB91" s="144">
        <f>IFERROR(__xludf.DUMMYFUNCTION("""COMPUTED_VALUE"""),60.4)</f>
        <v>60.4</v>
      </c>
      <c r="AC91" s="142" t="str">
        <f>IFERROR(__xludf.DUMMYFUNCTION("""COMPUTED_VALUE"""),"％")</f>
        <v>％</v>
      </c>
      <c r="AD91" s="136">
        <f>IFERROR(__xludf.DUMMYFUNCTION("""COMPUTED_VALUE"""),144.0)</f>
        <v>144</v>
      </c>
      <c r="AE91" s="100"/>
      <c r="AF91" s="364" t="str">
        <f>IFERROR(__xludf.DUMMYFUNCTION("""COMPUTED_VALUE"""),"")</f>
        <v/>
      </c>
    </row>
    <row r="92" ht="16.5" customHeight="1">
      <c r="C92" s="100"/>
      <c r="D92" s="147">
        <f>IFERROR(__xludf.DUMMYFUNCTION("""COMPUTED_VALUE"""),4.0)</f>
        <v>4</v>
      </c>
      <c r="E92" s="149" t="str">
        <f>IFERROR(__xludf.DUMMYFUNCTION("""COMPUTED_VALUE"""),"TRF7")</f>
        <v>TRF7</v>
      </c>
      <c r="F92" s="151" t="str">
        <f>IFERROR(__xludf.DUMMYFUNCTION("""COMPUTED_VALUE"""),"Chaldea Gate (Tue)")</f>
        <v>Chaldea Gate (Tue)</v>
      </c>
      <c r="G92" s="151" t="str">
        <f>IFERROR(__xludf.DUMMYFUNCTION("""COMPUTED_VALUE"""),"TUE Lancer Training Ground- Adv")</f>
        <v>TUE Lancer Training Ground- Adv</v>
      </c>
      <c r="H92" s="155">
        <f>IFERROR(__xludf.DUMMYFUNCTION("""COMPUTED_VALUE"""),30.0)</f>
        <v>30</v>
      </c>
      <c r="I92" s="157">
        <f>IFERROR(__xludf.DUMMYFUNCTION("""COMPUTED_VALUE"""),18.958333333333332)</f>
        <v>18.95833333</v>
      </c>
      <c r="J92" s="159">
        <f>IFERROR(__xludf.DUMMYFUNCTION("""COMPUTED_VALUE"""),168.5)</f>
        <v>168.5</v>
      </c>
      <c r="K92" s="161" t="str">
        <f>IFERROR(__xludf.DUMMYFUNCTION("""COMPUTED_VALUE"""),"AP")</f>
        <v>AP</v>
      </c>
      <c r="L92" s="163">
        <f>IFERROR(__xludf.DUMMYFUNCTION("""COMPUTED_VALUE"""),17.8)</f>
        <v>17.8</v>
      </c>
      <c r="M92" s="161" t="str">
        <f>IFERROR(__xludf.DUMMYFUNCTION("""COMPUTED_VALUE"""),"％")</f>
        <v>％</v>
      </c>
      <c r="N92" s="155">
        <f>IFERROR(__xludf.DUMMYFUNCTION("""COMPUTED_VALUE"""),1022.0)</f>
        <v>1022</v>
      </c>
      <c r="O92" s="100"/>
      <c r="P92" s="362" t="str">
        <f>IFERROR(__xludf.DUMMYFUNCTION("""COMPUTED_VALUE"""),"")</f>
        <v/>
      </c>
      <c r="S92" s="100"/>
      <c r="T92" s="147">
        <f>IFERROR(__xludf.DUMMYFUNCTION("""COMPUTED_VALUE"""),4.0)</f>
        <v>4</v>
      </c>
      <c r="U92" s="149" t="str">
        <f>IFERROR(__xludf.DUMMYFUNCTION("""COMPUTED_VALUE"""),"BBL9")</f>
        <v>BBL9</v>
      </c>
      <c r="V92" s="151" t="str">
        <f>IFERROR(__xludf.DUMMYFUNCTION("""COMPUTED_VALUE"""),"Babylonia")</f>
        <v>Babylonia</v>
      </c>
      <c r="W92" s="153" t="str">
        <f>IFERROR(__xludf.DUMMYFUNCTION("""COMPUTED_VALUE"""),"Field of Reeds")</f>
        <v>Field of Reeds</v>
      </c>
      <c r="X92" s="155">
        <f>IFERROR(__xludf.DUMMYFUNCTION("""COMPUTED_VALUE"""),21.0)</f>
        <v>21</v>
      </c>
      <c r="Y92" s="157">
        <f>IFERROR(__xludf.DUMMYFUNCTION("""COMPUTED_VALUE"""),48.51190476190476)</f>
        <v>48.51190476</v>
      </c>
      <c r="Z92" s="159">
        <f>IFERROR(__xludf.DUMMYFUNCTION("""COMPUTED_VALUE"""),46.7)</f>
        <v>46.7</v>
      </c>
      <c r="AA92" s="161" t="str">
        <f>IFERROR(__xludf.DUMMYFUNCTION("""COMPUTED_VALUE"""),"AP")</f>
        <v>AP</v>
      </c>
      <c r="AB92" s="163">
        <f>IFERROR(__xludf.DUMMYFUNCTION("""COMPUTED_VALUE"""),45.0)</f>
        <v>45</v>
      </c>
      <c r="AC92" s="161" t="str">
        <f>IFERROR(__xludf.DUMMYFUNCTION("""COMPUTED_VALUE"""),"％")</f>
        <v>％</v>
      </c>
      <c r="AD92" s="155">
        <f>IFERROR(__xludf.DUMMYFUNCTION("""COMPUTED_VALUE"""),12442.0)</f>
        <v>12442</v>
      </c>
      <c r="AE92" s="100"/>
      <c r="AF92" s="364" t="str">
        <f>IFERROR(__xludf.DUMMYFUNCTION("""COMPUTED_VALUE"""),"")</f>
        <v/>
      </c>
    </row>
    <row r="93" ht="16.5" customHeight="1">
      <c r="A93" s="166"/>
      <c r="C93" s="168"/>
      <c r="D93" s="169">
        <f>IFERROR(__xludf.DUMMYFUNCTION("""COMPUTED_VALUE"""),5.0)</f>
        <v>5</v>
      </c>
      <c r="E93" s="170" t="str">
        <f>IFERROR(__xludf.DUMMYFUNCTION("""COMPUTED_VALUE"""),"LDN5")</f>
        <v>LDN5</v>
      </c>
      <c r="F93" s="51" t="str">
        <f>IFERROR(__xludf.DUMMYFUNCTION("""COMPUTED_VALUE"""),"London")</f>
        <v>London</v>
      </c>
      <c r="G93" s="171" t="str">
        <f>IFERROR(__xludf.DUMMYFUNCTION("""COMPUTED_VALUE"""),"Westminster")</f>
        <v>Westminster</v>
      </c>
      <c r="H93" s="172">
        <f>IFERROR(__xludf.DUMMYFUNCTION("""COMPUTED_VALUE"""),16.0)</f>
        <v>16</v>
      </c>
      <c r="I93" s="173">
        <f>IFERROR(__xludf.DUMMYFUNCTION("""COMPUTED_VALUE"""),38.671875)</f>
        <v>38.671875</v>
      </c>
      <c r="J93" s="174">
        <f>IFERROR(__xludf.DUMMYFUNCTION("""COMPUTED_VALUE"""),115.9)</f>
        <v>115.9</v>
      </c>
      <c r="K93" s="175" t="str">
        <f>IFERROR(__xludf.DUMMYFUNCTION("""COMPUTED_VALUE"""),"AP")</f>
        <v>AP</v>
      </c>
      <c r="L93" s="176">
        <f>IFERROR(__xludf.DUMMYFUNCTION("""COMPUTED_VALUE"""),13.8)</f>
        <v>13.8</v>
      </c>
      <c r="M93" s="175" t="str">
        <f>IFERROR(__xludf.DUMMYFUNCTION("""COMPUTED_VALUE"""),"％")</f>
        <v>％</v>
      </c>
      <c r="N93" s="172">
        <f>IFERROR(__xludf.DUMMYFUNCTION("""COMPUTED_VALUE"""),210.0)</f>
        <v>210</v>
      </c>
      <c r="O93" s="168"/>
      <c r="P93" s="362" t="str">
        <f>IFERROR(__xludf.DUMMYFUNCTION("""COMPUTED_VALUE"""),"")</f>
        <v/>
      </c>
      <c r="Q93" s="166"/>
      <c r="S93" s="168"/>
      <c r="T93" s="169">
        <f>IFERROR(__xludf.DUMMYFUNCTION("""COMPUTED_VALUE"""),5.0)</f>
        <v>5</v>
      </c>
      <c r="U93" s="170" t="str">
        <f>IFERROR(__xludf.DUMMYFUNCTION("""COMPUTED_VALUE"""),"AGT2")</f>
        <v>AGT2</v>
      </c>
      <c r="V93" s="51" t="str">
        <f>IFERROR(__xludf.DUMMYFUNCTION("""COMPUTED_VALUE"""),"Agartha")</f>
        <v>Agartha</v>
      </c>
      <c r="W93" s="171" t="str">
        <f>IFERROR(__xludf.DUMMYFUNCTION("""COMPUTED_VALUE"""),"Camping Ground")</f>
        <v>Camping Ground</v>
      </c>
      <c r="X93" s="172">
        <f>IFERROR(__xludf.DUMMYFUNCTION("""COMPUTED_VALUE"""),20.0)</f>
        <v>20</v>
      </c>
      <c r="Y93" s="173">
        <f>IFERROR(__xludf.DUMMYFUNCTION("""COMPUTED_VALUE"""),48.4375)</f>
        <v>48.4375</v>
      </c>
      <c r="Z93" s="174">
        <f>IFERROR(__xludf.DUMMYFUNCTION("""COMPUTED_VALUE"""),49.7)</f>
        <v>49.7</v>
      </c>
      <c r="AA93" s="175" t="str">
        <f>IFERROR(__xludf.DUMMYFUNCTION("""COMPUTED_VALUE"""),"AP")</f>
        <v>AP</v>
      </c>
      <c r="AB93" s="176">
        <f>IFERROR(__xludf.DUMMYFUNCTION("""COMPUTED_VALUE"""),40.3)</f>
        <v>40.3</v>
      </c>
      <c r="AC93" s="175" t="str">
        <f>IFERROR(__xludf.DUMMYFUNCTION("""COMPUTED_VALUE"""),"％")</f>
        <v>％</v>
      </c>
      <c r="AD93" s="172">
        <f>IFERROR(__xludf.DUMMYFUNCTION("""COMPUTED_VALUE"""),1303.0)</f>
        <v>1303</v>
      </c>
      <c r="AE93" s="168"/>
      <c r="AF93" s="364" t="str">
        <f>IFERROR(__xludf.DUMMYFUNCTION("""COMPUTED_VALUE"""),"")</f>
        <v/>
      </c>
    </row>
    <row r="94" ht="16.5" customHeight="1">
      <c r="A94" s="61" t="str">
        <f>IFERROR(__xludf.DUMMYFUNCTION("""COMPUTED_VALUE"""),"")</f>
        <v/>
      </c>
      <c r="B94" s="366" t="str">
        <f>IFERROR(__xludf.DUMMYFUNCTION("""COMPUTED_VALUE"""),"A209")</f>
        <v>A209</v>
      </c>
      <c r="C94" s="180" t="str">
        <f>IFERROR(__xludf.DUMMYFUNCTION("""COMPUTED_VALUE"""),"Meteor Horseshoe")</f>
        <v>Meteor Horseshoe</v>
      </c>
      <c r="D94" s="185">
        <f>IFERROR(__xludf.DUMMYFUNCTION("""COMPUTED_VALUE"""),1.0)</f>
        <v>1</v>
      </c>
      <c r="E94" s="187" t="str">
        <f>IFERROR(__xludf.DUMMYFUNCTION("""COMPUTED_VALUE"""),"CML13")</f>
        <v>CML13</v>
      </c>
      <c r="F94" s="188" t="str">
        <f>IFERROR(__xludf.DUMMYFUNCTION("""COMPUTED_VALUE"""),"Camelot")</f>
        <v>Camelot</v>
      </c>
      <c r="G94" s="193" t="str">
        <f>IFERROR(__xludf.DUMMYFUNCTION("""COMPUTED_VALUE"""),"Land of the Void")</f>
        <v>Land of the Void</v>
      </c>
      <c r="H94" s="195">
        <f>IFERROR(__xludf.DUMMYFUNCTION("""COMPUTED_VALUE"""),22.0)</f>
        <v>22</v>
      </c>
      <c r="I94" s="196">
        <f>IFERROR(__xludf.DUMMYFUNCTION("""COMPUTED_VALUE"""),49.71590909090909)</f>
        <v>49.71590909</v>
      </c>
      <c r="J94" s="198">
        <f>IFERROR(__xludf.DUMMYFUNCTION("""COMPUTED_VALUE"""),48.8)</f>
        <v>48.8</v>
      </c>
      <c r="K94" s="200" t="str">
        <f>IFERROR(__xludf.DUMMYFUNCTION("""COMPUTED_VALUE"""),"AP")</f>
        <v>AP</v>
      </c>
      <c r="L94" s="198">
        <f>IFERROR(__xludf.DUMMYFUNCTION("""COMPUTED_VALUE"""),45.1)</f>
        <v>45.1</v>
      </c>
      <c r="M94" s="201" t="str">
        <f>IFERROR(__xludf.DUMMYFUNCTION("""COMPUTED_VALUE"""),"％")</f>
        <v>％</v>
      </c>
      <c r="N94" s="195">
        <f>IFERROR(__xludf.DUMMYFUNCTION("""COMPUTED_VALUE"""),4024.0)</f>
        <v>4024</v>
      </c>
      <c r="O94" s="197" t="str">
        <f>IFERROR(__xludf.DUMMYFUNCTION("""COMPUTED_VALUE"""),"Meteor Horseshoe")</f>
        <v>Meteor Horseshoe</v>
      </c>
      <c r="P94" s="362" t="str">
        <f>IFERROR(__xludf.DUMMYFUNCTION("""COMPUTED_VALUE"""),"")</f>
        <v/>
      </c>
      <c r="Q94" s="61" t="str">
        <f>IFERROR(__xludf.DUMMYFUNCTION("""COMPUTED_VALUE"""),"")</f>
        <v/>
      </c>
      <c r="R94" s="366" t="str">
        <f>IFERROR(__xludf.DUMMYFUNCTION("""COMPUTED_VALUE"""),"B124")</f>
        <v>B124</v>
      </c>
      <c r="S94" s="180" t="str">
        <f>IFERROR(__xludf.DUMMYFUNCTION("""COMPUTED_VALUE"""),"Gem of Rider")</f>
        <v>Gem of Rider</v>
      </c>
      <c r="T94" s="185">
        <f>IFERROR(__xludf.DUMMYFUNCTION("""COMPUTED_VALUE"""),1.0)</f>
        <v>1</v>
      </c>
      <c r="U94" s="187" t="str">
        <f>IFERROR(__xludf.DUMMYFUNCTION("""COMPUTED_VALUE"""),"TRF13")</f>
        <v>TRF13</v>
      </c>
      <c r="V94" s="188" t="str">
        <f>IFERROR(__xludf.DUMMYFUNCTION("""COMPUTED_VALUE"""),"Chaldea Gate (Thu)")</f>
        <v>Chaldea Gate (Thu)</v>
      </c>
      <c r="W94" s="188" t="str">
        <f>IFERROR(__xludf.DUMMYFUNCTION("""COMPUTED_VALUE"""),"THU Rider Training Ground- Nov")</f>
        <v>THU Rider Training Ground- Nov</v>
      </c>
      <c r="X94" s="195">
        <f>IFERROR(__xludf.DUMMYFUNCTION("""COMPUTED_VALUE"""),10.0)</f>
        <v>10</v>
      </c>
      <c r="Y94" s="196">
        <f>IFERROR(__xludf.DUMMYFUNCTION("""COMPUTED_VALUE"""),19.375)</f>
        <v>19.375</v>
      </c>
      <c r="Z94" s="198">
        <f>IFERROR(__xludf.DUMMYFUNCTION("""COMPUTED_VALUE"""),8.5)</f>
        <v>8.5</v>
      </c>
      <c r="AA94" s="200" t="str">
        <f>IFERROR(__xludf.DUMMYFUNCTION("""COMPUTED_VALUE"""),"AP")</f>
        <v>AP</v>
      </c>
      <c r="AB94" s="198">
        <f>IFERROR(__xludf.DUMMYFUNCTION("""COMPUTED_VALUE"""),117.9)</f>
        <v>117.9</v>
      </c>
      <c r="AC94" s="201" t="str">
        <f>IFERROR(__xludf.DUMMYFUNCTION("""COMPUTED_VALUE"""),"％")</f>
        <v>％</v>
      </c>
      <c r="AD94" s="195">
        <f>IFERROR(__xludf.DUMMYFUNCTION("""COMPUTED_VALUE"""),923.0)</f>
        <v>923</v>
      </c>
      <c r="AE94" s="197" t="str">
        <f>IFERROR(__xludf.DUMMYFUNCTION("""COMPUTED_VALUE"""),"Gem of Rider")</f>
        <v>Gem of Rider</v>
      </c>
      <c r="AF94" s="364" t="str">
        <f>IFERROR(__xludf.DUMMYFUNCTION("""COMPUTED_VALUE"""),"")</f>
        <v/>
      </c>
    </row>
    <row r="95" ht="16.5" customHeight="1">
      <c r="C95" s="204"/>
      <c r="D95" s="208">
        <f>IFERROR(__xludf.DUMMYFUNCTION("""COMPUTED_VALUE"""),2.0)</f>
        <v>2</v>
      </c>
      <c r="E95" s="210" t="str">
        <f>IFERROR(__xludf.DUMMYFUNCTION("""COMPUTED_VALUE"""),"TRF16")</f>
        <v>TRF16</v>
      </c>
      <c r="F95" s="212" t="str">
        <f>IFERROR(__xludf.DUMMYFUNCTION("""COMPUTED_VALUE"""),"Chaldea Gate (Thu)")</f>
        <v>Chaldea Gate (Thu)</v>
      </c>
      <c r="G95" s="212" t="str">
        <f>IFERROR(__xludf.DUMMYFUNCTION("""COMPUTED_VALUE"""),"THU Rider Training Ground- Exp")</f>
        <v>THU Rider Training Ground- Exp</v>
      </c>
      <c r="H95" s="218">
        <f>IFERROR(__xludf.DUMMYFUNCTION("""COMPUTED_VALUE"""),40.0)</f>
        <v>40</v>
      </c>
      <c r="I95" s="219">
        <f>IFERROR(__xludf.DUMMYFUNCTION("""COMPUTED_VALUE"""),20.46875)</f>
        <v>20.46875</v>
      </c>
      <c r="J95" s="220">
        <f>IFERROR(__xludf.DUMMYFUNCTION("""COMPUTED_VALUE"""),198.8)</f>
        <v>198.8</v>
      </c>
      <c r="K95" s="221" t="str">
        <f>IFERROR(__xludf.DUMMYFUNCTION("""COMPUTED_VALUE"""),"AP")</f>
        <v>AP</v>
      </c>
      <c r="L95" s="220">
        <f>IFERROR(__xludf.DUMMYFUNCTION("""COMPUTED_VALUE"""),20.1)</f>
        <v>20.1</v>
      </c>
      <c r="M95" s="221" t="str">
        <f>IFERROR(__xludf.DUMMYFUNCTION("""COMPUTED_VALUE"""),"％")</f>
        <v>％</v>
      </c>
      <c r="N95" s="218">
        <f>IFERROR(__xludf.DUMMYFUNCTION("""COMPUTED_VALUE"""),3420.0)</f>
        <v>3420</v>
      </c>
      <c r="O95" s="217"/>
      <c r="P95" s="362" t="str">
        <f>IFERROR(__xludf.DUMMYFUNCTION("""COMPUTED_VALUE"""),"")</f>
        <v/>
      </c>
      <c r="S95" s="204"/>
      <c r="T95" s="208">
        <f>IFERROR(__xludf.DUMMYFUNCTION("""COMPUTED_VALUE"""),2.0)</f>
        <v>2</v>
      </c>
      <c r="U95" s="210" t="str">
        <f>IFERROR(__xludf.DUMMYFUNCTION("""COMPUTED_VALUE"""),"TRF14")</f>
        <v>TRF14</v>
      </c>
      <c r="V95" s="212" t="str">
        <f>IFERROR(__xludf.DUMMYFUNCTION("""COMPUTED_VALUE"""),"Chaldea Gate (Thu)")</f>
        <v>Chaldea Gate (Thu)</v>
      </c>
      <c r="W95" s="212" t="str">
        <f>IFERROR(__xludf.DUMMYFUNCTION("""COMPUTED_VALUE"""),"THU Rider Training Ground- Int")</f>
        <v>THU Rider Training Ground- Int</v>
      </c>
      <c r="X95" s="218">
        <f>IFERROR(__xludf.DUMMYFUNCTION("""COMPUTED_VALUE"""),20.0)</f>
        <v>20</v>
      </c>
      <c r="Y95" s="219">
        <f>IFERROR(__xludf.DUMMYFUNCTION("""COMPUTED_VALUE"""),19.0625)</f>
        <v>19.0625</v>
      </c>
      <c r="Z95" s="220">
        <f>IFERROR(__xludf.DUMMYFUNCTION("""COMPUTED_VALUE"""),21.5)</f>
        <v>21.5</v>
      </c>
      <c r="AA95" s="221" t="str">
        <f>IFERROR(__xludf.DUMMYFUNCTION("""COMPUTED_VALUE"""),"AP")</f>
        <v>AP</v>
      </c>
      <c r="AB95" s="220">
        <f>IFERROR(__xludf.DUMMYFUNCTION("""COMPUTED_VALUE"""),92.8)</f>
        <v>92.8</v>
      </c>
      <c r="AC95" s="221" t="str">
        <f>IFERROR(__xludf.DUMMYFUNCTION("""COMPUTED_VALUE"""),"％")</f>
        <v>％</v>
      </c>
      <c r="AD95" s="218">
        <f>IFERROR(__xludf.DUMMYFUNCTION("""COMPUTED_VALUE"""),712.0)</f>
        <v>712</v>
      </c>
      <c r="AE95" s="217"/>
      <c r="AF95" s="364" t="str">
        <f>IFERROR(__xludf.DUMMYFUNCTION("""COMPUTED_VALUE"""),"")</f>
        <v/>
      </c>
    </row>
    <row r="96" ht="16.5" customHeight="1">
      <c r="C96" s="204"/>
      <c r="D96" s="225">
        <f>IFERROR(__xludf.DUMMYFUNCTION("""COMPUTED_VALUE"""),3.0)</f>
        <v>3</v>
      </c>
      <c r="E96" s="227" t="str">
        <f>IFERROR(__xludf.DUMMYFUNCTION("""COMPUTED_VALUE"""),"TRF4")</f>
        <v>TRF4</v>
      </c>
      <c r="F96" s="229" t="str">
        <f>IFERROR(__xludf.DUMMYFUNCTION("""COMPUTED_VALUE"""),"Chaldea Gate (Mon)")</f>
        <v>Chaldea Gate (Mon)</v>
      </c>
      <c r="G96" s="229" t="str">
        <f>IFERROR(__xludf.DUMMYFUNCTION("""COMPUTED_VALUE"""),"MON Archer Training Ground- Exp")</f>
        <v>MON Archer Training Ground- Exp</v>
      </c>
      <c r="H96" s="234">
        <f>IFERROR(__xludf.DUMMYFUNCTION("""COMPUTED_VALUE"""),40.0)</f>
        <v>40</v>
      </c>
      <c r="I96" s="235">
        <f>IFERROR(__xludf.DUMMYFUNCTION("""COMPUTED_VALUE"""),20.46875)</f>
        <v>20.46875</v>
      </c>
      <c r="J96" s="236">
        <f>IFERROR(__xludf.DUMMYFUNCTION("""COMPUTED_VALUE"""),207.6)</f>
        <v>207.6</v>
      </c>
      <c r="K96" s="237" t="str">
        <f>IFERROR(__xludf.DUMMYFUNCTION("""COMPUTED_VALUE"""),"AP")</f>
        <v>AP</v>
      </c>
      <c r="L96" s="236">
        <f>IFERROR(__xludf.DUMMYFUNCTION("""COMPUTED_VALUE"""),19.3)</f>
        <v>19.3</v>
      </c>
      <c r="M96" s="237" t="str">
        <f>IFERROR(__xludf.DUMMYFUNCTION("""COMPUTED_VALUE"""),"％")</f>
        <v>％</v>
      </c>
      <c r="N96" s="234">
        <f>IFERROR(__xludf.DUMMYFUNCTION("""COMPUTED_VALUE"""),9159.0)</f>
        <v>9159</v>
      </c>
      <c r="O96" s="217"/>
      <c r="P96" s="362" t="str">
        <f>IFERROR(__xludf.DUMMYFUNCTION("""COMPUTED_VALUE"""),"")</f>
        <v/>
      </c>
      <c r="S96" s="204"/>
      <c r="T96" s="225">
        <f>IFERROR(__xludf.DUMMYFUNCTION("""COMPUTED_VALUE"""),3.0)</f>
        <v>3</v>
      </c>
      <c r="U96" s="227" t="str">
        <f>IFERROR(__xludf.DUMMYFUNCTION("""COMPUTED_VALUE"""),"BBL1")</f>
        <v>BBL1</v>
      </c>
      <c r="V96" s="229" t="str">
        <f>IFERROR(__xludf.DUMMYFUNCTION("""COMPUTED_VALUE"""),"Babylonia")</f>
        <v>Babylonia</v>
      </c>
      <c r="W96" s="233" t="str">
        <f>IFERROR(__xludf.DUMMYFUNCTION("""COMPUTED_VALUE"""),"Fallen Babylon")</f>
        <v>Fallen Babylon</v>
      </c>
      <c r="X96" s="234">
        <f>IFERROR(__xludf.DUMMYFUNCTION("""COMPUTED_VALUE"""),20.0)</f>
        <v>20</v>
      </c>
      <c r="Y96" s="235">
        <f>IFERROR(__xludf.DUMMYFUNCTION("""COMPUTED_VALUE"""),48.4375)</f>
        <v>48.4375</v>
      </c>
      <c r="Z96" s="236">
        <f>IFERROR(__xludf.DUMMYFUNCTION("""COMPUTED_VALUE"""),43.7)</f>
        <v>43.7</v>
      </c>
      <c r="AA96" s="237" t="str">
        <f>IFERROR(__xludf.DUMMYFUNCTION("""COMPUTED_VALUE"""),"AP")</f>
        <v>AP</v>
      </c>
      <c r="AB96" s="236">
        <f>IFERROR(__xludf.DUMMYFUNCTION("""COMPUTED_VALUE"""),45.7)</f>
        <v>45.7</v>
      </c>
      <c r="AC96" s="237" t="str">
        <f>IFERROR(__xludf.DUMMYFUNCTION("""COMPUTED_VALUE"""),"％")</f>
        <v>％</v>
      </c>
      <c r="AD96" s="234">
        <f>IFERROR(__xludf.DUMMYFUNCTION("""COMPUTED_VALUE"""),5219.0)</f>
        <v>5219</v>
      </c>
      <c r="AE96" s="217"/>
      <c r="AF96" s="364" t="str">
        <f>IFERROR(__xludf.DUMMYFUNCTION("""COMPUTED_VALUE"""),"")</f>
        <v/>
      </c>
    </row>
    <row r="97" ht="16.5" customHeight="1">
      <c r="C97" s="204"/>
      <c r="D97" s="239">
        <f>IFERROR(__xludf.DUMMYFUNCTION("""COMPUTED_VALUE"""),4.0)</f>
        <v>4</v>
      </c>
      <c r="E97" s="241" t="str">
        <f>IFERROR(__xludf.DUMMYFUNCTION("""COMPUTED_VALUE"""),"TRF15")</f>
        <v>TRF15</v>
      </c>
      <c r="F97" s="243" t="str">
        <f>IFERROR(__xludf.DUMMYFUNCTION("""COMPUTED_VALUE"""),"Chaldea Gate (Thu)")</f>
        <v>Chaldea Gate (Thu)</v>
      </c>
      <c r="G97" s="243" t="str">
        <f>IFERROR(__xludf.DUMMYFUNCTION("""COMPUTED_VALUE"""),"THU Rider Training Ground- Adv")</f>
        <v>THU Rider Training Ground- Adv</v>
      </c>
      <c r="H97" s="247">
        <f>IFERROR(__xludf.DUMMYFUNCTION("""COMPUTED_VALUE"""),30.0)</f>
        <v>30</v>
      </c>
      <c r="I97" s="249">
        <f>IFERROR(__xludf.DUMMYFUNCTION("""COMPUTED_VALUE"""),18.958333333333332)</f>
        <v>18.95833333</v>
      </c>
      <c r="J97" s="251">
        <f>IFERROR(__xludf.DUMMYFUNCTION("""COMPUTED_VALUE"""),199.3)</f>
        <v>199.3</v>
      </c>
      <c r="K97" s="253" t="str">
        <f>IFERROR(__xludf.DUMMYFUNCTION("""COMPUTED_VALUE"""),"AP")</f>
        <v>AP</v>
      </c>
      <c r="L97" s="251">
        <f>IFERROR(__xludf.DUMMYFUNCTION("""COMPUTED_VALUE"""),15.0)</f>
        <v>15</v>
      </c>
      <c r="M97" s="253" t="str">
        <f>IFERROR(__xludf.DUMMYFUNCTION("""COMPUTED_VALUE"""),"％")</f>
        <v>％</v>
      </c>
      <c r="N97" s="247">
        <f>IFERROR(__xludf.DUMMYFUNCTION("""COMPUTED_VALUE"""),721.0)</f>
        <v>721</v>
      </c>
      <c r="O97" s="217"/>
      <c r="P97" s="368" t="str">
        <f>IFERROR(__xludf.DUMMYFUNCTION("""COMPUTED_VALUE"""),"")</f>
        <v/>
      </c>
      <c r="S97" s="204"/>
      <c r="T97" s="239">
        <f>IFERROR(__xludf.DUMMYFUNCTION("""COMPUTED_VALUE"""),4.0)</f>
        <v>4</v>
      </c>
      <c r="U97" s="241" t="str">
        <f>IFERROR(__xludf.DUMMYFUNCTION("""COMPUTED_VALUE"""),"SLM1")</f>
        <v>SLM1</v>
      </c>
      <c r="V97" s="243" t="str">
        <f>IFERROR(__xludf.DUMMYFUNCTION("""COMPUTED_VALUE"""),"Salem")</f>
        <v>Salem</v>
      </c>
      <c r="W97" s="245" t="str">
        <f>IFERROR(__xludf.DUMMYFUNCTION("""COMPUTED_VALUE"""),"Quiet Forest")</f>
        <v>Quiet Forest</v>
      </c>
      <c r="X97" s="247">
        <f>IFERROR(__xludf.DUMMYFUNCTION("""COMPUTED_VALUE"""),20.0)</f>
        <v>20</v>
      </c>
      <c r="Y97" s="249">
        <f>IFERROR(__xludf.DUMMYFUNCTION("""COMPUTED_VALUE"""),48.4375)</f>
        <v>48.4375</v>
      </c>
      <c r="Z97" s="251">
        <f>IFERROR(__xludf.DUMMYFUNCTION("""COMPUTED_VALUE"""),43.9)</f>
        <v>43.9</v>
      </c>
      <c r="AA97" s="253" t="str">
        <f>IFERROR(__xludf.DUMMYFUNCTION("""COMPUTED_VALUE"""),"AP")</f>
        <v>AP</v>
      </c>
      <c r="AB97" s="251">
        <f>IFERROR(__xludf.DUMMYFUNCTION("""COMPUTED_VALUE"""),45.5)</f>
        <v>45.5</v>
      </c>
      <c r="AC97" s="253" t="str">
        <f>IFERROR(__xludf.DUMMYFUNCTION("""COMPUTED_VALUE"""),"％")</f>
        <v>％</v>
      </c>
      <c r="AD97" s="247">
        <f>IFERROR(__xludf.DUMMYFUNCTION("""COMPUTED_VALUE"""),992.0)</f>
        <v>992</v>
      </c>
      <c r="AE97" s="217"/>
      <c r="AF97" s="364" t="str">
        <f>IFERROR(__xludf.DUMMYFUNCTION("""COMPUTED_VALUE"""),"")</f>
        <v/>
      </c>
    </row>
    <row r="98" ht="16.5" customHeight="1">
      <c r="A98" s="166"/>
      <c r="C98" s="255"/>
      <c r="D98" s="256">
        <f>IFERROR(__xludf.DUMMYFUNCTION("""COMPUTED_VALUE"""),5.0)</f>
        <v>5</v>
      </c>
      <c r="E98" s="257" t="str">
        <f>IFERROR(__xludf.DUMMYFUNCTION("""COMPUTED_VALUE"""),"TRF3")</f>
        <v>TRF3</v>
      </c>
      <c r="F98" s="42" t="str">
        <f>IFERROR(__xludf.DUMMYFUNCTION("""COMPUTED_VALUE"""),"Chaldea Gate (Mon)")</f>
        <v>Chaldea Gate (Mon)</v>
      </c>
      <c r="G98" s="42" t="str">
        <f>IFERROR(__xludf.DUMMYFUNCTION("""COMPUTED_VALUE"""),"MON Archer Training Ground- Adv")</f>
        <v>MON Archer Training Ground- Adv</v>
      </c>
      <c r="H98" s="259">
        <f>IFERROR(__xludf.DUMMYFUNCTION("""COMPUTED_VALUE"""),30.0)</f>
        <v>30</v>
      </c>
      <c r="I98" s="260">
        <f>IFERROR(__xludf.DUMMYFUNCTION("""COMPUTED_VALUE"""),18.958333333333332)</f>
        <v>18.95833333</v>
      </c>
      <c r="J98" s="261">
        <f>IFERROR(__xludf.DUMMYFUNCTION("""COMPUTED_VALUE"""),222.8)</f>
        <v>222.8</v>
      </c>
      <c r="K98" s="262" t="str">
        <f>IFERROR(__xludf.DUMMYFUNCTION("""COMPUTED_VALUE"""),"AP")</f>
        <v>AP</v>
      </c>
      <c r="L98" s="261">
        <f>IFERROR(__xludf.DUMMYFUNCTION("""COMPUTED_VALUE"""),13.5)</f>
        <v>13.5</v>
      </c>
      <c r="M98" s="262" t="str">
        <f>IFERROR(__xludf.DUMMYFUNCTION("""COMPUTED_VALUE"""),"％")</f>
        <v>％</v>
      </c>
      <c r="N98" s="259">
        <f>IFERROR(__xludf.DUMMYFUNCTION("""COMPUTED_VALUE"""),817.0)</f>
        <v>817</v>
      </c>
      <c r="O98" s="263"/>
      <c r="P98" s="368" t="str">
        <f>IFERROR(__xludf.DUMMYFUNCTION("""COMPUTED_VALUE"""),"")</f>
        <v/>
      </c>
      <c r="Q98" s="166"/>
      <c r="S98" s="255"/>
      <c r="T98" s="256">
        <f>IFERROR(__xludf.DUMMYFUNCTION("""COMPUTED_VALUE"""),5.0)</f>
        <v>5</v>
      </c>
      <c r="U98" s="257" t="str">
        <f>IFERROR(__xludf.DUMMYFUNCTION("""COMPUTED_VALUE"""),"ORL7")</f>
        <v>ORL7</v>
      </c>
      <c r="V98" s="42" t="str">
        <f>IFERROR(__xludf.DUMMYFUNCTION("""COMPUTED_VALUE"""),"Orleans")</f>
        <v>Orleans</v>
      </c>
      <c r="W98" s="258" t="str">
        <f>IFERROR(__xludf.DUMMYFUNCTION("""COMPUTED_VALUE"""),"Thiers")</f>
        <v>Thiers</v>
      </c>
      <c r="X98" s="259">
        <f>IFERROR(__xludf.DUMMYFUNCTION("""COMPUTED_VALUE"""),7.0)</f>
        <v>7</v>
      </c>
      <c r="Y98" s="260">
        <f>IFERROR(__xludf.DUMMYFUNCTION("""COMPUTED_VALUE"""),31.25)</f>
        <v>31.25</v>
      </c>
      <c r="Z98" s="261">
        <f>IFERROR(__xludf.DUMMYFUNCTION("""COMPUTED_VALUE"""),16.4)</f>
        <v>16.4</v>
      </c>
      <c r="AA98" s="262" t="str">
        <f>IFERROR(__xludf.DUMMYFUNCTION("""COMPUTED_VALUE"""),"AP")</f>
        <v>AP</v>
      </c>
      <c r="AB98" s="261">
        <f>IFERROR(__xludf.DUMMYFUNCTION("""COMPUTED_VALUE"""),42.6)</f>
        <v>42.6</v>
      </c>
      <c r="AC98" s="262" t="str">
        <f>IFERROR(__xludf.DUMMYFUNCTION("""COMPUTED_VALUE"""),"％")</f>
        <v>％</v>
      </c>
      <c r="AD98" s="259">
        <f>IFERROR(__xludf.DUMMYFUNCTION("""COMPUTED_VALUE"""),303.0)</f>
        <v>303</v>
      </c>
      <c r="AE98" s="263"/>
      <c r="AF98" s="364" t="str">
        <f>IFERROR(__xludf.DUMMYFUNCTION("""COMPUTED_VALUE"""),"")</f>
        <v/>
      </c>
    </row>
    <row r="99" ht="16.5" customHeight="1">
      <c r="A99" s="61" t="str">
        <f>IFERROR(__xludf.DUMMYFUNCTION("""COMPUTED_VALUE"""),"")</f>
        <v/>
      </c>
      <c r="B99" s="367" t="str">
        <f>IFERROR(__xludf.DUMMYFUNCTION("""COMPUTED_VALUE"""),"A210")</f>
        <v>A210</v>
      </c>
      <c r="C99" s="65" t="str">
        <f>IFERROR(__xludf.DUMMYFUNCTION("""COMPUTED_VALUE"""),"Great Knight Medal")</f>
        <v>Great Knight Medal</v>
      </c>
      <c r="D99" s="70">
        <f>IFERROR(__xludf.DUMMYFUNCTION("""COMPUTED_VALUE"""),1.0)</f>
        <v>1</v>
      </c>
      <c r="E99" s="73" t="str">
        <f>IFERROR(__xludf.DUMMYFUNCTION("""COMPUTED_VALUE"""),"CML12")</f>
        <v>CML12</v>
      </c>
      <c r="F99" s="76" t="str">
        <f>IFERROR(__xludf.DUMMYFUNCTION("""COMPUTED_VALUE"""),"Camelot")</f>
        <v>Camelot</v>
      </c>
      <c r="G99" s="85" t="str">
        <f>IFERROR(__xludf.DUMMYFUNCTION("""COMPUTED_VALUE"""),"Royal Castle")</f>
        <v>Royal Castle</v>
      </c>
      <c r="H99" s="87">
        <f>IFERROR(__xludf.DUMMYFUNCTION("""COMPUTED_VALUE"""),21.0)</f>
        <v>21</v>
      </c>
      <c r="I99" s="90">
        <f>IFERROR(__xludf.DUMMYFUNCTION("""COMPUTED_VALUE"""),50.892857142857146)</f>
        <v>50.89285714</v>
      </c>
      <c r="J99" s="92">
        <f>IFERROR(__xludf.DUMMYFUNCTION("""COMPUTED_VALUE"""),59.6)</f>
        <v>59.6</v>
      </c>
      <c r="K99" s="94" t="str">
        <f>IFERROR(__xludf.DUMMYFUNCTION("""COMPUTED_VALUE"""),"AP")</f>
        <v>AP</v>
      </c>
      <c r="L99" s="96">
        <f>IFERROR(__xludf.DUMMYFUNCTION("""COMPUTED_VALUE"""),35.2)</f>
        <v>35.2</v>
      </c>
      <c r="M99" s="94" t="str">
        <f>IFERROR(__xludf.DUMMYFUNCTION("""COMPUTED_VALUE"""),"％")</f>
        <v>％</v>
      </c>
      <c r="N99" s="87">
        <f>IFERROR(__xludf.DUMMYFUNCTION("""COMPUTED_VALUE"""),44258.0)</f>
        <v>44258</v>
      </c>
      <c r="O99" s="97" t="str">
        <f>IFERROR(__xludf.DUMMYFUNCTION("""COMPUTED_VALUE"""),"Great Knight Medal")</f>
        <v>Great Knight Medal</v>
      </c>
      <c r="P99" s="362" t="str">
        <f>IFERROR(__xludf.DUMMYFUNCTION("""COMPUTED_VALUE"""),"")</f>
        <v/>
      </c>
      <c r="Q99" s="61" t="str">
        <f>IFERROR(__xludf.DUMMYFUNCTION("""COMPUTED_VALUE"""),"")</f>
        <v/>
      </c>
      <c r="R99" s="367" t="str">
        <f>IFERROR(__xludf.DUMMYFUNCTION("""COMPUTED_VALUE"""),"B125")</f>
        <v>B125</v>
      </c>
      <c r="S99" s="65" t="str">
        <f>IFERROR(__xludf.DUMMYFUNCTION("""COMPUTED_VALUE"""),"Gem of Caster")</f>
        <v>Gem of Caster</v>
      </c>
      <c r="T99" s="70">
        <f>IFERROR(__xludf.DUMMYFUNCTION("""COMPUTED_VALUE"""),1.0)</f>
        <v>1</v>
      </c>
      <c r="U99" s="73" t="str">
        <f>IFERROR(__xludf.DUMMYFUNCTION("""COMPUTED_VALUE"""),"TRF17")</f>
        <v>TRF17</v>
      </c>
      <c r="V99" s="76" t="str">
        <f>IFERROR(__xludf.DUMMYFUNCTION("""COMPUTED_VALUE"""),"Chaldea Gate (Fri)")</f>
        <v>Chaldea Gate (Fri)</v>
      </c>
      <c r="W99" s="76" t="str">
        <f>IFERROR(__xludf.DUMMYFUNCTION("""COMPUTED_VALUE"""),"FRI Caster Training Ground- Nov")</f>
        <v>FRI Caster Training Ground- Nov</v>
      </c>
      <c r="X99" s="87">
        <f>IFERROR(__xludf.DUMMYFUNCTION("""COMPUTED_VALUE"""),10.0)</f>
        <v>10</v>
      </c>
      <c r="Y99" s="90">
        <f>IFERROR(__xludf.DUMMYFUNCTION("""COMPUTED_VALUE"""),19.375)</f>
        <v>19.375</v>
      </c>
      <c r="Z99" s="92">
        <f>IFERROR(__xludf.DUMMYFUNCTION("""COMPUTED_VALUE"""),8.1)</f>
        <v>8.1</v>
      </c>
      <c r="AA99" s="94" t="str">
        <f>IFERROR(__xludf.DUMMYFUNCTION("""COMPUTED_VALUE"""),"AP")</f>
        <v>AP</v>
      </c>
      <c r="AB99" s="96">
        <f>IFERROR(__xludf.DUMMYFUNCTION("""COMPUTED_VALUE"""),124.0)</f>
        <v>124</v>
      </c>
      <c r="AC99" s="94" t="str">
        <f>IFERROR(__xludf.DUMMYFUNCTION("""COMPUTED_VALUE"""),"％")</f>
        <v>％</v>
      </c>
      <c r="AD99" s="87">
        <f>IFERROR(__xludf.DUMMYFUNCTION("""COMPUTED_VALUE"""),2818.0)</f>
        <v>2818</v>
      </c>
      <c r="AE99" s="97" t="str">
        <f>IFERROR(__xludf.DUMMYFUNCTION("""COMPUTED_VALUE"""),"Gem of Caster")</f>
        <v>Gem of Caster</v>
      </c>
      <c r="AF99" s="364" t="str">
        <f>IFERROR(__xludf.DUMMYFUNCTION("""COMPUTED_VALUE"""),"")</f>
        <v/>
      </c>
    </row>
    <row r="100" ht="16.5" customHeight="1">
      <c r="C100" s="100"/>
      <c r="D100" s="105">
        <f>IFERROR(__xludf.DUMMYFUNCTION("""COMPUTED_VALUE"""),2.0)</f>
        <v>2</v>
      </c>
      <c r="E100" s="106" t="str">
        <f>IFERROR(__xludf.DUMMYFUNCTION("""COMPUTED_VALUE"""),"CML9")</f>
        <v>CML9</v>
      </c>
      <c r="F100" s="107" t="str">
        <f>IFERROR(__xludf.DUMMYFUNCTION("""COMPUTED_VALUE"""),"Camelot")</f>
        <v>Camelot</v>
      </c>
      <c r="G100" s="114" t="str">
        <f>IFERROR(__xludf.DUMMYFUNCTION("""COMPUTED_VALUE"""),"Main Gate")</f>
        <v>Main Gate</v>
      </c>
      <c r="H100" s="116">
        <f>IFERROR(__xludf.DUMMYFUNCTION("""COMPUTED_VALUE"""),20.0)</f>
        <v>20</v>
      </c>
      <c r="I100" s="118">
        <f>IFERROR(__xludf.DUMMYFUNCTION("""COMPUTED_VALUE"""),47.1875)</f>
        <v>47.1875</v>
      </c>
      <c r="J100" s="120">
        <f>IFERROR(__xludf.DUMMYFUNCTION("""COMPUTED_VALUE"""),64.3)</f>
        <v>64.3</v>
      </c>
      <c r="K100" s="122" t="str">
        <f>IFERROR(__xludf.DUMMYFUNCTION("""COMPUTED_VALUE"""),"AP")</f>
        <v>AP</v>
      </c>
      <c r="L100" s="124">
        <f>IFERROR(__xludf.DUMMYFUNCTION("""COMPUTED_VALUE"""),31.1)</f>
        <v>31.1</v>
      </c>
      <c r="M100" s="122" t="str">
        <f>IFERROR(__xludf.DUMMYFUNCTION("""COMPUTED_VALUE"""),"％")</f>
        <v>％</v>
      </c>
      <c r="N100" s="116">
        <f>IFERROR(__xludf.DUMMYFUNCTION("""COMPUTED_VALUE"""),12366.0)</f>
        <v>12366</v>
      </c>
      <c r="O100" s="100"/>
      <c r="P100" s="362" t="str">
        <f>IFERROR(__xludf.DUMMYFUNCTION("""COMPUTED_VALUE"""),"")</f>
        <v/>
      </c>
      <c r="S100" s="100"/>
      <c r="T100" s="105">
        <f>IFERROR(__xludf.DUMMYFUNCTION("""COMPUTED_VALUE"""),2.0)</f>
        <v>2</v>
      </c>
      <c r="U100" s="106" t="str">
        <f>IFERROR(__xludf.DUMMYFUNCTION("""COMPUTED_VALUE"""),"TRF18")</f>
        <v>TRF18</v>
      </c>
      <c r="V100" s="107" t="str">
        <f>IFERROR(__xludf.DUMMYFUNCTION("""COMPUTED_VALUE"""),"Chaldea Gate (Fri)")</f>
        <v>Chaldea Gate (Fri)</v>
      </c>
      <c r="W100" s="107" t="str">
        <f>IFERROR(__xludf.DUMMYFUNCTION("""COMPUTED_VALUE"""),"FRI Caster Training Ground- Int")</f>
        <v>FRI Caster Training Ground- Int</v>
      </c>
      <c r="X100" s="116">
        <f>IFERROR(__xludf.DUMMYFUNCTION("""COMPUTED_VALUE"""),20.0)</f>
        <v>20</v>
      </c>
      <c r="Y100" s="118">
        <f>IFERROR(__xludf.DUMMYFUNCTION("""COMPUTED_VALUE"""),19.0625)</f>
        <v>19.0625</v>
      </c>
      <c r="Z100" s="120">
        <f>IFERROR(__xludf.DUMMYFUNCTION("""COMPUTED_VALUE"""),20.7)</f>
        <v>20.7</v>
      </c>
      <c r="AA100" s="122" t="str">
        <f>IFERROR(__xludf.DUMMYFUNCTION("""COMPUTED_VALUE"""),"AP")</f>
        <v>AP</v>
      </c>
      <c r="AB100" s="124">
        <f>IFERROR(__xludf.DUMMYFUNCTION("""COMPUTED_VALUE"""),96.5)</f>
        <v>96.5</v>
      </c>
      <c r="AC100" s="122" t="str">
        <f>IFERROR(__xludf.DUMMYFUNCTION("""COMPUTED_VALUE"""),"％")</f>
        <v>％</v>
      </c>
      <c r="AD100" s="116">
        <f>IFERROR(__xludf.DUMMYFUNCTION("""COMPUTED_VALUE"""),893.0)</f>
        <v>893</v>
      </c>
      <c r="AE100" s="100"/>
      <c r="AF100" s="364" t="str">
        <f>IFERROR(__xludf.DUMMYFUNCTION("""COMPUTED_VALUE"""),"")</f>
        <v/>
      </c>
    </row>
    <row r="101" ht="16.5" customHeight="1">
      <c r="C101" s="100"/>
      <c r="D101" s="128">
        <f>IFERROR(__xludf.DUMMYFUNCTION("""COMPUTED_VALUE"""),3.0)</f>
        <v>3</v>
      </c>
      <c r="E101" s="129" t="str">
        <f>IFERROR(__xludf.DUMMYFUNCTION("""COMPUTED_VALUE"""),"CML5")</f>
        <v>CML5</v>
      </c>
      <c r="F101" s="131" t="str">
        <f>IFERROR(__xludf.DUMMYFUNCTION("""COMPUTED_VALUE"""),"Camelot")</f>
        <v>Camelot</v>
      </c>
      <c r="G101" s="134" t="str">
        <f>IFERROR(__xludf.DUMMYFUNCTION("""COMPUTED_VALUE"""),"Fortress of the Round Table")</f>
        <v>Fortress of the Round Table</v>
      </c>
      <c r="H101" s="136">
        <f>IFERROR(__xludf.DUMMYFUNCTION("""COMPUTED_VALUE"""),19.0)</f>
        <v>19</v>
      </c>
      <c r="I101" s="138">
        <f>IFERROR(__xludf.DUMMYFUNCTION("""COMPUTED_VALUE"""),47.03947368421053)</f>
        <v>47.03947368</v>
      </c>
      <c r="J101" s="140">
        <f>IFERROR(__xludf.DUMMYFUNCTION("""COMPUTED_VALUE"""),101.6)</f>
        <v>101.6</v>
      </c>
      <c r="K101" s="142" t="str">
        <f>IFERROR(__xludf.DUMMYFUNCTION("""COMPUTED_VALUE"""),"AP")</f>
        <v>AP</v>
      </c>
      <c r="L101" s="144">
        <f>IFERROR(__xludf.DUMMYFUNCTION("""COMPUTED_VALUE"""),18.7)</f>
        <v>18.7</v>
      </c>
      <c r="M101" s="142" t="str">
        <f>IFERROR(__xludf.DUMMYFUNCTION("""COMPUTED_VALUE"""),"％")</f>
        <v>％</v>
      </c>
      <c r="N101" s="136">
        <f>IFERROR(__xludf.DUMMYFUNCTION("""COMPUTED_VALUE"""),2106.0)</f>
        <v>2106</v>
      </c>
      <c r="O101" s="100"/>
      <c r="P101" s="362" t="str">
        <f>IFERROR(__xludf.DUMMYFUNCTION("""COMPUTED_VALUE"""),"")</f>
        <v/>
      </c>
      <c r="S101" s="100"/>
      <c r="T101" s="128">
        <f>IFERROR(__xludf.DUMMYFUNCTION("""COMPUTED_VALUE"""),3.0)</f>
        <v>3</v>
      </c>
      <c r="U101" s="129" t="str">
        <f>IFERROR(__xludf.DUMMYFUNCTION("""COMPUTED_VALUE"""),"SJK9")</f>
        <v>SJK9</v>
      </c>
      <c r="V101" s="131" t="str">
        <f>IFERROR(__xludf.DUMMYFUNCTION("""COMPUTED_VALUE"""),"Shinjuku")</f>
        <v>Shinjuku</v>
      </c>
      <c r="W101" s="134" t="str">
        <f>IFERROR(__xludf.DUMMYFUNCTION("""COMPUTED_VALUE"""),"Shinjuku Gyoen")</f>
        <v>Shinjuku Gyoen</v>
      </c>
      <c r="X101" s="136">
        <f>IFERROR(__xludf.DUMMYFUNCTION("""COMPUTED_VALUE"""),21.0)</f>
        <v>21</v>
      </c>
      <c r="Y101" s="138">
        <f>IFERROR(__xludf.DUMMYFUNCTION("""COMPUTED_VALUE"""),50.892857142857146)</f>
        <v>50.89285714</v>
      </c>
      <c r="Z101" s="140">
        <f>IFERROR(__xludf.DUMMYFUNCTION("""COMPUTED_VALUE"""),55.1)</f>
        <v>55.1</v>
      </c>
      <c r="AA101" s="142" t="str">
        <f>IFERROR(__xludf.DUMMYFUNCTION("""COMPUTED_VALUE"""),"AP")</f>
        <v>AP</v>
      </c>
      <c r="AB101" s="144">
        <f>IFERROR(__xludf.DUMMYFUNCTION("""COMPUTED_VALUE"""),38.1)</f>
        <v>38.1</v>
      </c>
      <c r="AC101" s="142" t="str">
        <f>IFERROR(__xludf.DUMMYFUNCTION("""COMPUTED_VALUE"""),"％")</f>
        <v>％</v>
      </c>
      <c r="AD101" s="136">
        <f>IFERROR(__xludf.DUMMYFUNCTION("""COMPUTED_VALUE"""),42877.0)</f>
        <v>42877</v>
      </c>
      <c r="AE101" s="100"/>
      <c r="AF101" s="364" t="str">
        <f>IFERROR(__xludf.DUMMYFUNCTION("""COMPUTED_VALUE"""),"")</f>
        <v/>
      </c>
    </row>
    <row r="102" ht="16.5" customHeight="1">
      <c r="C102" s="100"/>
      <c r="D102" s="147">
        <f>IFERROR(__xludf.DUMMYFUNCTION("""COMPUTED_VALUE"""),4.0)</f>
        <v>4</v>
      </c>
      <c r="E102" s="149" t="str">
        <f>IFERROR(__xludf.DUMMYFUNCTION("""COMPUTED_VALUE"""),"ANA3")</f>
        <v>ANA3</v>
      </c>
      <c r="F102" s="151" t="str">
        <f>IFERROR(__xludf.DUMMYFUNCTION("""COMPUTED_VALUE"""),"Anastasia")</f>
        <v>Anastasia</v>
      </c>
      <c r="G102" s="153" t="str">
        <f>IFERROR(__xludf.DUMMYFUNCTION("""COMPUTED_VALUE"""),"Icicles Grotto")</f>
        <v>Icicles Grotto</v>
      </c>
      <c r="H102" s="155">
        <f>IFERROR(__xludf.DUMMYFUNCTION("""COMPUTED_VALUE"""),20.0)</f>
        <v>20</v>
      </c>
      <c r="I102" s="157">
        <f>IFERROR(__xludf.DUMMYFUNCTION("""COMPUTED_VALUE"""),48.4375)</f>
        <v>48.4375</v>
      </c>
      <c r="J102" s="159" t="str">
        <f>IFERROR(__xludf.DUMMYFUNCTION("""COMPUTED_VALUE"""),"")</f>
        <v/>
      </c>
      <c r="K102" s="161" t="str">
        <f>IFERROR(__xludf.DUMMYFUNCTION("""COMPUTED_VALUE"""),"AP")</f>
        <v>AP</v>
      </c>
      <c r="L102" s="163">
        <f>IFERROR(__xludf.DUMMYFUNCTION("""COMPUTED_VALUE"""),-1.0E-9)</f>
        <v>-0.000000001</v>
      </c>
      <c r="M102" s="161" t="str">
        <f>IFERROR(__xludf.DUMMYFUNCTION("""COMPUTED_VALUE"""),"％")</f>
        <v>％</v>
      </c>
      <c r="N102" s="155">
        <f>IFERROR(__xludf.DUMMYFUNCTION("""COMPUTED_VALUE"""),42245.0)</f>
        <v>42245</v>
      </c>
      <c r="O102" s="100"/>
      <c r="P102" s="362" t="str">
        <f>IFERROR(__xludf.DUMMYFUNCTION("""COMPUTED_VALUE"""),"")</f>
        <v/>
      </c>
      <c r="S102" s="100"/>
      <c r="T102" s="147">
        <f>IFERROR(__xludf.DUMMYFUNCTION("""COMPUTED_VALUE"""),4.0)</f>
        <v>4</v>
      </c>
      <c r="U102" s="149" t="str">
        <f>IFERROR(__xludf.DUMMYFUNCTION("""COMPUTED_VALUE"""),"SJK1")</f>
        <v>SJK1</v>
      </c>
      <c r="V102" s="151" t="str">
        <f>IFERROR(__xludf.DUMMYFUNCTION("""COMPUTED_VALUE"""),"Shinjuku")</f>
        <v>Shinjuku</v>
      </c>
      <c r="W102" s="153" t="str">
        <f>IFERROR(__xludf.DUMMYFUNCTION("""COMPUTED_VALUE"""),"Yoyogi 2-Chome")</f>
        <v>Yoyogi 2-Chome</v>
      </c>
      <c r="X102" s="155">
        <f>IFERROR(__xludf.DUMMYFUNCTION("""COMPUTED_VALUE"""),20.0)</f>
        <v>20</v>
      </c>
      <c r="Y102" s="157">
        <f>IFERROR(__xludf.DUMMYFUNCTION("""COMPUTED_VALUE"""),48.4375)</f>
        <v>48.4375</v>
      </c>
      <c r="Z102" s="159">
        <f>IFERROR(__xludf.DUMMYFUNCTION("""COMPUTED_VALUE"""),63.6)</f>
        <v>63.6</v>
      </c>
      <c r="AA102" s="161" t="str">
        <f>IFERROR(__xludf.DUMMYFUNCTION("""COMPUTED_VALUE"""),"AP")</f>
        <v>AP</v>
      </c>
      <c r="AB102" s="163">
        <f>IFERROR(__xludf.DUMMYFUNCTION("""COMPUTED_VALUE"""),31.4)</f>
        <v>31.4</v>
      </c>
      <c r="AC102" s="161" t="str">
        <f>IFERROR(__xludf.DUMMYFUNCTION("""COMPUTED_VALUE"""),"％")</f>
        <v>％</v>
      </c>
      <c r="AD102" s="155">
        <f>IFERROR(__xludf.DUMMYFUNCTION("""COMPUTED_VALUE"""),299.0)</f>
        <v>299</v>
      </c>
      <c r="AE102" s="100"/>
      <c r="AF102" s="364" t="str">
        <f>IFERROR(__xludf.DUMMYFUNCTION("""COMPUTED_VALUE"""),"")</f>
        <v/>
      </c>
    </row>
    <row r="103" ht="16.5" customHeight="1">
      <c r="A103" s="166"/>
      <c r="C103" s="168"/>
      <c r="D103" s="169">
        <f>IFERROR(__xludf.DUMMYFUNCTION("""COMPUTED_VALUE"""),5.0)</f>
        <v>5</v>
      </c>
      <c r="E103" s="170" t="str">
        <f>IFERROR(__xludf.DUMMYFUNCTION("""COMPUTED_VALUE"""),"")</f>
        <v/>
      </c>
      <c r="F103" s="51" t="str">
        <f>IFERROR(__xludf.DUMMYFUNCTION("""COMPUTED_VALUE"""),"")</f>
        <v/>
      </c>
      <c r="G103" s="51" t="str">
        <f>IFERROR(__xludf.DUMMYFUNCTION("""COMPUTED_VALUE"""),"")</f>
        <v/>
      </c>
      <c r="H103" s="172" t="str">
        <f>IFERROR(__xludf.DUMMYFUNCTION("""COMPUTED_VALUE"""),"")</f>
        <v/>
      </c>
      <c r="I103" s="173" t="str">
        <f>IFERROR(__xludf.DUMMYFUNCTION("""COMPUTED_VALUE"""),"")</f>
        <v/>
      </c>
      <c r="J103" s="174" t="str">
        <f>IFERROR(__xludf.DUMMYFUNCTION("""COMPUTED_VALUE"""),"")</f>
        <v/>
      </c>
      <c r="K103" s="175" t="str">
        <f>IFERROR(__xludf.DUMMYFUNCTION("""COMPUTED_VALUE"""),"AP")</f>
        <v>AP</v>
      </c>
      <c r="L103" s="176" t="str">
        <f>IFERROR(__xludf.DUMMYFUNCTION("""COMPUTED_VALUE"""),"")</f>
        <v/>
      </c>
      <c r="M103" s="175" t="str">
        <f>IFERROR(__xludf.DUMMYFUNCTION("""COMPUTED_VALUE"""),"％")</f>
        <v>％</v>
      </c>
      <c r="N103" s="172" t="str">
        <f>IFERROR(__xludf.DUMMYFUNCTION("""COMPUTED_VALUE"""),"")</f>
        <v/>
      </c>
      <c r="O103" s="168"/>
      <c r="P103" s="362" t="str">
        <f>IFERROR(__xludf.DUMMYFUNCTION("""COMPUTED_VALUE"""),"")</f>
        <v/>
      </c>
      <c r="Q103" s="166"/>
      <c r="S103" s="168"/>
      <c r="T103" s="169">
        <f>IFERROR(__xludf.DUMMYFUNCTION("""COMPUTED_VALUE"""),5.0)</f>
        <v>5</v>
      </c>
      <c r="U103" s="170" t="str">
        <f>IFERROR(__xludf.DUMMYFUNCTION("""COMPUTED_VALUE"""),"SJK4")</f>
        <v>SJK4</v>
      </c>
      <c r="V103" s="51" t="str">
        <f>IFERROR(__xludf.DUMMYFUNCTION("""COMPUTED_VALUE"""),"Shinjuku")</f>
        <v>Shinjuku</v>
      </c>
      <c r="W103" s="171" t="str">
        <f>IFERROR(__xludf.DUMMYFUNCTION("""COMPUTED_VALUE"""),"Shinjuku 4-Chome")</f>
        <v>Shinjuku 4-Chome</v>
      </c>
      <c r="X103" s="172">
        <f>IFERROR(__xludf.DUMMYFUNCTION("""COMPUTED_VALUE"""),21.0)</f>
        <v>21</v>
      </c>
      <c r="Y103" s="173">
        <f>IFERROR(__xludf.DUMMYFUNCTION("""COMPUTED_VALUE"""),47.32142857142857)</f>
        <v>47.32142857</v>
      </c>
      <c r="Z103" s="174">
        <f>IFERROR(__xludf.DUMMYFUNCTION("""COMPUTED_VALUE"""),84.9)</f>
        <v>84.9</v>
      </c>
      <c r="AA103" s="175" t="str">
        <f>IFERROR(__xludf.DUMMYFUNCTION("""COMPUTED_VALUE"""),"AP")</f>
        <v>AP</v>
      </c>
      <c r="AB103" s="176">
        <f>IFERROR(__xludf.DUMMYFUNCTION("""COMPUTED_VALUE"""),24.7)</f>
        <v>24.7</v>
      </c>
      <c r="AC103" s="175" t="str">
        <f>IFERROR(__xludf.DUMMYFUNCTION("""COMPUTED_VALUE"""),"％")</f>
        <v>％</v>
      </c>
      <c r="AD103" s="172">
        <f>IFERROR(__xludf.DUMMYFUNCTION("""COMPUTED_VALUE"""),36616.0)</f>
        <v>36616</v>
      </c>
      <c r="AE103" s="168"/>
      <c r="AF103" s="364" t="str">
        <f>IFERROR(__xludf.DUMMYFUNCTION("""COMPUTED_VALUE"""),"")</f>
        <v/>
      </c>
    </row>
    <row r="104" ht="16.5" customHeight="1">
      <c r="A104" s="61" t="str">
        <f>IFERROR(__xludf.DUMMYFUNCTION("""COMPUTED_VALUE"""),"")</f>
        <v/>
      </c>
      <c r="B104" s="366" t="str">
        <f>IFERROR(__xludf.DUMMYFUNCTION("""COMPUTED_VALUE"""),"A211")</f>
        <v>A211</v>
      </c>
      <c r="C104" s="197" t="str">
        <f>IFERROR(__xludf.DUMMYFUNCTION("""COMPUTED_VALUE"""),"Shell of Reminiscense")</f>
        <v>Shell of Reminiscense</v>
      </c>
      <c r="D104" s="185">
        <f>IFERROR(__xludf.DUMMYFUNCTION("""COMPUTED_VALUE"""),1.0)</f>
        <v>1</v>
      </c>
      <c r="E104" s="187" t="str">
        <f>IFERROR(__xludf.DUMMYFUNCTION("""COMPUTED_VALUE"""),"BBL8")</f>
        <v>BBL8</v>
      </c>
      <c r="F104" s="188" t="str">
        <f>IFERROR(__xludf.DUMMYFUNCTION("""COMPUTED_VALUE"""),"Babylonia")</f>
        <v>Babylonia</v>
      </c>
      <c r="G104" s="193" t="str">
        <f>IFERROR(__xludf.DUMMYFUNCTION("""COMPUTED_VALUE"""),"Observatory")</f>
        <v>Observatory</v>
      </c>
      <c r="H104" s="195">
        <f>IFERROR(__xludf.DUMMYFUNCTION("""COMPUTED_VALUE"""),21.0)</f>
        <v>21</v>
      </c>
      <c r="I104" s="196">
        <f>IFERROR(__xludf.DUMMYFUNCTION("""COMPUTED_VALUE"""),48.51190476190476)</f>
        <v>48.51190476</v>
      </c>
      <c r="J104" s="198">
        <f>IFERROR(__xludf.DUMMYFUNCTION("""COMPUTED_VALUE"""),52.0)</f>
        <v>52</v>
      </c>
      <c r="K104" s="200" t="str">
        <f>IFERROR(__xludf.DUMMYFUNCTION("""COMPUTED_VALUE"""),"AP")</f>
        <v>AP</v>
      </c>
      <c r="L104" s="198">
        <f>IFERROR(__xludf.DUMMYFUNCTION("""COMPUTED_VALUE"""),40.4)</f>
        <v>40.4</v>
      </c>
      <c r="M104" s="201" t="str">
        <f>IFERROR(__xludf.DUMMYFUNCTION("""COMPUTED_VALUE"""),"％")</f>
        <v>％</v>
      </c>
      <c r="N104" s="195">
        <f>IFERROR(__xludf.DUMMYFUNCTION("""COMPUTED_VALUE"""),22322.0)</f>
        <v>22322</v>
      </c>
      <c r="O104" s="197" t="str">
        <f>IFERROR(__xludf.DUMMYFUNCTION("""COMPUTED_VALUE"""),"Shell of Reminiscense")</f>
        <v>Shell of Reminiscense</v>
      </c>
      <c r="P104" s="362" t="str">
        <f>IFERROR(__xludf.DUMMYFUNCTION("""COMPUTED_VALUE"""),"")</f>
        <v/>
      </c>
      <c r="Q104" s="61" t="str">
        <f>IFERROR(__xludf.DUMMYFUNCTION("""COMPUTED_VALUE"""),"")</f>
        <v/>
      </c>
      <c r="R104" s="366" t="str">
        <f>IFERROR(__xludf.DUMMYFUNCTION("""COMPUTED_VALUE"""),"B126")</f>
        <v>B126</v>
      </c>
      <c r="S104" s="197" t="str">
        <f>IFERROR(__xludf.DUMMYFUNCTION("""COMPUTED_VALUE"""),"Gem of Assassin")</f>
        <v>Gem of Assassin</v>
      </c>
      <c r="T104" s="185">
        <f>IFERROR(__xludf.DUMMYFUNCTION("""COMPUTED_VALUE"""),1.0)</f>
        <v>1</v>
      </c>
      <c r="U104" s="187" t="str">
        <f>IFERROR(__xludf.DUMMYFUNCTION("""COMPUTED_VALUE"""),"TRF21")</f>
        <v>TRF21</v>
      </c>
      <c r="V104" s="188" t="str">
        <f>IFERROR(__xludf.DUMMYFUNCTION("""COMPUTED_VALUE"""),"Chaldea Gate (Sat)")</f>
        <v>Chaldea Gate (Sat)</v>
      </c>
      <c r="W104" s="188" t="str">
        <f>IFERROR(__xludf.DUMMYFUNCTION("""COMPUTED_VALUE"""),"SAT Assassin Training Ground- Nov")</f>
        <v>SAT Assassin Training Ground- Nov</v>
      </c>
      <c r="X104" s="195">
        <f>IFERROR(__xludf.DUMMYFUNCTION("""COMPUTED_VALUE"""),10.0)</f>
        <v>10</v>
      </c>
      <c r="Y104" s="196">
        <f>IFERROR(__xludf.DUMMYFUNCTION("""COMPUTED_VALUE"""),19.375)</f>
        <v>19.375</v>
      </c>
      <c r="Z104" s="198">
        <f>IFERROR(__xludf.DUMMYFUNCTION("""COMPUTED_VALUE"""),7.6)</f>
        <v>7.6</v>
      </c>
      <c r="AA104" s="200" t="str">
        <f>IFERROR(__xludf.DUMMYFUNCTION("""COMPUTED_VALUE"""),"AP")</f>
        <v>AP</v>
      </c>
      <c r="AB104" s="198">
        <f>IFERROR(__xludf.DUMMYFUNCTION("""COMPUTED_VALUE"""),130.9)</f>
        <v>130.9</v>
      </c>
      <c r="AC104" s="201" t="str">
        <f>IFERROR(__xludf.DUMMYFUNCTION("""COMPUTED_VALUE"""),"％")</f>
        <v>％</v>
      </c>
      <c r="AD104" s="195">
        <f>IFERROR(__xludf.DUMMYFUNCTION("""COMPUTED_VALUE"""),1054.0)</f>
        <v>1054</v>
      </c>
      <c r="AE104" s="197" t="str">
        <f>IFERROR(__xludf.DUMMYFUNCTION("""COMPUTED_VALUE"""),"Gem of Assassin")</f>
        <v>Gem of Assassin</v>
      </c>
      <c r="AF104" s="364" t="str">
        <f>IFERROR(__xludf.DUMMYFUNCTION("""COMPUTED_VALUE"""),"")</f>
        <v/>
      </c>
    </row>
    <row r="105" ht="16.5" customHeight="1">
      <c r="C105" s="217"/>
      <c r="D105" s="208">
        <f>IFERROR(__xludf.DUMMYFUNCTION("""COMPUTED_VALUE"""),2.0)</f>
        <v>2</v>
      </c>
      <c r="E105" s="210" t="str">
        <f>IFERROR(__xludf.DUMMYFUNCTION("""COMPUTED_VALUE"""),"OKN11")</f>
        <v>OKN11</v>
      </c>
      <c r="F105" s="212" t="str">
        <f>IFERROR(__xludf.DUMMYFUNCTION("""COMPUTED_VALUE"""),"Okeanos")</f>
        <v>Okeanos</v>
      </c>
      <c r="G105" s="216" t="str">
        <f>IFERROR(__xludf.DUMMYFUNCTION("""COMPUTED_VALUE"""),"Archipelago (Hidden island)")</f>
        <v>Archipelago (Hidden island)</v>
      </c>
      <c r="H105" s="218">
        <f>IFERROR(__xludf.DUMMYFUNCTION("""COMPUTED_VALUE"""),16.0)</f>
        <v>16</v>
      </c>
      <c r="I105" s="219">
        <f>IFERROR(__xludf.DUMMYFUNCTION("""COMPUTED_VALUE"""),40.234375)</f>
        <v>40.234375</v>
      </c>
      <c r="J105" s="220">
        <f>IFERROR(__xludf.DUMMYFUNCTION("""COMPUTED_VALUE"""),56.0)</f>
        <v>56</v>
      </c>
      <c r="K105" s="221" t="str">
        <f>IFERROR(__xludf.DUMMYFUNCTION("""COMPUTED_VALUE"""),"AP")</f>
        <v>AP</v>
      </c>
      <c r="L105" s="220">
        <f>IFERROR(__xludf.DUMMYFUNCTION("""COMPUTED_VALUE"""),28.5)</f>
        <v>28.5</v>
      </c>
      <c r="M105" s="221" t="str">
        <f>IFERROR(__xludf.DUMMYFUNCTION("""COMPUTED_VALUE"""),"％")</f>
        <v>％</v>
      </c>
      <c r="N105" s="218">
        <f>IFERROR(__xludf.DUMMYFUNCTION("""COMPUTED_VALUE"""),578.0)</f>
        <v>578</v>
      </c>
      <c r="O105" s="217"/>
      <c r="P105" s="362" t="str">
        <f>IFERROR(__xludf.DUMMYFUNCTION("""COMPUTED_VALUE"""),"")</f>
        <v/>
      </c>
      <c r="S105" s="217"/>
      <c r="T105" s="208">
        <f>IFERROR(__xludf.DUMMYFUNCTION("""COMPUTED_VALUE"""),2.0)</f>
        <v>2</v>
      </c>
      <c r="U105" s="210" t="str">
        <f>IFERROR(__xludf.DUMMYFUNCTION("""COMPUTED_VALUE"""),"TRF22")</f>
        <v>TRF22</v>
      </c>
      <c r="V105" s="212" t="str">
        <f>IFERROR(__xludf.DUMMYFUNCTION("""COMPUTED_VALUE"""),"Chaldea Gate (Sat)")</f>
        <v>Chaldea Gate (Sat)</v>
      </c>
      <c r="W105" s="212" t="str">
        <f>IFERROR(__xludf.DUMMYFUNCTION("""COMPUTED_VALUE"""),"SAT Assassin Training Ground- Int")</f>
        <v>SAT Assassin Training Ground- Int</v>
      </c>
      <c r="X105" s="218">
        <f>IFERROR(__xludf.DUMMYFUNCTION("""COMPUTED_VALUE"""),20.0)</f>
        <v>20</v>
      </c>
      <c r="Y105" s="219">
        <f>IFERROR(__xludf.DUMMYFUNCTION("""COMPUTED_VALUE"""),19.0625)</f>
        <v>19.0625</v>
      </c>
      <c r="Z105" s="220">
        <f>IFERROR(__xludf.DUMMYFUNCTION("""COMPUTED_VALUE"""),24.2)</f>
        <v>24.2</v>
      </c>
      <c r="AA105" s="221" t="str">
        <f>IFERROR(__xludf.DUMMYFUNCTION("""COMPUTED_VALUE"""),"AP")</f>
        <v>AP</v>
      </c>
      <c r="AB105" s="220">
        <f>IFERROR(__xludf.DUMMYFUNCTION("""COMPUTED_VALUE"""),82.7)</f>
        <v>82.7</v>
      </c>
      <c r="AC105" s="221" t="str">
        <f>IFERROR(__xludf.DUMMYFUNCTION("""COMPUTED_VALUE"""),"％")</f>
        <v>％</v>
      </c>
      <c r="AD105" s="218">
        <f>IFERROR(__xludf.DUMMYFUNCTION("""COMPUTED_VALUE"""),462.0)</f>
        <v>462</v>
      </c>
      <c r="AE105" s="217"/>
      <c r="AF105" s="364" t="str">
        <f>IFERROR(__xludf.DUMMYFUNCTION("""COMPUTED_VALUE"""),"")</f>
        <v/>
      </c>
    </row>
    <row r="106" ht="16.5" customHeight="1">
      <c r="C106" s="217"/>
      <c r="D106" s="225">
        <f>IFERROR(__xludf.DUMMYFUNCTION("""COMPUTED_VALUE"""),3.0)</f>
        <v>3</v>
      </c>
      <c r="E106" s="227" t="str">
        <f>IFERROR(__xludf.DUMMYFUNCTION("""COMPUTED_VALUE"""),"ANA3")</f>
        <v>ANA3</v>
      </c>
      <c r="F106" s="229" t="str">
        <f>IFERROR(__xludf.DUMMYFUNCTION("""COMPUTED_VALUE"""),"Anastasia")</f>
        <v>Anastasia</v>
      </c>
      <c r="G106" s="233" t="str">
        <f>IFERROR(__xludf.DUMMYFUNCTION("""COMPUTED_VALUE"""),"Icicles Grotto")</f>
        <v>Icicles Grotto</v>
      </c>
      <c r="H106" s="234">
        <f>IFERROR(__xludf.DUMMYFUNCTION("""COMPUTED_VALUE"""),20.0)</f>
        <v>20</v>
      </c>
      <c r="I106" s="235">
        <f>IFERROR(__xludf.DUMMYFUNCTION("""COMPUTED_VALUE"""),48.4375)</f>
        <v>48.4375</v>
      </c>
      <c r="J106" s="236">
        <f>IFERROR(__xludf.DUMMYFUNCTION("""COMPUTED_VALUE"""),79.3)</f>
        <v>79.3</v>
      </c>
      <c r="K106" s="237" t="str">
        <f>IFERROR(__xludf.DUMMYFUNCTION("""COMPUTED_VALUE"""),"AP")</f>
        <v>AP</v>
      </c>
      <c r="L106" s="236">
        <f>IFERROR(__xludf.DUMMYFUNCTION("""COMPUTED_VALUE"""),25.2)</f>
        <v>25.2</v>
      </c>
      <c r="M106" s="237" t="str">
        <f>IFERROR(__xludf.DUMMYFUNCTION("""COMPUTED_VALUE"""),"％")</f>
        <v>％</v>
      </c>
      <c r="N106" s="234">
        <f>IFERROR(__xludf.DUMMYFUNCTION("""COMPUTED_VALUE"""),42245.0)</f>
        <v>42245</v>
      </c>
      <c r="O106" s="217"/>
      <c r="P106" s="362" t="str">
        <f>IFERROR(__xludf.DUMMYFUNCTION("""COMPUTED_VALUE"""),"")</f>
        <v/>
      </c>
      <c r="S106" s="217"/>
      <c r="T106" s="225">
        <f>IFERROR(__xludf.DUMMYFUNCTION("""COMPUTED_VALUE"""),3.0)</f>
        <v>3</v>
      </c>
      <c r="U106" s="227" t="str">
        <f>IFERROR(__xludf.DUMMYFUNCTION("""COMPUTED_VALUE"""),"LDN1")</f>
        <v>LDN1</v>
      </c>
      <c r="V106" s="229" t="str">
        <f>IFERROR(__xludf.DUMMYFUNCTION("""COMPUTED_VALUE"""),"London")</f>
        <v>London</v>
      </c>
      <c r="W106" s="233" t="str">
        <f>IFERROR(__xludf.DUMMYFUNCTION("""COMPUTED_VALUE"""),"Old Street")</f>
        <v>Old Street</v>
      </c>
      <c r="X106" s="234">
        <f>IFERROR(__xludf.DUMMYFUNCTION("""COMPUTED_VALUE"""),15.0)</f>
        <v>15</v>
      </c>
      <c r="Y106" s="235">
        <f>IFERROR(__xludf.DUMMYFUNCTION("""COMPUTED_VALUE"""),39.583333333333336)</f>
        <v>39.58333333</v>
      </c>
      <c r="Z106" s="236">
        <f>IFERROR(__xludf.DUMMYFUNCTION("""COMPUTED_VALUE"""),25.3)</f>
        <v>25.3</v>
      </c>
      <c r="AA106" s="237" t="str">
        <f>IFERROR(__xludf.DUMMYFUNCTION("""COMPUTED_VALUE"""),"AP")</f>
        <v>AP</v>
      </c>
      <c r="AB106" s="236">
        <f>IFERROR(__xludf.DUMMYFUNCTION("""COMPUTED_VALUE"""),59.3)</f>
        <v>59.3</v>
      </c>
      <c r="AC106" s="237" t="str">
        <f>IFERROR(__xludf.DUMMYFUNCTION("""COMPUTED_VALUE"""),"％")</f>
        <v>％</v>
      </c>
      <c r="AD106" s="234">
        <f>IFERROR(__xludf.DUMMYFUNCTION("""COMPUTED_VALUE"""),140.0)</f>
        <v>140</v>
      </c>
      <c r="AE106" s="217"/>
      <c r="AF106" s="364" t="str">
        <f>IFERROR(__xludf.DUMMYFUNCTION("""COMPUTED_VALUE"""),"")</f>
        <v/>
      </c>
    </row>
    <row r="107" ht="16.5" customHeight="1">
      <c r="C107" s="217"/>
      <c r="D107" s="239">
        <f>IFERROR(__xludf.DUMMYFUNCTION("""COMPUTED_VALUE"""),4.0)</f>
        <v>4</v>
      </c>
      <c r="E107" s="241" t="str">
        <f>IFERROR(__xludf.DUMMYFUNCTION("""COMPUTED_VALUE"""),"ANA6")</f>
        <v>ANA6</v>
      </c>
      <c r="F107" s="243" t="str">
        <f>IFERROR(__xludf.DUMMYFUNCTION("""COMPUTED_VALUE"""),"Anastasia")</f>
        <v>Anastasia</v>
      </c>
      <c r="G107" s="245" t="str">
        <f>IFERROR(__xludf.DUMMYFUNCTION("""COMPUTED_VALUE"""),"Devastated Village")</f>
        <v>Devastated Village</v>
      </c>
      <c r="H107" s="247">
        <f>IFERROR(__xludf.DUMMYFUNCTION("""COMPUTED_VALUE"""),21.0)</f>
        <v>21</v>
      </c>
      <c r="I107" s="249">
        <f>IFERROR(__xludf.DUMMYFUNCTION("""COMPUTED_VALUE"""),47.32142857142857)</f>
        <v>47.32142857</v>
      </c>
      <c r="J107" s="251">
        <f>IFERROR(__xludf.DUMMYFUNCTION("""COMPUTED_VALUE"""),84.3)</f>
        <v>84.3</v>
      </c>
      <c r="K107" s="253" t="str">
        <f>IFERROR(__xludf.DUMMYFUNCTION("""COMPUTED_VALUE"""),"AP")</f>
        <v>AP</v>
      </c>
      <c r="L107" s="251">
        <f>IFERROR(__xludf.DUMMYFUNCTION("""COMPUTED_VALUE"""),24.9)</f>
        <v>24.9</v>
      </c>
      <c r="M107" s="253" t="str">
        <f>IFERROR(__xludf.DUMMYFUNCTION("""COMPUTED_VALUE"""),"％")</f>
        <v>％</v>
      </c>
      <c r="N107" s="247">
        <f>IFERROR(__xludf.DUMMYFUNCTION("""COMPUTED_VALUE"""),56810.0)</f>
        <v>56810</v>
      </c>
      <c r="O107" s="217"/>
      <c r="P107" s="362" t="str">
        <f>IFERROR(__xludf.DUMMYFUNCTION("""COMPUTED_VALUE"""),"")</f>
        <v/>
      </c>
      <c r="S107" s="217"/>
      <c r="T107" s="239">
        <f>IFERROR(__xludf.DUMMYFUNCTION("""COMPUTED_VALUE"""),4.0)</f>
        <v>4</v>
      </c>
      <c r="U107" s="241" t="str">
        <f>IFERROR(__xludf.DUMMYFUNCTION("""COMPUTED_VALUE"""),"OKN9")</f>
        <v>OKN9</v>
      </c>
      <c r="V107" s="243" t="str">
        <f>IFERROR(__xludf.DUMMYFUNCTION("""COMPUTED_VALUE"""),"Okeanos")</f>
        <v>Okeanos</v>
      </c>
      <c r="W107" s="245" t="str">
        <f>IFERROR(__xludf.DUMMYFUNCTION("""COMPUTED_VALUE"""),"Stormy Seas")</f>
        <v>Stormy Seas</v>
      </c>
      <c r="X107" s="247">
        <f>IFERROR(__xludf.DUMMYFUNCTION("""COMPUTED_VALUE"""),15.0)</f>
        <v>15</v>
      </c>
      <c r="Y107" s="249">
        <f>IFERROR(__xludf.DUMMYFUNCTION("""COMPUTED_VALUE"""),37.916666666666664)</f>
        <v>37.91666667</v>
      </c>
      <c r="Z107" s="251">
        <f>IFERROR(__xludf.DUMMYFUNCTION("""COMPUTED_VALUE"""),29.3)</f>
        <v>29.3</v>
      </c>
      <c r="AA107" s="253" t="str">
        <f>IFERROR(__xludf.DUMMYFUNCTION("""COMPUTED_VALUE"""),"AP")</f>
        <v>AP</v>
      </c>
      <c r="AB107" s="251">
        <f>IFERROR(__xludf.DUMMYFUNCTION("""COMPUTED_VALUE"""),51.1)</f>
        <v>51.1</v>
      </c>
      <c r="AC107" s="253" t="str">
        <f>IFERROR(__xludf.DUMMYFUNCTION("""COMPUTED_VALUE"""),"％")</f>
        <v>％</v>
      </c>
      <c r="AD107" s="247">
        <f>IFERROR(__xludf.DUMMYFUNCTION("""COMPUTED_VALUE"""),1542.0)</f>
        <v>1542</v>
      </c>
      <c r="AE107" s="217"/>
      <c r="AF107" s="364" t="str">
        <f>IFERROR(__xludf.DUMMYFUNCTION("""COMPUTED_VALUE"""),"")</f>
        <v/>
      </c>
    </row>
    <row r="108" ht="16.5" customHeight="1">
      <c r="A108" s="166"/>
      <c r="C108" s="263"/>
      <c r="D108" s="256">
        <f>IFERROR(__xludf.DUMMYFUNCTION("""COMPUTED_VALUE"""),5.0)</f>
        <v>5</v>
      </c>
      <c r="E108" s="257" t="str">
        <f>IFERROR(__xludf.DUMMYFUNCTION("""COMPUTED_VALUE"""),"ANA10")</f>
        <v>ANA10</v>
      </c>
      <c r="F108" s="42" t="str">
        <f>IFERROR(__xludf.DUMMYFUNCTION("""COMPUTED_VALUE"""),"Anastasia")</f>
        <v>Anastasia</v>
      </c>
      <c r="G108" s="258" t="str">
        <f>IFERROR(__xludf.DUMMYFUNCTION("""COMPUTED_VALUE"""),"Trampled Village")</f>
        <v>Trampled Village</v>
      </c>
      <c r="H108" s="259">
        <f>IFERROR(__xludf.DUMMYFUNCTION("""COMPUTED_VALUE"""),21.0)</f>
        <v>21</v>
      </c>
      <c r="I108" s="260">
        <f>IFERROR(__xludf.DUMMYFUNCTION("""COMPUTED_VALUE"""),49.70238095238095)</f>
        <v>49.70238095</v>
      </c>
      <c r="J108" s="261">
        <f>IFERROR(__xludf.DUMMYFUNCTION("""COMPUTED_VALUE"""),86.3)</f>
        <v>86.3</v>
      </c>
      <c r="K108" s="262" t="str">
        <f>IFERROR(__xludf.DUMMYFUNCTION("""COMPUTED_VALUE"""),"AP")</f>
        <v>AP</v>
      </c>
      <c r="L108" s="261">
        <f>IFERROR(__xludf.DUMMYFUNCTION("""COMPUTED_VALUE"""),24.3)</f>
        <v>24.3</v>
      </c>
      <c r="M108" s="262" t="str">
        <f>IFERROR(__xludf.DUMMYFUNCTION("""COMPUTED_VALUE"""),"％")</f>
        <v>％</v>
      </c>
      <c r="N108" s="259">
        <f>IFERROR(__xludf.DUMMYFUNCTION("""COMPUTED_VALUE"""),7732.0)</f>
        <v>7732</v>
      </c>
      <c r="O108" s="263"/>
      <c r="P108" s="362" t="str">
        <f>IFERROR(__xludf.DUMMYFUNCTION("""COMPUTED_VALUE"""),"")</f>
        <v/>
      </c>
      <c r="Q108" s="166"/>
      <c r="S108" s="263"/>
      <c r="T108" s="256">
        <f>IFERROR(__xludf.DUMMYFUNCTION("""COMPUTED_VALUE"""),5.0)</f>
        <v>5</v>
      </c>
      <c r="U108" s="257" t="str">
        <f>IFERROR(__xludf.DUMMYFUNCTION("""COMPUTED_VALUE"""),"CML6")</f>
        <v>CML6</v>
      </c>
      <c r="V108" s="42" t="str">
        <f>IFERROR(__xludf.DUMMYFUNCTION("""COMPUTED_VALUE"""),"Camelot")</f>
        <v>Camelot</v>
      </c>
      <c r="W108" s="258" t="str">
        <f>IFERROR(__xludf.DUMMYFUNCTION("""COMPUTED_VALUE"""),"Mausoleum of the Evening Bell")</f>
        <v>Mausoleum of the Evening Bell</v>
      </c>
      <c r="X108" s="259">
        <f>IFERROR(__xludf.DUMMYFUNCTION("""COMPUTED_VALUE"""),19.0)</f>
        <v>19</v>
      </c>
      <c r="Y108" s="260">
        <f>IFERROR(__xludf.DUMMYFUNCTION("""COMPUTED_VALUE"""),47.03947368421053)</f>
        <v>47.03947368</v>
      </c>
      <c r="Z108" s="261">
        <f>IFERROR(__xludf.DUMMYFUNCTION("""COMPUTED_VALUE"""),38.3)</f>
        <v>38.3</v>
      </c>
      <c r="AA108" s="262" t="str">
        <f>IFERROR(__xludf.DUMMYFUNCTION("""COMPUTED_VALUE"""),"AP")</f>
        <v>AP</v>
      </c>
      <c r="AB108" s="261">
        <f>IFERROR(__xludf.DUMMYFUNCTION("""COMPUTED_VALUE"""),49.6)</f>
        <v>49.6</v>
      </c>
      <c r="AC108" s="262" t="str">
        <f>IFERROR(__xludf.DUMMYFUNCTION("""COMPUTED_VALUE"""),"％")</f>
        <v>％</v>
      </c>
      <c r="AD108" s="259">
        <f>IFERROR(__xludf.DUMMYFUNCTION("""COMPUTED_VALUE"""),2202.0)</f>
        <v>2202</v>
      </c>
      <c r="AE108" s="263"/>
      <c r="AF108" s="364" t="str">
        <f>IFERROR(__xludf.DUMMYFUNCTION("""COMPUTED_VALUE"""),"")</f>
        <v/>
      </c>
    </row>
    <row r="109" ht="16.5" customHeight="1">
      <c r="A109" s="61" t="str">
        <f>IFERROR(__xludf.DUMMYFUNCTION("""COMPUTED_VALUE"""),"")</f>
        <v/>
      </c>
      <c r="B109" s="367" t="str">
        <f>IFERROR(__xludf.DUMMYFUNCTION("""COMPUTED_VALUE"""),"A212")</f>
        <v>A212</v>
      </c>
      <c r="C109" s="65" t="str">
        <f>IFERROR(__xludf.DUMMYFUNCTION("""COMPUTED_VALUE"""),"Refined Magatama")</f>
        <v>Refined Magatama</v>
      </c>
      <c r="D109" s="70">
        <f>IFERROR(__xludf.DUMMYFUNCTION("""COMPUTED_VALUE"""),1.0)</f>
        <v>1</v>
      </c>
      <c r="E109" s="73" t="str">
        <f>IFERROR(__xludf.DUMMYFUNCTION("""COMPUTED_VALUE"""),"SMS4")</f>
        <v>SMS4</v>
      </c>
      <c r="F109" s="76" t="str">
        <f>IFERROR(__xludf.DUMMYFUNCTION("""COMPUTED_VALUE"""),"Shimosa")</f>
        <v>Shimosa</v>
      </c>
      <c r="G109" s="85" t="str">
        <f>IFERROR(__xludf.DUMMYFUNCTION("""COMPUTED_VALUE"""),"Castle Town")</f>
        <v>Castle Town</v>
      </c>
      <c r="H109" s="87">
        <f>IFERROR(__xludf.DUMMYFUNCTION("""COMPUTED_VALUE"""),21.0)</f>
        <v>21</v>
      </c>
      <c r="I109" s="90">
        <f>IFERROR(__xludf.DUMMYFUNCTION("""COMPUTED_VALUE"""),48.51190476190476)</f>
        <v>48.51190476</v>
      </c>
      <c r="J109" s="92">
        <f>IFERROR(__xludf.DUMMYFUNCTION("""COMPUTED_VALUE"""),51.8)</f>
        <v>51.8</v>
      </c>
      <c r="K109" s="94" t="str">
        <f>IFERROR(__xludf.DUMMYFUNCTION("""COMPUTED_VALUE"""),"AP")</f>
        <v>AP</v>
      </c>
      <c r="L109" s="96">
        <f>IFERROR(__xludf.DUMMYFUNCTION("""COMPUTED_VALUE"""),40.5)</f>
        <v>40.5</v>
      </c>
      <c r="M109" s="94" t="str">
        <f>IFERROR(__xludf.DUMMYFUNCTION("""COMPUTED_VALUE"""),"％")</f>
        <v>％</v>
      </c>
      <c r="N109" s="87">
        <f>IFERROR(__xludf.DUMMYFUNCTION("""COMPUTED_VALUE"""),6883.0)</f>
        <v>6883</v>
      </c>
      <c r="O109" s="97" t="str">
        <f>IFERROR(__xludf.DUMMYFUNCTION("""COMPUTED_VALUE"""),"Refined Magatama")</f>
        <v>Refined Magatama</v>
      </c>
      <c r="P109" s="93" t="str">
        <f>IFERROR(__xludf.DUMMYFUNCTION("""COMPUTED_VALUE"""),"")</f>
        <v/>
      </c>
      <c r="Q109" s="61" t="str">
        <f>IFERROR(__xludf.DUMMYFUNCTION("""COMPUTED_VALUE"""),"")</f>
        <v/>
      </c>
      <c r="R109" s="367" t="str">
        <f>IFERROR(__xludf.DUMMYFUNCTION("""COMPUTED_VALUE"""),"B127")</f>
        <v>B127</v>
      </c>
      <c r="S109" s="65" t="str">
        <f>IFERROR(__xludf.DUMMYFUNCTION("""COMPUTED_VALUE"""),"Gem of Berserker")</f>
        <v>Gem of Berserker</v>
      </c>
      <c r="T109" s="70">
        <f>IFERROR(__xludf.DUMMYFUNCTION("""COMPUTED_VALUE"""),1.0)</f>
        <v>1</v>
      </c>
      <c r="U109" s="73" t="str">
        <f>IFERROR(__xludf.DUMMYFUNCTION("""COMPUTED_VALUE"""),"TRF9")</f>
        <v>TRF9</v>
      </c>
      <c r="V109" s="76" t="str">
        <f>IFERROR(__xludf.DUMMYFUNCTION("""COMPUTED_VALUE"""),"Chaldea Gate (Wed)")</f>
        <v>Chaldea Gate (Wed)</v>
      </c>
      <c r="W109" s="76" t="str">
        <f>IFERROR(__xludf.DUMMYFUNCTION("""COMPUTED_VALUE"""),"WED Berserker Training Ground- Nov")</f>
        <v>WED Berserker Training Ground- Nov</v>
      </c>
      <c r="X109" s="87">
        <f>IFERROR(__xludf.DUMMYFUNCTION("""COMPUTED_VALUE"""),10.0)</f>
        <v>10</v>
      </c>
      <c r="Y109" s="90">
        <f>IFERROR(__xludf.DUMMYFUNCTION("""COMPUTED_VALUE"""),19.375)</f>
        <v>19.375</v>
      </c>
      <c r="Z109" s="92">
        <f>IFERROR(__xludf.DUMMYFUNCTION("""COMPUTED_VALUE"""),7.5)</f>
        <v>7.5</v>
      </c>
      <c r="AA109" s="94" t="str">
        <f>IFERROR(__xludf.DUMMYFUNCTION("""COMPUTED_VALUE"""),"AP")</f>
        <v>AP</v>
      </c>
      <c r="AB109" s="96">
        <f>IFERROR(__xludf.DUMMYFUNCTION("""COMPUTED_VALUE"""),132.6)</f>
        <v>132.6</v>
      </c>
      <c r="AC109" s="94" t="str">
        <f>IFERROR(__xludf.DUMMYFUNCTION("""COMPUTED_VALUE"""),"％")</f>
        <v>％</v>
      </c>
      <c r="AD109" s="87">
        <f>IFERROR(__xludf.DUMMYFUNCTION("""COMPUTED_VALUE"""),821.0)</f>
        <v>821</v>
      </c>
      <c r="AE109" s="97" t="str">
        <f>IFERROR(__xludf.DUMMYFUNCTION("""COMPUTED_VALUE"""),"Gem of Berserker")</f>
        <v>Gem of Berserker</v>
      </c>
      <c r="AF109" s="98" t="str">
        <f>IFERROR(__xludf.DUMMYFUNCTION("""COMPUTED_VALUE"""),"")</f>
        <v/>
      </c>
    </row>
    <row r="110" ht="16.5" customHeight="1">
      <c r="C110" s="100"/>
      <c r="D110" s="105">
        <f>IFERROR(__xludf.DUMMYFUNCTION("""COMPUTED_VALUE"""),2.0)</f>
        <v>2</v>
      </c>
      <c r="E110" s="106" t="str">
        <f>IFERROR(__xludf.DUMMYFUNCTION("""COMPUTED_VALUE"""),"SMS6")</f>
        <v>SMS6</v>
      </c>
      <c r="F110" s="107" t="str">
        <f>IFERROR(__xludf.DUMMYFUNCTION("""COMPUTED_VALUE"""),"Shimosa")</f>
        <v>Shimosa</v>
      </c>
      <c r="G110" s="114" t="str">
        <f>IFERROR(__xludf.DUMMYFUNCTION("""COMPUTED_VALUE"""),"Toke Castle")</f>
        <v>Toke Castle</v>
      </c>
      <c r="H110" s="116">
        <f>IFERROR(__xludf.DUMMYFUNCTION("""COMPUTED_VALUE"""),21.0)</f>
        <v>21</v>
      </c>
      <c r="I110" s="118">
        <f>IFERROR(__xludf.DUMMYFUNCTION("""COMPUTED_VALUE"""),49.70238095238095)</f>
        <v>49.70238095</v>
      </c>
      <c r="J110" s="120">
        <f>IFERROR(__xludf.DUMMYFUNCTION("""COMPUTED_VALUE"""),78.9)</f>
        <v>78.9</v>
      </c>
      <c r="K110" s="122" t="str">
        <f>IFERROR(__xludf.DUMMYFUNCTION("""COMPUTED_VALUE"""),"AP")</f>
        <v>AP</v>
      </c>
      <c r="L110" s="124">
        <f>IFERROR(__xludf.DUMMYFUNCTION("""COMPUTED_VALUE"""),26.6)</f>
        <v>26.6</v>
      </c>
      <c r="M110" s="122" t="str">
        <f>IFERROR(__xludf.DUMMYFUNCTION("""COMPUTED_VALUE"""),"％")</f>
        <v>％</v>
      </c>
      <c r="N110" s="116">
        <f>IFERROR(__xludf.DUMMYFUNCTION("""COMPUTED_VALUE"""),2163.0)</f>
        <v>2163</v>
      </c>
      <c r="O110" s="100"/>
      <c r="P110" s="93" t="str">
        <f>IFERROR(__xludf.DUMMYFUNCTION("""COMPUTED_VALUE"""),"")</f>
        <v/>
      </c>
      <c r="S110" s="100"/>
      <c r="T110" s="105">
        <f>IFERROR(__xludf.DUMMYFUNCTION("""COMPUTED_VALUE"""),2.0)</f>
        <v>2</v>
      </c>
      <c r="U110" s="106" t="str">
        <f>IFERROR(__xludf.DUMMYFUNCTION("""COMPUTED_VALUE"""),"TRF10")</f>
        <v>TRF10</v>
      </c>
      <c r="V110" s="107" t="str">
        <f>IFERROR(__xludf.DUMMYFUNCTION("""COMPUTED_VALUE"""),"Chaldea Gate (Wed)")</f>
        <v>Chaldea Gate (Wed)</v>
      </c>
      <c r="W110" s="107" t="str">
        <f>IFERROR(__xludf.DUMMYFUNCTION("""COMPUTED_VALUE"""),"WED Berserker Training Ground- Int")</f>
        <v>WED Berserker Training Ground- Int</v>
      </c>
      <c r="X110" s="116">
        <f>IFERROR(__xludf.DUMMYFUNCTION("""COMPUTED_VALUE"""),20.0)</f>
        <v>20</v>
      </c>
      <c r="Y110" s="118">
        <f>IFERROR(__xludf.DUMMYFUNCTION("""COMPUTED_VALUE"""),19.0625)</f>
        <v>19.0625</v>
      </c>
      <c r="Z110" s="120">
        <f>IFERROR(__xludf.DUMMYFUNCTION("""COMPUTED_VALUE"""),16.1)</f>
        <v>16.1</v>
      </c>
      <c r="AA110" s="122" t="str">
        <f>IFERROR(__xludf.DUMMYFUNCTION("""COMPUTED_VALUE"""),"AP")</f>
        <v>AP</v>
      </c>
      <c r="AB110" s="124">
        <f>IFERROR(__xludf.DUMMYFUNCTION("""COMPUTED_VALUE"""),124.2)</f>
        <v>124.2</v>
      </c>
      <c r="AC110" s="122" t="str">
        <f>IFERROR(__xludf.DUMMYFUNCTION("""COMPUTED_VALUE"""),"％")</f>
        <v>％</v>
      </c>
      <c r="AD110" s="116">
        <f>IFERROR(__xludf.DUMMYFUNCTION("""COMPUTED_VALUE"""),554.0)</f>
        <v>554</v>
      </c>
      <c r="AE110" s="100"/>
      <c r="AF110" s="98" t="str">
        <f>IFERROR(__xludf.DUMMYFUNCTION("""COMPUTED_VALUE"""),"")</f>
        <v/>
      </c>
    </row>
    <row r="111" ht="16.5" customHeight="1">
      <c r="C111" s="100"/>
      <c r="D111" s="128">
        <f>IFERROR(__xludf.DUMMYFUNCTION("""COMPUTED_VALUE"""),3.0)</f>
        <v>3</v>
      </c>
      <c r="E111" s="129" t="str">
        <f>IFERROR(__xludf.DUMMYFUNCTION("""COMPUTED_VALUE"""),"SMS2")</f>
        <v>SMS2</v>
      </c>
      <c r="F111" s="131" t="str">
        <f>IFERROR(__xludf.DUMMYFUNCTION("""COMPUTED_VALUE"""),"Shimosa")</f>
        <v>Shimosa</v>
      </c>
      <c r="G111" s="134" t="str">
        <f>IFERROR(__xludf.DUMMYFUNCTION("""COMPUTED_VALUE"""),"Village")</f>
        <v>Village</v>
      </c>
      <c r="H111" s="136">
        <f>IFERROR(__xludf.DUMMYFUNCTION("""COMPUTED_VALUE"""),21.0)</f>
        <v>21</v>
      </c>
      <c r="I111" s="138">
        <f>IFERROR(__xludf.DUMMYFUNCTION("""COMPUTED_VALUE"""),47.32142857142857)</f>
        <v>47.32142857</v>
      </c>
      <c r="J111" s="140">
        <f>IFERROR(__xludf.DUMMYFUNCTION("""COMPUTED_VALUE"""),81.7)</f>
        <v>81.7</v>
      </c>
      <c r="K111" s="142" t="str">
        <f>IFERROR(__xludf.DUMMYFUNCTION("""COMPUTED_VALUE"""),"AP")</f>
        <v>AP</v>
      </c>
      <c r="L111" s="144">
        <f>IFERROR(__xludf.DUMMYFUNCTION("""COMPUTED_VALUE"""),25.7)</f>
        <v>25.7</v>
      </c>
      <c r="M111" s="142" t="str">
        <f>IFERROR(__xludf.DUMMYFUNCTION("""COMPUTED_VALUE"""),"％")</f>
        <v>％</v>
      </c>
      <c r="N111" s="136">
        <f>IFERROR(__xludf.DUMMYFUNCTION("""COMPUTED_VALUE"""),8454.0)</f>
        <v>8454</v>
      </c>
      <c r="O111" s="100"/>
      <c r="P111" s="93" t="str">
        <f>IFERROR(__xludf.DUMMYFUNCTION("""COMPUTED_VALUE"""),"")</f>
        <v/>
      </c>
      <c r="S111" s="100"/>
      <c r="T111" s="128">
        <f>IFERROR(__xludf.DUMMYFUNCTION("""COMPUTED_VALUE"""),3.0)</f>
        <v>3</v>
      </c>
      <c r="U111" s="129" t="str">
        <f>IFERROR(__xludf.DUMMYFUNCTION("""COMPUTED_VALUE"""),"YKS7")</f>
        <v>YKS7</v>
      </c>
      <c r="V111" s="131" t="str">
        <f>IFERROR(__xludf.DUMMYFUNCTION("""COMPUTED_VALUE"""),"Yuga Kshetra")</f>
        <v>Yuga Kshetra</v>
      </c>
      <c r="W111" s="134" t="str">
        <f>IFERROR(__xludf.DUMMYFUNCTION("""COMPUTED_VALUE"""),"Divine Sky Rock Ruins")</f>
        <v>Divine Sky Rock Ruins</v>
      </c>
      <c r="X111" s="136">
        <f>IFERROR(__xludf.DUMMYFUNCTION("""COMPUTED_VALUE"""),21.0)</f>
        <v>21</v>
      </c>
      <c r="Y111" s="138">
        <f>IFERROR(__xludf.DUMMYFUNCTION("""COMPUTED_VALUE"""),49.70238095238095)</f>
        <v>49.70238095</v>
      </c>
      <c r="Z111" s="140">
        <f>IFERROR(__xludf.DUMMYFUNCTION("""COMPUTED_VALUE"""),55.0)</f>
        <v>55</v>
      </c>
      <c r="AA111" s="142" t="str">
        <f>IFERROR(__xludf.DUMMYFUNCTION("""COMPUTED_VALUE"""),"AP")</f>
        <v>AP</v>
      </c>
      <c r="AB111" s="144">
        <f>IFERROR(__xludf.DUMMYFUNCTION("""COMPUTED_VALUE"""),38.2)</f>
        <v>38.2</v>
      </c>
      <c r="AC111" s="142" t="str">
        <f>IFERROR(__xludf.DUMMYFUNCTION("""COMPUTED_VALUE"""),"％")</f>
        <v>％</v>
      </c>
      <c r="AD111" s="136">
        <f>IFERROR(__xludf.DUMMYFUNCTION("""COMPUTED_VALUE"""),1530.0)</f>
        <v>1530</v>
      </c>
      <c r="AE111" s="100"/>
      <c r="AF111" s="98" t="str">
        <f>IFERROR(__xludf.DUMMYFUNCTION("""COMPUTED_VALUE"""),"")</f>
        <v/>
      </c>
    </row>
    <row r="112" ht="16.5" customHeight="1">
      <c r="C112" s="100"/>
      <c r="D112" s="147">
        <f>IFERROR(__xludf.DUMMYFUNCTION("""COMPUTED_VALUE"""),4.0)</f>
        <v>4</v>
      </c>
      <c r="E112" s="149" t="str">
        <f>IFERROR(__xludf.DUMMYFUNCTION("""COMPUTED_VALUE"""),"SMS3")</f>
        <v>SMS3</v>
      </c>
      <c r="F112" s="151" t="str">
        <f>IFERROR(__xludf.DUMMYFUNCTION("""COMPUTED_VALUE"""),"Shimosa")</f>
        <v>Shimosa</v>
      </c>
      <c r="G112" s="153" t="str">
        <f>IFERROR(__xludf.DUMMYFUNCTION("""COMPUTED_VALUE"""),"Monastery")</f>
        <v>Monastery</v>
      </c>
      <c r="H112" s="155">
        <f>IFERROR(__xludf.DUMMYFUNCTION("""COMPUTED_VALUE"""),21.0)</f>
        <v>21</v>
      </c>
      <c r="I112" s="157">
        <f>IFERROR(__xludf.DUMMYFUNCTION("""COMPUTED_VALUE"""),47.32142857142857)</f>
        <v>47.32142857</v>
      </c>
      <c r="J112" s="159">
        <f>IFERROR(__xludf.DUMMYFUNCTION("""COMPUTED_VALUE"""),83.4)</f>
        <v>83.4</v>
      </c>
      <c r="K112" s="161" t="str">
        <f>IFERROR(__xludf.DUMMYFUNCTION("""COMPUTED_VALUE"""),"AP")</f>
        <v>AP</v>
      </c>
      <c r="L112" s="163">
        <f>IFERROR(__xludf.DUMMYFUNCTION("""COMPUTED_VALUE"""),25.2)</f>
        <v>25.2</v>
      </c>
      <c r="M112" s="161" t="str">
        <f>IFERROR(__xludf.DUMMYFUNCTION("""COMPUTED_VALUE"""),"％")</f>
        <v>％</v>
      </c>
      <c r="N112" s="155">
        <f>IFERROR(__xludf.DUMMYFUNCTION("""COMPUTED_VALUE"""),9677.0)</f>
        <v>9677</v>
      </c>
      <c r="O112" s="100"/>
      <c r="P112" s="93" t="str">
        <f>IFERROR(__xludf.DUMMYFUNCTION("""COMPUTED_VALUE"""),"")</f>
        <v/>
      </c>
      <c r="S112" s="100"/>
      <c r="T112" s="147">
        <f>IFERROR(__xludf.DUMMYFUNCTION("""COMPUTED_VALUE"""),4.0)</f>
        <v>4</v>
      </c>
      <c r="U112" s="149" t="str">
        <f>IFERROR(__xludf.DUMMYFUNCTION("""COMPUTED_VALUE"""),"SLM7")</f>
        <v>SLM7</v>
      </c>
      <c r="V112" s="151" t="str">
        <f>IFERROR(__xludf.DUMMYFUNCTION("""COMPUTED_VALUE"""),"Salem")</f>
        <v>Salem</v>
      </c>
      <c r="W112" s="153" t="str">
        <f>IFERROR(__xludf.DUMMYFUNCTION("""COMPUTED_VALUE"""),"Gallow Hill")</f>
        <v>Gallow Hill</v>
      </c>
      <c r="X112" s="155">
        <f>IFERROR(__xludf.DUMMYFUNCTION("""COMPUTED_VALUE"""),21.0)</f>
        <v>21</v>
      </c>
      <c r="Y112" s="157">
        <f>IFERROR(__xludf.DUMMYFUNCTION("""COMPUTED_VALUE"""),49.70238095238095)</f>
        <v>49.70238095</v>
      </c>
      <c r="Z112" s="159">
        <f>IFERROR(__xludf.DUMMYFUNCTION("""COMPUTED_VALUE"""),60.9)</f>
        <v>60.9</v>
      </c>
      <c r="AA112" s="161" t="str">
        <f>IFERROR(__xludf.DUMMYFUNCTION("""COMPUTED_VALUE"""),"AP")</f>
        <v>AP</v>
      </c>
      <c r="AB112" s="163">
        <f>IFERROR(__xludf.DUMMYFUNCTION("""COMPUTED_VALUE"""),34.5)</f>
        <v>34.5</v>
      </c>
      <c r="AC112" s="161" t="str">
        <f>IFERROR(__xludf.DUMMYFUNCTION("""COMPUTED_VALUE"""),"％")</f>
        <v>％</v>
      </c>
      <c r="AD112" s="155">
        <f>IFERROR(__xludf.DUMMYFUNCTION("""COMPUTED_VALUE"""),8007.0)</f>
        <v>8007</v>
      </c>
      <c r="AE112" s="100"/>
      <c r="AF112" s="98" t="str">
        <f>IFERROR(__xludf.DUMMYFUNCTION("""COMPUTED_VALUE"""),"")</f>
        <v/>
      </c>
    </row>
    <row r="113" ht="16.5" customHeight="1">
      <c r="A113" s="166"/>
      <c r="C113" s="168"/>
      <c r="D113" s="169">
        <f>IFERROR(__xludf.DUMMYFUNCTION("""COMPUTED_VALUE"""),5.0)</f>
        <v>5</v>
      </c>
      <c r="E113" s="170" t="str">
        <f>IFERROR(__xludf.DUMMYFUNCTION("""COMPUTED_VALUE"""),"SMS3")</f>
        <v>SMS3</v>
      </c>
      <c r="F113" s="51" t="str">
        <f>IFERROR(__xludf.DUMMYFUNCTION("""COMPUTED_VALUE"""),"Shimosa")</f>
        <v>Shimosa</v>
      </c>
      <c r="G113" s="171" t="str">
        <f>IFERROR(__xludf.DUMMYFUNCTION("""COMPUTED_VALUE"""),"Monastery")</f>
        <v>Monastery</v>
      </c>
      <c r="H113" s="172">
        <f>IFERROR(__xludf.DUMMYFUNCTION("""COMPUTED_VALUE"""),21.0)</f>
        <v>21</v>
      </c>
      <c r="I113" s="173">
        <f>IFERROR(__xludf.DUMMYFUNCTION("""COMPUTED_VALUE"""),47.32142857142857)</f>
        <v>47.32142857</v>
      </c>
      <c r="J113" s="174">
        <f>IFERROR(__xludf.DUMMYFUNCTION("""COMPUTED_VALUE"""),83.4)</f>
        <v>83.4</v>
      </c>
      <c r="K113" s="175" t="str">
        <f>IFERROR(__xludf.DUMMYFUNCTION("""COMPUTED_VALUE"""),"AP")</f>
        <v>AP</v>
      </c>
      <c r="L113" s="176">
        <f>IFERROR(__xludf.DUMMYFUNCTION("""COMPUTED_VALUE"""),25.2)</f>
        <v>25.2</v>
      </c>
      <c r="M113" s="175" t="str">
        <f>IFERROR(__xludf.DUMMYFUNCTION("""COMPUTED_VALUE"""),"％")</f>
        <v>％</v>
      </c>
      <c r="N113" s="172">
        <f>IFERROR(__xludf.DUMMYFUNCTION("""COMPUTED_VALUE"""),9677.0)</f>
        <v>9677</v>
      </c>
      <c r="O113" s="168"/>
      <c r="P113" s="93" t="str">
        <f>IFERROR(__xludf.DUMMYFUNCTION("""COMPUTED_VALUE"""),"")</f>
        <v/>
      </c>
      <c r="Q113" s="166"/>
      <c r="S113" s="168"/>
      <c r="T113" s="169">
        <f>IFERROR(__xludf.DUMMYFUNCTION("""COMPUTED_VALUE"""),5.0)</f>
        <v>5</v>
      </c>
      <c r="U113" s="170" t="str">
        <f>IFERROR(__xludf.DUMMYFUNCTION("""COMPUTED_VALUE"""),"YKS8")</f>
        <v>YKS8</v>
      </c>
      <c r="V113" s="51" t="str">
        <f>IFERROR(__xludf.DUMMYFUNCTION("""COMPUTED_VALUE"""),"Yuga Kshetra")</f>
        <v>Yuga Kshetra</v>
      </c>
      <c r="W113" s="171" t="str">
        <f>IFERROR(__xludf.DUMMYFUNCTION("""COMPUTED_VALUE"""),"Southern Town")</f>
        <v>Southern Town</v>
      </c>
      <c r="X113" s="172">
        <f>IFERROR(__xludf.DUMMYFUNCTION("""COMPUTED_VALUE"""),21.0)</f>
        <v>21</v>
      </c>
      <c r="Y113" s="173">
        <f>IFERROR(__xludf.DUMMYFUNCTION("""COMPUTED_VALUE"""),49.70238095238095)</f>
        <v>49.70238095</v>
      </c>
      <c r="Z113" s="174">
        <f>IFERROR(__xludf.DUMMYFUNCTION("""COMPUTED_VALUE"""),61.4)</f>
        <v>61.4</v>
      </c>
      <c r="AA113" s="175" t="str">
        <f>IFERROR(__xludf.DUMMYFUNCTION("""COMPUTED_VALUE"""),"AP")</f>
        <v>AP</v>
      </c>
      <c r="AB113" s="176">
        <f>IFERROR(__xludf.DUMMYFUNCTION("""COMPUTED_VALUE"""),34.2)</f>
        <v>34.2</v>
      </c>
      <c r="AC113" s="175" t="str">
        <f>IFERROR(__xludf.DUMMYFUNCTION("""COMPUTED_VALUE"""),"％")</f>
        <v>％</v>
      </c>
      <c r="AD113" s="172">
        <f>IFERROR(__xludf.DUMMYFUNCTION("""COMPUTED_VALUE"""),6464.0)</f>
        <v>6464</v>
      </c>
      <c r="AE113" s="168"/>
      <c r="AF113" s="98" t="str">
        <f>IFERROR(__xludf.DUMMYFUNCTION("""COMPUTED_VALUE"""),"")</f>
        <v/>
      </c>
    </row>
    <row r="114" ht="16.5" customHeight="1">
      <c r="A114" s="352" t="str">
        <f>IFERROR(__xludf.DUMMYFUNCTION("""COMPUTED_VALUE"""),"Item")</f>
        <v>Item</v>
      </c>
      <c r="C114" s="353"/>
      <c r="D114" s="30" t="str">
        <f>IFERROR(__xludf.DUMMYFUNCTION("""COMPUTED_VALUE"""),"No.")</f>
        <v>No.</v>
      </c>
      <c r="E114" s="31" t="str">
        <f>IFERROR(__xludf.DUMMYFUNCTION("""COMPUTED_VALUE"""),"Node Code")</f>
        <v>Node Code</v>
      </c>
      <c r="F114" s="31" t="str">
        <f>IFERROR(__xludf.DUMMYFUNCTION("""COMPUTED_VALUE"""),"Area")</f>
        <v>Area</v>
      </c>
      <c r="G114" s="31" t="str">
        <f>IFERROR(__xludf.DUMMYFUNCTION("""COMPUTED_VALUE"""),"Quest")</f>
        <v>Quest</v>
      </c>
      <c r="H114" s="30" t="str">
        <f>IFERROR(__xludf.DUMMYFUNCTION("""COMPUTED_VALUE"""),"AP")</f>
        <v>AP</v>
      </c>
      <c r="I114" s="354" t="str">
        <f>IFERROR(__xludf.DUMMYFUNCTION("""COMPUTED_VALUE"""),"BP/AP")</f>
        <v>BP/AP</v>
      </c>
      <c r="J114" s="36" t="str">
        <f>IFERROR(__xludf.DUMMYFUNCTION("""COMPUTED_VALUE"""),"AP/Drop")</f>
        <v>AP/Drop</v>
      </c>
      <c r="K114" s="28"/>
      <c r="L114" s="36" t="str">
        <f>IFERROR(__xludf.DUMMYFUNCTION("""COMPUTED_VALUE"""),"Drop Chance")</f>
        <v>Drop Chance</v>
      </c>
      <c r="M114" s="28"/>
      <c r="N114" s="38" t="str">
        <f>IFERROR(__xludf.DUMMYFUNCTION("""COMPUTED_VALUE"""),"Runs")</f>
        <v>Runs</v>
      </c>
      <c r="O114" s="355" t="str">
        <f>IFERROR(__xludf.DUMMYFUNCTION("""COMPUTED_VALUE"""),"")</f>
        <v/>
      </c>
      <c r="P114" s="42" t="str">
        <f>IFERROR(__xludf.DUMMYFUNCTION("""COMPUTED_VALUE"""),"")</f>
        <v/>
      </c>
      <c r="Q114" s="352" t="str">
        <f>IFERROR(__xludf.DUMMYFUNCTION("""COMPUTED_VALUE"""),"Item")</f>
        <v>Item</v>
      </c>
      <c r="S114" s="353"/>
      <c r="T114" s="30" t="str">
        <f>IFERROR(__xludf.DUMMYFUNCTION("""COMPUTED_VALUE"""),"No.")</f>
        <v>No.</v>
      </c>
      <c r="U114" s="31" t="str">
        <f>IFERROR(__xludf.DUMMYFUNCTION("""COMPUTED_VALUE"""),"Node Code")</f>
        <v>Node Code</v>
      </c>
      <c r="V114" s="31" t="str">
        <f>IFERROR(__xludf.DUMMYFUNCTION("""COMPUTED_VALUE"""),"Area")</f>
        <v>Area</v>
      </c>
      <c r="W114" s="31" t="str">
        <f>IFERROR(__xludf.DUMMYFUNCTION("""COMPUTED_VALUE"""),"Quest")</f>
        <v>Quest</v>
      </c>
      <c r="X114" s="30" t="str">
        <f>IFERROR(__xludf.DUMMYFUNCTION("""COMPUTED_VALUE"""),"AP")</f>
        <v>AP</v>
      </c>
      <c r="Y114" s="354" t="str">
        <f>IFERROR(__xludf.DUMMYFUNCTION("""COMPUTED_VALUE"""),"BP/AP")</f>
        <v>BP/AP</v>
      </c>
      <c r="Z114" s="36" t="str">
        <f>IFERROR(__xludf.DUMMYFUNCTION("""COMPUTED_VALUE"""),"AP/Drop")</f>
        <v>AP/Drop</v>
      </c>
      <c r="AA114" s="28"/>
      <c r="AB114" s="36" t="str">
        <f>IFERROR(__xludf.DUMMYFUNCTION("""COMPUTED_VALUE"""),"Drop Chance")</f>
        <v>Drop Chance</v>
      </c>
      <c r="AC114" s="28"/>
      <c r="AD114" s="369" t="str">
        <f>IFERROR(__xludf.DUMMYFUNCTION("""COMPUTED_VALUE"""),"Runs")</f>
        <v>Runs</v>
      </c>
      <c r="AE114" s="373" t="str">
        <f>IFERROR(__xludf.DUMMYFUNCTION("""COMPUTED_VALUE"""),"")</f>
        <v/>
      </c>
      <c r="AF114" s="51" t="str">
        <f>IFERROR(__xludf.DUMMYFUNCTION("""COMPUTED_VALUE"""),"")</f>
        <v/>
      </c>
    </row>
    <row r="115" ht="16.5" customHeight="1">
      <c r="A115" s="54"/>
      <c r="B115" s="55"/>
      <c r="C115" s="57"/>
      <c r="D115" s="57"/>
      <c r="E115" s="57"/>
      <c r="F115" s="57"/>
      <c r="G115" s="57"/>
      <c r="H115" s="57"/>
      <c r="I115" s="58" t="str">
        <f>IFERROR(__xludf.DUMMYFUNCTION("""COMPUTED_VALUE"""),"1P+1L+1T")</f>
        <v>1P+1L+1T</v>
      </c>
      <c r="J115" s="55"/>
      <c r="K115" s="57"/>
      <c r="L115" s="55"/>
      <c r="M115" s="57"/>
      <c r="N115" s="57"/>
      <c r="O115" s="57"/>
      <c r="P115" s="42" t="str">
        <f>IFERROR(__xludf.DUMMYFUNCTION("""COMPUTED_VALUE"""),"")</f>
        <v/>
      </c>
      <c r="Q115" s="54"/>
      <c r="R115" s="55"/>
      <c r="S115" s="57"/>
      <c r="T115" s="57"/>
      <c r="U115" s="57"/>
      <c r="V115" s="57"/>
      <c r="W115" s="57"/>
      <c r="X115" s="57"/>
      <c r="Y115" s="58" t="str">
        <f>IFERROR(__xludf.DUMMYFUNCTION("""COMPUTED_VALUE"""),"1P+1L+1T")</f>
        <v>1P+1L+1T</v>
      </c>
      <c r="Z115" s="55"/>
      <c r="AA115" s="57"/>
      <c r="AB115" s="55"/>
      <c r="AC115" s="57"/>
      <c r="AD115" s="370"/>
      <c r="AE115" s="370"/>
      <c r="AF115" s="51" t="str">
        <f>IFERROR(__xludf.DUMMYFUNCTION("""COMPUTED_VALUE"""),"")</f>
        <v/>
      </c>
    </row>
    <row r="116" ht="16.5" customHeight="1">
      <c r="A116" s="61" t="str">
        <f>IFERROR(__xludf.DUMMYFUNCTION("""COMPUTED_VALUE"""),"")</f>
        <v/>
      </c>
      <c r="B116" s="366" t="str">
        <f>IFERROR(__xludf.DUMMYFUNCTION("""COMPUTED_VALUE"""),"A213")</f>
        <v>A213</v>
      </c>
      <c r="C116" s="180" t="str">
        <f>IFERROR(__xludf.DUMMYFUNCTION("""COMPUTED_VALUE"""),"Eternal Ice")</f>
        <v>Eternal Ice</v>
      </c>
      <c r="D116" s="185">
        <f>IFERROR(__xludf.DUMMYFUNCTION("""COMPUTED_VALUE"""),1.0)</f>
        <v>1</v>
      </c>
      <c r="E116" s="187" t="str">
        <f>IFERROR(__xludf.DUMMYFUNCTION("""COMPUTED_VALUE"""),"ANA11")</f>
        <v>ANA11</v>
      </c>
      <c r="F116" s="188" t="str">
        <f>IFERROR(__xludf.DUMMYFUNCTION("""COMPUTED_VALUE"""),"Anastasia")</f>
        <v>Anastasia</v>
      </c>
      <c r="G116" s="193" t="str">
        <f>IFERROR(__xludf.DUMMYFUNCTION("""COMPUTED_VALUE"""),"Yaga Moscow")</f>
        <v>Yaga Moscow</v>
      </c>
      <c r="H116" s="195">
        <f>IFERROR(__xludf.DUMMYFUNCTION("""COMPUTED_VALUE"""),21.0)</f>
        <v>21</v>
      </c>
      <c r="I116" s="196">
        <f>IFERROR(__xludf.DUMMYFUNCTION("""COMPUTED_VALUE"""),49.70238095238095)</f>
        <v>49.70238095</v>
      </c>
      <c r="J116" s="198">
        <f>IFERROR(__xludf.DUMMYFUNCTION("""COMPUTED_VALUE"""),46.0)</f>
        <v>46</v>
      </c>
      <c r="K116" s="200" t="str">
        <f>IFERROR(__xludf.DUMMYFUNCTION("""COMPUTED_VALUE"""),"AP")</f>
        <v>AP</v>
      </c>
      <c r="L116" s="198">
        <f>IFERROR(__xludf.DUMMYFUNCTION("""COMPUTED_VALUE"""),45.6)</f>
        <v>45.6</v>
      </c>
      <c r="M116" s="201" t="str">
        <f>IFERROR(__xludf.DUMMYFUNCTION("""COMPUTED_VALUE"""),"％")</f>
        <v>％</v>
      </c>
      <c r="N116" s="195">
        <f>IFERROR(__xludf.DUMMYFUNCTION("""COMPUTED_VALUE"""),6376.0)</f>
        <v>6376</v>
      </c>
      <c r="O116" s="197" t="str">
        <f>IFERROR(__xludf.DUMMYFUNCTION("""COMPUTED_VALUE"""),"Eternal Ice")</f>
        <v>Eternal Ice</v>
      </c>
      <c r="P116" s="371" t="str">
        <f>IFERROR(__xludf.DUMMYFUNCTION("""COMPUTED_VALUE"""),"")</f>
        <v/>
      </c>
      <c r="Q116" s="61" t="str">
        <f>IFERROR(__xludf.DUMMYFUNCTION("""COMPUTED_VALUE"""),"")</f>
        <v/>
      </c>
      <c r="R116" s="202" t="str">
        <f>IFERROR(__xludf.DUMMYFUNCTION("""COMPUTED_VALUE"""),"B201")</f>
        <v>B201</v>
      </c>
      <c r="S116" s="180" t="str">
        <f>IFERROR(__xludf.DUMMYFUNCTION("""COMPUTED_VALUE"""),"Saber Monument")</f>
        <v>Saber Monument</v>
      </c>
      <c r="T116" s="185">
        <f>IFERROR(__xludf.DUMMYFUNCTION("""COMPUTED_VALUE"""),1.0)</f>
        <v>1</v>
      </c>
      <c r="U116" s="187" t="str">
        <f>IFERROR(__xludf.DUMMYFUNCTION("""COMPUTED_VALUE"""),"TRF28")</f>
        <v>TRF28</v>
      </c>
      <c r="V116" s="188" t="str">
        <f>IFERROR(__xludf.DUMMYFUNCTION("""COMPUTED_VALUE"""),"Chaldea Gate (Sun)")</f>
        <v>Chaldea Gate (Sun)</v>
      </c>
      <c r="W116" s="188" t="str">
        <f>IFERROR(__xludf.DUMMYFUNCTION("""COMPUTED_VALUE"""),"SUN Saber Training Ground- Exp")</f>
        <v>SUN Saber Training Ground- Exp</v>
      </c>
      <c r="X116" s="195">
        <f>IFERROR(__xludf.DUMMYFUNCTION("""COMPUTED_VALUE"""),40.0)</f>
        <v>40</v>
      </c>
      <c r="Y116" s="196">
        <f>IFERROR(__xludf.DUMMYFUNCTION("""COMPUTED_VALUE"""),20.46875)</f>
        <v>20.46875</v>
      </c>
      <c r="Z116" s="198">
        <f>IFERROR(__xludf.DUMMYFUNCTION("""COMPUTED_VALUE"""),74.6)</f>
        <v>74.6</v>
      </c>
      <c r="AA116" s="200" t="str">
        <f>IFERROR(__xludf.DUMMYFUNCTION("""COMPUTED_VALUE"""),"AP")</f>
        <v>AP</v>
      </c>
      <c r="AB116" s="198">
        <f>IFERROR(__xludf.DUMMYFUNCTION("""COMPUTED_VALUE"""),53.6)</f>
        <v>53.6</v>
      </c>
      <c r="AC116" s="201" t="str">
        <f>IFERROR(__xludf.DUMMYFUNCTION("""COMPUTED_VALUE"""),"％")</f>
        <v>％</v>
      </c>
      <c r="AD116" s="195">
        <f>IFERROR(__xludf.DUMMYFUNCTION("""COMPUTED_VALUE"""),21334.0)</f>
        <v>21334</v>
      </c>
      <c r="AE116" s="197" t="str">
        <f>IFERROR(__xludf.DUMMYFUNCTION("""COMPUTED_VALUE"""),"Saber Monument")</f>
        <v>Saber Monument</v>
      </c>
      <c r="AF116" s="372" t="str">
        <f>IFERROR(__xludf.DUMMYFUNCTION("""COMPUTED_VALUE"""),"")</f>
        <v/>
      </c>
    </row>
    <row r="117" ht="16.5" customHeight="1">
      <c r="C117" s="204"/>
      <c r="D117" s="208">
        <f>IFERROR(__xludf.DUMMYFUNCTION("""COMPUTED_VALUE"""),2.0)</f>
        <v>2</v>
      </c>
      <c r="E117" s="210" t="str">
        <f>IFERROR(__xludf.DUMMYFUNCTION("""COMPUTED_VALUE"""),"ANA10")</f>
        <v>ANA10</v>
      </c>
      <c r="F117" s="212" t="str">
        <f>IFERROR(__xludf.DUMMYFUNCTION("""COMPUTED_VALUE"""),"Anastasia")</f>
        <v>Anastasia</v>
      </c>
      <c r="G117" s="216" t="str">
        <f>IFERROR(__xludf.DUMMYFUNCTION("""COMPUTED_VALUE"""),"Trampled Village")</f>
        <v>Trampled Village</v>
      </c>
      <c r="H117" s="218">
        <f>IFERROR(__xludf.DUMMYFUNCTION("""COMPUTED_VALUE"""),21.0)</f>
        <v>21</v>
      </c>
      <c r="I117" s="219">
        <f>IFERROR(__xludf.DUMMYFUNCTION("""COMPUTED_VALUE"""),49.70238095238095)</f>
        <v>49.70238095</v>
      </c>
      <c r="J117" s="220">
        <f>IFERROR(__xludf.DUMMYFUNCTION("""COMPUTED_VALUE"""),82.1)</f>
        <v>82.1</v>
      </c>
      <c r="K117" s="221" t="str">
        <f>IFERROR(__xludf.DUMMYFUNCTION("""COMPUTED_VALUE"""),"AP")</f>
        <v>AP</v>
      </c>
      <c r="L117" s="220">
        <f>IFERROR(__xludf.DUMMYFUNCTION("""COMPUTED_VALUE"""),25.6)</f>
        <v>25.6</v>
      </c>
      <c r="M117" s="221" t="str">
        <f>IFERROR(__xludf.DUMMYFUNCTION("""COMPUTED_VALUE"""),"％")</f>
        <v>％</v>
      </c>
      <c r="N117" s="218">
        <f>IFERROR(__xludf.DUMMYFUNCTION("""COMPUTED_VALUE"""),7732.0)</f>
        <v>7732</v>
      </c>
      <c r="O117" s="217"/>
      <c r="P117" s="371" t="str">
        <f>IFERROR(__xludf.DUMMYFUNCTION("""COMPUTED_VALUE"""),"")</f>
        <v/>
      </c>
      <c r="R117" s="203"/>
      <c r="S117" s="204"/>
      <c r="T117" s="208">
        <f>IFERROR(__xludf.DUMMYFUNCTION("""COMPUTED_VALUE"""),2.0)</f>
        <v>2</v>
      </c>
      <c r="U117" s="210" t="str">
        <f>IFERROR(__xludf.DUMMYFUNCTION("""COMPUTED_VALUE"""),"TRF27")</f>
        <v>TRF27</v>
      </c>
      <c r="V117" s="212" t="str">
        <f>IFERROR(__xludf.DUMMYFUNCTION("""COMPUTED_VALUE"""),"Chaldea Gate (Sun)")</f>
        <v>Chaldea Gate (Sun)</v>
      </c>
      <c r="W117" s="212" t="str">
        <f>IFERROR(__xludf.DUMMYFUNCTION("""COMPUTED_VALUE"""),"SUN Saber Training Ground- Adv")</f>
        <v>SUN Saber Training Ground- Adv</v>
      </c>
      <c r="X117" s="218">
        <f>IFERROR(__xludf.DUMMYFUNCTION("""COMPUTED_VALUE"""),30.0)</f>
        <v>30</v>
      </c>
      <c r="Y117" s="219">
        <f>IFERROR(__xludf.DUMMYFUNCTION("""COMPUTED_VALUE"""),18.958333333333332)</f>
        <v>18.95833333</v>
      </c>
      <c r="Z117" s="220">
        <f>IFERROR(__xludf.DUMMYFUNCTION("""COMPUTED_VALUE"""),86.4)</f>
        <v>86.4</v>
      </c>
      <c r="AA117" s="221" t="str">
        <f>IFERROR(__xludf.DUMMYFUNCTION("""COMPUTED_VALUE"""),"AP")</f>
        <v>AP</v>
      </c>
      <c r="AB117" s="220">
        <f>IFERROR(__xludf.DUMMYFUNCTION("""COMPUTED_VALUE"""),34.7)</f>
        <v>34.7</v>
      </c>
      <c r="AC117" s="221" t="str">
        <f>IFERROR(__xludf.DUMMYFUNCTION("""COMPUTED_VALUE"""),"％")</f>
        <v>％</v>
      </c>
      <c r="AD117" s="218">
        <f>IFERROR(__xludf.DUMMYFUNCTION("""COMPUTED_VALUE"""),3782.0)</f>
        <v>3782</v>
      </c>
      <c r="AE117" s="217"/>
      <c r="AF117" s="372" t="str">
        <f>IFERROR(__xludf.DUMMYFUNCTION("""COMPUTED_VALUE"""),"")</f>
        <v/>
      </c>
    </row>
    <row r="118" ht="16.5" customHeight="1">
      <c r="C118" s="204"/>
      <c r="D118" s="225">
        <f>IFERROR(__xludf.DUMMYFUNCTION("""COMPUTED_VALUE"""),3.0)</f>
        <v>3</v>
      </c>
      <c r="E118" s="227" t="str">
        <f>IFERROR(__xludf.DUMMYFUNCTION("""COMPUTED_VALUE"""),"ANA14")</f>
        <v>ANA14</v>
      </c>
      <c r="F118" s="229" t="str">
        <f>IFERROR(__xludf.DUMMYFUNCTION("""COMPUTED_VALUE"""),"Anastasia")</f>
        <v>Anastasia</v>
      </c>
      <c r="G118" s="233" t="str">
        <f>IFERROR(__xludf.DUMMYFUNCTION("""COMPUTED_VALUE"""),"Yaga Ryazan")</f>
        <v>Yaga Ryazan</v>
      </c>
      <c r="H118" s="234">
        <f>IFERROR(__xludf.DUMMYFUNCTION("""COMPUTED_VALUE"""),21.0)</f>
        <v>21</v>
      </c>
      <c r="I118" s="235">
        <f>IFERROR(__xludf.DUMMYFUNCTION("""COMPUTED_VALUE"""),50.892857142857146)</f>
        <v>50.89285714</v>
      </c>
      <c r="J118" s="236">
        <f>IFERROR(__xludf.DUMMYFUNCTION("""COMPUTED_VALUE"""),86.4)</f>
        <v>86.4</v>
      </c>
      <c r="K118" s="237" t="str">
        <f>IFERROR(__xludf.DUMMYFUNCTION("""COMPUTED_VALUE"""),"AP")</f>
        <v>AP</v>
      </c>
      <c r="L118" s="236">
        <f>IFERROR(__xludf.DUMMYFUNCTION("""COMPUTED_VALUE"""),24.3)</f>
        <v>24.3</v>
      </c>
      <c r="M118" s="237" t="str">
        <f>IFERROR(__xludf.DUMMYFUNCTION("""COMPUTED_VALUE"""),"％")</f>
        <v>％</v>
      </c>
      <c r="N118" s="234">
        <f>IFERROR(__xludf.DUMMYFUNCTION("""COMPUTED_VALUE"""),15091.0)</f>
        <v>15091</v>
      </c>
      <c r="O118" s="217"/>
      <c r="P118" s="371" t="str">
        <f>IFERROR(__xludf.DUMMYFUNCTION("""COMPUTED_VALUE"""),"")</f>
        <v/>
      </c>
      <c r="R118" s="203"/>
      <c r="S118" s="204"/>
      <c r="T118" s="225">
        <f>IFERROR(__xludf.DUMMYFUNCTION("""COMPUTED_VALUE"""),3.0)</f>
        <v>3</v>
      </c>
      <c r="U118" s="227" t="str">
        <f>IFERROR(__xludf.DUMMYFUNCTION("""COMPUTED_VALUE"""),"TRF26")</f>
        <v>TRF26</v>
      </c>
      <c r="V118" s="229" t="str">
        <f>IFERROR(__xludf.DUMMYFUNCTION("""COMPUTED_VALUE"""),"Chaldea Gate (Sun)")</f>
        <v>Chaldea Gate (Sun)</v>
      </c>
      <c r="W118" s="229" t="str">
        <f>IFERROR(__xludf.DUMMYFUNCTION("""COMPUTED_VALUE"""),"SUN Saber Training Ground- Int")</f>
        <v>SUN Saber Training Ground- Int</v>
      </c>
      <c r="X118" s="234">
        <f>IFERROR(__xludf.DUMMYFUNCTION("""COMPUTED_VALUE"""),20.0)</f>
        <v>20</v>
      </c>
      <c r="Y118" s="235">
        <f>IFERROR(__xludf.DUMMYFUNCTION("""COMPUTED_VALUE"""),19.0625)</f>
        <v>19.0625</v>
      </c>
      <c r="Z118" s="236">
        <f>IFERROR(__xludf.DUMMYFUNCTION("""COMPUTED_VALUE"""),235.5)</f>
        <v>235.5</v>
      </c>
      <c r="AA118" s="237" t="str">
        <f>IFERROR(__xludf.DUMMYFUNCTION("""COMPUTED_VALUE"""),"AP")</f>
        <v>AP</v>
      </c>
      <c r="AB118" s="236">
        <f>IFERROR(__xludf.DUMMYFUNCTION("""COMPUTED_VALUE"""),8.5)</f>
        <v>8.5</v>
      </c>
      <c r="AC118" s="237" t="str">
        <f>IFERROR(__xludf.DUMMYFUNCTION("""COMPUTED_VALUE"""),"％")</f>
        <v>％</v>
      </c>
      <c r="AD118" s="234">
        <f>IFERROR(__xludf.DUMMYFUNCTION("""COMPUTED_VALUE"""),365.0)</f>
        <v>365</v>
      </c>
      <c r="AE118" s="217"/>
      <c r="AF118" s="372" t="str">
        <f>IFERROR(__xludf.DUMMYFUNCTION("""COMPUTED_VALUE"""),"")</f>
        <v/>
      </c>
    </row>
    <row r="119" ht="16.5" customHeight="1">
      <c r="C119" s="204"/>
      <c r="D119" s="239">
        <f>IFERROR(__xludf.DUMMYFUNCTION("""COMPUTED_VALUE"""),4.0)</f>
        <v>4</v>
      </c>
      <c r="E119" s="241" t="str">
        <f>IFERROR(__xludf.DUMMYFUNCTION("""COMPUTED_VALUE"""),"ANA8")</f>
        <v>ANA8</v>
      </c>
      <c r="F119" s="243" t="str">
        <f>IFERROR(__xludf.DUMMYFUNCTION("""COMPUTED_VALUE"""),"Anastasia")</f>
        <v>Anastasia</v>
      </c>
      <c r="G119" s="245" t="str">
        <f>IFERROR(__xludf.DUMMYFUNCTION("""COMPUTED_VALUE"""),"Yaga Demensk")</f>
        <v>Yaga Demensk</v>
      </c>
      <c r="H119" s="247">
        <f>IFERROR(__xludf.DUMMYFUNCTION("""COMPUTED_VALUE"""),21.0)</f>
        <v>21</v>
      </c>
      <c r="I119" s="249">
        <f>IFERROR(__xludf.DUMMYFUNCTION("""COMPUTED_VALUE"""),48.51190476190476)</f>
        <v>48.51190476</v>
      </c>
      <c r="J119" s="251">
        <f>IFERROR(__xludf.DUMMYFUNCTION("""COMPUTED_VALUE"""),94.0)</f>
        <v>94</v>
      </c>
      <c r="K119" s="253" t="str">
        <f>IFERROR(__xludf.DUMMYFUNCTION("""COMPUTED_VALUE"""),"AP")</f>
        <v>AP</v>
      </c>
      <c r="L119" s="251">
        <f>IFERROR(__xludf.DUMMYFUNCTION("""COMPUTED_VALUE"""),22.3)</f>
        <v>22.3</v>
      </c>
      <c r="M119" s="253" t="str">
        <f>IFERROR(__xludf.DUMMYFUNCTION("""COMPUTED_VALUE"""),"％")</f>
        <v>％</v>
      </c>
      <c r="N119" s="247">
        <f>IFERROR(__xludf.DUMMYFUNCTION("""COMPUTED_VALUE"""),452.0)</f>
        <v>452</v>
      </c>
      <c r="O119" s="217"/>
      <c r="P119" s="371" t="str">
        <f>IFERROR(__xludf.DUMMYFUNCTION("""COMPUTED_VALUE"""),"")</f>
        <v/>
      </c>
      <c r="R119" s="203"/>
      <c r="S119" s="204"/>
      <c r="T119" s="239">
        <f>IFERROR(__xludf.DUMMYFUNCTION("""COMPUTED_VALUE"""),4.0)</f>
        <v>4</v>
      </c>
      <c r="U119" s="241" t="str">
        <f>IFERROR(__xludf.DUMMYFUNCTION("""COMPUTED_VALUE"""),"CML12")</f>
        <v>CML12</v>
      </c>
      <c r="V119" s="243" t="str">
        <f>IFERROR(__xludf.DUMMYFUNCTION("""COMPUTED_VALUE"""),"Camelot")</f>
        <v>Camelot</v>
      </c>
      <c r="W119" s="245" t="str">
        <f>IFERROR(__xludf.DUMMYFUNCTION("""COMPUTED_VALUE"""),"Royal Castle")</f>
        <v>Royal Castle</v>
      </c>
      <c r="X119" s="247">
        <f>IFERROR(__xludf.DUMMYFUNCTION("""COMPUTED_VALUE"""),21.0)</f>
        <v>21</v>
      </c>
      <c r="Y119" s="249">
        <f>IFERROR(__xludf.DUMMYFUNCTION("""COMPUTED_VALUE"""),50.892857142857146)</f>
        <v>50.89285714</v>
      </c>
      <c r="Z119" s="251">
        <f>IFERROR(__xludf.DUMMYFUNCTION("""COMPUTED_VALUE"""),508.4)</f>
        <v>508.4</v>
      </c>
      <c r="AA119" s="253" t="str">
        <f>IFERROR(__xludf.DUMMYFUNCTION("""COMPUTED_VALUE"""),"AP")</f>
        <v>AP</v>
      </c>
      <c r="AB119" s="251">
        <f>IFERROR(__xludf.DUMMYFUNCTION("""COMPUTED_VALUE"""),4.1)</f>
        <v>4.1</v>
      </c>
      <c r="AC119" s="253" t="str">
        <f>IFERROR(__xludf.DUMMYFUNCTION("""COMPUTED_VALUE"""),"％")</f>
        <v>％</v>
      </c>
      <c r="AD119" s="247">
        <f>IFERROR(__xludf.DUMMYFUNCTION("""COMPUTED_VALUE"""),44258.0)</f>
        <v>44258</v>
      </c>
      <c r="AE119" s="217"/>
      <c r="AF119" s="372" t="str">
        <f>IFERROR(__xludf.DUMMYFUNCTION("""COMPUTED_VALUE"""),"")</f>
        <v/>
      </c>
    </row>
    <row r="120" ht="16.5" customHeight="1">
      <c r="A120" s="166"/>
      <c r="C120" s="255"/>
      <c r="D120" s="256">
        <f>IFERROR(__xludf.DUMMYFUNCTION("""COMPUTED_VALUE"""),5.0)</f>
        <v>5</v>
      </c>
      <c r="E120" s="257" t="str">
        <f>IFERROR(__xludf.DUMMYFUNCTION("""COMPUTED_VALUE"""),"ANA9")</f>
        <v>ANA9</v>
      </c>
      <c r="F120" s="42" t="str">
        <f>IFERROR(__xludf.DUMMYFUNCTION("""COMPUTED_VALUE"""),"Anastasia")</f>
        <v>Anastasia</v>
      </c>
      <c r="G120" s="258" t="str">
        <f>IFERROR(__xludf.DUMMYFUNCTION("""COMPUTED_VALUE"""),"Yaga Tula")</f>
        <v>Yaga Tula</v>
      </c>
      <c r="H120" s="259">
        <f>IFERROR(__xludf.DUMMYFUNCTION("""COMPUTED_VALUE"""),21.0)</f>
        <v>21</v>
      </c>
      <c r="I120" s="260">
        <f>IFERROR(__xludf.DUMMYFUNCTION("""COMPUTED_VALUE"""),48.51190476190476)</f>
        <v>48.51190476</v>
      </c>
      <c r="J120" s="261">
        <f>IFERROR(__xludf.DUMMYFUNCTION("""COMPUTED_VALUE"""),103.0)</f>
        <v>103</v>
      </c>
      <c r="K120" s="262" t="str">
        <f>IFERROR(__xludf.DUMMYFUNCTION("""COMPUTED_VALUE"""),"AP")</f>
        <v>AP</v>
      </c>
      <c r="L120" s="261">
        <f>IFERROR(__xludf.DUMMYFUNCTION("""COMPUTED_VALUE"""),20.4)</f>
        <v>20.4</v>
      </c>
      <c r="M120" s="262" t="str">
        <f>IFERROR(__xludf.DUMMYFUNCTION("""COMPUTED_VALUE"""),"％")</f>
        <v>％</v>
      </c>
      <c r="N120" s="259">
        <f>IFERROR(__xludf.DUMMYFUNCTION("""COMPUTED_VALUE"""),9991.0)</f>
        <v>9991</v>
      </c>
      <c r="O120" s="263"/>
      <c r="P120" s="371" t="str">
        <f>IFERROR(__xludf.DUMMYFUNCTION("""COMPUTED_VALUE"""),"")</f>
        <v/>
      </c>
      <c r="Q120" s="166"/>
      <c r="R120" s="254"/>
      <c r="S120" s="255"/>
      <c r="T120" s="256">
        <f>IFERROR(__xludf.DUMMYFUNCTION("""COMPUTED_VALUE"""),5.0)</f>
        <v>5</v>
      </c>
      <c r="U120" s="257" t="str">
        <f>IFERROR(__xludf.DUMMYFUNCTION("""COMPUTED_VALUE"""),"TRF25")</f>
        <v>TRF25</v>
      </c>
      <c r="V120" s="42" t="str">
        <f>IFERROR(__xludf.DUMMYFUNCTION("""COMPUTED_VALUE"""),"Chaldea Gate (Sun)")</f>
        <v>Chaldea Gate (Sun)</v>
      </c>
      <c r="W120" s="42" t="str">
        <f>IFERROR(__xludf.DUMMYFUNCTION("""COMPUTED_VALUE"""),"SUN Saber Training Ground- Nov")</f>
        <v>SUN Saber Training Ground- Nov</v>
      </c>
      <c r="X120" s="259">
        <f>IFERROR(__xludf.DUMMYFUNCTION("""COMPUTED_VALUE"""),10.0)</f>
        <v>10</v>
      </c>
      <c r="Y120" s="260">
        <f>IFERROR(__xludf.DUMMYFUNCTION("""COMPUTED_VALUE"""),19.375)</f>
        <v>19.375</v>
      </c>
      <c r="Z120" s="261">
        <f>IFERROR(__xludf.DUMMYFUNCTION("""COMPUTED_VALUE"""),486.7)</f>
        <v>486.7</v>
      </c>
      <c r="AA120" s="262" t="str">
        <f>IFERROR(__xludf.DUMMYFUNCTION("""COMPUTED_VALUE"""),"AP")</f>
        <v>AP</v>
      </c>
      <c r="AB120" s="261">
        <f>IFERROR(__xludf.DUMMYFUNCTION("""COMPUTED_VALUE"""),2.1)</f>
        <v>2.1</v>
      </c>
      <c r="AC120" s="262" t="str">
        <f>IFERROR(__xludf.DUMMYFUNCTION("""COMPUTED_VALUE"""),"％")</f>
        <v>％</v>
      </c>
      <c r="AD120" s="259">
        <f>IFERROR(__xludf.DUMMYFUNCTION("""COMPUTED_VALUE"""),4306.0)</f>
        <v>4306</v>
      </c>
      <c r="AE120" s="263"/>
      <c r="AF120" s="372" t="str">
        <f>IFERROR(__xludf.DUMMYFUNCTION("""COMPUTED_VALUE"""),"")</f>
        <v/>
      </c>
    </row>
    <row r="121" ht="16.5" customHeight="1">
      <c r="A121" s="61" t="str">
        <f>IFERROR(__xludf.DUMMYFUNCTION("""COMPUTED_VALUE"""),"")</f>
        <v/>
      </c>
      <c r="B121" s="367" t="str">
        <f>IFERROR(__xludf.DUMMYFUNCTION("""COMPUTED_VALUE"""),"A214")</f>
        <v>A214</v>
      </c>
      <c r="C121" s="65" t="str">
        <f>IFERROR(__xludf.DUMMYFUNCTION("""COMPUTED_VALUE"""),"Giant's Ring")</f>
        <v>Giant's Ring</v>
      </c>
      <c r="D121" s="70">
        <f>IFERROR(__xludf.DUMMYFUNCTION("""COMPUTED_VALUE"""),1.0)</f>
        <v>1</v>
      </c>
      <c r="E121" s="73" t="str">
        <f>IFERROR(__xludf.DUMMYFUNCTION("""COMPUTED_VALUE"""),"GTT3")</f>
        <v>GTT3</v>
      </c>
      <c r="F121" s="76" t="str">
        <f>IFERROR(__xludf.DUMMYFUNCTION("""COMPUTED_VALUE"""),"Götterdämmerung")</f>
        <v>Götterdämmerung</v>
      </c>
      <c r="G121" s="85" t="str">
        <f>IFERROR(__xludf.DUMMYFUNCTION("""COMPUTED_VALUE"""),"Giants' Flower Patio")</f>
        <v>Giants' Flower Patio</v>
      </c>
      <c r="H121" s="87">
        <f>IFERROR(__xludf.DUMMYFUNCTION("""COMPUTED_VALUE"""),20.0)</f>
        <v>20</v>
      </c>
      <c r="I121" s="90">
        <f>IFERROR(__xludf.DUMMYFUNCTION("""COMPUTED_VALUE"""),48.4375)</f>
        <v>48.4375</v>
      </c>
      <c r="J121" s="92">
        <f>IFERROR(__xludf.DUMMYFUNCTION("""COMPUTED_VALUE"""),48.9)</f>
        <v>48.9</v>
      </c>
      <c r="K121" s="94" t="str">
        <f>IFERROR(__xludf.DUMMYFUNCTION("""COMPUTED_VALUE"""),"AP")</f>
        <v>AP</v>
      </c>
      <c r="L121" s="96">
        <f>IFERROR(__xludf.DUMMYFUNCTION("""COMPUTED_VALUE"""),40.9)</f>
        <v>40.9</v>
      </c>
      <c r="M121" s="94" t="str">
        <f>IFERROR(__xludf.DUMMYFUNCTION("""COMPUTED_VALUE"""),"％")</f>
        <v>％</v>
      </c>
      <c r="N121" s="87">
        <f>IFERROR(__xludf.DUMMYFUNCTION("""COMPUTED_VALUE"""),9123.0)</f>
        <v>9123</v>
      </c>
      <c r="O121" s="97" t="str">
        <f>IFERROR(__xludf.DUMMYFUNCTION("""COMPUTED_VALUE"""),"Giant's Ring")</f>
        <v>Giant's Ring</v>
      </c>
      <c r="P121" s="371" t="str">
        <f>IFERROR(__xludf.DUMMYFUNCTION("""COMPUTED_VALUE"""),"")</f>
        <v/>
      </c>
      <c r="Q121" s="61" t="str">
        <f>IFERROR(__xludf.DUMMYFUNCTION("""COMPUTED_VALUE"""),"")</f>
        <v/>
      </c>
      <c r="R121" s="361" t="str">
        <f>IFERROR(__xludf.DUMMYFUNCTION("""COMPUTED_VALUE"""),"B202")</f>
        <v>B202</v>
      </c>
      <c r="S121" s="65" t="str">
        <f>IFERROR(__xludf.DUMMYFUNCTION("""COMPUTED_VALUE"""),"Archer Monument")</f>
        <v>Archer Monument</v>
      </c>
      <c r="T121" s="70">
        <f>IFERROR(__xludf.DUMMYFUNCTION("""COMPUTED_VALUE"""),1.0)</f>
        <v>1</v>
      </c>
      <c r="U121" s="73" t="str">
        <f>IFERROR(__xludf.DUMMYFUNCTION("""COMPUTED_VALUE"""),"TRF4")</f>
        <v>TRF4</v>
      </c>
      <c r="V121" s="76" t="str">
        <f>IFERROR(__xludf.DUMMYFUNCTION("""COMPUTED_VALUE"""),"Chaldea Gate (Mon)")</f>
        <v>Chaldea Gate (Mon)</v>
      </c>
      <c r="W121" s="76" t="str">
        <f>IFERROR(__xludf.DUMMYFUNCTION("""COMPUTED_VALUE"""),"MON Archer Training Ground- Exp")</f>
        <v>MON Archer Training Ground- Exp</v>
      </c>
      <c r="X121" s="87">
        <f>IFERROR(__xludf.DUMMYFUNCTION("""COMPUTED_VALUE"""),40.0)</f>
        <v>40</v>
      </c>
      <c r="Y121" s="90">
        <f>IFERROR(__xludf.DUMMYFUNCTION("""COMPUTED_VALUE"""),20.46875)</f>
        <v>20.46875</v>
      </c>
      <c r="Z121" s="92">
        <f>IFERROR(__xludf.DUMMYFUNCTION("""COMPUTED_VALUE"""),68.8)</f>
        <v>68.8</v>
      </c>
      <c r="AA121" s="94" t="str">
        <f>IFERROR(__xludf.DUMMYFUNCTION("""COMPUTED_VALUE"""),"AP")</f>
        <v>AP</v>
      </c>
      <c r="AB121" s="96">
        <f>IFERROR(__xludf.DUMMYFUNCTION("""COMPUTED_VALUE"""),58.1)</f>
        <v>58.1</v>
      </c>
      <c r="AC121" s="94" t="str">
        <f>IFERROR(__xludf.DUMMYFUNCTION("""COMPUTED_VALUE"""),"％")</f>
        <v>％</v>
      </c>
      <c r="AD121" s="87">
        <f>IFERROR(__xludf.DUMMYFUNCTION("""COMPUTED_VALUE"""),9159.0)</f>
        <v>9159</v>
      </c>
      <c r="AE121" s="97" t="str">
        <f>IFERROR(__xludf.DUMMYFUNCTION("""COMPUTED_VALUE"""),"Archer Monument")</f>
        <v>Archer Monument</v>
      </c>
      <c r="AF121" s="372" t="str">
        <f>IFERROR(__xludf.DUMMYFUNCTION("""COMPUTED_VALUE"""),"")</f>
        <v/>
      </c>
    </row>
    <row r="122" ht="16.5" customHeight="1">
      <c r="C122" s="100"/>
      <c r="D122" s="105">
        <f>IFERROR(__xludf.DUMMYFUNCTION("""COMPUTED_VALUE"""),2.0)</f>
        <v>2</v>
      </c>
      <c r="E122" s="106" t="str">
        <f>IFERROR(__xludf.DUMMYFUNCTION("""COMPUTED_VALUE"""),"GTT10")</f>
        <v>GTT10</v>
      </c>
      <c r="F122" s="107" t="str">
        <f>IFERROR(__xludf.DUMMYFUNCTION("""COMPUTED_VALUE"""),"Götterdämmerung")</f>
        <v>Götterdämmerung</v>
      </c>
      <c r="G122" s="114" t="str">
        <f>IFERROR(__xludf.DUMMYFUNCTION("""COMPUTED_VALUE"""),"Northern Boundary")</f>
        <v>Northern Boundary</v>
      </c>
      <c r="H122" s="116">
        <f>IFERROR(__xludf.DUMMYFUNCTION("""COMPUTED_VALUE"""),21.0)</f>
        <v>21</v>
      </c>
      <c r="I122" s="118">
        <f>IFERROR(__xludf.DUMMYFUNCTION("""COMPUTED_VALUE"""),50.892857142857146)</f>
        <v>50.89285714</v>
      </c>
      <c r="J122" s="120">
        <f>IFERROR(__xludf.DUMMYFUNCTION("""COMPUTED_VALUE"""),81.6)</f>
        <v>81.6</v>
      </c>
      <c r="K122" s="122" t="str">
        <f>IFERROR(__xludf.DUMMYFUNCTION("""COMPUTED_VALUE"""),"AP")</f>
        <v>AP</v>
      </c>
      <c r="L122" s="124">
        <f>IFERROR(__xludf.DUMMYFUNCTION("""COMPUTED_VALUE"""),25.7)</f>
        <v>25.7</v>
      </c>
      <c r="M122" s="122" t="str">
        <f>IFERROR(__xludf.DUMMYFUNCTION("""COMPUTED_VALUE"""),"％")</f>
        <v>％</v>
      </c>
      <c r="N122" s="116">
        <f>IFERROR(__xludf.DUMMYFUNCTION("""COMPUTED_VALUE"""),3576.0)</f>
        <v>3576</v>
      </c>
      <c r="O122" s="100"/>
      <c r="P122" s="371" t="str">
        <f>IFERROR(__xludf.DUMMYFUNCTION("""COMPUTED_VALUE"""),"")</f>
        <v/>
      </c>
      <c r="R122" s="358"/>
      <c r="S122" s="100"/>
      <c r="T122" s="105">
        <f>IFERROR(__xludf.DUMMYFUNCTION("""COMPUTED_VALUE"""),2.0)</f>
        <v>2</v>
      </c>
      <c r="U122" s="106" t="str">
        <f>IFERROR(__xludf.DUMMYFUNCTION("""COMPUTED_VALUE"""),"TRF3")</f>
        <v>TRF3</v>
      </c>
      <c r="V122" s="107" t="str">
        <f>IFERROR(__xludf.DUMMYFUNCTION("""COMPUTED_VALUE"""),"Chaldea Gate (Mon)")</f>
        <v>Chaldea Gate (Mon)</v>
      </c>
      <c r="W122" s="107" t="str">
        <f>IFERROR(__xludf.DUMMYFUNCTION("""COMPUTED_VALUE"""),"MON Archer Training Ground- Adv")</f>
        <v>MON Archer Training Ground- Adv</v>
      </c>
      <c r="X122" s="116">
        <f>IFERROR(__xludf.DUMMYFUNCTION("""COMPUTED_VALUE"""),30.0)</f>
        <v>30</v>
      </c>
      <c r="Y122" s="118">
        <f>IFERROR(__xludf.DUMMYFUNCTION("""COMPUTED_VALUE"""),18.958333333333332)</f>
        <v>18.95833333</v>
      </c>
      <c r="Z122" s="120">
        <f>IFERROR(__xludf.DUMMYFUNCTION("""COMPUTED_VALUE"""),84.9)</f>
        <v>84.9</v>
      </c>
      <c r="AA122" s="122" t="str">
        <f>IFERROR(__xludf.DUMMYFUNCTION("""COMPUTED_VALUE"""),"AP")</f>
        <v>AP</v>
      </c>
      <c r="AB122" s="124">
        <f>IFERROR(__xludf.DUMMYFUNCTION("""COMPUTED_VALUE"""),35.3)</f>
        <v>35.3</v>
      </c>
      <c r="AC122" s="122" t="str">
        <f>IFERROR(__xludf.DUMMYFUNCTION("""COMPUTED_VALUE"""),"％")</f>
        <v>％</v>
      </c>
      <c r="AD122" s="116">
        <f>IFERROR(__xludf.DUMMYFUNCTION("""COMPUTED_VALUE"""),817.0)</f>
        <v>817</v>
      </c>
      <c r="AE122" s="100"/>
      <c r="AF122" s="372" t="str">
        <f>IFERROR(__xludf.DUMMYFUNCTION("""COMPUTED_VALUE"""),"")</f>
        <v/>
      </c>
    </row>
    <row r="123" ht="16.5" customHeight="1">
      <c r="C123" s="100"/>
      <c r="D123" s="128">
        <f>IFERROR(__xludf.DUMMYFUNCTION("""COMPUTED_VALUE"""),3.0)</f>
        <v>3</v>
      </c>
      <c r="E123" s="129" t="str">
        <f>IFERROR(__xludf.DUMMYFUNCTION("""COMPUTED_VALUE"""),"GTT10")</f>
        <v>GTT10</v>
      </c>
      <c r="F123" s="131" t="str">
        <f>IFERROR(__xludf.DUMMYFUNCTION("""COMPUTED_VALUE"""),"Götterdämmerung")</f>
        <v>Götterdämmerung</v>
      </c>
      <c r="G123" s="134" t="str">
        <f>IFERROR(__xludf.DUMMYFUNCTION("""COMPUTED_VALUE"""),"Northern Boundary")</f>
        <v>Northern Boundary</v>
      </c>
      <c r="H123" s="136">
        <f>IFERROR(__xludf.DUMMYFUNCTION("""COMPUTED_VALUE"""),21.0)</f>
        <v>21</v>
      </c>
      <c r="I123" s="138">
        <f>IFERROR(__xludf.DUMMYFUNCTION("""COMPUTED_VALUE"""),50.892857142857146)</f>
        <v>50.89285714</v>
      </c>
      <c r="J123" s="140">
        <f>IFERROR(__xludf.DUMMYFUNCTION("""COMPUTED_VALUE"""),81.6)</f>
        <v>81.6</v>
      </c>
      <c r="K123" s="142" t="str">
        <f>IFERROR(__xludf.DUMMYFUNCTION("""COMPUTED_VALUE"""),"AP")</f>
        <v>AP</v>
      </c>
      <c r="L123" s="144">
        <f>IFERROR(__xludf.DUMMYFUNCTION("""COMPUTED_VALUE"""),25.7)</f>
        <v>25.7</v>
      </c>
      <c r="M123" s="142" t="str">
        <f>IFERROR(__xludf.DUMMYFUNCTION("""COMPUTED_VALUE"""),"％")</f>
        <v>％</v>
      </c>
      <c r="N123" s="136">
        <f>IFERROR(__xludf.DUMMYFUNCTION("""COMPUTED_VALUE"""),3576.0)</f>
        <v>3576</v>
      </c>
      <c r="O123" s="100"/>
      <c r="P123" s="371" t="str">
        <f>IFERROR(__xludf.DUMMYFUNCTION("""COMPUTED_VALUE"""),"")</f>
        <v/>
      </c>
      <c r="R123" s="358"/>
      <c r="S123" s="100"/>
      <c r="T123" s="128">
        <f>IFERROR(__xludf.DUMMYFUNCTION("""COMPUTED_VALUE"""),3.0)</f>
        <v>3</v>
      </c>
      <c r="U123" s="129" t="str">
        <f>IFERROR(__xludf.DUMMYFUNCTION("""COMPUTED_VALUE"""),"TRF2")</f>
        <v>TRF2</v>
      </c>
      <c r="V123" s="131" t="str">
        <f>IFERROR(__xludf.DUMMYFUNCTION("""COMPUTED_VALUE"""),"Chaldea Gate (Mon)")</f>
        <v>Chaldea Gate (Mon)</v>
      </c>
      <c r="W123" s="131" t="str">
        <f>IFERROR(__xludf.DUMMYFUNCTION("""COMPUTED_VALUE"""),"MON Archer Training Ground- Int")</f>
        <v>MON Archer Training Ground- Int</v>
      </c>
      <c r="X123" s="136">
        <f>IFERROR(__xludf.DUMMYFUNCTION("""COMPUTED_VALUE"""),20.0)</f>
        <v>20</v>
      </c>
      <c r="Y123" s="138">
        <f>IFERROR(__xludf.DUMMYFUNCTION("""COMPUTED_VALUE"""),19.0625)</f>
        <v>19.0625</v>
      </c>
      <c r="Z123" s="140">
        <f>IFERROR(__xludf.DUMMYFUNCTION("""COMPUTED_VALUE"""),305.6)</f>
        <v>305.6</v>
      </c>
      <c r="AA123" s="142" t="str">
        <f>IFERROR(__xludf.DUMMYFUNCTION("""COMPUTED_VALUE"""),"AP")</f>
        <v>AP</v>
      </c>
      <c r="AB123" s="144">
        <f>IFERROR(__xludf.DUMMYFUNCTION("""COMPUTED_VALUE"""),6.5)</f>
        <v>6.5</v>
      </c>
      <c r="AC123" s="142" t="str">
        <f>IFERROR(__xludf.DUMMYFUNCTION("""COMPUTED_VALUE"""),"％")</f>
        <v>％</v>
      </c>
      <c r="AD123" s="136">
        <f>IFERROR(__xludf.DUMMYFUNCTION("""COMPUTED_VALUE"""),657.0)</f>
        <v>657</v>
      </c>
      <c r="AE123" s="100"/>
      <c r="AF123" s="372" t="str">
        <f>IFERROR(__xludf.DUMMYFUNCTION("""COMPUTED_VALUE"""),"")</f>
        <v/>
      </c>
    </row>
    <row r="124" ht="16.5" customHeight="1">
      <c r="C124" s="100"/>
      <c r="D124" s="147">
        <f>IFERROR(__xludf.DUMMYFUNCTION("""COMPUTED_VALUE"""),4.0)</f>
        <v>4</v>
      </c>
      <c r="E124" s="149" t="str">
        <f>IFERROR(__xludf.DUMMYFUNCTION("""COMPUTED_VALUE"""),"GTT8")</f>
        <v>GTT8</v>
      </c>
      <c r="F124" s="151" t="str">
        <f>IFERROR(__xludf.DUMMYFUNCTION("""COMPUTED_VALUE"""),"Götterdämmerung")</f>
        <v>Götterdämmerung</v>
      </c>
      <c r="G124" s="153" t="str">
        <f>IFERROR(__xludf.DUMMYFUNCTION("""COMPUTED_VALUE"""),"Ablazed Mansion")</f>
        <v>Ablazed Mansion</v>
      </c>
      <c r="H124" s="155">
        <f>IFERROR(__xludf.DUMMYFUNCTION("""COMPUTED_VALUE"""),21.0)</f>
        <v>21</v>
      </c>
      <c r="I124" s="157">
        <f>IFERROR(__xludf.DUMMYFUNCTION("""COMPUTED_VALUE"""),49.70238095238095)</f>
        <v>49.70238095</v>
      </c>
      <c r="J124" s="159">
        <f>IFERROR(__xludf.DUMMYFUNCTION("""COMPUTED_VALUE"""),81.8)</f>
        <v>81.8</v>
      </c>
      <c r="K124" s="161" t="str">
        <f>IFERROR(__xludf.DUMMYFUNCTION("""COMPUTED_VALUE"""),"AP")</f>
        <v>AP</v>
      </c>
      <c r="L124" s="163">
        <f>IFERROR(__xludf.DUMMYFUNCTION("""COMPUTED_VALUE"""),25.689999999999998)</f>
        <v>25.69</v>
      </c>
      <c r="M124" s="161" t="str">
        <f>IFERROR(__xludf.DUMMYFUNCTION("""COMPUTED_VALUE"""),"％")</f>
        <v>％</v>
      </c>
      <c r="N124" s="155">
        <f>IFERROR(__xludf.DUMMYFUNCTION("""COMPUTED_VALUE"""),14129.0)</f>
        <v>14129</v>
      </c>
      <c r="O124" s="100"/>
      <c r="P124" s="371" t="str">
        <f>IFERROR(__xludf.DUMMYFUNCTION("""COMPUTED_VALUE"""),"")</f>
        <v/>
      </c>
      <c r="R124" s="358"/>
      <c r="S124" s="100"/>
      <c r="T124" s="147">
        <f>IFERROR(__xludf.DUMMYFUNCTION("""COMPUTED_VALUE"""),4.0)</f>
        <v>4</v>
      </c>
      <c r="U124" s="149" t="str">
        <f>IFERROR(__xludf.DUMMYFUNCTION("""COMPUTED_VALUE"""),"EPU8")</f>
        <v>EPU8</v>
      </c>
      <c r="V124" s="151" t="str">
        <f>IFERROR(__xludf.DUMMYFUNCTION("""COMPUTED_VALUE"""),"E Pluribus Unum")</f>
        <v>E Pluribus Unum</v>
      </c>
      <c r="W124" s="153" t="str">
        <f>IFERROR(__xludf.DUMMYFUNCTION("""COMPUTED_VALUE"""),"Montgomery")</f>
        <v>Montgomery</v>
      </c>
      <c r="X124" s="155">
        <f>IFERROR(__xludf.DUMMYFUNCTION("""COMPUTED_VALUE"""),18.0)</f>
        <v>18</v>
      </c>
      <c r="Y124" s="157">
        <f>IFERROR(__xludf.DUMMYFUNCTION("""COMPUTED_VALUE"""),44.09722222222222)</f>
        <v>44.09722222</v>
      </c>
      <c r="Z124" s="159">
        <f>IFERROR(__xludf.DUMMYFUNCTION("""COMPUTED_VALUE"""),406.3)</f>
        <v>406.3</v>
      </c>
      <c r="AA124" s="161" t="str">
        <f>IFERROR(__xludf.DUMMYFUNCTION("""COMPUTED_VALUE"""),"AP")</f>
        <v>AP</v>
      </c>
      <c r="AB124" s="163">
        <f>IFERROR(__xludf.DUMMYFUNCTION("""COMPUTED_VALUE"""),4.4)</f>
        <v>4.4</v>
      </c>
      <c r="AC124" s="161" t="str">
        <f>IFERROR(__xludf.DUMMYFUNCTION("""COMPUTED_VALUE"""),"％")</f>
        <v>％</v>
      </c>
      <c r="AD124" s="155">
        <f>IFERROR(__xludf.DUMMYFUNCTION("""COMPUTED_VALUE"""),2068.0)</f>
        <v>2068</v>
      </c>
      <c r="AE124" s="100"/>
      <c r="AF124" s="372" t="str">
        <f>IFERROR(__xludf.DUMMYFUNCTION("""COMPUTED_VALUE"""),"")</f>
        <v/>
      </c>
    </row>
    <row r="125" ht="16.5" customHeight="1">
      <c r="A125" s="166"/>
      <c r="C125" s="168"/>
      <c r="D125" s="169">
        <f>IFERROR(__xludf.DUMMYFUNCTION("""COMPUTED_VALUE"""),5.0)</f>
        <v>5</v>
      </c>
      <c r="E125" s="170" t="str">
        <f>IFERROR(__xludf.DUMMYFUNCTION("""COMPUTED_VALUE"""),"GTT5")</f>
        <v>GTT5</v>
      </c>
      <c r="F125" s="51" t="str">
        <f>IFERROR(__xludf.DUMMYFUNCTION("""COMPUTED_VALUE"""),"Götterdämmerung")</f>
        <v>Götterdämmerung</v>
      </c>
      <c r="G125" s="171" t="str">
        <f>IFERROR(__xludf.DUMMYFUNCTION("""COMPUTED_VALUE"""),"Heroes' Cellar")</f>
        <v>Heroes' Cellar</v>
      </c>
      <c r="H125" s="172">
        <f>IFERROR(__xludf.DUMMYFUNCTION("""COMPUTED_VALUE"""),21.0)</f>
        <v>21</v>
      </c>
      <c r="I125" s="173">
        <f>IFERROR(__xludf.DUMMYFUNCTION("""COMPUTED_VALUE"""),47.32142857142857)</f>
        <v>47.32142857</v>
      </c>
      <c r="J125" s="174">
        <f>IFERROR(__xludf.DUMMYFUNCTION("""COMPUTED_VALUE"""),82.2)</f>
        <v>82.2</v>
      </c>
      <c r="K125" s="175" t="str">
        <f>IFERROR(__xludf.DUMMYFUNCTION("""COMPUTED_VALUE"""),"AP")</f>
        <v>AP</v>
      </c>
      <c r="L125" s="176">
        <f>IFERROR(__xludf.DUMMYFUNCTION("""COMPUTED_VALUE"""),25.48)</f>
        <v>25.48</v>
      </c>
      <c r="M125" s="175" t="str">
        <f>IFERROR(__xludf.DUMMYFUNCTION("""COMPUTED_VALUE"""),"％")</f>
        <v>％</v>
      </c>
      <c r="N125" s="172">
        <f>IFERROR(__xludf.DUMMYFUNCTION("""COMPUTED_VALUE"""),5652.0)</f>
        <v>5652</v>
      </c>
      <c r="O125" s="168"/>
      <c r="P125" s="371" t="str">
        <f>IFERROR(__xludf.DUMMYFUNCTION("""COMPUTED_VALUE"""),"")</f>
        <v/>
      </c>
      <c r="Q125" s="166"/>
      <c r="R125" s="359"/>
      <c r="S125" s="168"/>
      <c r="T125" s="169">
        <f>IFERROR(__xludf.DUMMYFUNCTION("""COMPUTED_VALUE"""),5.0)</f>
        <v>5</v>
      </c>
      <c r="U125" s="170" t="str">
        <f>IFERROR(__xludf.DUMMYFUNCTION("""COMPUTED_VALUE"""),"TRF1")</f>
        <v>TRF1</v>
      </c>
      <c r="V125" s="51" t="str">
        <f>IFERROR(__xludf.DUMMYFUNCTION("""COMPUTED_VALUE"""),"Chaldea Gate (Mon)")</f>
        <v>Chaldea Gate (Mon)</v>
      </c>
      <c r="W125" s="51" t="str">
        <f>IFERROR(__xludf.DUMMYFUNCTION("""COMPUTED_VALUE"""),"MON Archer Training Ground- Nov")</f>
        <v>MON Archer Training Ground- Nov</v>
      </c>
      <c r="X125" s="172">
        <f>IFERROR(__xludf.DUMMYFUNCTION("""COMPUTED_VALUE"""),10.0)</f>
        <v>10</v>
      </c>
      <c r="Y125" s="173">
        <f>IFERROR(__xludf.DUMMYFUNCTION("""COMPUTED_VALUE"""),19.375)</f>
        <v>19.375</v>
      </c>
      <c r="Z125" s="174">
        <f>IFERROR(__xludf.DUMMYFUNCTION("""COMPUTED_VALUE"""),556.4)</f>
        <v>556.4</v>
      </c>
      <c r="AA125" s="175" t="str">
        <f>IFERROR(__xludf.DUMMYFUNCTION("""COMPUTED_VALUE"""),"AP")</f>
        <v>AP</v>
      </c>
      <c r="AB125" s="176">
        <f>IFERROR(__xludf.DUMMYFUNCTION("""COMPUTED_VALUE"""),1.8)</f>
        <v>1.8</v>
      </c>
      <c r="AC125" s="175" t="str">
        <f>IFERROR(__xludf.DUMMYFUNCTION("""COMPUTED_VALUE"""),"％")</f>
        <v>％</v>
      </c>
      <c r="AD125" s="172">
        <f>IFERROR(__xludf.DUMMYFUNCTION("""COMPUTED_VALUE"""),1558.0)</f>
        <v>1558</v>
      </c>
      <c r="AE125" s="168"/>
      <c r="AF125" s="372" t="str">
        <f>IFERROR(__xludf.DUMMYFUNCTION("""COMPUTED_VALUE"""),"")</f>
        <v/>
      </c>
    </row>
    <row r="126" ht="16.5" customHeight="1">
      <c r="A126" s="61" t="str">
        <f>IFERROR(__xludf.DUMMYFUNCTION("""COMPUTED_VALUE"""),"")</f>
        <v/>
      </c>
      <c r="B126" s="366" t="str">
        <f>IFERROR(__xludf.DUMMYFUNCTION("""COMPUTED_VALUE"""),"A215")</f>
        <v>A215</v>
      </c>
      <c r="C126" s="180" t="str">
        <f>IFERROR(__xludf.DUMMYFUNCTION("""COMPUTED_VALUE"""),"Aurora Steel")</f>
        <v>Aurora Steel</v>
      </c>
      <c r="D126" s="185">
        <f>IFERROR(__xludf.DUMMYFUNCTION("""COMPUTED_VALUE"""),1.0)</f>
        <v>1</v>
      </c>
      <c r="E126" s="187" t="str">
        <f>IFERROR(__xludf.DUMMYFUNCTION("""COMPUTED_VALUE"""),"GTT6")</f>
        <v>GTT6</v>
      </c>
      <c r="F126" s="188" t="str">
        <f>IFERROR(__xludf.DUMMYFUNCTION("""COMPUTED_VALUE"""),"Götterdämmerung")</f>
        <v>Götterdämmerung</v>
      </c>
      <c r="G126" s="193" t="str">
        <f>IFERROR(__xludf.DUMMYFUNCTION("""COMPUTED_VALUE"""),"Castle of Ice and Snow")</f>
        <v>Castle of Ice and Snow</v>
      </c>
      <c r="H126" s="195">
        <f>IFERROR(__xludf.DUMMYFUNCTION("""COMPUTED_VALUE"""),21.0)</f>
        <v>21</v>
      </c>
      <c r="I126" s="196">
        <f>IFERROR(__xludf.DUMMYFUNCTION("""COMPUTED_VALUE"""),48.51190476190476)</f>
        <v>48.51190476</v>
      </c>
      <c r="J126" s="198">
        <f>IFERROR(__xludf.DUMMYFUNCTION("""COMPUTED_VALUE"""),54.0)</f>
        <v>54</v>
      </c>
      <c r="K126" s="200" t="str">
        <f>IFERROR(__xludf.DUMMYFUNCTION("""COMPUTED_VALUE"""),"AP")</f>
        <v>AP</v>
      </c>
      <c r="L126" s="198">
        <f>IFERROR(__xludf.DUMMYFUNCTION("""COMPUTED_VALUE"""),38.9)</f>
        <v>38.9</v>
      </c>
      <c r="M126" s="201" t="str">
        <f>IFERROR(__xludf.DUMMYFUNCTION("""COMPUTED_VALUE"""),"％")</f>
        <v>％</v>
      </c>
      <c r="N126" s="195">
        <f>IFERROR(__xludf.DUMMYFUNCTION("""COMPUTED_VALUE"""),8569.0)</f>
        <v>8569</v>
      </c>
      <c r="O126" s="197" t="str">
        <f>IFERROR(__xludf.DUMMYFUNCTION("""COMPUTED_VALUE"""),"Aurora Steel")</f>
        <v>Aurora Steel</v>
      </c>
      <c r="P126" s="371" t="str">
        <f>IFERROR(__xludf.DUMMYFUNCTION("""COMPUTED_VALUE"""),"")</f>
        <v/>
      </c>
      <c r="Q126" s="61" t="str">
        <f>IFERROR(__xludf.DUMMYFUNCTION("""COMPUTED_VALUE"""),"")</f>
        <v/>
      </c>
      <c r="R126" s="202" t="str">
        <f>IFERROR(__xludf.DUMMYFUNCTION("""COMPUTED_VALUE"""),"B203")</f>
        <v>B203</v>
      </c>
      <c r="S126" s="180" t="str">
        <f>IFERROR(__xludf.DUMMYFUNCTION("""COMPUTED_VALUE"""),"Lancer Monument")</f>
        <v>Lancer Monument</v>
      </c>
      <c r="T126" s="185">
        <f>IFERROR(__xludf.DUMMYFUNCTION("""COMPUTED_VALUE"""),1.0)</f>
        <v>1</v>
      </c>
      <c r="U126" s="187" t="str">
        <f>IFERROR(__xludf.DUMMYFUNCTION("""COMPUTED_VALUE"""),"TRF8")</f>
        <v>TRF8</v>
      </c>
      <c r="V126" s="188" t="str">
        <f>IFERROR(__xludf.DUMMYFUNCTION("""COMPUTED_VALUE"""),"Chaldea Gate (Tue)")</f>
        <v>Chaldea Gate (Tue)</v>
      </c>
      <c r="W126" s="188" t="str">
        <f>IFERROR(__xludf.DUMMYFUNCTION("""COMPUTED_VALUE"""),"TUE Lancer Training Ground- Exp")</f>
        <v>TUE Lancer Training Ground- Exp</v>
      </c>
      <c r="X126" s="195">
        <f>IFERROR(__xludf.DUMMYFUNCTION("""COMPUTED_VALUE"""),40.0)</f>
        <v>40</v>
      </c>
      <c r="Y126" s="196">
        <f>IFERROR(__xludf.DUMMYFUNCTION("""COMPUTED_VALUE"""),20.46875)</f>
        <v>20.46875</v>
      </c>
      <c r="Z126" s="198">
        <f>IFERROR(__xludf.DUMMYFUNCTION("""COMPUTED_VALUE"""),72.2)</f>
        <v>72.2</v>
      </c>
      <c r="AA126" s="200" t="str">
        <f>IFERROR(__xludf.DUMMYFUNCTION("""COMPUTED_VALUE"""),"AP")</f>
        <v>AP</v>
      </c>
      <c r="AB126" s="198">
        <f>IFERROR(__xludf.DUMMYFUNCTION("""COMPUTED_VALUE"""),55.4)</f>
        <v>55.4</v>
      </c>
      <c r="AC126" s="201" t="str">
        <f>IFERROR(__xludf.DUMMYFUNCTION("""COMPUTED_VALUE"""),"％")</f>
        <v>％</v>
      </c>
      <c r="AD126" s="195">
        <f>IFERROR(__xludf.DUMMYFUNCTION("""COMPUTED_VALUE"""),5650.0)</f>
        <v>5650</v>
      </c>
      <c r="AE126" s="197" t="str">
        <f>IFERROR(__xludf.DUMMYFUNCTION("""COMPUTED_VALUE"""),"Lancer Monument")</f>
        <v>Lancer Monument</v>
      </c>
      <c r="AF126" s="372" t="str">
        <f>IFERROR(__xludf.DUMMYFUNCTION("""COMPUTED_VALUE"""),"")</f>
        <v/>
      </c>
    </row>
    <row r="127" ht="16.5" customHeight="1">
      <c r="C127" s="204"/>
      <c r="D127" s="208">
        <f>IFERROR(__xludf.DUMMYFUNCTION("""COMPUTED_VALUE"""),2.0)</f>
        <v>2</v>
      </c>
      <c r="E127" s="210" t="str">
        <f>IFERROR(__xludf.DUMMYFUNCTION("""COMPUTED_VALUE"""),"GTT9")</f>
        <v>GTT9</v>
      </c>
      <c r="F127" s="212" t="str">
        <f>IFERROR(__xludf.DUMMYFUNCTION("""COMPUTED_VALUE"""),"Götterdämmerung")</f>
        <v>Götterdämmerung</v>
      </c>
      <c r="G127" s="216" t="str">
        <f>IFERROR(__xludf.DUMMYFUNCTION("""COMPUTED_VALUE"""),"67th Settlement")</f>
        <v>67th Settlement</v>
      </c>
      <c r="H127" s="218">
        <f>IFERROR(__xludf.DUMMYFUNCTION("""COMPUTED_VALUE"""),21.0)</f>
        <v>21</v>
      </c>
      <c r="I127" s="219">
        <f>IFERROR(__xludf.DUMMYFUNCTION("""COMPUTED_VALUE"""),49.70238095238095)</f>
        <v>49.70238095</v>
      </c>
      <c r="J127" s="220">
        <f>IFERROR(__xludf.DUMMYFUNCTION("""COMPUTED_VALUE"""),82.7)</f>
        <v>82.7</v>
      </c>
      <c r="K127" s="221" t="str">
        <f>IFERROR(__xludf.DUMMYFUNCTION("""COMPUTED_VALUE"""),"AP")</f>
        <v>AP</v>
      </c>
      <c r="L127" s="220">
        <f>IFERROR(__xludf.DUMMYFUNCTION("""COMPUTED_VALUE"""),25.4)</f>
        <v>25.4</v>
      </c>
      <c r="M127" s="221" t="str">
        <f>IFERROR(__xludf.DUMMYFUNCTION("""COMPUTED_VALUE"""),"％")</f>
        <v>％</v>
      </c>
      <c r="N127" s="218">
        <f>IFERROR(__xludf.DUMMYFUNCTION("""COMPUTED_VALUE"""),1000.0)</f>
        <v>1000</v>
      </c>
      <c r="O127" s="217"/>
      <c r="P127" s="371" t="str">
        <f>IFERROR(__xludf.DUMMYFUNCTION("""COMPUTED_VALUE"""),"")</f>
        <v/>
      </c>
      <c r="R127" s="203"/>
      <c r="S127" s="204"/>
      <c r="T127" s="208">
        <f>IFERROR(__xludf.DUMMYFUNCTION("""COMPUTED_VALUE"""),2.0)</f>
        <v>2</v>
      </c>
      <c r="U127" s="210" t="str">
        <f>IFERROR(__xludf.DUMMYFUNCTION("""COMPUTED_VALUE"""),"TRF7")</f>
        <v>TRF7</v>
      </c>
      <c r="V127" s="212" t="str">
        <f>IFERROR(__xludf.DUMMYFUNCTION("""COMPUTED_VALUE"""),"Chaldea Gate (Tue)")</f>
        <v>Chaldea Gate (Tue)</v>
      </c>
      <c r="W127" s="212" t="str">
        <f>IFERROR(__xludf.DUMMYFUNCTION("""COMPUTED_VALUE"""),"TUE Lancer Training Ground- Adv")</f>
        <v>TUE Lancer Training Ground- Adv</v>
      </c>
      <c r="X127" s="218">
        <f>IFERROR(__xludf.DUMMYFUNCTION("""COMPUTED_VALUE"""),30.0)</f>
        <v>30</v>
      </c>
      <c r="Y127" s="219">
        <f>IFERROR(__xludf.DUMMYFUNCTION("""COMPUTED_VALUE"""),18.958333333333332)</f>
        <v>18.95833333</v>
      </c>
      <c r="Z127" s="220">
        <f>IFERROR(__xludf.DUMMYFUNCTION("""COMPUTED_VALUE"""),85.3)</f>
        <v>85.3</v>
      </c>
      <c r="AA127" s="221" t="str">
        <f>IFERROR(__xludf.DUMMYFUNCTION("""COMPUTED_VALUE"""),"AP")</f>
        <v>AP</v>
      </c>
      <c r="AB127" s="220">
        <f>IFERROR(__xludf.DUMMYFUNCTION("""COMPUTED_VALUE"""),35.2)</f>
        <v>35.2</v>
      </c>
      <c r="AC127" s="221" t="str">
        <f>IFERROR(__xludf.DUMMYFUNCTION("""COMPUTED_VALUE"""),"％")</f>
        <v>％</v>
      </c>
      <c r="AD127" s="218">
        <f>IFERROR(__xludf.DUMMYFUNCTION("""COMPUTED_VALUE"""),1022.0)</f>
        <v>1022</v>
      </c>
      <c r="AE127" s="217"/>
      <c r="AF127" s="372" t="str">
        <f>IFERROR(__xludf.DUMMYFUNCTION("""COMPUTED_VALUE"""),"")</f>
        <v/>
      </c>
    </row>
    <row r="128" ht="16.5" customHeight="1">
      <c r="C128" s="204"/>
      <c r="D128" s="225">
        <f>IFERROR(__xludf.DUMMYFUNCTION("""COMPUTED_VALUE"""),3.0)</f>
        <v>3</v>
      </c>
      <c r="E128" s="227" t="str">
        <f>IFERROR(__xludf.DUMMYFUNCTION("""COMPUTED_VALUE"""),"GTT4")</f>
        <v>GTT4</v>
      </c>
      <c r="F128" s="229" t="str">
        <f>IFERROR(__xludf.DUMMYFUNCTION("""COMPUTED_VALUE"""),"Götterdämmerung")</f>
        <v>Götterdämmerung</v>
      </c>
      <c r="G128" s="233" t="str">
        <f>IFERROR(__xludf.DUMMYFUNCTION("""COMPUTED_VALUE"""),"23rd Settlement")</f>
        <v>23rd Settlement</v>
      </c>
      <c r="H128" s="234">
        <f>IFERROR(__xludf.DUMMYFUNCTION("""COMPUTED_VALUE"""),21.0)</f>
        <v>21</v>
      </c>
      <c r="I128" s="235">
        <f>IFERROR(__xludf.DUMMYFUNCTION("""COMPUTED_VALUE"""),47.32142857142857)</f>
        <v>47.32142857</v>
      </c>
      <c r="J128" s="236">
        <f>IFERROR(__xludf.DUMMYFUNCTION("""COMPUTED_VALUE"""),83.8)</f>
        <v>83.8</v>
      </c>
      <c r="K128" s="237" t="str">
        <f>IFERROR(__xludf.DUMMYFUNCTION("""COMPUTED_VALUE"""),"AP")</f>
        <v>AP</v>
      </c>
      <c r="L128" s="236">
        <f>IFERROR(__xludf.DUMMYFUNCTION("""COMPUTED_VALUE"""),25.0)</f>
        <v>25</v>
      </c>
      <c r="M128" s="237" t="str">
        <f>IFERROR(__xludf.DUMMYFUNCTION("""COMPUTED_VALUE"""),"％")</f>
        <v>％</v>
      </c>
      <c r="N128" s="234">
        <f>IFERROR(__xludf.DUMMYFUNCTION("""COMPUTED_VALUE"""),555.0)</f>
        <v>555</v>
      </c>
      <c r="O128" s="217"/>
      <c r="P128" s="371" t="str">
        <f>IFERROR(__xludf.DUMMYFUNCTION("""COMPUTED_VALUE"""),"")</f>
        <v/>
      </c>
      <c r="R128" s="203"/>
      <c r="S128" s="204"/>
      <c r="T128" s="225">
        <f>IFERROR(__xludf.DUMMYFUNCTION("""COMPUTED_VALUE"""),3.0)</f>
        <v>3</v>
      </c>
      <c r="U128" s="227" t="str">
        <f>IFERROR(__xludf.DUMMYFUNCTION("""COMPUTED_VALUE"""),"TRF6")</f>
        <v>TRF6</v>
      </c>
      <c r="V128" s="229" t="str">
        <f>IFERROR(__xludf.DUMMYFUNCTION("""COMPUTED_VALUE"""),"Chaldea Gate (Tue)")</f>
        <v>Chaldea Gate (Tue)</v>
      </c>
      <c r="W128" s="229" t="str">
        <f>IFERROR(__xludf.DUMMYFUNCTION("""COMPUTED_VALUE"""),"TUE Lancer Training Ground- Int")</f>
        <v>TUE Lancer Training Ground- Int</v>
      </c>
      <c r="X128" s="234">
        <f>IFERROR(__xludf.DUMMYFUNCTION("""COMPUTED_VALUE"""),20.0)</f>
        <v>20</v>
      </c>
      <c r="Y128" s="235">
        <f>IFERROR(__xludf.DUMMYFUNCTION("""COMPUTED_VALUE"""),19.0625)</f>
        <v>19.0625</v>
      </c>
      <c r="Z128" s="236">
        <f>IFERROR(__xludf.DUMMYFUNCTION("""COMPUTED_VALUE"""),241.4)</f>
        <v>241.4</v>
      </c>
      <c r="AA128" s="237" t="str">
        <f>IFERROR(__xludf.DUMMYFUNCTION("""COMPUTED_VALUE"""),"AP")</f>
        <v>AP</v>
      </c>
      <c r="AB128" s="236">
        <f>IFERROR(__xludf.DUMMYFUNCTION("""COMPUTED_VALUE"""),8.3)</f>
        <v>8.3</v>
      </c>
      <c r="AC128" s="237" t="str">
        <f>IFERROR(__xludf.DUMMYFUNCTION("""COMPUTED_VALUE"""),"％")</f>
        <v>％</v>
      </c>
      <c r="AD128" s="234">
        <f>IFERROR(__xludf.DUMMYFUNCTION("""COMPUTED_VALUE"""),338.0)</f>
        <v>338</v>
      </c>
      <c r="AE128" s="217"/>
      <c r="AF128" s="372" t="str">
        <f>IFERROR(__xludf.DUMMYFUNCTION("""COMPUTED_VALUE"""),"")</f>
        <v/>
      </c>
    </row>
    <row r="129" ht="16.5" customHeight="1">
      <c r="C129" s="204"/>
      <c r="D129" s="239">
        <f>IFERROR(__xludf.DUMMYFUNCTION("""COMPUTED_VALUE"""),4.0)</f>
        <v>4</v>
      </c>
      <c r="E129" s="241" t="str">
        <f>IFERROR(__xludf.DUMMYFUNCTION("""COMPUTED_VALUE"""),"GTT8")</f>
        <v>GTT8</v>
      </c>
      <c r="F129" s="243" t="str">
        <f>IFERROR(__xludf.DUMMYFUNCTION("""COMPUTED_VALUE"""),"Götterdämmerung")</f>
        <v>Götterdämmerung</v>
      </c>
      <c r="G129" s="245" t="str">
        <f>IFERROR(__xludf.DUMMYFUNCTION("""COMPUTED_VALUE"""),"Ablazed Mansion")</f>
        <v>Ablazed Mansion</v>
      </c>
      <c r="H129" s="247">
        <f>IFERROR(__xludf.DUMMYFUNCTION("""COMPUTED_VALUE"""),21.0)</f>
        <v>21</v>
      </c>
      <c r="I129" s="249">
        <f>IFERROR(__xludf.DUMMYFUNCTION("""COMPUTED_VALUE"""),49.70238095238095)</f>
        <v>49.70238095</v>
      </c>
      <c r="J129" s="251">
        <f>IFERROR(__xludf.DUMMYFUNCTION("""COMPUTED_VALUE"""),84.9)</f>
        <v>84.9</v>
      </c>
      <c r="K129" s="253" t="str">
        <f>IFERROR(__xludf.DUMMYFUNCTION("""COMPUTED_VALUE"""),"AP")</f>
        <v>AP</v>
      </c>
      <c r="L129" s="251">
        <f>IFERROR(__xludf.DUMMYFUNCTION("""COMPUTED_VALUE"""),24.7)</f>
        <v>24.7</v>
      </c>
      <c r="M129" s="253" t="str">
        <f>IFERROR(__xludf.DUMMYFUNCTION("""COMPUTED_VALUE"""),"％")</f>
        <v>％</v>
      </c>
      <c r="N129" s="247">
        <f>IFERROR(__xludf.DUMMYFUNCTION("""COMPUTED_VALUE"""),14129.0)</f>
        <v>14129</v>
      </c>
      <c r="O129" s="217"/>
      <c r="P129" s="371" t="str">
        <f>IFERROR(__xludf.DUMMYFUNCTION("""COMPUTED_VALUE"""),"")</f>
        <v/>
      </c>
      <c r="R129" s="203"/>
      <c r="S129" s="204"/>
      <c r="T129" s="239">
        <f>IFERROR(__xludf.DUMMYFUNCTION("""COMPUTED_VALUE"""),4.0)</f>
        <v>4</v>
      </c>
      <c r="U129" s="241" t="str">
        <f>IFERROR(__xludf.DUMMYFUNCTION("""COMPUTED_VALUE"""),"EPU2")</f>
        <v>EPU2</v>
      </c>
      <c r="V129" s="243" t="str">
        <f>IFERROR(__xludf.DUMMYFUNCTION("""COMPUTED_VALUE"""),"E Pluribus Unum")</f>
        <v>E Pluribus Unum</v>
      </c>
      <c r="W129" s="245" t="str">
        <f>IFERROR(__xludf.DUMMYFUNCTION("""COMPUTED_VALUE"""),"Riverton")</f>
        <v>Riverton</v>
      </c>
      <c r="X129" s="247">
        <f>IFERROR(__xludf.DUMMYFUNCTION("""COMPUTED_VALUE"""),17.0)</f>
        <v>17</v>
      </c>
      <c r="Y129" s="249">
        <f>IFERROR(__xludf.DUMMYFUNCTION("""COMPUTED_VALUE"""),42.279411764705884)</f>
        <v>42.27941176</v>
      </c>
      <c r="Z129" s="251">
        <f>IFERROR(__xludf.DUMMYFUNCTION("""COMPUTED_VALUE"""),248.3)</f>
        <v>248.3</v>
      </c>
      <c r="AA129" s="253" t="str">
        <f>IFERROR(__xludf.DUMMYFUNCTION("""COMPUTED_VALUE"""),"AP")</f>
        <v>AP</v>
      </c>
      <c r="AB129" s="251">
        <f>IFERROR(__xludf.DUMMYFUNCTION("""COMPUTED_VALUE"""),6.8)</f>
        <v>6.8</v>
      </c>
      <c r="AC129" s="253" t="str">
        <f>IFERROR(__xludf.DUMMYFUNCTION("""COMPUTED_VALUE"""),"％")</f>
        <v>％</v>
      </c>
      <c r="AD129" s="247">
        <f>IFERROR(__xludf.DUMMYFUNCTION("""COMPUTED_VALUE"""),336.0)</f>
        <v>336</v>
      </c>
      <c r="AE129" s="217"/>
      <c r="AF129" s="372" t="str">
        <f>IFERROR(__xludf.DUMMYFUNCTION("""COMPUTED_VALUE"""),"")</f>
        <v/>
      </c>
    </row>
    <row r="130" ht="16.5" customHeight="1">
      <c r="A130" s="166"/>
      <c r="C130" s="255"/>
      <c r="D130" s="256">
        <f>IFERROR(__xludf.DUMMYFUNCTION("""COMPUTED_VALUE"""),5.0)</f>
        <v>5</v>
      </c>
      <c r="E130" s="257" t="str">
        <f>IFERROR(__xludf.DUMMYFUNCTION("""COMPUTED_VALUE"""),"GTT11")</f>
        <v>GTT11</v>
      </c>
      <c r="F130" s="42" t="str">
        <f>IFERROR(__xludf.DUMMYFUNCTION("""COMPUTED_VALUE"""),"Götterdämmerung")</f>
        <v>Götterdämmerung</v>
      </c>
      <c r="G130" s="258" t="str">
        <f>IFERROR(__xludf.DUMMYFUNCTION("""COMPUTED_VALUE"""),"Forgotten Temple")</f>
        <v>Forgotten Temple</v>
      </c>
      <c r="H130" s="259">
        <f>IFERROR(__xludf.DUMMYFUNCTION("""COMPUTED_VALUE"""),21.0)</f>
        <v>21</v>
      </c>
      <c r="I130" s="260">
        <f>IFERROR(__xludf.DUMMYFUNCTION("""COMPUTED_VALUE"""),50.892857142857146)</f>
        <v>50.89285714</v>
      </c>
      <c r="J130" s="261">
        <f>IFERROR(__xludf.DUMMYFUNCTION("""COMPUTED_VALUE"""),87.1)</f>
        <v>87.1</v>
      </c>
      <c r="K130" s="262" t="str">
        <f>IFERROR(__xludf.DUMMYFUNCTION("""COMPUTED_VALUE"""),"AP")</f>
        <v>AP</v>
      </c>
      <c r="L130" s="261">
        <f>IFERROR(__xludf.DUMMYFUNCTION("""COMPUTED_VALUE"""),24.1)</f>
        <v>24.1</v>
      </c>
      <c r="M130" s="262" t="str">
        <f>IFERROR(__xludf.DUMMYFUNCTION("""COMPUTED_VALUE"""),"％")</f>
        <v>％</v>
      </c>
      <c r="N130" s="259">
        <f>IFERROR(__xludf.DUMMYFUNCTION("""COMPUTED_VALUE"""),3740.0)</f>
        <v>3740</v>
      </c>
      <c r="O130" s="263"/>
      <c r="P130" s="371" t="str">
        <f>IFERROR(__xludf.DUMMYFUNCTION("""COMPUTED_VALUE"""),"")</f>
        <v/>
      </c>
      <c r="Q130" s="166"/>
      <c r="R130" s="254"/>
      <c r="S130" s="255"/>
      <c r="T130" s="256">
        <f>IFERROR(__xludf.DUMMYFUNCTION("""COMPUTED_VALUE"""),5.0)</f>
        <v>5</v>
      </c>
      <c r="U130" s="257" t="str">
        <f>IFERROR(__xludf.DUMMYFUNCTION("""COMPUTED_VALUE"""),"EPU7")</f>
        <v>EPU7</v>
      </c>
      <c r="V130" s="42" t="str">
        <f>IFERROR(__xludf.DUMMYFUNCTION("""COMPUTED_VALUE"""),"E Pluribus Unum")</f>
        <v>E Pluribus Unum</v>
      </c>
      <c r="W130" s="258" t="str">
        <f>IFERROR(__xludf.DUMMYFUNCTION("""COMPUTED_VALUE"""),"Des Moines")</f>
        <v>Des Moines</v>
      </c>
      <c r="X130" s="259">
        <f>IFERROR(__xludf.DUMMYFUNCTION("""COMPUTED_VALUE"""),18.0)</f>
        <v>18</v>
      </c>
      <c r="Y130" s="260">
        <f>IFERROR(__xludf.DUMMYFUNCTION("""COMPUTED_VALUE"""),42.708333333333336)</f>
        <v>42.70833333</v>
      </c>
      <c r="Z130" s="261">
        <f>IFERROR(__xludf.DUMMYFUNCTION("""COMPUTED_VALUE"""),363.8)</f>
        <v>363.8</v>
      </c>
      <c r="AA130" s="262" t="str">
        <f>IFERROR(__xludf.DUMMYFUNCTION("""COMPUTED_VALUE"""),"AP")</f>
        <v>AP</v>
      </c>
      <c r="AB130" s="261">
        <f>IFERROR(__xludf.DUMMYFUNCTION("""COMPUTED_VALUE"""),4.9)</f>
        <v>4.9</v>
      </c>
      <c r="AC130" s="262" t="str">
        <f>IFERROR(__xludf.DUMMYFUNCTION("""COMPUTED_VALUE"""),"％")</f>
        <v>％</v>
      </c>
      <c r="AD130" s="259">
        <f>IFERROR(__xludf.DUMMYFUNCTION("""COMPUTED_VALUE"""),18244.0)</f>
        <v>18244</v>
      </c>
      <c r="AE130" s="263"/>
      <c r="AF130" s="372" t="str">
        <f>IFERROR(__xludf.DUMMYFUNCTION("""COMPUTED_VALUE"""),"")</f>
        <v/>
      </c>
    </row>
    <row r="131" ht="16.5" customHeight="1">
      <c r="A131" s="61" t="str">
        <f>IFERROR(__xludf.DUMMYFUNCTION("""COMPUTED_VALUE"""),"")</f>
        <v/>
      </c>
      <c r="B131" s="367" t="str">
        <f>IFERROR(__xludf.DUMMYFUNCTION("""COMPUTED_VALUE"""),"A216")</f>
        <v>A216</v>
      </c>
      <c r="C131" s="65" t="str">
        <f>IFERROR(__xludf.DUMMYFUNCTION("""COMPUTED_VALUE"""),"Ancient Bell of Tranquility")</f>
        <v>Ancient Bell of Tranquility</v>
      </c>
      <c r="D131" s="70">
        <f>IFERROR(__xludf.DUMMYFUNCTION("""COMPUTED_VALUE"""),1.0)</f>
        <v>1</v>
      </c>
      <c r="E131" s="73" t="str">
        <f>IFERROR(__xludf.DUMMYFUNCTION("""COMPUTED_VALUE"""),"SIN11")</f>
        <v>SIN11</v>
      </c>
      <c r="F131" s="76" t="str">
        <f>IFERROR(__xludf.DUMMYFUNCTION("""COMPUTED_VALUE"""),"SIN")</f>
        <v>SIN</v>
      </c>
      <c r="G131" s="85" t="str">
        <f>IFERROR(__xludf.DUMMYFUNCTION("""COMPUTED_VALUE"""),"Eight Gates Cave")</f>
        <v>Eight Gates Cave</v>
      </c>
      <c r="H131" s="87">
        <f>IFERROR(__xludf.DUMMYFUNCTION("""COMPUTED_VALUE"""),21.0)</f>
        <v>21</v>
      </c>
      <c r="I131" s="90">
        <f>IFERROR(__xludf.DUMMYFUNCTION("""COMPUTED_VALUE"""),50.892857142857146)</f>
        <v>50.89285714</v>
      </c>
      <c r="J131" s="92">
        <f>IFERROR(__xludf.DUMMYFUNCTION("""COMPUTED_VALUE"""),53.4)</f>
        <v>53.4</v>
      </c>
      <c r="K131" s="94" t="str">
        <f>IFERROR(__xludf.DUMMYFUNCTION("""COMPUTED_VALUE"""),"AP")</f>
        <v>AP</v>
      </c>
      <c r="L131" s="96">
        <f>IFERROR(__xludf.DUMMYFUNCTION("""COMPUTED_VALUE"""),39.3)</f>
        <v>39.3</v>
      </c>
      <c r="M131" s="94" t="str">
        <f>IFERROR(__xludf.DUMMYFUNCTION("""COMPUTED_VALUE"""),"％")</f>
        <v>％</v>
      </c>
      <c r="N131" s="87">
        <f>IFERROR(__xludf.DUMMYFUNCTION("""COMPUTED_VALUE"""),22321.0)</f>
        <v>22321</v>
      </c>
      <c r="O131" s="97" t="str">
        <f>IFERROR(__xludf.DUMMYFUNCTION("""COMPUTED_VALUE"""),"Ancient Bell of Tranquility")</f>
        <v>Ancient Bell of Tranquility</v>
      </c>
      <c r="P131" s="371" t="str">
        <f>IFERROR(__xludf.DUMMYFUNCTION("""COMPUTED_VALUE"""),"")</f>
        <v/>
      </c>
      <c r="Q131" s="61" t="str">
        <f>IFERROR(__xludf.DUMMYFUNCTION("""COMPUTED_VALUE"""),"")</f>
        <v/>
      </c>
      <c r="R131" s="361" t="str">
        <f>IFERROR(__xludf.DUMMYFUNCTION("""COMPUTED_VALUE"""),"B204")</f>
        <v>B204</v>
      </c>
      <c r="S131" s="65" t="str">
        <f>IFERROR(__xludf.DUMMYFUNCTION("""COMPUTED_VALUE"""),"Rider Monument")</f>
        <v>Rider Monument</v>
      </c>
      <c r="T131" s="70">
        <f>IFERROR(__xludf.DUMMYFUNCTION("""COMPUTED_VALUE"""),1.0)</f>
        <v>1</v>
      </c>
      <c r="U131" s="73" t="str">
        <f>IFERROR(__xludf.DUMMYFUNCTION("""COMPUTED_VALUE"""),"TRF16")</f>
        <v>TRF16</v>
      </c>
      <c r="V131" s="76" t="str">
        <f>IFERROR(__xludf.DUMMYFUNCTION("""COMPUTED_VALUE"""),"Chaldea Gate (Thu)")</f>
        <v>Chaldea Gate (Thu)</v>
      </c>
      <c r="W131" s="76" t="str">
        <f>IFERROR(__xludf.DUMMYFUNCTION("""COMPUTED_VALUE"""),"THU Rider Training Ground- Exp")</f>
        <v>THU Rider Training Ground- Exp</v>
      </c>
      <c r="X131" s="87">
        <f>IFERROR(__xludf.DUMMYFUNCTION("""COMPUTED_VALUE"""),40.0)</f>
        <v>40</v>
      </c>
      <c r="Y131" s="90">
        <f>IFERROR(__xludf.DUMMYFUNCTION("""COMPUTED_VALUE"""),20.46875)</f>
        <v>20.46875</v>
      </c>
      <c r="Z131" s="92">
        <f>IFERROR(__xludf.DUMMYFUNCTION("""COMPUTED_VALUE"""),68.5)</f>
        <v>68.5</v>
      </c>
      <c r="AA131" s="94" t="str">
        <f>IFERROR(__xludf.DUMMYFUNCTION("""COMPUTED_VALUE"""),"AP")</f>
        <v>AP</v>
      </c>
      <c r="AB131" s="96">
        <f>IFERROR(__xludf.DUMMYFUNCTION("""COMPUTED_VALUE"""),58.4)</f>
        <v>58.4</v>
      </c>
      <c r="AC131" s="94" t="str">
        <f>IFERROR(__xludf.DUMMYFUNCTION("""COMPUTED_VALUE"""),"％")</f>
        <v>％</v>
      </c>
      <c r="AD131" s="87">
        <f>IFERROR(__xludf.DUMMYFUNCTION("""COMPUTED_VALUE"""),3420.0)</f>
        <v>3420</v>
      </c>
      <c r="AE131" s="97" t="str">
        <f>IFERROR(__xludf.DUMMYFUNCTION("""COMPUTED_VALUE"""),"Rider Monument")</f>
        <v>Rider Monument</v>
      </c>
      <c r="AF131" s="372" t="str">
        <f>IFERROR(__xludf.DUMMYFUNCTION("""COMPUTED_VALUE"""),"")</f>
        <v/>
      </c>
    </row>
    <row r="132" ht="16.5" customHeight="1">
      <c r="C132" s="100"/>
      <c r="D132" s="105">
        <f>IFERROR(__xludf.DUMMYFUNCTION("""COMPUTED_VALUE"""),2.0)</f>
        <v>2</v>
      </c>
      <c r="E132" s="106" t="str">
        <f>IFERROR(__xludf.DUMMYFUNCTION("""COMPUTED_VALUE"""),"SIN7")</f>
        <v>SIN7</v>
      </c>
      <c r="F132" s="107" t="str">
        <f>IFERROR(__xludf.DUMMYFUNCTION("""COMPUTED_VALUE"""),"SIN")</f>
        <v>SIN</v>
      </c>
      <c r="G132" s="114" t="str">
        <f>IFERROR(__xludf.DUMMYFUNCTION("""COMPUTED_VALUE"""),"Detention Centre")</f>
        <v>Detention Centre</v>
      </c>
      <c r="H132" s="116">
        <f>IFERROR(__xludf.DUMMYFUNCTION("""COMPUTED_VALUE"""),21.0)</f>
        <v>21</v>
      </c>
      <c r="I132" s="118">
        <f>IFERROR(__xludf.DUMMYFUNCTION("""COMPUTED_VALUE"""),48.51190476190476)</f>
        <v>48.51190476</v>
      </c>
      <c r="J132" s="120">
        <f>IFERROR(__xludf.DUMMYFUNCTION("""COMPUTED_VALUE"""),82.7)</f>
        <v>82.7</v>
      </c>
      <c r="K132" s="122" t="str">
        <f>IFERROR(__xludf.DUMMYFUNCTION("""COMPUTED_VALUE"""),"AP")</f>
        <v>AP</v>
      </c>
      <c r="L132" s="124">
        <f>IFERROR(__xludf.DUMMYFUNCTION("""COMPUTED_VALUE"""),25.4)</f>
        <v>25.4</v>
      </c>
      <c r="M132" s="122" t="str">
        <f>IFERROR(__xludf.DUMMYFUNCTION("""COMPUTED_VALUE"""),"％")</f>
        <v>％</v>
      </c>
      <c r="N132" s="116">
        <f>IFERROR(__xludf.DUMMYFUNCTION("""COMPUTED_VALUE"""),57337.0)</f>
        <v>57337</v>
      </c>
      <c r="O132" s="100"/>
      <c r="P132" s="371" t="str">
        <f>IFERROR(__xludf.DUMMYFUNCTION("""COMPUTED_VALUE"""),"")</f>
        <v/>
      </c>
      <c r="R132" s="358"/>
      <c r="S132" s="100"/>
      <c r="T132" s="105">
        <f>IFERROR(__xludf.DUMMYFUNCTION("""COMPUTED_VALUE"""),2.0)</f>
        <v>2</v>
      </c>
      <c r="U132" s="106" t="str">
        <f>IFERROR(__xludf.DUMMYFUNCTION("""COMPUTED_VALUE"""),"TRF15")</f>
        <v>TRF15</v>
      </c>
      <c r="V132" s="107" t="str">
        <f>IFERROR(__xludf.DUMMYFUNCTION("""COMPUTED_VALUE"""),"Chaldea Gate (Thu)")</f>
        <v>Chaldea Gate (Thu)</v>
      </c>
      <c r="W132" s="107" t="str">
        <f>IFERROR(__xludf.DUMMYFUNCTION("""COMPUTED_VALUE"""),"THU Rider Training Ground- Adv")</f>
        <v>THU Rider Training Ground- Adv</v>
      </c>
      <c r="X132" s="116">
        <f>IFERROR(__xludf.DUMMYFUNCTION("""COMPUTED_VALUE"""),30.0)</f>
        <v>30</v>
      </c>
      <c r="Y132" s="118">
        <f>IFERROR(__xludf.DUMMYFUNCTION("""COMPUTED_VALUE"""),18.958333333333332)</f>
        <v>18.95833333</v>
      </c>
      <c r="Z132" s="120">
        <f>IFERROR(__xludf.DUMMYFUNCTION("""COMPUTED_VALUE"""),77.3)</f>
        <v>77.3</v>
      </c>
      <c r="AA132" s="122" t="str">
        <f>IFERROR(__xludf.DUMMYFUNCTION("""COMPUTED_VALUE"""),"AP")</f>
        <v>AP</v>
      </c>
      <c r="AB132" s="124">
        <f>IFERROR(__xludf.DUMMYFUNCTION("""COMPUTED_VALUE"""),40.7)</f>
        <v>40.7</v>
      </c>
      <c r="AC132" s="122" t="str">
        <f>IFERROR(__xludf.DUMMYFUNCTION("""COMPUTED_VALUE"""),"％")</f>
        <v>％</v>
      </c>
      <c r="AD132" s="116">
        <f>IFERROR(__xludf.DUMMYFUNCTION("""COMPUTED_VALUE"""),721.0)</f>
        <v>721</v>
      </c>
      <c r="AE132" s="100"/>
      <c r="AF132" s="372" t="str">
        <f>IFERROR(__xludf.DUMMYFUNCTION("""COMPUTED_VALUE"""),"")</f>
        <v/>
      </c>
    </row>
    <row r="133" ht="16.5" customHeight="1">
      <c r="C133" s="100"/>
      <c r="D133" s="128">
        <f>IFERROR(__xludf.DUMMYFUNCTION("""COMPUTED_VALUE"""),3.0)</f>
        <v>3</v>
      </c>
      <c r="E133" s="129" t="str">
        <f>IFERROR(__xludf.DUMMYFUNCTION("""COMPUTED_VALUE"""),"SIN9")</f>
        <v>SIN9</v>
      </c>
      <c r="F133" s="131" t="str">
        <f>IFERROR(__xludf.DUMMYFUNCTION("""COMPUTED_VALUE"""),"SIN")</f>
        <v>SIN</v>
      </c>
      <c r="G133" s="134" t="str">
        <f>IFERROR(__xludf.DUMMYFUNCTION("""COMPUTED_VALUE"""),"Dapingyu")</f>
        <v>Dapingyu</v>
      </c>
      <c r="H133" s="136">
        <f>IFERROR(__xludf.DUMMYFUNCTION("""COMPUTED_VALUE"""),21.0)</f>
        <v>21</v>
      </c>
      <c r="I133" s="138">
        <f>IFERROR(__xludf.DUMMYFUNCTION("""COMPUTED_VALUE"""),49.70238095238095)</f>
        <v>49.70238095</v>
      </c>
      <c r="J133" s="140">
        <f>IFERROR(__xludf.DUMMYFUNCTION("""COMPUTED_VALUE"""),83.6)</f>
        <v>83.6</v>
      </c>
      <c r="K133" s="142" t="str">
        <f>IFERROR(__xludf.DUMMYFUNCTION("""COMPUTED_VALUE"""),"AP")</f>
        <v>AP</v>
      </c>
      <c r="L133" s="144">
        <f>IFERROR(__xludf.DUMMYFUNCTION("""COMPUTED_VALUE"""),25.1)</f>
        <v>25.1</v>
      </c>
      <c r="M133" s="142" t="str">
        <f>IFERROR(__xludf.DUMMYFUNCTION("""COMPUTED_VALUE"""),"％")</f>
        <v>％</v>
      </c>
      <c r="N133" s="136">
        <f>IFERROR(__xludf.DUMMYFUNCTION("""COMPUTED_VALUE"""),8397.0)</f>
        <v>8397</v>
      </c>
      <c r="O133" s="100"/>
      <c r="P133" s="371" t="str">
        <f>IFERROR(__xludf.DUMMYFUNCTION("""COMPUTED_VALUE"""),"")</f>
        <v/>
      </c>
      <c r="R133" s="358"/>
      <c r="S133" s="100"/>
      <c r="T133" s="128">
        <f>IFERROR(__xludf.DUMMYFUNCTION("""COMPUTED_VALUE"""),3.0)</f>
        <v>3</v>
      </c>
      <c r="U133" s="129" t="str">
        <f>IFERROR(__xludf.DUMMYFUNCTION("""COMPUTED_VALUE"""),"TRF14")</f>
        <v>TRF14</v>
      </c>
      <c r="V133" s="131" t="str">
        <f>IFERROR(__xludf.DUMMYFUNCTION("""COMPUTED_VALUE"""),"Chaldea Gate (Thu)")</f>
        <v>Chaldea Gate (Thu)</v>
      </c>
      <c r="W133" s="131" t="str">
        <f>IFERROR(__xludf.DUMMYFUNCTION("""COMPUTED_VALUE"""),"THU Rider Training Ground- Int")</f>
        <v>THU Rider Training Ground- Int</v>
      </c>
      <c r="X133" s="136">
        <f>IFERROR(__xludf.DUMMYFUNCTION("""COMPUTED_VALUE"""),20.0)</f>
        <v>20</v>
      </c>
      <c r="Y133" s="138">
        <f>IFERROR(__xludf.DUMMYFUNCTION("""COMPUTED_VALUE"""),19.0625)</f>
        <v>19.0625</v>
      </c>
      <c r="Z133" s="140">
        <f>IFERROR(__xludf.DUMMYFUNCTION("""COMPUTED_VALUE"""),288.3)</f>
        <v>288.3</v>
      </c>
      <c r="AA133" s="142" t="str">
        <f>IFERROR(__xludf.DUMMYFUNCTION("""COMPUTED_VALUE"""),"AP")</f>
        <v>AP</v>
      </c>
      <c r="AB133" s="144">
        <f>IFERROR(__xludf.DUMMYFUNCTION("""COMPUTED_VALUE"""),6.9)</f>
        <v>6.9</v>
      </c>
      <c r="AC133" s="142" t="str">
        <f>IFERROR(__xludf.DUMMYFUNCTION("""COMPUTED_VALUE"""),"％")</f>
        <v>％</v>
      </c>
      <c r="AD133" s="136">
        <f>IFERROR(__xludf.DUMMYFUNCTION("""COMPUTED_VALUE"""),712.0)</f>
        <v>712</v>
      </c>
      <c r="AE133" s="100"/>
      <c r="AF133" s="372" t="str">
        <f>IFERROR(__xludf.DUMMYFUNCTION("""COMPUTED_VALUE"""),"")</f>
        <v/>
      </c>
    </row>
    <row r="134" ht="16.5" customHeight="1">
      <c r="C134" s="100"/>
      <c r="D134" s="147">
        <f>IFERROR(__xludf.DUMMYFUNCTION("""COMPUTED_VALUE"""),4.0)</f>
        <v>4</v>
      </c>
      <c r="E134" s="149" t="str">
        <f>IFERROR(__xludf.DUMMYFUNCTION("""COMPUTED_VALUE"""),"SIN10")</f>
        <v>SIN10</v>
      </c>
      <c r="F134" s="151" t="str">
        <f>IFERROR(__xludf.DUMMYFUNCTION("""COMPUTED_VALUE"""),"SIN")</f>
        <v>SIN</v>
      </c>
      <c r="G134" s="153" t="str">
        <f>IFERROR(__xludf.DUMMYFUNCTION("""COMPUTED_VALUE"""),"Xianyang")</f>
        <v>Xianyang</v>
      </c>
      <c r="H134" s="155">
        <f>IFERROR(__xludf.DUMMYFUNCTION("""COMPUTED_VALUE"""),21.0)</f>
        <v>21</v>
      </c>
      <c r="I134" s="157">
        <f>IFERROR(__xludf.DUMMYFUNCTION("""COMPUTED_VALUE"""),50.892857142857146)</f>
        <v>50.89285714</v>
      </c>
      <c r="J134" s="159">
        <f>IFERROR(__xludf.DUMMYFUNCTION("""COMPUTED_VALUE"""),107.6)</f>
        <v>107.6</v>
      </c>
      <c r="K134" s="161" t="str">
        <f>IFERROR(__xludf.DUMMYFUNCTION("""COMPUTED_VALUE"""),"AP")</f>
        <v>AP</v>
      </c>
      <c r="L134" s="163">
        <f>IFERROR(__xludf.DUMMYFUNCTION("""COMPUTED_VALUE"""),19.5)</f>
        <v>19.5</v>
      </c>
      <c r="M134" s="161" t="str">
        <f>IFERROR(__xludf.DUMMYFUNCTION("""COMPUTED_VALUE"""),"％")</f>
        <v>％</v>
      </c>
      <c r="N134" s="155">
        <f>IFERROR(__xludf.DUMMYFUNCTION("""COMPUTED_VALUE"""),7993.0)</f>
        <v>7993</v>
      </c>
      <c r="O134" s="100"/>
      <c r="P134" s="371" t="str">
        <f>IFERROR(__xludf.DUMMYFUNCTION("""COMPUTED_VALUE"""),"")</f>
        <v/>
      </c>
      <c r="R134" s="358"/>
      <c r="S134" s="100"/>
      <c r="T134" s="147">
        <f>IFERROR(__xludf.DUMMYFUNCTION("""COMPUTED_VALUE"""),4.0)</f>
        <v>4</v>
      </c>
      <c r="U134" s="149" t="str">
        <f>IFERROR(__xludf.DUMMYFUNCTION("""COMPUTED_VALUE"""),"OKN2")</f>
        <v>OKN2</v>
      </c>
      <c r="V134" s="151" t="str">
        <f>IFERROR(__xludf.DUMMYFUNCTION("""COMPUTED_VALUE"""),"Okeanos")</f>
        <v>Okeanos</v>
      </c>
      <c r="W134" s="153" t="str">
        <f>IFERROR(__xludf.DUMMYFUNCTION("""COMPUTED_VALUE"""),"Pirate Island")</f>
        <v>Pirate Island</v>
      </c>
      <c r="X134" s="155">
        <f>IFERROR(__xludf.DUMMYFUNCTION("""COMPUTED_VALUE"""),13.0)</f>
        <v>13</v>
      </c>
      <c r="Y134" s="157">
        <f>IFERROR(__xludf.DUMMYFUNCTION("""COMPUTED_VALUE"""),34.13461538461539)</f>
        <v>34.13461538</v>
      </c>
      <c r="Z134" s="159">
        <f>IFERROR(__xludf.DUMMYFUNCTION("""COMPUTED_VALUE"""),612.4)</f>
        <v>612.4</v>
      </c>
      <c r="AA134" s="161" t="str">
        <f>IFERROR(__xludf.DUMMYFUNCTION("""COMPUTED_VALUE"""),"AP")</f>
        <v>AP</v>
      </c>
      <c r="AB134" s="163">
        <f>IFERROR(__xludf.DUMMYFUNCTION("""COMPUTED_VALUE"""),2.1)</f>
        <v>2.1</v>
      </c>
      <c r="AC134" s="161" t="str">
        <f>IFERROR(__xludf.DUMMYFUNCTION("""COMPUTED_VALUE"""),"％")</f>
        <v>％</v>
      </c>
      <c r="AD134" s="155">
        <f>IFERROR(__xludf.DUMMYFUNCTION("""COMPUTED_VALUE"""),424.0)</f>
        <v>424</v>
      </c>
      <c r="AE134" s="100"/>
      <c r="AF134" s="372" t="str">
        <f>IFERROR(__xludf.DUMMYFUNCTION("""COMPUTED_VALUE"""),"")</f>
        <v/>
      </c>
    </row>
    <row r="135" ht="16.5" customHeight="1">
      <c r="A135" s="166"/>
      <c r="C135" s="168"/>
      <c r="D135" s="169">
        <f>IFERROR(__xludf.DUMMYFUNCTION("""COMPUTED_VALUE"""),5.0)</f>
        <v>5</v>
      </c>
      <c r="E135" s="170" t="str">
        <f>IFERROR(__xludf.DUMMYFUNCTION("""COMPUTED_VALUE"""),"")</f>
        <v/>
      </c>
      <c r="F135" s="51" t="str">
        <f>IFERROR(__xludf.DUMMYFUNCTION("""COMPUTED_VALUE"""),"")</f>
        <v/>
      </c>
      <c r="G135" s="51" t="str">
        <f>IFERROR(__xludf.DUMMYFUNCTION("""COMPUTED_VALUE"""),"")</f>
        <v/>
      </c>
      <c r="H135" s="172" t="str">
        <f>IFERROR(__xludf.DUMMYFUNCTION("""COMPUTED_VALUE"""),"")</f>
        <v/>
      </c>
      <c r="I135" s="173" t="str">
        <f>IFERROR(__xludf.DUMMYFUNCTION("""COMPUTED_VALUE"""),"")</f>
        <v/>
      </c>
      <c r="J135" s="174" t="str">
        <f>IFERROR(__xludf.DUMMYFUNCTION("""COMPUTED_VALUE"""),"")</f>
        <v/>
      </c>
      <c r="K135" s="175" t="str">
        <f>IFERROR(__xludf.DUMMYFUNCTION("""COMPUTED_VALUE"""),"AP")</f>
        <v>AP</v>
      </c>
      <c r="L135" s="176" t="str">
        <f>IFERROR(__xludf.DUMMYFUNCTION("""COMPUTED_VALUE"""),"")</f>
        <v/>
      </c>
      <c r="M135" s="175" t="str">
        <f>IFERROR(__xludf.DUMMYFUNCTION("""COMPUTED_VALUE"""),"％")</f>
        <v>％</v>
      </c>
      <c r="N135" s="172" t="str">
        <f>IFERROR(__xludf.DUMMYFUNCTION("""COMPUTED_VALUE"""),"")</f>
        <v/>
      </c>
      <c r="O135" s="168"/>
      <c r="P135" s="371" t="str">
        <f>IFERROR(__xludf.DUMMYFUNCTION("""COMPUTED_VALUE"""),"")</f>
        <v/>
      </c>
      <c r="Q135" s="166"/>
      <c r="R135" s="359"/>
      <c r="S135" s="168"/>
      <c r="T135" s="169">
        <f>IFERROR(__xludf.DUMMYFUNCTION("""COMPUTED_VALUE"""),5.0)</f>
        <v>5</v>
      </c>
      <c r="U135" s="170" t="str">
        <f>IFERROR(__xludf.DUMMYFUNCTION("""COMPUTED_VALUE"""),"TRF13")</f>
        <v>TRF13</v>
      </c>
      <c r="V135" s="51" t="str">
        <f>IFERROR(__xludf.DUMMYFUNCTION("""COMPUTED_VALUE"""),"Chaldea Gate (Thu)")</f>
        <v>Chaldea Gate (Thu)</v>
      </c>
      <c r="W135" s="51" t="str">
        <f>IFERROR(__xludf.DUMMYFUNCTION("""COMPUTED_VALUE"""),"THU Rider Training Ground- Nov")</f>
        <v>THU Rider Training Ground- Nov</v>
      </c>
      <c r="X135" s="172">
        <f>IFERROR(__xludf.DUMMYFUNCTION("""COMPUTED_VALUE"""),10.0)</f>
        <v>10</v>
      </c>
      <c r="Y135" s="173">
        <f>IFERROR(__xludf.DUMMYFUNCTION("""COMPUTED_VALUE"""),19.375)</f>
        <v>19.375</v>
      </c>
      <c r="Z135" s="174">
        <f>IFERROR(__xludf.DUMMYFUNCTION("""COMPUTED_VALUE"""),563.1)</f>
        <v>563.1</v>
      </c>
      <c r="AA135" s="175" t="str">
        <f>IFERROR(__xludf.DUMMYFUNCTION("""COMPUTED_VALUE"""),"AP")</f>
        <v>AP</v>
      </c>
      <c r="AB135" s="176">
        <f>IFERROR(__xludf.DUMMYFUNCTION("""COMPUTED_VALUE"""),1.8)</f>
        <v>1.8</v>
      </c>
      <c r="AC135" s="175" t="str">
        <f>IFERROR(__xludf.DUMMYFUNCTION("""COMPUTED_VALUE"""),"％")</f>
        <v>％</v>
      </c>
      <c r="AD135" s="172">
        <f>IFERROR(__xludf.DUMMYFUNCTION("""COMPUTED_VALUE"""),923.0)</f>
        <v>923</v>
      </c>
      <c r="AE135" s="168"/>
      <c r="AF135" s="372" t="str">
        <f>IFERROR(__xludf.DUMMYFUNCTION("""COMPUTED_VALUE"""),"")</f>
        <v/>
      </c>
    </row>
    <row r="136" ht="16.5" customHeight="1">
      <c r="A136" s="61" t="str">
        <f>IFERROR(__xludf.DUMMYFUNCTION("""COMPUTED_VALUE"""),"")</f>
        <v/>
      </c>
      <c r="B136" s="366" t="str">
        <f>IFERROR(__xludf.DUMMYFUNCTION("""COMPUTED_VALUE"""),"A217")</f>
        <v>A217</v>
      </c>
      <c r="C136" s="180" t="str">
        <f>IFERROR(__xludf.DUMMYFUNCTION("""COMPUTED_VALUE"""),"Arrowhead of Disastrous Sin")</f>
        <v>Arrowhead of Disastrous Sin</v>
      </c>
      <c r="D136" s="185">
        <f>IFERROR(__xludf.DUMMYFUNCTION("""COMPUTED_VALUE"""),1.0)</f>
        <v>1</v>
      </c>
      <c r="E136" s="187" t="str">
        <f>IFERROR(__xludf.DUMMYFUNCTION("""COMPUTED_VALUE"""),"YKS7")</f>
        <v>YKS7</v>
      </c>
      <c r="F136" s="188" t="str">
        <f>IFERROR(__xludf.DUMMYFUNCTION("""COMPUTED_VALUE"""),"Yuga Kshetra")</f>
        <v>Yuga Kshetra</v>
      </c>
      <c r="G136" s="193" t="str">
        <f>IFERROR(__xludf.DUMMYFUNCTION("""COMPUTED_VALUE"""),"Divine Sky Rock Ruins")</f>
        <v>Divine Sky Rock Ruins</v>
      </c>
      <c r="H136" s="195">
        <f>IFERROR(__xludf.DUMMYFUNCTION("""COMPUTED_VALUE"""),21.0)</f>
        <v>21</v>
      </c>
      <c r="I136" s="196">
        <f>IFERROR(__xludf.DUMMYFUNCTION("""COMPUTED_VALUE"""),49.70238095238095)</f>
        <v>49.70238095</v>
      </c>
      <c r="J136" s="198">
        <f>IFERROR(__xludf.DUMMYFUNCTION("""COMPUTED_VALUE"""),53.0)</f>
        <v>53</v>
      </c>
      <c r="K136" s="200" t="str">
        <f>IFERROR(__xludf.DUMMYFUNCTION("""COMPUTED_VALUE"""),"AP")</f>
        <v>AP</v>
      </c>
      <c r="L136" s="198">
        <f>IFERROR(__xludf.DUMMYFUNCTION("""COMPUTED_VALUE"""),39.6)</f>
        <v>39.6</v>
      </c>
      <c r="M136" s="201" t="str">
        <f>IFERROR(__xludf.DUMMYFUNCTION("""COMPUTED_VALUE"""),"％")</f>
        <v>％</v>
      </c>
      <c r="N136" s="195">
        <f>IFERROR(__xludf.DUMMYFUNCTION("""COMPUTED_VALUE"""),1530.0)</f>
        <v>1530</v>
      </c>
      <c r="O136" s="197" t="str">
        <f>IFERROR(__xludf.DUMMYFUNCTION("""COMPUTED_VALUE"""),"Arrowhead of Disastrous Sin")</f>
        <v>Arrowhead of Disastrous Sin</v>
      </c>
      <c r="P136" s="371" t="str">
        <f>IFERROR(__xludf.DUMMYFUNCTION("""COMPUTED_VALUE"""),"")</f>
        <v/>
      </c>
      <c r="Q136" s="61" t="str">
        <f>IFERROR(__xludf.DUMMYFUNCTION("""COMPUTED_VALUE"""),"")</f>
        <v/>
      </c>
      <c r="R136" s="202" t="str">
        <f>IFERROR(__xludf.DUMMYFUNCTION("""COMPUTED_VALUE"""),"B205")</f>
        <v>B205</v>
      </c>
      <c r="S136" s="180" t="str">
        <f>IFERROR(__xludf.DUMMYFUNCTION("""COMPUTED_VALUE"""),"Caster Monument")</f>
        <v>Caster Monument</v>
      </c>
      <c r="T136" s="185">
        <f>IFERROR(__xludf.DUMMYFUNCTION("""COMPUTED_VALUE"""),1.0)</f>
        <v>1</v>
      </c>
      <c r="U136" s="187" t="str">
        <f>IFERROR(__xludf.DUMMYFUNCTION("""COMPUTED_VALUE"""),"TRF20")</f>
        <v>TRF20</v>
      </c>
      <c r="V136" s="188" t="str">
        <f>IFERROR(__xludf.DUMMYFUNCTION("""COMPUTED_VALUE"""),"Chaldea Gate (Fri)")</f>
        <v>Chaldea Gate (Fri)</v>
      </c>
      <c r="W136" s="188" t="str">
        <f>IFERROR(__xludf.DUMMYFUNCTION("""COMPUTED_VALUE"""),"FRI Caster Training Ground- Exp")</f>
        <v>FRI Caster Training Ground- Exp</v>
      </c>
      <c r="X136" s="195">
        <f>IFERROR(__xludf.DUMMYFUNCTION("""COMPUTED_VALUE"""),40.0)</f>
        <v>40</v>
      </c>
      <c r="Y136" s="196">
        <f>IFERROR(__xludf.DUMMYFUNCTION("""COMPUTED_VALUE"""),20.46875)</f>
        <v>20.46875</v>
      </c>
      <c r="Z136" s="198">
        <f>IFERROR(__xludf.DUMMYFUNCTION("""COMPUTED_VALUE"""),70.3)</f>
        <v>70.3</v>
      </c>
      <c r="AA136" s="200" t="str">
        <f>IFERROR(__xludf.DUMMYFUNCTION("""COMPUTED_VALUE"""),"AP")</f>
        <v>AP</v>
      </c>
      <c r="AB136" s="198">
        <f>IFERROR(__xludf.DUMMYFUNCTION("""COMPUTED_VALUE"""),56.9)</f>
        <v>56.9</v>
      </c>
      <c r="AC136" s="201" t="str">
        <f>IFERROR(__xludf.DUMMYFUNCTION("""COMPUTED_VALUE"""),"％")</f>
        <v>％</v>
      </c>
      <c r="AD136" s="195">
        <f>IFERROR(__xludf.DUMMYFUNCTION("""COMPUTED_VALUE"""),10906.0)</f>
        <v>10906</v>
      </c>
      <c r="AE136" s="197" t="str">
        <f>IFERROR(__xludf.DUMMYFUNCTION("""COMPUTED_VALUE"""),"Caster Monument")</f>
        <v>Caster Monument</v>
      </c>
      <c r="AF136" s="372" t="str">
        <f>IFERROR(__xludf.DUMMYFUNCTION("""COMPUTED_VALUE"""),"")</f>
        <v/>
      </c>
    </row>
    <row r="137" ht="16.5" customHeight="1">
      <c r="C137" s="204"/>
      <c r="D137" s="208">
        <f>IFERROR(__xludf.DUMMYFUNCTION("""COMPUTED_VALUE"""),2.0)</f>
        <v>2</v>
      </c>
      <c r="E137" s="210" t="str">
        <f>IFERROR(__xludf.DUMMYFUNCTION("""COMPUTED_VALUE"""),"YKS1")</f>
        <v>YKS1</v>
      </c>
      <c r="F137" s="212" t="str">
        <f>IFERROR(__xludf.DUMMYFUNCTION("""COMPUTED_VALUE"""),"Yuga Kshetra")</f>
        <v>Yuga Kshetra</v>
      </c>
      <c r="G137" s="216" t="str">
        <f>IFERROR(__xludf.DUMMYFUNCTION("""COMPUTED_VALUE"""),"Initiate Point")</f>
        <v>Initiate Point</v>
      </c>
      <c r="H137" s="218">
        <f>IFERROR(__xludf.DUMMYFUNCTION("""COMPUTED_VALUE"""),20.0)</f>
        <v>20</v>
      </c>
      <c r="I137" s="219">
        <f>IFERROR(__xludf.DUMMYFUNCTION("""COMPUTED_VALUE"""),48.4375)</f>
        <v>48.4375</v>
      </c>
      <c r="J137" s="220">
        <f>IFERROR(__xludf.DUMMYFUNCTION("""COMPUTED_VALUE"""),57.0)</f>
        <v>57</v>
      </c>
      <c r="K137" s="221" t="str">
        <f>IFERROR(__xludf.DUMMYFUNCTION("""COMPUTED_VALUE"""),"AP")</f>
        <v>AP</v>
      </c>
      <c r="L137" s="220">
        <f>IFERROR(__xludf.DUMMYFUNCTION("""COMPUTED_VALUE"""),35.1)</f>
        <v>35.1</v>
      </c>
      <c r="M137" s="221" t="str">
        <f>IFERROR(__xludf.DUMMYFUNCTION("""COMPUTED_VALUE"""),"％")</f>
        <v>％</v>
      </c>
      <c r="N137" s="218">
        <f>IFERROR(__xludf.DUMMYFUNCTION("""COMPUTED_VALUE"""),1430.0)</f>
        <v>1430</v>
      </c>
      <c r="O137" s="217"/>
      <c r="P137" s="371" t="str">
        <f>IFERROR(__xludf.DUMMYFUNCTION("""COMPUTED_VALUE"""),"")</f>
        <v/>
      </c>
      <c r="R137" s="203"/>
      <c r="S137" s="204"/>
      <c r="T137" s="208">
        <f>IFERROR(__xludf.DUMMYFUNCTION("""COMPUTED_VALUE"""),2.0)</f>
        <v>2</v>
      </c>
      <c r="U137" s="210" t="str">
        <f>IFERROR(__xludf.DUMMYFUNCTION("""COMPUTED_VALUE"""),"TRF19")</f>
        <v>TRF19</v>
      </c>
      <c r="V137" s="212" t="str">
        <f>IFERROR(__xludf.DUMMYFUNCTION("""COMPUTED_VALUE"""),"Chaldea Gate (Fri)")</f>
        <v>Chaldea Gate (Fri)</v>
      </c>
      <c r="W137" s="212" t="str">
        <f>IFERROR(__xludf.DUMMYFUNCTION("""COMPUTED_VALUE"""),"FRI Caster Training Ground- Adv")</f>
        <v>FRI Caster Training Ground- Adv</v>
      </c>
      <c r="X137" s="218">
        <f>IFERROR(__xludf.DUMMYFUNCTION("""COMPUTED_VALUE"""),30.0)</f>
        <v>30</v>
      </c>
      <c r="Y137" s="219">
        <f>IFERROR(__xludf.DUMMYFUNCTION("""COMPUTED_VALUE"""),18.958333333333332)</f>
        <v>18.95833333</v>
      </c>
      <c r="Z137" s="220">
        <f>IFERROR(__xludf.DUMMYFUNCTION("""COMPUTED_VALUE"""),93.2)</f>
        <v>93.2</v>
      </c>
      <c r="AA137" s="221" t="str">
        <f>IFERROR(__xludf.DUMMYFUNCTION("""COMPUTED_VALUE"""),"AP")</f>
        <v>AP</v>
      </c>
      <c r="AB137" s="220">
        <f>IFERROR(__xludf.DUMMYFUNCTION("""COMPUTED_VALUE"""),32.2)</f>
        <v>32.2</v>
      </c>
      <c r="AC137" s="221" t="str">
        <f>IFERROR(__xludf.DUMMYFUNCTION("""COMPUTED_VALUE"""),"％")</f>
        <v>％</v>
      </c>
      <c r="AD137" s="218">
        <f>IFERROR(__xludf.DUMMYFUNCTION("""COMPUTED_VALUE"""),1241.0)</f>
        <v>1241</v>
      </c>
      <c r="AE137" s="217"/>
      <c r="AF137" s="372" t="str">
        <f>IFERROR(__xludf.DUMMYFUNCTION("""COMPUTED_VALUE"""),"")</f>
        <v/>
      </c>
    </row>
    <row r="138" ht="16.5" customHeight="1">
      <c r="C138" s="204"/>
      <c r="D138" s="225">
        <f>IFERROR(__xludf.DUMMYFUNCTION("""COMPUTED_VALUE"""),3.0)</f>
        <v>3</v>
      </c>
      <c r="E138" s="227" t="str">
        <f>IFERROR(__xludf.DUMMYFUNCTION("""COMPUTED_VALUE"""),"YKS3")</f>
        <v>YKS3</v>
      </c>
      <c r="F138" s="229" t="str">
        <f>IFERROR(__xludf.DUMMYFUNCTION("""COMPUTED_VALUE"""),"Yuga Kshetra")</f>
        <v>Yuga Kshetra</v>
      </c>
      <c r="G138" s="233" t="str">
        <f>IFERROR(__xludf.DUMMYFUNCTION("""COMPUTED_VALUE"""),"Secluded Grotto")</f>
        <v>Secluded Grotto</v>
      </c>
      <c r="H138" s="234">
        <f>IFERROR(__xludf.DUMMYFUNCTION("""COMPUTED_VALUE"""),21.0)</f>
        <v>21</v>
      </c>
      <c r="I138" s="235">
        <f>IFERROR(__xludf.DUMMYFUNCTION("""COMPUTED_VALUE"""),47.32142857142857)</f>
        <v>47.32142857</v>
      </c>
      <c r="J138" s="236">
        <f>IFERROR(__xludf.DUMMYFUNCTION("""COMPUTED_VALUE"""),73.4)</f>
        <v>73.4</v>
      </c>
      <c r="K138" s="237" t="str">
        <f>IFERROR(__xludf.DUMMYFUNCTION("""COMPUTED_VALUE"""),"AP")</f>
        <v>AP</v>
      </c>
      <c r="L138" s="236">
        <f>IFERROR(__xludf.DUMMYFUNCTION("""COMPUTED_VALUE"""),28.6)</f>
        <v>28.6</v>
      </c>
      <c r="M138" s="237" t="str">
        <f>IFERROR(__xludf.DUMMYFUNCTION("""COMPUTED_VALUE"""),"％")</f>
        <v>％</v>
      </c>
      <c r="N138" s="234">
        <f>IFERROR(__xludf.DUMMYFUNCTION("""COMPUTED_VALUE"""),374.0)</f>
        <v>374</v>
      </c>
      <c r="O138" s="217"/>
      <c r="P138" s="371" t="str">
        <f>IFERROR(__xludf.DUMMYFUNCTION("""COMPUTED_VALUE"""),"")</f>
        <v/>
      </c>
      <c r="R138" s="203"/>
      <c r="S138" s="204"/>
      <c r="T138" s="225">
        <f>IFERROR(__xludf.DUMMYFUNCTION("""COMPUTED_VALUE"""),3.0)</f>
        <v>3</v>
      </c>
      <c r="U138" s="227" t="str">
        <f>IFERROR(__xludf.DUMMYFUNCTION("""COMPUTED_VALUE"""),"TRF18")</f>
        <v>TRF18</v>
      </c>
      <c r="V138" s="229" t="str">
        <f>IFERROR(__xludf.DUMMYFUNCTION("""COMPUTED_VALUE"""),"Chaldea Gate (Fri)")</f>
        <v>Chaldea Gate (Fri)</v>
      </c>
      <c r="W138" s="229" t="str">
        <f>IFERROR(__xludf.DUMMYFUNCTION("""COMPUTED_VALUE"""),"FRI Caster Training Ground- Int")</f>
        <v>FRI Caster Training Ground- Int</v>
      </c>
      <c r="X138" s="234">
        <f>IFERROR(__xludf.DUMMYFUNCTION("""COMPUTED_VALUE"""),20.0)</f>
        <v>20</v>
      </c>
      <c r="Y138" s="235">
        <f>IFERROR(__xludf.DUMMYFUNCTION("""COMPUTED_VALUE"""),19.0625)</f>
        <v>19.0625</v>
      </c>
      <c r="Z138" s="236">
        <f>IFERROR(__xludf.DUMMYFUNCTION("""COMPUTED_VALUE"""),279.7)</f>
        <v>279.7</v>
      </c>
      <c r="AA138" s="237" t="str">
        <f>IFERROR(__xludf.DUMMYFUNCTION("""COMPUTED_VALUE"""),"AP")</f>
        <v>AP</v>
      </c>
      <c r="AB138" s="236">
        <f>IFERROR(__xludf.DUMMYFUNCTION("""COMPUTED_VALUE"""),7.2)</f>
        <v>7.2</v>
      </c>
      <c r="AC138" s="237" t="str">
        <f>IFERROR(__xludf.DUMMYFUNCTION("""COMPUTED_VALUE"""),"％")</f>
        <v>％</v>
      </c>
      <c r="AD138" s="234">
        <f>IFERROR(__xludf.DUMMYFUNCTION("""COMPUTED_VALUE"""),893.0)</f>
        <v>893</v>
      </c>
      <c r="AE138" s="217"/>
      <c r="AF138" s="372" t="str">
        <f>IFERROR(__xludf.DUMMYFUNCTION("""COMPUTED_VALUE"""),"")</f>
        <v/>
      </c>
    </row>
    <row r="139" ht="16.5" customHeight="1">
      <c r="C139" s="204"/>
      <c r="D139" s="239">
        <f>IFERROR(__xludf.DUMMYFUNCTION("""COMPUTED_VALUE"""),4.0)</f>
        <v>4</v>
      </c>
      <c r="E139" s="241" t="str">
        <f>IFERROR(__xludf.DUMMYFUNCTION("""COMPUTED_VALUE"""),"YKS5")</f>
        <v>YKS5</v>
      </c>
      <c r="F139" s="243" t="str">
        <f>IFERROR(__xludf.DUMMYFUNCTION("""COMPUTED_VALUE"""),"Yuga Kshetra")</f>
        <v>Yuga Kshetra</v>
      </c>
      <c r="G139" s="245" t="str">
        <f>IFERROR(__xludf.DUMMYFUNCTION("""COMPUTED_VALUE"""),"Western Fault")</f>
        <v>Western Fault</v>
      </c>
      <c r="H139" s="247">
        <f>IFERROR(__xludf.DUMMYFUNCTION("""COMPUTED_VALUE"""),21.0)</f>
        <v>21</v>
      </c>
      <c r="I139" s="249">
        <f>IFERROR(__xludf.DUMMYFUNCTION("""COMPUTED_VALUE"""),48.51190476190476)</f>
        <v>48.51190476</v>
      </c>
      <c r="J139" s="251">
        <f>IFERROR(__xludf.DUMMYFUNCTION("""COMPUTED_VALUE"""),80.8)</f>
        <v>80.8</v>
      </c>
      <c r="K139" s="253" t="str">
        <f>IFERROR(__xludf.DUMMYFUNCTION("""COMPUTED_VALUE"""),"AP")</f>
        <v>AP</v>
      </c>
      <c r="L139" s="251">
        <f>IFERROR(__xludf.DUMMYFUNCTION("""COMPUTED_VALUE"""),26.0)</f>
        <v>26</v>
      </c>
      <c r="M139" s="253" t="str">
        <f>IFERROR(__xludf.DUMMYFUNCTION("""COMPUTED_VALUE"""),"％")</f>
        <v>％</v>
      </c>
      <c r="N139" s="247">
        <f>IFERROR(__xludf.DUMMYFUNCTION("""COMPUTED_VALUE"""),4610.0)</f>
        <v>4610</v>
      </c>
      <c r="O139" s="217"/>
      <c r="P139" s="371" t="str">
        <f>IFERROR(__xludf.DUMMYFUNCTION("""COMPUTED_VALUE"""),"")</f>
        <v/>
      </c>
      <c r="R139" s="203"/>
      <c r="S139" s="204"/>
      <c r="T139" s="239">
        <f>IFERROR(__xludf.DUMMYFUNCTION("""COMPUTED_VALUE"""),4.0)</f>
        <v>4</v>
      </c>
      <c r="U139" s="241" t="str">
        <f>IFERROR(__xludf.DUMMYFUNCTION("""COMPUTED_VALUE"""),"LDN5")</f>
        <v>LDN5</v>
      </c>
      <c r="V139" s="243" t="str">
        <f>IFERROR(__xludf.DUMMYFUNCTION("""COMPUTED_VALUE"""),"London")</f>
        <v>London</v>
      </c>
      <c r="W139" s="245" t="str">
        <f>IFERROR(__xludf.DUMMYFUNCTION("""COMPUTED_VALUE"""),"Westminster")</f>
        <v>Westminster</v>
      </c>
      <c r="X139" s="247">
        <f>IFERROR(__xludf.DUMMYFUNCTION("""COMPUTED_VALUE"""),16.0)</f>
        <v>16</v>
      </c>
      <c r="Y139" s="249">
        <f>IFERROR(__xludf.DUMMYFUNCTION("""COMPUTED_VALUE"""),38.671875)</f>
        <v>38.671875</v>
      </c>
      <c r="Z139" s="251">
        <f>IFERROR(__xludf.DUMMYFUNCTION("""COMPUTED_VALUE"""),280.0)</f>
        <v>280</v>
      </c>
      <c r="AA139" s="253" t="str">
        <f>IFERROR(__xludf.DUMMYFUNCTION("""COMPUTED_VALUE"""),"AP")</f>
        <v>AP</v>
      </c>
      <c r="AB139" s="251">
        <f>IFERROR(__xludf.DUMMYFUNCTION("""COMPUTED_VALUE"""),5.7)</f>
        <v>5.7</v>
      </c>
      <c r="AC139" s="253" t="str">
        <f>IFERROR(__xludf.DUMMYFUNCTION("""COMPUTED_VALUE"""),"％")</f>
        <v>％</v>
      </c>
      <c r="AD139" s="247">
        <f>IFERROR(__xludf.DUMMYFUNCTION("""COMPUTED_VALUE"""),210.0)</f>
        <v>210</v>
      </c>
      <c r="AE139" s="217"/>
      <c r="AF139" s="372" t="str">
        <f>IFERROR(__xludf.DUMMYFUNCTION("""COMPUTED_VALUE"""),"")</f>
        <v/>
      </c>
    </row>
    <row r="140" ht="16.5" customHeight="1">
      <c r="A140" s="166"/>
      <c r="C140" s="255"/>
      <c r="D140" s="256">
        <f>IFERROR(__xludf.DUMMYFUNCTION("""COMPUTED_VALUE"""),5.0)</f>
        <v>5</v>
      </c>
      <c r="E140" s="257" t="str">
        <f>IFERROR(__xludf.DUMMYFUNCTION("""COMPUTED_VALUE"""),"YKS6")</f>
        <v>YKS6</v>
      </c>
      <c r="F140" s="42" t="str">
        <f>IFERROR(__xludf.DUMMYFUNCTION("""COMPUTED_VALUE"""),"Yuga Kshetra")</f>
        <v>Yuga Kshetra</v>
      </c>
      <c r="G140" s="258" t="str">
        <f>IFERROR(__xludf.DUMMYFUNCTION("""COMPUTED_VALUE"""),"Deewar")</f>
        <v>Deewar</v>
      </c>
      <c r="H140" s="259">
        <f>IFERROR(__xludf.DUMMYFUNCTION("""COMPUTED_VALUE"""),21.0)</f>
        <v>21</v>
      </c>
      <c r="I140" s="260">
        <f>IFERROR(__xludf.DUMMYFUNCTION("""COMPUTED_VALUE"""),48.51190476190476)</f>
        <v>48.51190476</v>
      </c>
      <c r="J140" s="261">
        <f>IFERROR(__xludf.DUMMYFUNCTION("""COMPUTED_VALUE"""),82.5)</f>
        <v>82.5</v>
      </c>
      <c r="K140" s="262" t="str">
        <f>IFERROR(__xludf.DUMMYFUNCTION("""COMPUTED_VALUE"""),"AP")</f>
        <v>AP</v>
      </c>
      <c r="L140" s="261">
        <f>IFERROR(__xludf.DUMMYFUNCTION("""COMPUTED_VALUE"""),25.5)</f>
        <v>25.5</v>
      </c>
      <c r="M140" s="262" t="str">
        <f>IFERROR(__xludf.DUMMYFUNCTION("""COMPUTED_VALUE"""),"％")</f>
        <v>％</v>
      </c>
      <c r="N140" s="259">
        <f>IFERROR(__xludf.DUMMYFUNCTION("""COMPUTED_VALUE"""),56066.0)</f>
        <v>56066</v>
      </c>
      <c r="O140" s="263"/>
      <c r="P140" s="371" t="str">
        <f>IFERROR(__xludf.DUMMYFUNCTION("""COMPUTED_VALUE"""),"")</f>
        <v/>
      </c>
      <c r="Q140" s="166"/>
      <c r="R140" s="254"/>
      <c r="S140" s="255"/>
      <c r="T140" s="256">
        <f>IFERROR(__xludf.DUMMYFUNCTION("""COMPUTED_VALUE"""),5.0)</f>
        <v>5</v>
      </c>
      <c r="U140" s="257" t="str">
        <f>IFERROR(__xludf.DUMMYFUNCTION("""COMPUTED_VALUE"""),"LDN4")</f>
        <v>LDN4</v>
      </c>
      <c r="V140" s="42" t="str">
        <f>IFERROR(__xludf.DUMMYFUNCTION("""COMPUTED_VALUE"""),"London")</f>
        <v>London</v>
      </c>
      <c r="W140" s="258" t="str">
        <f>IFERROR(__xludf.DUMMYFUNCTION("""COMPUTED_VALUE"""),"Soho")</f>
        <v>Soho</v>
      </c>
      <c r="X140" s="259">
        <f>IFERROR(__xludf.DUMMYFUNCTION("""COMPUTED_VALUE"""),16.0)</f>
        <v>16</v>
      </c>
      <c r="Y140" s="260">
        <f>IFERROR(__xludf.DUMMYFUNCTION("""COMPUTED_VALUE"""),38.671875)</f>
        <v>38.671875</v>
      </c>
      <c r="Z140" s="261">
        <f>IFERROR(__xludf.DUMMYFUNCTION("""COMPUTED_VALUE"""),361.1)</f>
        <v>361.1</v>
      </c>
      <c r="AA140" s="262" t="str">
        <f>IFERROR(__xludf.DUMMYFUNCTION("""COMPUTED_VALUE"""),"AP")</f>
        <v>AP</v>
      </c>
      <c r="AB140" s="261">
        <f>IFERROR(__xludf.DUMMYFUNCTION("""COMPUTED_VALUE"""),4.4)</f>
        <v>4.4</v>
      </c>
      <c r="AC140" s="262" t="str">
        <f>IFERROR(__xludf.DUMMYFUNCTION("""COMPUTED_VALUE"""),"％")</f>
        <v>％</v>
      </c>
      <c r="AD140" s="259">
        <f>IFERROR(__xludf.DUMMYFUNCTION("""COMPUTED_VALUE"""),316.0)</f>
        <v>316</v>
      </c>
      <c r="AE140" s="263"/>
      <c r="AF140" s="372" t="str">
        <f>IFERROR(__xludf.DUMMYFUNCTION("""COMPUTED_VALUE"""),"")</f>
        <v/>
      </c>
    </row>
    <row r="141" ht="16.5" customHeight="1">
      <c r="A141" s="61" t="str">
        <f>IFERROR(__xludf.DUMMYFUNCTION("""COMPUTED_VALUE"""),"")</f>
        <v/>
      </c>
      <c r="B141" s="367" t="str">
        <f>IFERROR(__xludf.DUMMYFUNCTION("""COMPUTED_VALUE"""),"A101")</f>
        <v>A101</v>
      </c>
      <c r="C141" s="65" t="str">
        <f>IFERROR(__xludf.DUMMYFUNCTION("""COMPUTED_VALUE"""),"Claw of Chaos")</f>
        <v>Claw of Chaos</v>
      </c>
      <c r="D141" s="70">
        <f>IFERROR(__xludf.DUMMYFUNCTION("""COMPUTED_VALUE"""),1.0)</f>
        <v>1</v>
      </c>
      <c r="E141" s="73" t="str">
        <f>IFERROR(__xludf.DUMMYFUNCTION("""COMPUTED_VALUE"""),"ANA14")</f>
        <v>ANA14</v>
      </c>
      <c r="F141" s="76" t="str">
        <f>IFERROR(__xludf.DUMMYFUNCTION("""COMPUTED_VALUE"""),"Anastasia")</f>
        <v>Anastasia</v>
      </c>
      <c r="G141" s="85" t="str">
        <f>IFERROR(__xludf.DUMMYFUNCTION("""COMPUTED_VALUE"""),"Yaga Ryazan")</f>
        <v>Yaga Ryazan</v>
      </c>
      <c r="H141" s="87">
        <f>IFERROR(__xludf.DUMMYFUNCTION("""COMPUTED_VALUE"""),21.0)</f>
        <v>21</v>
      </c>
      <c r="I141" s="90">
        <f>IFERROR(__xludf.DUMMYFUNCTION("""COMPUTED_VALUE"""),50.892857142857146)</f>
        <v>50.89285714</v>
      </c>
      <c r="J141" s="92">
        <f>IFERROR(__xludf.DUMMYFUNCTION("""COMPUTED_VALUE"""),101.0)</f>
        <v>101</v>
      </c>
      <c r="K141" s="94" t="str">
        <f>IFERROR(__xludf.DUMMYFUNCTION("""COMPUTED_VALUE"""),"AP")</f>
        <v>AP</v>
      </c>
      <c r="L141" s="96">
        <f>IFERROR(__xludf.DUMMYFUNCTION("""COMPUTED_VALUE"""),20.8)</f>
        <v>20.8</v>
      </c>
      <c r="M141" s="94" t="str">
        <f>IFERROR(__xludf.DUMMYFUNCTION("""COMPUTED_VALUE"""),"％")</f>
        <v>％</v>
      </c>
      <c r="N141" s="87">
        <f>IFERROR(__xludf.DUMMYFUNCTION("""COMPUTED_VALUE"""),15091.0)</f>
        <v>15091</v>
      </c>
      <c r="O141" s="97" t="str">
        <f>IFERROR(__xludf.DUMMYFUNCTION("""COMPUTED_VALUE"""),"Claw of Chaos")</f>
        <v>Claw of Chaos</v>
      </c>
      <c r="P141" s="371" t="str">
        <f>IFERROR(__xludf.DUMMYFUNCTION("""COMPUTED_VALUE"""),"")</f>
        <v/>
      </c>
      <c r="Q141" s="61" t="str">
        <f>IFERROR(__xludf.DUMMYFUNCTION("""COMPUTED_VALUE"""),"")</f>
        <v/>
      </c>
      <c r="R141" s="361" t="str">
        <f>IFERROR(__xludf.DUMMYFUNCTION("""COMPUTED_VALUE"""),"B206")</f>
        <v>B206</v>
      </c>
      <c r="S141" s="65" t="str">
        <f>IFERROR(__xludf.DUMMYFUNCTION("""COMPUTED_VALUE"""),"Assassin Monument")</f>
        <v>Assassin Monument</v>
      </c>
      <c r="T141" s="70">
        <f>IFERROR(__xludf.DUMMYFUNCTION("""COMPUTED_VALUE"""),1.0)</f>
        <v>1</v>
      </c>
      <c r="U141" s="73" t="str">
        <f>IFERROR(__xludf.DUMMYFUNCTION("""COMPUTED_VALUE"""),"TRF24")</f>
        <v>TRF24</v>
      </c>
      <c r="V141" s="76" t="str">
        <f>IFERROR(__xludf.DUMMYFUNCTION("""COMPUTED_VALUE"""),"Chaldea Gate (Sat)")</f>
        <v>Chaldea Gate (Sat)</v>
      </c>
      <c r="W141" s="76" t="str">
        <f>IFERROR(__xludf.DUMMYFUNCTION("""COMPUTED_VALUE"""),"SAT Assassin Training Ground- Exp")</f>
        <v>SAT Assassin Training Ground- Exp</v>
      </c>
      <c r="X141" s="87">
        <f>IFERROR(__xludf.DUMMYFUNCTION("""COMPUTED_VALUE"""),40.0)</f>
        <v>40</v>
      </c>
      <c r="Y141" s="90">
        <f>IFERROR(__xludf.DUMMYFUNCTION("""COMPUTED_VALUE"""),20.46875)</f>
        <v>20.46875</v>
      </c>
      <c r="Z141" s="92">
        <f>IFERROR(__xludf.DUMMYFUNCTION("""COMPUTED_VALUE"""),69.7)</f>
        <v>69.7</v>
      </c>
      <c r="AA141" s="94" t="str">
        <f>IFERROR(__xludf.DUMMYFUNCTION("""COMPUTED_VALUE"""),"AP")</f>
        <v>AP</v>
      </c>
      <c r="AB141" s="96">
        <f>IFERROR(__xludf.DUMMYFUNCTION("""COMPUTED_VALUE"""),57.4)</f>
        <v>57.4</v>
      </c>
      <c r="AC141" s="94" t="str">
        <f>IFERROR(__xludf.DUMMYFUNCTION("""COMPUTED_VALUE"""),"％")</f>
        <v>％</v>
      </c>
      <c r="AD141" s="87">
        <f>IFERROR(__xludf.DUMMYFUNCTION("""COMPUTED_VALUE"""),6919.0)</f>
        <v>6919</v>
      </c>
      <c r="AE141" s="97" t="str">
        <f>IFERROR(__xludf.DUMMYFUNCTION("""COMPUTED_VALUE"""),"Assassin Monument")</f>
        <v>Assassin Monument</v>
      </c>
      <c r="AF141" s="372" t="str">
        <f>IFERROR(__xludf.DUMMYFUNCTION("""COMPUTED_VALUE"""),"")</f>
        <v/>
      </c>
    </row>
    <row r="142" ht="16.5" customHeight="1">
      <c r="C142" s="100"/>
      <c r="D142" s="105">
        <f>IFERROR(__xludf.DUMMYFUNCTION("""COMPUTED_VALUE"""),2.0)</f>
        <v>2</v>
      </c>
      <c r="E142" s="106" t="str">
        <f>IFERROR(__xludf.DUMMYFUNCTION("""COMPUTED_VALUE"""),"AGT1")</f>
        <v>AGT1</v>
      </c>
      <c r="F142" s="107" t="str">
        <f>IFERROR(__xludf.DUMMYFUNCTION("""COMPUTED_VALUE"""),"Agartha")</f>
        <v>Agartha</v>
      </c>
      <c r="G142" s="114" t="str">
        <f>IFERROR(__xludf.DUMMYFUNCTION("""COMPUTED_VALUE"""),"Underground Plains")</f>
        <v>Underground Plains</v>
      </c>
      <c r="H142" s="116">
        <f>IFERROR(__xludf.DUMMYFUNCTION("""COMPUTED_VALUE"""),20.0)</f>
        <v>20</v>
      </c>
      <c r="I142" s="118">
        <f>IFERROR(__xludf.DUMMYFUNCTION("""COMPUTED_VALUE"""),48.4375)</f>
        <v>48.4375</v>
      </c>
      <c r="J142" s="120">
        <f>IFERROR(__xludf.DUMMYFUNCTION("""COMPUTED_VALUE"""),97.3)</f>
        <v>97.3</v>
      </c>
      <c r="K142" s="122" t="str">
        <f>IFERROR(__xludf.DUMMYFUNCTION("""COMPUTED_VALUE"""),"AP")</f>
        <v>AP</v>
      </c>
      <c r="L142" s="124">
        <f>IFERROR(__xludf.DUMMYFUNCTION("""COMPUTED_VALUE"""),20.6)</f>
        <v>20.6</v>
      </c>
      <c r="M142" s="122" t="str">
        <f>IFERROR(__xludf.DUMMYFUNCTION("""COMPUTED_VALUE"""),"％")</f>
        <v>％</v>
      </c>
      <c r="N142" s="116">
        <f>IFERROR(__xludf.DUMMYFUNCTION("""COMPUTED_VALUE"""),18427.0)</f>
        <v>18427</v>
      </c>
      <c r="O142" s="100"/>
      <c r="P142" s="371" t="str">
        <f>IFERROR(__xludf.DUMMYFUNCTION("""COMPUTED_VALUE"""),"")</f>
        <v/>
      </c>
      <c r="R142" s="358"/>
      <c r="S142" s="100"/>
      <c r="T142" s="105">
        <f>IFERROR(__xludf.DUMMYFUNCTION("""COMPUTED_VALUE"""),2.0)</f>
        <v>2</v>
      </c>
      <c r="U142" s="106" t="str">
        <f>IFERROR(__xludf.DUMMYFUNCTION("""COMPUTED_VALUE"""),"TRF23")</f>
        <v>TRF23</v>
      </c>
      <c r="V142" s="107" t="str">
        <f>IFERROR(__xludf.DUMMYFUNCTION("""COMPUTED_VALUE"""),"Chaldea Gate (Sat)")</f>
        <v>Chaldea Gate (Sat)</v>
      </c>
      <c r="W142" s="107" t="str">
        <f>IFERROR(__xludf.DUMMYFUNCTION("""COMPUTED_VALUE"""),"SAT Assassin Training Ground- Adv")</f>
        <v>SAT Assassin Training Ground- Adv</v>
      </c>
      <c r="X142" s="116">
        <f>IFERROR(__xludf.DUMMYFUNCTION("""COMPUTED_VALUE"""),30.0)</f>
        <v>30</v>
      </c>
      <c r="Y142" s="118">
        <f>IFERROR(__xludf.DUMMYFUNCTION("""COMPUTED_VALUE"""),18.958333333333332)</f>
        <v>18.95833333</v>
      </c>
      <c r="Z142" s="120">
        <f>IFERROR(__xludf.DUMMYFUNCTION("""COMPUTED_VALUE"""),79.4)</f>
        <v>79.4</v>
      </c>
      <c r="AA142" s="122" t="str">
        <f>IFERROR(__xludf.DUMMYFUNCTION("""COMPUTED_VALUE"""),"AP")</f>
        <v>AP</v>
      </c>
      <c r="AB142" s="124">
        <f>IFERROR(__xludf.DUMMYFUNCTION("""COMPUTED_VALUE"""),37.8)</f>
        <v>37.8</v>
      </c>
      <c r="AC142" s="122" t="str">
        <f>IFERROR(__xludf.DUMMYFUNCTION("""COMPUTED_VALUE"""),"％")</f>
        <v>％</v>
      </c>
      <c r="AD142" s="116">
        <f>IFERROR(__xludf.DUMMYFUNCTION("""COMPUTED_VALUE"""),741.0)</f>
        <v>741</v>
      </c>
      <c r="AE142" s="100"/>
      <c r="AF142" s="372" t="str">
        <f>IFERROR(__xludf.DUMMYFUNCTION("""COMPUTED_VALUE"""),"")</f>
        <v/>
      </c>
    </row>
    <row r="143" ht="16.5" customHeight="1">
      <c r="C143" s="100"/>
      <c r="D143" s="128">
        <f>IFERROR(__xludf.DUMMYFUNCTION("""COMPUTED_VALUE"""),3.0)</f>
        <v>3</v>
      </c>
      <c r="E143" s="129" t="str">
        <f>IFERROR(__xludf.DUMMYFUNCTION("""COMPUTED_VALUE"""),"YKS5")</f>
        <v>YKS5</v>
      </c>
      <c r="F143" s="131" t="str">
        <f>IFERROR(__xludf.DUMMYFUNCTION("""COMPUTED_VALUE"""),"Yuga Kshetra")</f>
        <v>Yuga Kshetra</v>
      </c>
      <c r="G143" s="134" t="str">
        <f>IFERROR(__xludf.DUMMYFUNCTION("""COMPUTED_VALUE"""),"Western Fault")</f>
        <v>Western Fault</v>
      </c>
      <c r="H143" s="136">
        <f>IFERROR(__xludf.DUMMYFUNCTION("""COMPUTED_VALUE"""),21.0)</f>
        <v>21</v>
      </c>
      <c r="I143" s="138">
        <f>IFERROR(__xludf.DUMMYFUNCTION("""COMPUTED_VALUE"""),48.51190476190476)</f>
        <v>48.51190476</v>
      </c>
      <c r="J143" s="140">
        <f>IFERROR(__xludf.DUMMYFUNCTION("""COMPUTED_VALUE"""),102.7)</f>
        <v>102.7</v>
      </c>
      <c r="K143" s="142" t="str">
        <f>IFERROR(__xludf.DUMMYFUNCTION("""COMPUTED_VALUE"""),"AP")</f>
        <v>AP</v>
      </c>
      <c r="L143" s="144">
        <f>IFERROR(__xludf.DUMMYFUNCTION("""COMPUTED_VALUE"""),20.5)</f>
        <v>20.5</v>
      </c>
      <c r="M143" s="142" t="str">
        <f>IFERROR(__xludf.DUMMYFUNCTION("""COMPUTED_VALUE"""),"％")</f>
        <v>％</v>
      </c>
      <c r="N143" s="136">
        <f>IFERROR(__xludf.DUMMYFUNCTION("""COMPUTED_VALUE"""),4610.0)</f>
        <v>4610</v>
      </c>
      <c r="O143" s="100"/>
      <c r="P143" s="371" t="str">
        <f>IFERROR(__xludf.DUMMYFUNCTION("""COMPUTED_VALUE"""),"")</f>
        <v/>
      </c>
      <c r="R143" s="358"/>
      <c r="S143" s="100"/>
      <c r="T143" s="128">
        <f>IFERROR(__xludf.DUMMYFUNCTION("""COMPUTED_VALUE"""),3.0)</f>
        <v>3</v>
      </c>
      <c r="U143" s="129" t="str">
        <f>IFERROR(__xludf.DUMMYFUNCTION("""COMPUTED_VALUE"""),"TRF22")</f>
        <v>TRF22</v>
      </c>
      <c r="V143" s="131" t="str">
        <f>IFERROR(__xludf.DUMMYFUNCTION("""COMPUTED_VALUE"""),"Chaldea Gate (Sat)")</f>
        <v>Chaldea Gate (Sat)</v>
      </c>
      <c r="W143" s="131" t="str">
        <f>IFERROR(__xludf.DUMMYFUNCTION("""COMPUTED_VALUE"""),"SAT Assassin Training Ground- Int")</f>
        <v>SAT Assassin Training Ground- Int</v>
      </c>
      <c r="X143" s="136">
        <f>IFERROR(__xludf.DUMMYFUNCTION("""COMPUTED_VALUE"""),20.0)</f>
        <v>20</v>
      </c>
      <c r="Y143" s="138">
        <f>IFERROR(__xludf.DUMMYFUNCTION("""COMPUTED_VALUE"""),19.0625)</f>
        <v>19.0625</v>
      </c>
      <c r="Z143" s="140">
        <f>IFERROR(__xludf.DUMMYFUNCTION("""COMPUTED_VALUE"""),238.9)</f>
        <v>238.9</v>
      </c>
      <c r="AA143" s="142" t="str">
        <f>IFERROR(__xludf.DUMMYFUNCTION("""COMPUTED_VALUE"""),"AP")</f>
        <v>AP</v>
      </c>
      <c r="AB143" s="144">
        <f>IFERROR(__xludf.DUMMYFUNCTION("""COMPUTED_VALUE"""),8.4)</f>
        <v>8.4</v>
      </c>
      <c r="AC143" s="142" t="str">
        <f>IFERROR(__xludf.DUMMYFUNCTION("""COMPUTED_VALUE"""),"％")</f>
        <v>％</v>
      </c>
      <c r="AD143" s="136">
        <f>IFERROR(__xludf.DUMMYFUNCTION("""COMPUTED_VALUE"""),462.0)</f>
        <v>462</v>
      </c>
      <c r="AE143" s="100"/>
      <c r="AF143" s="372" t="str">
        <f>IFERROR(__xludf.DUMMYFUNCTION("""COMPUTED_VALUE"""),"")</f>
        <v/>
      </c>
    </row>
    <row r="144" ht="16.5" customHeight="1">
      <c r="C144" s="100"/>
      <c r="D144" s="147">
        <f>IFERROR(__xludf.DUMMYFUNCTION("""COMPUTED_VALUE"""),4.0)</f>
        <v>4</v>
      </c>
      <c r="E144" s="149" t="str">
        <f>IFERROR(__xludf.DUMMYFUNCTION("""COMPUTED_VALUE"""),"EPU7")</f>
        <v>EPU7</v>
      </c>
      <c r="F144" s="151" t="str">
        <f>IFERROR(__xludf.DUMMYFUNCTION("""COMPUTED_VALUE"""),"E Pluribus Unum")</f>
        <v>E Pluribus Unum</v>
      </c>
      <c r="G144" s="153" t="str">
        <f>IFERROR(__xludf.DUMMYFUNCTION("""COMPUTED_VALUE"""),"Des Moines")</f>
        <v>Des Moines</v>
      </c>
      <c r="H144" s="155">
        <f>IFERROR(__xludf.DUMMYFUNCTION("""COMPUTED_VALUE"""),18.0)</f>
        <v>18</v>
      </c>
      <c r="I144" s="157">
        <f>IFERROR(__xludf.DUMMYFUNCTION("""COMPUTED_VALUE"""),42.708333333333336)</f>
        <v>42.70833333</v>
      </c>
      <c r="J144" s="159">
        <f>IFERROR(__xludf.DUMMYFUNCTION("""COMPUTED_VALUE"""),89.5)</f>
        <v>89.5</v>
      </c>
      <c r="K144" s="161" t="str">
        <f>IFERROR(__xludf.DUMMYFUNCTION("""COMPUTED_VALUE"""),"AP")</f>
        <v>AP</v>
      </c>
      <c r="L144" s="163">
        <f>IFERROR(__xludf.DUMMYFUNCTION("""COMPUTED_VALUE"""),20.1)</f>
        <v>20.1</v>
      </c>
      <c r="M144" s="161" t="str">
        <f>IFERROR(__xludf.DUMMYFUNCTION("""COMPUTED_VALUE"""),"％")</f>
        <v>％</v>
      </c>
      <c r="N144" s="155">
        <f>IFERROR(__xludf.DUMMYFUNCTION("""COMPUTED_VALUE"""),18244.0)</f>
        <v>18244</v>
      </c>
      <c r="O144" s="100"/>
      <c r="P144" s="371" t="str">
        <f>IFERROR(__xludf.DUMMYFUNCTION("""COMPUTED_VALUE"""),"")</f>
        <v/>
      </c>
      <c r="R144" s="358"/>
      <c r="S144" s="100"/>
      <c r="T144" s="147">
        <f>IFERROR(__xludf.DUMMYFUNCTION("""COMPUTED_VALUE"""),4.0)</f>
        <v>4</v>
      </c>
      <c r="U144" s="149" t="str">
        <f>IFERROR(__xludf.DUMMYFUNCTION("""COMPUTED_VALUE"""),"CML7")</f>
        <v>CML7</v>
      </c>
      <c r="V144" s="151" t="str">
        <f>IFERROR(__xludf.DUMMYFUNCTION("""COMPUTED_VALUE"""),"Camelot")</f>
        <v>Camelot</v>
      </c>
      <c r="W144" s="153" t="str">
        <f>IFERROR(__xludf.DUMMYFUNCTION("""COMPUTED_VALUE"""),"West Village Ruins")</f>
        <v>West Village Ruins</v>
      </c>
      <c r="X144" s="155">
        <f>IFERROR(__xludf.DUMMYFUNCTION("""COMPUTED_VALUE"""),20.0)</f>
        <v>20</v>
      </c>
      <c r="Y144" s="157">
        <f>IFERROR(__xludf.DUMMYFUNCTION("""COMPUTED_VALUE"""),44.6875)</f>
        <v>44.6875</v>
      </c>
      <c r="Z144" s="159">
        <f>IFERROR(__xludf.DUMMYFUNCTION("""COMPUTED_VALUE"""),551.1)</f>
        <v>551.1</v>
      </c>
      <c r="AA144" s="161" t="str">
        <f>IFERROR(__xludf.DUMMYFUNCTION("""COMPUTED_VALUE"""),"AP")</f>
        <v>AP</v>
      </c>
      <c r="AB144" s="163">
        <f>IFERROR(__xludf.DUMMYFUNCTION("""COMPUTED_VALUE"""),3.6)</f>
        <v>3.6</v>
      </c>
      <c r="AC144" s="161" t="str">
        <f>IFERROR(__xludf.DUMMYFUNCTION("""COMPUTED_VALUE"""),"％")</f>
        <v>％</v>
      </c>
      <c r="AD144" s="155">
        <f>IFERROR(__xludf.DUMMYFUNCTION("""COMPUTED_VALUE"""),731.0)</f>
        <v>731</v>
      </c>
      <c r="AE144" s="100"/>
      <c r="AF144" s="372" t="str">
        <f>IFERROR(__xludf.DUMMYFUNCTION("""COMPUTED_VALUE"""),"")</f>
        <v/>
      </c>
    </row>
    <row r="145" ht="16.5" customHeight="1">
      <c r="A145" s="166"/>
      <c r="C145" s="168"/>
      <c r="D145" s="169">
        <f>IFERROR(__xludf.DUMMYFUNCTION("""COMPUTED_VALUE"""),5.0)</f>
        <v>5</v>
      </c>
      <c r="E145" s="170" t="str">
        <f>IFERROR(__xludf.DUMMYFUNCTION("""COMPUTED_VALUE"""),"SJK4")</f>
        <v>SJK4</v>
      </c>
      <c r="F145" s="51" t="str">
        <f>IFERROR(__xludf.DUMMYFUNCTION("""COMPUTED_VALUE"""),"Shinjuku")</f>
        <v>Shinjuku</v>
      </c>
      <c r="G145" s="171" t="str">
        <f>IFERROR(__xludf.DUMMYFUNCTION("""COMPUTED_VALUE"""),"Shinjuku 4-Chome")</f>
        <v>Shinjuku 4-Chome</v>
      </c>
      <c r="H145" s="172">
        <f>IFERROR(__xludf.DUMMYFUNCTION("""COMPUTED_VALUE"""),21.0)</f>
        <v>21</v>
      </c>
      <c r="I145" s="173">
        <f>IFERROR(__xludf.DUMMYFUNCTION("""COMPUTED_VALUE"""),47.32142857142857)</f>
        <v>47.32142857</v>
      </c>
      <c r="J145" s="174">
        <f>IFERROR(__xludf.DUMMYFUNCTION("""COMPUTED_VALUE"""),115.9)</f>
        <v>115.9</v>
      </c>
      <c r="K145" s="175" t="str">
        <f>IFERROR(__xludf.DUMMYFUNCTION("""COMPUTED_VALUE"""),"AP")</f>
        <v>AP</v>
      </c>
      <c r="L145" s="176">
        <f>IFERROR(__xludf.DUMMYFUNCTION("""COMPUTED_VALUE"""),18.0999999)</f>
        <v>18.0999999</v>
      </c>
      <c r="M145" s="175" t="str">
        <f>IFERROR(__xludf.DUMMYFUNCTION("""COMPUTED_VALUE"""),"％")</f>
        <v>％</v>
      </c>
      <c r="N145" s="172">
        <f>IFERROR(__xludf.DUMMYFUNCTION("""COMPUTED_VALUE"""),36616.0)</f>
        <v>36616</v>
      </c>
      <c r="O145" s="168"/>
      <c r="P145" s="371" t="str">
        <f>IFERROR(__xludf.DUMMYFUNCTION("""COMPUTED_VALUE"""),"")</f>
        <v/>
      </c>
      <c r="Q145" s="166"/>
      <c r="R145" s="359"/>
      <c r="S145" s="168"/>
      <c r="T145" s="169">
        <f>IFERROR(__xludf.DUMMYFUNCTION("""COMPUTED_VALUE"""),5.0)</f>
        <v>5</v>
      </c>
      <c r="U145" s="170" t="str">
        <f>IFERROR(__xludf.DUMMYFUNCTION("""COMPUTED_VALUE"""),"TRF21")</f>
        <v>TRF21</v>
      </c>
      <c r="V145" s="51" t="str">
        <f>IFERROR(__xludf.DUMMYFUNCTION("""COMPUTED_VALUE"""),"Chaldea Gate (Sat)")</f>
        <v>Chaldea Gate (Sat)</v>
      </c>
      <c r="W145" s="51" t="str">
        <f>IFERROR(__xludf.DUMMYFUNCTION("""COMPUTED_VALUE"""),"SAT Assassin Training Ground- Nov")</f>
        <v>SAT Assassin Training Ground- Nov</v>
      </c>
      <c r="X145" s="172">
        <f>IFERROR(__xludf.DUMMYFUNCTION("""COMPUTED_VALUE"""),10.0)</f>
        <v>10</v>
      </c>
      <c r="Y145" s="173">
        <f>IFERROR(__xludf.DUMMYFUNCTION("""COMPUTED_VALUE"""),19.375)</f>
        <v>19.375</v>
      </c>
      <c r="Z145" s="174">
        <f>IFERROR(__xludf.DUMMYFUNCTION("""COMPUTED_VALUE"""),403.8)</f>
        <v>403.8</v>
      </c>
      <c r="AA145" s="175" t="str">
        <f>IFERROR(__xludf.DUMMYFUNCTION("""COMPUTED_VALUE"""),"AP")</f>
        <v>AP</v>
      </c>
      <c r="AB145" s="176">
        <f>IFERROR(__xludf.DUMMYFUNCTION("""COMPUTED_VALUE"""),2.5)</f>
        <v>2.5</v>
      </c>
      <c r="AC145" s="175" t="str">
        <f>IFERROR(__xludf.DUMMYFUNCTION("""COMPUTED_VALUE"""),"％")</f>
        <v>％</v>
      </c>
      <c r="AD145" s="172">
        <f>IFERROR(__xludf.DUMMYFUNCTION("""COMPUTED_VALUE"""),1054.0)</f>
        <v>1054</v>
      </c>
      <c r="AE145" s="168"/>
      <c r="AF145" s="372" t="str">
        <f>IFERROR(__xludf.DUMMYFUNCTION("""COMPUTED_VALUE"""),"")</f>
        <v/>
      </c>
    </row>
    <row r="146" ht="16.5" customHeight="1">
      <c r="A146" s="61" t="str">
        <f>IFERROR(__xludf.DUMMYFUNCTION("""COMPUTED_VALUE"""),"")</f>
        <v/>
      </c>
      <c r="B146" s="366" t="str">
        <f>IFERROR(__xludf.DUMMYFUNCTION("""COMPUTED_VALUE"""),"A102")</f>
        <v>A102</v>
      </c>
      <c r="C146" s="197" t="str">
        <f>IFERROR(__xludf.DUMMYFUNCTION("""COMPUTED_VALUE"""),"Heart of the Foreign God")</f>
        <v>Heart of the Foreign God</v>
      </c>
      <c r="D146" s="185">
        <f>IFERROR(__xludf.DUMMYFUNCTION("""COMPUTED_VALUE"""),1.0)</f>
        <v>1</v>
      </c>
      <c r="E146" s="187" t="str">
        <f>IFERROR(__xludf.DUMMYFUNCTION("""COMPUTED_VALUE"""),"SLM2")</f>
        <v>SLM2</v>
      </c>
      <c r="F146" s="188" t="str">
        <f>IFERROR(__xludf.DUMMYFUNCTION("""COMPUTED_VALUE"""),"Salem")</f>
        <v>Salem</v>
      </c>
      <c r="G146" s="193" t="str">
        <f>IFERROR(__xludf.DUMMYFUNCTION("""COMPUTED_VALUE"""),"Carter House")</f>
        <v>Carter House</v>
      </c>
      <c r="H146" s="195">
        <f>IFERROR(__xludf.DUMMYFUNCTION("""COMPUTED_VALUE"""),20.0)</f>
        <v>20</v>
      </c>
      <c r="I146" s="196">
        <f>IFERROR(__xludf.DUMMYFUNCTION("""COMPUTED_VALUE"""),48.4375)</f>
        <v>48.4375</v>
      </c>
      <c r="J146" s="198">
        <f>IFERROR(__xludf.DUMMYFUNCTION("""COMPUTED_VALUE"""),162.2)</f>
        <v>162.2</v>
      </c>
      <c r="K146" s="200" t="str">
        <f>IFERROR(__xludf.DUMMYFUNCTION("""COMPUTED_VALUE"""),"AP")</f>
        <v>AP</v>
      </c>
      <c r="L146" s="198">
        <f>IFERROR(__xludf.DUMMYFUNCTION("""COMPUTED_VALUE"""),12.299990000000001)</f>
        <v>12.29999</v>
      </c>
      <c r="M146" s="201" t="str">
        <f>IFERROR(__xludf.DUMMYFUNCTION("""COMPUTED_VALUE"""),"％")</f>
        <v>％</v>
      </c>
      <c r="N146" s="195">
        <f>IFERROR(__xludf.DUMMYFUNCTION("""COMPUTED_VALUE"""),84431.0)</f>
        <v>84431</v>
      </c>
      <c r="O146" s="197" t="str">
        <f>IFERROR(__xludf.DUMMYFUNCTION("""COMPUTED_VALUE"""),"Heart of the Foreign God")</f>
        <v>Heart of the Foreign God</v>
      </c>
      <c r="P146" s="371" t="str">
        <f>IFERROR(__xludf.DUMMYFUNCTION("""COMPUTED_VALUE"""),"")</f>
        <v/>
      </c>
      <c r="Q146" s="61" t="str">
        <f>IFERROR(__xludf.DUMMYFUNCTION("""COMPUTED_VALUE"""),"")</f>
        <v/>
      </c>
      <c r="R146" s="202" t="str">
        <f>IFERROR(__xludf.DUMMYFUNCTION("""COMPUTED_VALUE"""),"B207")</f>
        <v>B207</v>
      </c>
      <c r="S146" s="197" t="str">
        <f>IFERROR(__xludf.DUMMYFUNCTION("""COMPUTED_VALUE"""),"Berserker Monument")</f>
        <v>Berserker Monument</v>
      </c>
      <c r="T146" s="185">
        <f>IFERROR(__xludf.DUMMYFUNCTION("""COMPUTED_VALUE"""),1.0)</f>
        <v>1</v>
      </c>
      <c r="U146" s="187" t="str">
        <f>IFERROR(__xludf.DUMMYFUNCTION("""COMPUTED_VALUE"""),"TRF12")</f>
        <v>TRF12</v>
      </c>
      <c r="V146" s="188" t="str">
        <f>IFERROR(__xludf.DUMMYFUNCTION("""COMPUTED_VALUE"""),"Chaldea Gate (Wed)")</f>
        <v>Chaldea Gate (Wed)</v>
      </c>
      <c r="W146" s="188" t="str">
        <f>IFERROR(__xludf.DUMMYFUNCTION("""COMPUTED_VALUE"""),"WED Berserker Training Ground- Exp")</f>
        <v>WED Berserker Training Ground- Exp</v>
      </c>
      <c r="X146" s="195">
        <f>IFERROR(__xludf.DUMMYFUNCTION("""COMPUTED_VALUE"""),40.0)</f>
        <v>40</v>
      </c>
      <c r="Y146" s="196">
        <f>IFERROR(__xludf.DUMMYFUNCTION("""COMPUTED_VALUE"""),20.46875)</f>
        <v>20.46875</v>
      </c>
      <c r="Z146" s="198">
        <f>IFERROR(__xludf.DUMMYFUNCTION("""COMPUTED_VALUE"""),72.5)</f>
        <v>72.5</v>
      </c>
      <c r="AA146" s="200" t="str">
        <f>IFERROR(__xludf.DUMMYFUNCTION("""COMPUTED_VALUE"""),"AP")</f>
        <v>AP</v>
      </c>
      <c r="AB146" s="198">
        <f>IFERROR(__xludf.DUMMYFUNCTION("""COMPUTED_VALUE"""),55.1)</f>
        <v>55.1</v>
      </c>
      <c r="AC146" s="201" t="str">
        <f>IFERROR(__xludf.DUMMYFUNCTION("""COMPUTED_VALUE"""),"％")</f>
        <v>％</v>
      </c>
      <c r="AD146" s="195">
        <f>IFERROR(__xludf.DUMMYFUNCTION("""COMPUTED_VALUE"""),3095.0)</f>
        <v>3095</v>
      </c>
      <c r="AE146" s="197" t="str">
        <f>IFERROR(__xludf.DUMMYFUNCTION("""COMPUTED_VALUE"""),"Berserker Monument")</f>
        <v>Berserker Monument</v>
      </c>
      <c r="AF146" s="372" t="str">
        <f>IFERROR(__xludf.DUMMYFUNCTION("""COMPUTED_VALUE"""),"")</f>
        <v/>
      </c>
    </row>
    <row r="147" ht="16.5" customHeight="1">
      <c r="C147" s="217"/>
      <c r="D147" s="208">
        <f>IFERROR(__xludf.DUMMYFUNCTION("""COMPUTED_VALUE"""),2.0)</f>
        <v>2</v>
      </c>
      <c r="E147" s="210" t="str">
        <f>IFERROR(__xludf.DUMMYFUNCTION("""COMPUTED_VALUE"""),"SJK9")</f>
        <v>SJK9</v>
      </c>
      <c r="F147" s="212" t="str">
        <f>IFERROR(__xludf.DUMMYFUNCTION("""COMPUTED_VALUE"""),"Shinjuku")</f>
        <v>Shinjuku</v>
      </c>
      <c r="G147" s="216" t="str">
        <f>IFERROR(__xludf.DUMMYFUNCTION("""COMPUTED_VALUE"""),"Shinjuku Gyoen")</f>
        <v>Shinjuku Gyoen</v>
      </c>
      <c r="H147" s="218">
        <f>IFERROR(__xludf.DUMMYFUNCTION("""COMPUTED_VALUE"""),21.0)</f>
        <v>21</v>
      </c>
      <c r="I147" s="219">
        <f>IFERROR(__xludf.DUMMYFUNCTION("""COMPUTED_VALUE"""),50.892857142857146)</f>
        <v>50.89285714</v>
      </c>
      <c r="J147" s="220">
        <f>IFERROR(__xludf.DUMMYFUNCTION("""COMPUTED_VALUE"""),174.8)</f>
        <v>174.8</v>
      </c>
      <c r="K147" s="221" t="str">
        <f>IFERROR(__xludf.DUMMYFUNCTION("""COMPUTED_VALUE"""),"AP")</f>
        <v>AP</v>
      </c>
      <c r="L147" s="220">
        <f>IFERROR(__xludf.DUMMYFUNCTION("""COMPUTED_VALUE"""),12.0)</f>
        <v>12</v>
      </c>
      <c r="M147" s="221" t="str">
        <f>IFERROR(__xludf.DUMMYFUNCTION("""COMPUTED_VALUE"""),"％")</f>
        <v>％</v>
      </c>
      <c r="N147" s="218">
        <f>IFERROR(__xludf.DUMMYFUNCTION("""COMPUTED_VALUE"""),42877.0)</f>
        <v>42877</v>
      </c>
      <c r="O147" s="217"/>
      <c r="P147" s="371" t="str">
        <f>IFERROR(__xludf.DUMMYFUNCTION("""COMPUTED_VALUE"""),"")</f>
        <v/>
      </c>
      <c r="R147" s="203"/>
      <c r="S147" s="217"/>
      <c r="T147" s="208">
        <f>IFERROR(__xludf.DUMMYFUNCTION("""COMPUTED_VALUE"""),2.0)</f>
        <v>2</v>
      </c>
      <c r="U147" s="210" t="str">
        <f>IFERROR(__xludf.DUMMYFUNCTION("""COMPUTED_VALUE"""),"TRF11")</f>
        <v>TRF11</v>
      </c>
      <c r="V147" s="212" t="str">
        <f>IFERROR(__xludf.DUMMYFUNCTION("""COMPUTED_VALUE"""),"Chaldea Gate (Wed)")</f>
        <v>Chaldea Gate (Wed)</v>
      </c>
      <c r="W147" s="212" t="str">
        <f>IFERROR(__xludf.DUMMYFUNCTION("""COMPUTED_VALUE"""),"WED Berserker Training Ground- Adv")</f>
        <v>WED Berserker Training Ground- Adv</v>
      </c>
      <c r="X147" s="218">
        <f>IFERROR(__xludf.DUMMYFUNCTION("""COMPUTED_VALUE"""),30.0)</f>
        <v>30</v>
      </c>
      <c r="Y147" s="219">
        <f>IFERROR(__xludf.DUMMYFUNCTION("""COMPUTED_VALUE"""),18.958333333333332)</f>
        <v>18.95833333</v>
      </c>
      <c r="Z147" s="220">
        <f>IFERROR(__xludf.DUMMYFUNCTION("""COMPUTED_VALUE"""),73.7)</f>
        <v>73.7</v>
      </c>
      <c r="AA147" s="221" t="str">
        <f>IFERROR(__xludf.DUMMYFUNCTION("""COMPUTED_VALUE"""),"AP")</f>
        <v>AP</v>
      </c>
      <c r="AB147" s="220">
        <f>IFERROR(__xludf.DUMMYFUNCTION("""COMPUTED_VALUE"""),40.7)</f>
        <v>40.7</v>
      </c>
      <c r="AC147" s="221" t="str">
        <f>IFERROR(__xludf.DUMMYFUNCTION("""COMPUTED_VALUE"""),"％")</f>
        <v>％</v>
      </c>
      <c r="AD147" s="218">
        <f>IFERROR(__xludf.DUMMYFUNCTION("""COMPUTED_VALUE"""),469.0)</f>
        <v>469</v>
      </c>
      <c r="AE147" s="217"/>
      <c r="AF147" s="372" t="str">
        <f>IFERROR(__xludf.DUMMYFUNCTION("""COMPUTED_VALUE"""),"")</f>
        <v/>
      </c>
    </row>
    <row r="148" ht="16.5" customHeight="1">
      <c r="C148" s="217"/>
      <c r="D148" s="225">
        <f>IFERROR(__xludf.DUMMYFUNCTION("""COMPUTED_VALUE"""),3.0)</f>
        <v>3</v>
      </c>
      <c r="E148" s="227" t="str">
        <f>IFERROR(__xludf.DUMMYFUNCTION("""COMPUTED_VALUE"""),"TRF20")</f>
        <v>TRF20</v>
      </c>
      <c r="F148" s="229" t="str">
        <f>IFERROR(__xludf.DUMMYFUNCTION("""COMPUTED_VALUE"""),"Chaldea Gate (Fri)")</f>
        <v>Chaldea Gate (Fri)</v>
      </c>
      <c r="G148" s="229" t="str">
        <f>IFERROR(__xludf.DUMMYFUNCTION("""COMPUTED_VALUE"""),"FRI Caster Training Ground- Exp")</f>
        <v>FRI Caster Training Ground- Exp</v>
      </c>
      <c r="H148" s="234">
        <f>IFERROR(__xludf.DUMMYFUNCTION("""COMPUTED_VALUE"""),40.0)</f>
        <v>40</v>
      </c>
      <c r="I148" s="235">
        <f>IFERROR(__xludf.DUMMYFUNCTION("""COMPUTED_VALUE"""),20.46875)</f>
        <v>20.46875</v>
      </c>
      <c r="J148" s="236">
        <f>IFERROR(__xludf.DUMMYFUNCTION("""COMPUTED_VALUE"""),635.1)</f>
        <v>635.1</v>
      </c>
      <c r="K148" s="237" t="str">
        <f>IFERROR(__xludf.DUMMYFUNCTION("""COMPUTED_VALUE"""),"AP")</f>
        <v>AP</v>
      </c>
      <c r="L148" s="236">
        <f>IFERROR(__xludf.DUMMYFUNCTION("""COMPUTED_VALUE"""),6.3)</f>
        <v>6.3</v>
      </c>
      <c r="M148" s="237" t="str">
        <f>IFERROR(__xludf.DUMMYFUNCTION("""COMPUTED_VALUE"""),"％")</f>
        <v>％</v>
      </c>
      <c r="N148" s="234">
        <f>IFERROR(__xludf.DUMMYFUNCTION("""COMPUTED_VALUE"""),10906.0)</f>
        <v>10906</v>
      </c>
      <c r="O148" s="217"/>
      <c r="P148" s="371" t="str">
        <f>IFERROR(__xludf.DUMMYFUNCTION("""COMPUTED_VALUE"""),"")</f>
        <v/>
      </c>
      <c r="R148" s="203"/>
      <c r="S148" s="217"/>
      <c r="T148" s="225">
        <f>IFERROR(__xludf.DUMMYFUNCTION("""COMPUTED_VALUE"""),3.0)</f>
        <v>3</v>
      </c>
      <c r="U148" s="227" t="str">
        <f>IFERROR(__xludf.DUMMYFUNCTION("""COMPUTED_VALUE"""),"EPU12")</f>
        <v>EPU12</v>
      </c>
      <c r="V148" s="229" t="str">
        <f>IFERROR(__xludf.DUMMYFUNCTION("""COMPUTED_VALUE"""),"E Pluribus Unum")</f>
        <v>E Pluribus Unum</v>
      </c>
      <c r="W148" s="233" t="str">
        <f>IFERROR(__xludf.DUMMYFUNCTION("""COMPUTED_VALUE"""),"Charlotte")</f>
        <v>Charlotte</v>
      </c>
      <c r="X148" s="234">
        <f>IFERROR(__xludf.DUMMYFUNCTION("""COMPUTED_VALUE"""),20.0)</f>
        <v>20</v>
      </c>
      <c r="Y148" s="235">
        <f>IFERROR(__xludf.DUMMYFUNCTION("""COMPUTED_VALUE"""),47.1875)</f>
        <v>47.1875</v>
      </c>
      <c r="Z148" s="236">
        <f>IFERROR(__xludf.DUMMYFUNCTION("""COMPUTED_VALUE"""),156.8)</f>
        <v>156.8</v>
      </c>
      <c r="AA148" s="237" t="str">
        <f>IFERROR(__xludf.DUMMYFUNCTION("""COMPUTED_VALUE"""),"AP")</f>
        <v>AP</v>
      </c>
      <c r="AB148" s="236">
        <f>IFERROR(__xludf.DUMMYFUNCTION("""COMPUTED_VALUE"""),12.8)</f>
        <v>12.8</v>
      </c>
      <c r="AC148" s="237" t="str">
        <f>IFERROR(__xludf.DUMMYFUNCTION("""COMPUTED_VALUE"""),"％")</f>
        <v>％</v>
      </c>
      <c r="AD148" s="234">
        <f>IFERROR(__xludf.DUMMYFUNCTION("""COMPUTED_VALUE"""),153252.0)</f>
        <v>153252</v>
      </c>
      <c r="AE148" s="217"/>
      <c r="AF148" s="372" t="str">
        <f>IFERROR(__xludf.DUMMYFUNCTION("""COMPUTED_VALUE"""),"")</f>
        <v/>
      </c>
    </row>
    <row r="149" ht="16.5" customHeight="1">
      <c r="C149" s="217"/>
      <c r="D149" s="239">
        <f>IFERROR(__xludf.DUMMYFUNCTION("""COMPUTED_VALUE"""),4.0)</f>
        <v>4</v>
      </c>
      <c r="E149" s="241" t="str">
        <f>IFERROR(__xludf.DUMMYFUNCTION("""COMPUTED_VALUE"""),"TRF19")</f>
        <v>TRF19</v>
      </c>
      <c r="F149" s="243" t="str">
        <f>IFERROR(__xludf.DUMMYFUNCTION("""COMPUTED_VALUE"""),"Chaldea Gate (Fri)")</f>
        <v>Chaldea Gate (Fri)</v>
      </c>
      <c r="G149" s="243" t="str">
        <f>IFERROR(__xludf.DUMMYFUNCTION("""COMPUTED_VALUE"""),"FRI Caster Training Ground- Adv")</f>
        <v>FRI Caster Training Ground- Adv</v>
      </c>
      <c r="H149" s="247">
        <f>IFERROR(__xludf.DUMMYFUNCTION("""COMPUTED_VALUE"""),30.0)</f>
        <v>30</v>
      </c>
      <c r="I149" s="249">
        <f>IFERROR(__xludf.DUMMYFUNCTION("""COMPUTED_VALUE"""),18.958333333333332)</f>
        <v>18.95833333</v>
      </c>
      <c r="J149" s="251">
        <f>IFERROR(__xludf.DUMMYFUNCTION("""COMPUTED_VALUE"""),769.4)</f>
        <v>769.4</v>
      </c>
      <c r="K149" s="253" t="str">
        <f>IFERROR(__xludf.DUMMYFUNCTION("""COMPUTED_VALUE"""),"AP")</f>
        <v>AP</v>
      </c>
      <c r="L149" s="251">
        <f>IFERROR(__xludf.DUMMYFUNCTION("""COMPUTED_VALUE"""),3.9)</f>
        <v>3.9</v>
      </c>
      <c r="M149" s="253" t="str">
        <f>IFERROR(__xludf.DUMMYFUNCTION("""COMPUTED_VALUE"""),"％")</f>
        <v>％</v>
      </c>
      <c r="N149" s="247">
        <f>IFERROR(__xludf.DUMMYFUNCTION("""COMPUTED_VALUE"""),1241.0)</f>
        <v>1241</v>
      </c>
      <c r="O149" s="217"/>
      <c r="P149" s="371" t="str">
        <f>IFERROR(__xludf.DUMMYFUNCTION("""COMPUTED_VALUE"""),"")</f>
        <v/>
      </c>
      <c r="R149" s="203"/>
      <c r="S149" s="217"/>
      <c r="T149" s="239">
        <f>IFERROR(__xludf.DUMMYFUNCTION("""COMPUTED_VALUE"""),4.0)</f>
        <v>4</v>
      </c>
      <c r="U149" s="241" t="str">
        <f>IFERROR(__xludf.DUMMYFUNCTION("""COMPUTED_VALUE"""),"TRF10")</f>
        <v>TRF10</v>
      </c>
      <c r="V149" s="243" t="str">
        <f>IFERROR(__xludf.DUMMYFUNCTION("""COMPUTED_VALUE"""),"Chaldea Gate (Wed)")</f>
        <v>Chaldea Gate (Wed)</v>
      </c>
      <c r="W149" s="243" t="str">
        <f>IFERROR(__xludf.DUMMYFUNCTION("""COMPUTED_VALUE"""),"WED Berserker Training Ground- Int")</f>
        <v>WED Berserker Training Ground- Int</v>
      </c>
      <c r="X149" s="247">
        <f>IFERROR(__xludf.DUMMYFUNCTION("""COMPUTED_VALUE"""),20.0)</f>
        <v>20</v>
      </c>
      <c r="Y149" s="249">
        <f>IFERROR(__xludf.DUMMYFUNCTION("""COMPUTED_VALUE"""),19.0625)</f>
        <v>19.0625</v>
      </c>
      <c r="Z149" s="251">
        <f>IFERROR(__xludf.DUMMYFUNCTION("""COMPUTED_VALUE"""),257.7)</f>
        <v>257.7</v>
      </c>
      <c r="AA149" s="253" t="str">
        <f>IFERROR(__xludf.DUMMYFUNCTION("""COMPUTED_VALUE"""),"AP")</f>
        <v>AP</v>
      </c>
      <c r="AB149" s="251">
        <f>IFERROR(__xludf.DUMMYFUNCTION("""COMPUTED_VALUE"""),7.8)</f>
        <v>7.8</v>
      </c>
      <c r="AC149" s="253" t="str">
        <f>IFERROR(__xludf.DUMMYFUNCTION("""COMPUTED_VALUE"""),"％")</f>
        <v>％</v>
      </c>
      <c r="AD149" s="247">
        <f>IFERROR(__xludf.DUMMYFUNCTION("""COMPUTED_VALUE"""),554.0)</f>
        <v>554</v>
      </c>
      <c r="AE149" s="217"/>
      <c r="AF149" s="372" t="str">
        <f>IFERROR(__xludf.DUMMYFUNCTION("""COMPUTED_VALUE"""),"")</f>
        <v/>
      </c>
    </row>
    <row r="150" ht="16.5" customHeight="1">
      <c r="A150" s="166"/>
      <c r="C150" s="263"/>
      <c r="D150" s="256">
        <f>IFERROR(__xludf.DUMMYFUNCTION("""COMPUTED_VALUE"""),5.0)</f>
        <v>5</v>
      </c>
      <c r="E150" s="257" t="str">
        <f>IFERROR(__xludf.DUMMYFUNCTION("""COMPUTED_VALUE"""),"")</f>
        <v/>
      </c>
      <c r="F150" s="42" t="str">
        <f>IFERROR(__xludf.DUMMYFUNCTION("""COMPUTED_VALUE"""),"")</f>
        <v/>
      </c>
      <c r="G150" s="42" t="str">
        <f>IFERROR(__xludf.DUMMYFUNCTION("""COMPUTED_VALUE"""),"")</f>
        <v/>
      </c>
      <c r="H150" s="259" t="str">
        <f>IFERROR(__xludf.DUMMYFUNCTION("""COMPUTED_VALUE"""),"")</f>
        <v/>
      </c>
      <c r="I150" s="260" t="str">
        <f>IFERROR(__xludf.DUMMYFUNCTION("""COMPUTED_VALUE"""),"")</f>
        <v/>
      </c>
      <c r="J150" s="261" t="str">
        <f>IFERROR(__xludf.DUMMYFUNCTION("""COMPUTED_VALUE"""),"")</f>
        <v/>
      </c>
      <c r="K150" s="262" t="str">
        <f>IFERROR(__xludf.DUMMYFUNCTION("""COMPUTED_VALUE"""),"AP")</f>
        <v>AP</v>
      </c>
      <c r="L150" s="261" t="str">
        <f>IFERROR(__xludf.DUMMYFUNCTION("""COMPUTED_VALUE"""),"")</f>
        <v/>
      </c>
      <c r="M150" s="262" t="str">
        <f>IFERROR(__xludf.DUMMYFUNCTION("""COMPUTED_VALUE"""),"％")</f>
        <v>％</v>
      </c>
      <c r="N150" s="259" t="str">
        <f>IFERROR(__xludf.DUMMYFUNCTION("""COMPUTED_VALUE"""),"")</f>
        <v/>
      </c>
      <c r="O150" s="263"/>
      <c r="P150" s="371" t="str">
        <f>IFERROR(__xludf.DUMMYFUNCTION("""COMPUTED_VALUE"""),"")</f>
        <v/>
      </c>
      <c r="Q150" s="166"/>
      <c r="R150" s="254"/>
      <c r="S150" s="263"/>
      <c r="T150" s="256">
        <f>IFERROR(__xludf.DUMMYFUNCTION("""COMPUTED_VALUE"""),5.0)</f>
        <v>5</v>
      </c>
      <c r="U150" s="257" t="str">
        <f>IFERROR(__xludf.DUMMYFUNCTION("""COMPUTED_VALUE"""),"OKN10")</f>
        <v>OKN10</v>
      </c>
      <c r="V150" s="42" t="str">
        <f>IFERROR(__xludf.DUMMYFUNCTION("""COMPUTED_VALUE"""),"Okeanos")</f>
        <v>Okeanos</v>
      </c>
      <c r="W150" s="258" t="str">
        <f>IFERROR(__xludf.DUMMYFUNCTION("""COMPUTED_VALUE"""),"Archipelago (Quiet Bay)")</f>
        <v>Archipelago (Quiet Bay)</v>
      </c>
      <c r="X150" s="259">
        <f>IFERROR(__xludf.DUMMYFUNCTION("""COMPUTED_VALUE"""),15.0)</f>
        <v>15</v>
      </c>
      <c r="Y150" s="260">
        <f>IFERROR(__xludf.DUMMYFUNCTION("""COMPUTED_VALUE"""),39.583333333333336)</f>
        <v>39.58333333</v>
      </c>
      <c r="Z150" s="261">
        <f>IFERROR(__xludf.DUMMYFUNCTION("""COMPUTED_VALUE"""),728.6)</f>
        <v>728.6</v>
      </c>
      <c r="AA150" s="262" t="str">
        <f>IFERROR(__xludf.DUMMYFUNCTION("""COMPUTED_VALUE"""),"AP")</f>
        <v>AP</v>
      </c>
      <c r="AB150" s="261">
        <f>IFERROR(__xludf.DUMMYFUNCTION("""COMPUTED_VALUE"""),2.1)</f>
        <v>2.1</v>
      </c>
      <c r="AC150" s="262" t="str">
        <f>IFERROR(__xludf.DUMMYFUNCTION("""COMPUTED_VALUE"""),"％")</f>
        <v>％</v>
      </c>
      <c r="AD150" s="259">
        <f>IFERROR(__xludf.DUMMYFUNCTION("""COMPUTED_VALUE"""),340.0)</f>
        <v>340</v>
      </c>
      <c r="AE150" s="263"/>
      <c r="AF150" s="372" t="str">
        <f>IFERROR(__xludf.DUMMYFUNCTION("""COMPUTED_VALUE"""),"")</f>
        <v/>
      </c>
    </row>
    <row r="151" ht="16.5" customHeight="1">
      <c r="A151" s="352" t="str">
        <f>IFERROR(__xludf.DUMMYFUNCTION("""COMPUTED_VALUE"""),"Item")</f>
        <v>Item</v>
      </c>
      <c r="C151" s="353"/>
      <c r="D151" s="30" t="str">
        <f>IFERROR(__xludf.DUMMYFUNCTION("""COMPUTED_VALUE"""),"No.")</f>
        <v>No.</v>
      </c>
      <c r="E151" s="31" t="str">
        <f>IFERROR(__xludf.DUMMYFUNCTION("""COMPUTED_VALUE"""),"Node Code")</f>
        <v>Node Code</v>
      </c>
      <c r="F151" s="31" t="str">
        <f>IFERROR(__xludf.DUMMYFUNCTION("""COMPUTED_VALUE"""),"Area")</f>
        <v>Area</v>
      </c>
      <c r="G151" s="31" t="str">
        <f>IFERROR(__xludf.DUMMYFUNCTION("""COMPUTED_VALUE"""),"Quest")</f>
        <v>Quest</v>
      </c>
      <c r="H151" s="30" t="str">
        <f>IFERROR(__xludf.DUMMYFUNCTION("""COMPUTED_VALUE"""),"AP")</f>
        <v>AP</v>
      </c>
      <c r="I151" s="365" t="str">
        <f>IFERROR(__xludf.DUMMYFUNCTION("""COMPUTED_VALUE"""),"BP/AP")</f>
        <v>BP/AP</v>
      </c>
      <c r="J151" s="36" t="str">
        <f>IFERROR(__xludf.DUMMYFUNCTION("""COMPUTED_VALUE"""),"AP/Drop")</f>
        <v>AP/Drop</v>
      </c>
      <c r="K151" s="28"/>
      <c r="L151" s="36" t="str">
        <f>IFERROR(__xludf.DUMMYFUNCTION("""COMPUTED_VALUE"""),"Drop Chance")</f>
        <v>Drop Chance</v>
      </c>
      <c r="M151" s="28"/>
      <c r="N151" s="38" t="str">
        <f>IFERROR(__xludf.DUMMYFUNCTION("""COMPUTED_VALUE"""),"Runs")</f>
        <v>Runs</v>
      </c>
      <c r="O151" s="355" t="str">
        <f>IFERROR(__xludf.DUMMYFUNCTION("""COMPUTED_VALUE"""),"")</f>
        <v/>
      </c>
      <c r="P151" s="42" t="str">
        <f>IFERROR(__xludf.DUMMYFUNCTION("""COMPUTED_VALUE"""),"")</f>
        <v/>
      </c>
      <c r="Q151" s="352" t="str">
        <f>IFERROR(__xludf.DUMMYFUNCTION("""COMPUTED_VALUE"""),"Item")</f>
        <v>Item</v>
      </c>
      <c r="S151" s="353"/>
      <c r="T151" s="30" t="str">
        <f>IFERROR(__xludf.DUMMYFUNCTION("""COMPUTED_VALUE"""),"No.")</f>
        <v>No.</v>
      </c>
      <c r="U151" s="31" t="str">
        <f>IFERROR(__xludf.DUMMYFUNCTION("""COMPUTED_VALUE"""),"Node Code")</f>
        <v>Node Code</v>
      </c>
      <c r="V151" s="31" t="str">
        <f>IFERROR(__xludf.DUMMYFUNCTION("""COMPUTED_VALUE"""),"Area")</f>
        <v>Area</v>
      </c>
      <c r="W151" s="31" t="str">
        <f>IFERROR(__xludf.DUMMYFUNCTION("""COMPUTED_VALUE"""),"Quest")</f>
        <v>Quest</v>
      </c>
      <c r="X151" s="30" t="str">
        <f>IFERROR(__xludf.DUMMYFUNCTION("""COMPUTED_VALUE"""),"AP")</f>
        <v>AP</v>
      </c>
      <c r="Y151" s="365" t="str">
        <f>IFERROR(__xludf.DUMMYFUNCTION("""COMPUTED_VALUE"""),"BP/AP")</f>
        <v>BP/AP</v>
      </c>
      <c r="Z151" s="36" t="str">
        <f>IFERROR(__xludf.DUMMYFUNCTION("""COMPUTED_VALUE"""),"AP/Drop")</f>
        <v>AP/Drop</v>
      </c>
      <c r="AA151" s="28"/>
      <c r="AB151" s="36" t="str">
        <f>IFERROR(__xludf.DUMMYFUNCTION("""COMPUTED_VALUE"""),"Drop Chance")</f>
        <v>Drop Chance</v>
      </c>
      <c r="AC151" s="28"/>
      <c r="AD151" s="369" t="str">
        <f>IFERROR(__xludf.DUMMYFUNCTION("""COMPUTED_VALUE"""),"Runs")</f>
        <v>Runs</v>
      </c>
      <c r="AE151" s="373" t="str">
        <f>IFERROR(__xludf.DUMMYFUNCTION("""COMPUTED_VALUE"""),"")</f>
        <v/>
      </c>
      <c r="AF151" s="51" t="str">
        <f>IFERROR(__xludf.DUMMYFUNCTION("""COMPUTED_VALUE"""),"")</f>
        <v/>
      </c>
    </row>
    <row r="152" ht="16.5" customHeight="1">
      <c r="A152" s="54"/>
      <c r="B152" s="55"/>
      <c r="C152" s="57"/>
      <c r="D152" s="57"/>
      <c r="E152" s="57"/>
      <c r="F152" s="57"/>
      <c r="G152" s="57"/>
      <c r="H152" s="57"/>
      <c r="I152" s="58" t="str">
        <f>IFERROR(__xludf.DUMMYFUNCTION("""COMPUTED_VALUE"""),"1P+1L+1T")</f>
        <v>1P+1L+1T</v>
      </c>
      <c r="J152" s="55"/>
      <c r="K152" s="57"/>
      <c r="L152" s="55"/>
      <c r="M152" s="57"/>
      <c r="N152" s="57"/>
      <c r="O152" s="57"/>
      <c r="P152" s="42" t="str">
        <f>IFERROR(__xludf.DUMMYFUNCTION("""COMPUTED_VALUE"""),"")</f>
        <v/>
      </c>
      <c r="Q152" s="54"/>
      <c r="R152" s="55"/>
      <c r="S152" s="57"/>
      <c r="T152" s="57"/>
      <c r="U152" s="57"/>
      <c r="V152" s="57"/>
      <c r="W152" s="57"/>
      <c r="X152" s="57"/>
      <c r="Y152" s="58" t="str">
        <f>IFERROR(__xludf.DUMMYFUNCTION("""COMPUTED_VALUE"""),"1P+1L+1T")</f>
        <v>1P+1L+1T</v>
      </c>
      <c r="Z152" s="55"/>
      <c r="AA152" s="57"/>
      <c r="AB152" s="55"/>
      <c r="AC152" s="57"/>
      <c r="AD152" s="370"/>
      <c r="AE152" s="370"/>
      <c r="AF152" s="51" t="str">
        <f>IFERROR(__xludf.DUMMYFUNCTION("""COMPUTED_VALUE"""),"")</f>
        <v/>
      </c>
    </row>
    <row r="153" ht="16.5" customHeight="1">
      <c r="A153" s="61" t="str">
        <f>IFERROR(__xludf.DUMMYFUNCTION("""COMPUTED_VALUE"""),"")</f>
        <v/>
      </c>
      <c r="B153" s="363" t="str">
        <f>IFERROR(__xludf.DUMMYFUNCTION("""COMPUTED_VALUE"""),"A103")</f>
        <v>A103</v>
      </c>
      <c r="C153" s="65" t="str">
        <f>IFERROR(__xludf.DUMMYFUNCTION("""COMPUTED_VALUE"""),"Dragon's Reverse Scale")</f>
        <v>Dragon's Reverse Scale</v>
      </c>
      <c r="D153" s="70">
        <f>IFERROR(__xludf.DUMMYFUNCTION("""COMPUTED_VALUE"""),1.0)</f>
        <v>1</v>
      </c>
      <c r="E153" s="73" t="str">
        <f>IFERROR(__xludf.DUMMYFUNCTION("""COMPUTED_VALUE"""),"BBL12")</f>
        <v>BBL12</v>
      </c>
      <c r="F153" s="76" t="str">
        <f>IFERROR(__xludf.DUMMYFUNCTION("""COMPUTED_VALUE"""),"Babylonia")</f>
        <v>Babylonia</v>
      </c>
      <c r="G153" s="85" t="str">
        <f>IFERROR(__xludf.DUMMYFUNCTION("""COMPUTED_VALUE"""),"Nippur")</f>
        <v>Nippur</v>
      </c>
      <c r="H153" s="87">
        <f>IFERROR(__xludf.DUMMYFUNCTION("""COMPUTED_VALUE"""),21.0)</f>
        <v>21</v>
      </c>
      <c r="I153" s="90">
        <f>IFERROR(__xludf.DUMMYFUNCTION("""COMPUTED_VALUE"""),50.892857142857146)</f>
        <v>50.89285714</v>
      </c>
      <c r="J153" s="92">
        <f>IFERROR(__xludf.DUMMYFUNCTION("""COMPUTED_VALUE"""),167.2)</f>
        <v>167.2</v>
      </c>
      <c r="K153" s="94" t="str">
        <f>IFERROR(__xludf.DUMMYFUNCTION("""COMPUTED_VALUE"""),"AP")</f>
        <v>AP</v>
      </c>
      <c r="L153" s="96">
        <f>IFERROR(__xludf.DUMMYFUNCTION("""COMPUTED_VALUE"""),12.6)</f>
        <v>12.6</v>
      </c>
      <c r="M153" s="94" t="str">
        <f>IFERROR(__xludf.DUMMYFUNCTION("""COMPUTED_VALUE"""),"％")</f>
        <v>％</v>
      </c>
      <c r="N153" s="87">
        <f>IFERROR(__xludf.DUMMYFUNCTION("""COMPUTED_VALUE"""),24813.0)</f>
        <v>24813</v>
      </c>
      <c r="O153" s="97" t="str">
        <f>IFERROR(__xludf.DUMMYFUNCTION("""COMPUTED_VALUE"""),"Dragon's Reverse Scale")</f>
        <v>Dragon's Reverse Scale</v>
      </c>
      <c r="P153" s="371" t="str">
        <f>IFERROR(__xludf.DUMMYFUNCTION("""COMPUTED_VALUE"""),"")</f>
        <v/>
      </c>
      <c r="Q153" s="61" t="str">
        <f>IFERROR(__xludf.DUMMYFUNCTION("""COMPUTED_VALUE"""),"")</f>
        <v/>
      </c>
      <c r="R153" s="363" t="str">
        <f>IFERROR(__xludf.DUMMYFUNCTION("""COMPUTED_VALUE"""),"B211")</f>
        <v>B211</v>
      </c>
      <c r="S153" s="65" t="str">
        <f>IFERROR(__xludf.DUMMYFUNCTION("""COMPUTED_VALUE"""),"Saber Piece")</f>
        <v>Saber Piece</v>
      </c>
      <c r="T153" s="70">
        <f>IFERROR(__xludf.DUMMYFUNCTION("""COMPUTED_VALUE"""),1.0)</f>
        <v>1</v>
      </c>
      <c r="U153" s="73" t="str">
        <f>IFERROR(__xludf.DUMMYFUNCTION("""COMPUTED_VALUE"""),"TRF27")</f>
        <v>TRF27</v>
      </c>
      <c r="V153" s="76" t="str">
        <f>IFERROR(__xludf.DUMMYFUNCTION("""COMPUTED_VALUE"""),"Chaldea Gate (Sun)")</f>
        <v>Chaldea Gate (Sun)</v>
      </c>
      <c r="W153" s="76" t="str">
        <f>IFERROR(__xludf.DUMMYFUNCTION("""COMPUTED_VALUE"""),"SUN Saber Training Ground- Adv")</f>
        <v>SUN Saber Training Ground- Adv</v>
      </c>
      <c r="X153" s="87">
        <f>IFERROR(__xludf.DUMMYFUNCTION("""COMPUTED_VALUE"""),30.0)</f>
        <v>30</v>
      </c>
      <c r="Y153" s="90">
        <f>IFERROR(__xludf.DUMMYFUNCTION("""COMPUTED_VALUE"""),18.958333333333332)</f>
        <v>18.95833333</v>
      </c>
      <c r="Z153" s="92">
        <f>IFERROR(__xludf.DUMMYFUNCTION("""COMPUTED_VALUE"""),30.1)</f>
        <v>30.1</v>
      </c>
      <c r="AA153" s="94" t="str">
        <f>IFERROR(__xludf.DUMMYFUNCTION("""COMPUTED_VALUE"""),"AP")</f>
        <v>AP</v>
      </c>
      <c r="AB153" s="96">
        <f>IFERROR(__xludf.DUMMYFUNCTION("""COMPUTED_VALUE"""),99.6)</f>
        <v>99.6</v>
      </c>
      <c r="AC153" s="94" t="str">
        <f>IFERROR(__xludf.DUMMYFUNCTION("""COMPUTED_VALUE"""),"％")</f>
        <v>％</v>
      </c>
      <c r="AD153" s="87">
        <f>IFERROR(__xludf.DUMMYFUNCTION("""COMPUTED_VALUE"""),3782.0)</f>
        <v>3782</v>
      </c>
      <c r="AE153" s="97" t="str">
        <f>IFERROR(__xludf.DUMMYFUNCTION("""COMPUTED_VALUE"""),"Saber Piece")</f>
        <v>Saber Piece</v>
      </c>
      <c r="AF153" s="372" t="str">
        <f>IFERROR(__xludf.DUMMYFUNCTION("""COMPUTED_VALUE"""),"")</f>
        <v/>
      </c>
    </row>
    <row r="154" ht="16.5" customHeight="1">
      <c r="B154" s="99"/>
      <c r="C154" s="100"/>
      <c r="D154" s="105">
        <f>IFERROR(__xludf.DUMMYFUNCTION("""COMPUTED_VALUE"""),2.0)</f>
        <v>2</v>
      </c>
      <c r="E154" s="106" t="str">
        <f>IFERROR(__xludf.DUMMYFUNCTION("""COMPUTED_VALUE"""),"TRF16")</f>
        <v>TRF16</v>
      </c>
      <c r="F154" s="107" t="str">
        <f>IFERROR(__xludf.DUMMYFUNCTION("""COMPUTED_VALUE"""),"Chaldea Gate (Thu)")</f>
        <v>Chaldea Gate (Thu)</v>
      </c>
      <c r="G154" s="107" t="str">
        <f>IFERROR(__xludf.DUMMYFUNCTION("""COMPUTED_VALUE"""),"THU Rider Training Ground- Exp")</f>
        <v>THU Rider Training Ground- Exp</v>
      </c>
      <c r="H154" s="116">
        <f>IFERROR(__xludf.DUMMYFUNCTION("""COMPUTED_VALUE"""),40.0)</f>
        <v>40</v>
      </c>
      <c r="I154" s="118">
        <f>IFERROR(__xludf.DUMMYFUNCTION("""COMPUTED_VALUE"""),20.46875)</f>
        <v>20.46875</v>
      </c>
      <c r="J154" s="120">
        <f>IFERROR(__xludf.DUMMYFUNCTION("""COMPUTED_VALUE"""),534.4)</f>
        <v>534.4</v>
      </c>
      <c r="K154" s="122" t="str">
        <f>IFERROR(__xludf.DUMMYFUNCTION("""COMPUTED_VALUE"""),"AP")</f>
        <v>AP</v>
      </c>
      <c r="L154" s="124">
        <f>IFERROR(__xludf.DUMMYFUNCTION("""COMPUTED_VALUE"""),7.5)</f>
        <v>7.5</v>
      </c>
      <c r="M154" s="122" t="str">
        <f>IFERROR(__xludf.DUMMYFUNCTION("""COMPUTED_VALUE"""),"％")</f>
        <v>％</v>
      </c>
      <c r="N154" s="116">
        <f>IFERROR(__xludf.DUMMYFUNCTION("""COMPUTED_VALUE"""),3420.0)</f>
        <v>3420</v>
      </c>
      <c r="O154" s="100"/>
      <c r="P154" s="371" t="str">
        <f>IFERROR(__xludf.DUMMYFUNCTION("""COMPUTED_VALUE"""),"")</f>
        <v/>
      </c>
      <c r="R154" s="99"/>
      <c r="S154" s="100"/>
      <c r="T154" s="105">
        <f>IFERROR(__xludf.DUMMYFUNCTION("""COMPUTED_VALUE"""),2.0)</f>
        <v>2</v>
      </c>
      <c r="U154" s="106" t="str">
        <f>IFERROR(__xludf.DUMMYFUNCTION("""COMPUTED_VALUE"""),"TRF28")</f>
        <v>TRF28</v>
      </c>
      <c r="V154" s="107" t="str">
        <f>IFERROR(__xludf.DUMMYFUNCTION("""COMPUTED_VALUE"""),"Chaldea Gate (Sun)")</f>
        <v>Chaldea Gate (Sun)</v>
      </c>
      <c r="W154" s="107" t="str">
        <f>IFERROR(__xludf.DUMMYFUNCTION("""COMPUTED_VALUE"""),"SUN Saber Training Ground- Exp")</f>
        <v>SUN Saber Training Ground- Exp</v>
      </c>
      <c r="X154" s="116">
        <f>IFERROR(__xludf.DUMMYFUNCTION("""COMPUTED_VALUE"""),40.0)</f>
        <v>40</v>
      </c>
      <c r="Y154" s="118">
        <f>IFERROR(__xludf.DUMMYFUNCTION("""COMPUTED_VALUE"""),20.46875)</f>
        <v>20.46875</v>
      </c>
      <c r="Z154" s="120">
        <f>IFERROR(__xludf.DUMMYFUNCTION("""COMPUTED_VALUE"""),54.2)</f>
        <v>54.2</v>
      </c>
      <c r="AA154" s="122" t="str">
        <f>IFERROR(__xludf.DUMMYFUNCTION("""COMPUTED_VALUE"""),"AP")</f>
        <v>AP</v>
      </c>
      <c r="AB154" s="124">
        <f>IFERROR(__xludf.DUMMYFUNCTION("""COMPUTED_VALUE"""),73.8)</f>
        <v>73.8</v>
      </c>
      <c r="AC154" s="122" t="str">
        <f>IFERROR(__xludf.DUMMYFUNCTION("""COMPUTED_VALUE"""),"％")</f>
        <v>％</v>
      </c>
      <c r="AD154" s="116">
        <f>IFERROR(__xludf.DUMMYFUNCTION("""COMPUTED_VALUE"""),21334.0)</f>
        <v>21334</v>
      </c>
      <c r="AE154" s="100"/>
      <c r="AF154" s="372" t="str">
        <f>IFERROR(__xludf.DUMMYFUNCTION("""COMPUTED_VALUE"""),"")</f>
        <v/>
      </c>
    </row>
    <row r="155" ht="16.5" customHeight="1">
      <c r="B155" s="99"/>
      <c r="C155" s="100"/>
      <c r="D155" s="128">
        <f>IFERROR(__xludf.DUMMYFUNCTION("""COMPUTED_VALUE"""),3.0)</f>
        <v>3</v>
      </c>
      <c r="E155" s="129" t="str">
        <f>IFERROR(__xludf.DUMMYFUNCTION("""COMPUTED_VALUE"""),"TRF15")</f>
        <v>TRF15</v>
      </c>
      <c r="F155" s="131" t="str">
        <f>IFERROR(__xludf.DUMMYFUNCTION("""COMPUTED_VALUE"""),"Chaldea Gate (Thu)")</f>
        <v>Chaldea Gate (Thu)</v>
      </c>
      <c r="G155" s="131" t="str">
        <f>IFERROR(__xludf.DUMMYFUNCTION("""COMPUTED_VALUE"""),"THU Rider Training Ground- Adv")</f>
        <v>THU Rider Training Ground- Adv</v>
      </c>
      <c r="H155" s="136">
        <f>IFERROR(__xludf.DUMMYFUNCTION("""COMPUTED_VALUE"""),30.0)</f>
        <v>30</v>
      </c>
      <c r="I155" s="138">
        <f>IFERROR(__xludf.DUMMYFUNCTION("""COMPUTED_VALUE"""),18.958333333333332)</f>
        <v>18.95833333</v>
      </c>
      <c r="J155" s="140">
        <f>IFERROR(__xludf.DUMMYFUNCTION("""COMPUTED_VALUE"""),888.8)</f>
        <v>888.8</v>
      </c>
      <c r="K155" s="142" t="str">
        <f>IFERROR(__xludf.DUMMYFUNCTION("""COMPUTED_VALUE"""),"AP")</f>
        <v>AP</v>
      </c>
      <c r="L155" s="144">
        <f>IFERROR(__xludf.DUMMYFUNCTION("""COMPUTED_VALUE"""),3.4)</f>
        <v>3.4</v>
      </c>
      <c r="M155" s="142" t="str">
        <f>IFERROR(__xludf.DUMMYFUNCTION("""COMPUTED_VALUE"""),"％")</f>
        <v>％</v>
      </c>
      <c r="N155" s="136">
        <f>IFERROR(__xludf.DUMMYFUNCTION("""COMPUTED_VALUE"""),721.0)</f>
        <v>721</v>
      </c>
      <c r="O155" s="100"/>
      <c r="P155" s="371" t="str">
        <f>IFERROR(__xludf.DUMMYFUNCTION("""COMPUTED_VALUE"""),"")</f>
        <v/>
      </c>
      <c r="R155" s="99"/>
      <c r="S155" s="100"/>
      <c r="T155" s="128">
        <f>IFERROR(__xludf.DUMMYFUNCTION("""COMPUTED_VALUE"""),3.0)</f>
        <v>3</v>
      </c>
      <c r="U155" s="129" t="str">
        <f>IFERROR(__xludf.DUMMYFUNCTION("""COMPUTED_VALUE"""),"TRF26")</f>
        <v>TRF26</v>
      </c>
      <c r="V155" s="131" t="str">
        <f>IFERROR(__xludf.DUMMYFUNCTION("""COMPUTED_VALUE"""),"Chaldea Gate (Sun)")</f>
        <v>Chaldea Gate (Sun)</v>
      </c>
      <c r="W155" s="131" t="str">
        <f>IFERROR(__xludf.DUMMYFUNCTION("""COMPUTED_VALUE"""),"SUN Saber Training Ground- Int")</f>
        <v>SUN Saber Training Ground- Int</v>
      </c>
      <c r="X155" s="136">
        <f>IFERROR(__xludf.DUMMYFUNCTION("""COMPUTED_VALUE"""),20.0)</f>
        <v>20</v>
      </c>
      <c r="Y155" s="138">
        <f>IFERROR(__xludf.DUMMYFUNCTION("""COMPUTED_VALUE"""),19.0625)</f>
        <v>19.0625</v>
      </c>
      <c r="Z155" s="140">
        <f>IFERROR(__xludf.DUMMYFUNCTION("""COMPUTED_VALUE"""),28.9)</f>
        <v>28.9</v>
      </c>
      <c r="AA155" s="142" t="str">
        <f>IFERROR(__xludf.DUMMYFUNCTION("""COMPUTED_VALUE"""),"AP")</f>
        <v>AP</v>
      </c>
      <c r="AB155" s="144">
        <f>IFERROR(__xludf.DUMMYFUNCTION("""COMPUTED_VALUE"""),69.3)</f>
        <v>69.3</v>
      </c>
      <c r="AC155" s="142" t="str">
        <f>IFERROR(__xludf.DUMMYFUNCTION("""COMPUTED_VALUE"""),"％")</f>
        <v>％</v>
      </c>
      <c r="AD155" s="136">
        <f>IFERROR(__xludf.DUMMYFUNCTION("""COMPUTED_VALUE"""),365.0)</f>
        <v>365</v>
      </c>
      <c r="AE155" s="100"/>
      <c r="AF155" s="372" t="str">
        <f>IFERROR(__xludf.DUMMYFUNCTION("""COMPUTED_VALUE"""),"")</f>
        <v/>
      </c>
    </row>
    <row r="156" ht="16.5" customHeight="1">
      <c r="B156" s="99"/>
      <c r="C156" s="100"/>
      <c r="D156" s="147">
        <f>IFERROR(__xludf.DUMMYFUNCTION("""COMPUTED_VALUE"""),4.0)</f>
        <v>4</v>
      </c>
      <c r="E156" s="149" t="str">
        <f>IFERROR(__xludf.DUMMYFUNCTION("""COMPUTED_VALUE"""),"")</f>
        <v/>
      </c>
      <c r="F156" s="151" t="str">
        <f>IFERROR(__xludf.DUMMYFUNCTION("""COMPUTED_VALUE"""),"")</f>
        <v/>
      </c>
      <c r="G156" s="151" t="str">
        <f>IFERROR(__xludf.DUMMYFUNCTION("""COMPUTED_VALUE"""),"")</f>
        <v/>
      </c>
      <c r="H156" s="155" t="str">
        <f>IFERROR(__xludf.DUMMYFUNCTION("""COMPUTED_VALUE"""),"")</f>
        <v/>
      </c>
      <c r="I156" s="157" t="str">
        <f>IFERROR(__xludf.DUMMYFUNCTION("""COMPUTED_VALUE"""),"")</f>
        <v/>
      </c>
      <c r="J156" s="159" t="str">
        <f>IFERROR(__xludf.DUMMYFUNCTION("""COMPUTED_VALUE"""),"")</f>
        <v/>
      </c>
      <c r="K156" s="161" t="str">
        <f>IFERROR(__xludf.DUMMYFUNCTION("""COMPUTED_VALUE"""),"AP")</f>
        <v>AP</v>
      </c>
      <c r="L156" s="163" t="str">
        <f>IFERROR(__xludf.DUMMYFUNCTION("""COMPUTED_VALUE"""),"")</f>
        <v/>
      </c>
      <c r="M156" s="161" t="str">
        <f>IFERROR(__xludf.DUMMYFUNCTION("""COMPUTED_VALUE"""),"％")</f>
        <v>％</v>
      </c>
      <c r="N156" s="155" t="str">
        <f>IFERROR(__xludf.DUMMYFUNCTION("""COMPUTED_VALUE"""),"")</f>
        <v/>
      </c>
      <c r="O156" s="100"/>
      <c r="P156" s="371" t="str">
        <f>IFERROR(__xludf.DUMMYFUNCTION("""COMPUTED_VALUE"""),"")</f>
        <v/>
      </c>
      <c r="R156" s="99"/>
      <c r="S156" s="100"/>
      <c r="T156" s="147">
        <f>IFERROR(__xludf.DUMMYFUNCTION("""COMPUTED_VALUE"""),4.0)</f>
        <v>4</v>
      </c>
      <c r="U156" s="149" t="str">
        <f>IFERROR(__xludf.DUMMYFUNCTION("""COMPUTED_VALUE"""),"TRF25")</f>
        <v>TRF25</v>
      </c>
      <c r="V156" s="151" t="str">
        <f>IFERROR(__xludf.DUMMYFUNCTION("""COMPUTED_VALUE"""),"Chaldea Gate (Sun)")</f>
        <v>Chaldea Gate (Sun)</v>
      </c>
      <c r="W156" s="151" t="str">
        <f>IFERROR(__xludf.DUMMYFUNCTION("""COMPUTED_VALUE"""),"SUN Saber Training Ground- Nov")</f>
        <v>SUN Saber Training Ground- Nov</v>
      </c>
      <c r="X156" s="155">
        <f>IFERROR(__xludf.DUMMYFUNCTION("""COMPUTED_VALUE"""),10.0)</f>
        <v>10</v>
      </c>
      <c r="Y156" s="157">
        <f>IFERROR(__xludf.DUMMYFUNCTION("""COMPUTED_VALUE"""),19.375)</f>
        <v>19.375</v>
      </c>
      <c r="Z156" s="159">
        <f>IFERROR(__xludf.DUMMYFUNCTION("""COMPUTED_VALUE"""),44.1)</f>
        <v>44.1</v>
      </c>
      <c r="AA156" s="161" t="str">
        <f>IFERROR(__xludf.DUMMYFUNCTION("""COMPUTED_VALUE"""),"AP")</f>
        <v>AP</v>
      </c>
      <c r="AB156" s="163">
        <f>IFERROR(__xludf.DUMMYFUNCTION("""COMPUTED_VALUE"""),22.7)</f>
        <v>22.7</v>
      </c>
      <c r="AC156" s="161" t="str">
        <f>IFERROR(__xludf.DUMMYFUNCTION("""COMPUTED_VALUE"""),"％")</f>
        <v>％</v>
      </c>
      <c r="AD156" s="155">
        <f>IFERROR(__xludf.DUMMYFUNCTION("""COMPUTED_VALUE"""),4306.0)</f>
        <v>4306</v>
      </c>
      <c r="AE156" s="100"/>
      <c r="AF156" s="372" t="str">
        <f>IFERROR(__xludf.DUMMYFUNCTION("""COMPUTED_VALUE"""),"")</f>
        <v/>
      </c>
    </row>
    <row r="157" ht="16.5" customHeight="1">
      <c r="A157" s="166"/>
      <c r="B157" s="167"/>
      <c r="C157" s="168"/>
      <c r="D157" s="169">
        <f>IFERROR(__xludf.DUMMYFUNCTION("""COMPUTED_VALUE"""),5.0)</f>
        <v>5</v>
      </c>
      <c r="E157" s="170" t="str">
        <f>IFERROR(__xludf.DUMMYFUNCTION("""COMPUTED_VALUE"""),"")</f>
        <v/>
      </c>
      <c r="F157" s="51" t="str">
        <f>IFERROR(__xludf.DUMMYFUNCTION("""COMPUTED_VALUE"""),"")</f>
        <v/>
      </c>
      <c r="G157" s="51" t="str">
        <f>IFERROR(__xludf.DUMMYFUNCTION("""COMPUTED_VALUE"""),"")</f>
        <v/>
      </c>
      <c r="H157" s="172" t="str">
        <f>IFERROR(__xludf.DUMMYFUNCTION("""COMPUTED_VALUE"""),"")</f>
        <v/>
      </c>
      <c r="I157" s="173" t="str">
        <f>IFERROR(__xludf.DUMMYFUNCTION("""COMPUTED_VALUE"""),"")</f>
        <v/>
      </c>
      <c r="J157" s="174" t="str">
        <f>IFERROR(__xludf.DUMMYFUNCTION("""COMPUTED_VALUE"""),"")</f>
        <v/>
      </c>
      <c r="K157" s="175" t="str">
        <f>IFERROR(__xludf.DUMMYFUNCTION("""COMPUTED_VALUE"""),"AP")</f>
        <v>AP</v>
      </c>
      <c r="L157" s="176" t="str">
        <f>IFERROR(__xludf.DUMMYFUNCTION("""COMPUTED_VALUE"""),"")</f>
        <v/>
      </c>
      <c r="M157" s="175" t="str">
        <f>IFERROR(__xludf.DUMMYFUNCTION("""COMPUTED_VALUE"""),"％")</f>
        <v>％</v>
      </c>
      <c r="N157" s="172" t="str">
        <f>IFERROR(__xludf.DUMMYFUNCTION("""COMPUTED_VALUE"""),"")</f>
        <v/>
      </c>
      <c r="O157" s="168"/>
      <c r="P157" s="371" t="str">
        <f>IFERROR(__xludf.DUMMYFUNCTION("""COMPUTED_VALUE"""),"")</f>
        <v/>
      </c>
      <c r="Q157" s="166"/>
      <c r="R157" s="167"/>
      <c r="S157" s="168"/>
      <c r="T157" s="169">
        <f>IFERROR(__xludf.DUMMYFUNCTION("""COMPUTED_VALUE"""),5.0)</f>
        <v>5</v>
      </c>
      <c r="U157" s="170" t="str">
        <f>IFERROR(__xludf.DUMMYFUNCTION("""COMPUTED_VALUE"""),"CML12")</f>
        <v>CML12</v>
      </c>
      <c r="V157" s="51" t="str">
        <f>IFERROR(__xludf.DUMMYFUNCTION("""COMPUTED_VALUE"""),"Camelot")</f>
        <v>Camelot</v>
      </c>
      <c r="W157" s="171" t="str">
        <f>IFERROR(__xludf.DUMMYFUNCTION("""COMPUTED_VALUE"""),"Royal Castle")</f>
        <v>Royal Castle</v>
      </c>
      <c r="X157" s="172">
        <f>IFERROR(__xludf.DUMMYFUNCTION("""COMPUTED_VALUE"""),21.0)</f>
        <v>21</v>
      </c>
      <c r="Y157" s="173">
        <f>IFERROR(__xludf.DUMMYFUNCTION("""COMPUTED_VALUE"""),50.892857142857146)</f>
        <v>50.89285714</v>
      </c>
      <c r="Z157" s="174">
        <f>IFERROR(__xludf.DUMMYFUNCTION("""COMPUTED_VALUE"""),208.2)</f>
        <v>208.2</v>
      </c>
      <c r="AA157" s="175" t="str">
        <f>IFERROR(__xludf.DUMMYFUNCTION("""COMPUTED_VALUE"""),"AP")</f>
        <v>AP</v>
      </c>
      <c r="AB157" s="176">
        <f>IFERROR(__xludf.DUMMYFUNCTION("""COMPUTED_VALUE"""),10.1)</f>
        <v>10.1</v>
      </c>
      <c r="AC157" s="175" t="str">
        <f>IFERROR(__xludf.DUMMYFUNCTION("""COMPUTED_VALUE"""),"％")</f>
        <v>％</v>
      </c>
      <c r="AD157" s="172">
        <f>IFERROR(__xludf.DUMMYFUNCTION("""COMPUTED_VALUE"""),44258.0)</f>
        <v>44258</v>
      </c>
      <c r="AE157" s="168"/>
      <c r="AF157" s="372" t="str">
        <f>IFERROR(__xludf.DUMMYFUNCTION("""COMPUTED_VALUE"""),"")</f>
        <v/>
      </c>
    </row>
    <row r="158" ht="16.5" customHeight="1">
      <c r="A158" s="61" t="str">
        <f>IFERROR(__xludf.DUMMYFUNCTION("""COMPUTED_VALUE"""),"")</f>
        <v/>
      </c>
      <c r="B158" s="366" t="str">
        <f>IFERROR(__xludf.DUMMYFUNCTION("""COMPUTED_VALUE"""),"A104")</f>
        <v>A104</v>
      </c>
      <c r="C158" s="180" t="str">
        <f>IFERROR(__xludf.DUMMYFUNCTION("""COMPUTED_VALUE"""),"Spirit Root")</f>
        <v>Spirit Root</v>
      </c>
      <c r="D158" s="185">
        <f>IFERROR(__xludf.DUMMYFUNCTION("""COMPUTED_VALUE"""),1.0)</f>
        <v>1</v>
      </c>
      <c r="E158" s="187" t="str">
        <f>IFERROR(__xludf.DUMMYFUNCTION("""COMPUTED_VALUE"""),"CML10")</f>
        <v>CML10</v>
      </c>
      <c r="F158" s="188" t="str">
        <f>IFERROR(__xludf.DUMMYFUNCTION("""COMPUTED_VALUE"""),"Camelot")</f>
        <v>Camelot</v>
      </c>
      <c r="G158" s="193" t="str">
        <f>IFERROR(__xludf.DUMMYFUNCTION("""COMPUTED_VALUE"""),"Holy City")</f>
        <v>Holy City</v>
      </c>
      <c r="H158" s="195">
        <f>IFERROR(__xludf.DUMMYFUNCTION("""COMPUTED_VALUE"""),20.0)</f>
        <v>20</v>
      </c>
      <c r="I158" s="196">
        <f>IFERROR(__xludf.DUMMYFUNCTION("""COMPUTED_VALUE"""),47.1875)</f>
        <v>47.1875</v>
      </c>
      <c r="J158" s="198">
        <f>IFERROR(__xludf.DUMMYFUNCTION("""COMPUTED_VALUE"""),165.3)</f>
        <v>165.3</v>
      </c>
      <c r="K158" s="200" t="str">
        <f>IFERROR(__xludf.DUMMYFUNCTION("""COMPUTED_VALUE"""),"AP")</f>
        <v>AP</v>
      </c>
      <c r="L158" s="198">
        <f>IFERROR(__xludf.DUMMYFUNCTION("""COMPUTED_VALUE"""),12.1)</f>
        <v>12.1</v>
      </c>
      <c r="M158" s="201" t="str">
        <f>IFERROR(__xludf.DUMMYFUNCTION("""COMPUTED_VALUE"""),"％")</f>
        <v>％</v>
      </c>
      <c r="N158" s="195">
        <f>IFERROR(__xludf.DUMMYFUNCTION("""COMPUTED_VALUE"""),22807.0)</f>
        <v>22807</v>
      </c>
      <c r="O158" s="197" t="str">
        <f>IFERROR(__xludf.DUMMYFUNCTION("""COMPUTED_VALUE"""),"Spirit Root")</f>
        <v>Spirit Root</v>
      </c>
      <c r="P158" s="371" t="str">
        <f>IFERROR(__xludf.DUMMYFUNCTION("""COMPUTED_VALUE"""),"")</f>
        <v/>
      </c>
      <c r="Q158" s="61" t="str">
        <f>IFERROR(__xludf.DUMMYFUNCTION("""COMPUTED_VALUE"""),"")</f>
        <v/>
      </c>
      <c r="R158" s="366" t="str">
        <f>IFERROR(__xludf.DUMMYFUNCTION("""COMPUTED_VALUE"""),"B212")</f>
        <v>B212</v>
      </c>
      <c r="S158" s="180" t="str">
        <f>IFERROR(__xludf.DUMMYFUNCTION("""COMPUTED_VALUE"""),"Archer Piece")</f>
        <v>Archer Piece</v>
      </c>
      <c r="T158" s="185">
        <f>IFERROR(__xludf.DUMMYFUNCTION("""COMPUTED_VALUE"""),1.0)</f>
        <v>1</v>
      </c>
      <c r="U158" s="187" t="str">
        <f>IFERROR(__xludf.DUMMYFUNCTION("""COMPUTED_VALUE"""),"TRF3")</f>
        <v>TRF3</v>
      </c>
      <c r="V158" s="188" t="str">
        <f>IFERROR(__xludf.DUMMYFUNCTION("""COMPUTED_VALUE"""),"Chaldea Gate (Mon)")</f>
        <v>Chaldea Gate (Mon)</v>
      </c>
      <c r="W158" s="188" t="str">
        <f>IFERROR(__xludf.DUMMYFUNCTION("""COMPUTED_VALUE"""),"MON Archer Training Ground- Adv")</f>
        <v>MON Archer Training Ground- Adv</v>
      </c>
      <c r="X158" s="195">
        <f>IFERROR(__xludf.DUMMYFUNCTION("""COMPUTED_VALUE"""),30.0)</f>
        <v>30</v>
      </c>
      <c r="Y158" s="196">
        <f>IFERROR(__xludf.DUMMYFUNCTION("""COMPUTED_VALUE"""),18.958333333333332)</f>
        <v>18.95833333</v>
      </c>
      <c r="Z158" s="198">
        <f>IFERROR(__xludf.DUMMYFUNCTION("""COMPUTED_VALUE"""),29.0)</f>
        <v>29</v>
      </c>
      <c r="AA158" s="200" t="str">
        <f>IFERROR(__xludf.DUMMYFUNCTION("""COMPUTED_VALUE"""),"AP")</f>
        <v>AP</v>
      </c>
      <c r="AB158" s="198">
        <f>IFERROR(__xludf.DUMMYFUNCTION("""COMPUTED_VALUE"""),103.4)</f>
        <v>103.4</v>
      </c>
      <c r="AC158" s="201" t="str">
        <f>IFERROR(__xludf.DUMMYFUNCTION("""COMPUTED_VALUE"""),"％")</f>
        <v>％</v>
      </c>
      <c r="AD158" s="195">
        <f>IFERROR(__xludf.DUMMYFUNCTION("""COMPUTED_VALUE"""),817.0)</f>
        <v>817</v>
      </c>
      <c r="AE158" s="197" t="str">
        <f>IFERROR(__xludf.DUMMYFUNCTION("""COMPUTED_VALUE"""),"Archer Piece")</f>
        <v>Archer Piece</v>
      </c>
      <c r="AF158" s="372" t="str">
        <f>IFERROR(__xludf.DUMMYFUNCTION("""COMPUTED_VALUE"""),"")</f>
        <v/>
      </c>
    </row>
    <row r="159" ht="16.5" customHeight="1">
      <c r="C159" s="204"/>
      <c r="D159" s="208">
        <f>IFERROR(__xludf.DUMMYFUNCTION("""COMPUTED_VALUE"""),2.0)</f>
        <v>2</v>
      </c>
      <c r="E159" s="210" t="str">
        <f>IFERROR(__xludf.DUMMYFUNCTION("""COMPUTED_VALUE"""),"SJK8")</f>
        <v>SJK8</v>
      </c>
      <c r="F159" s="212" t="str">
        <f>IFERROR(__xludf.DUMMYFUNCTION("""COMPUTED_VALUE"""),"Shinjuku")</f>
        <v>Shinjuku</v>
      </c>
      <c r="G159" s="216" t="str">
        <f>IFERROR(__xludf.DUMMYFUNCTION("""COMPUTED_VALUE"""),"Tower - Top Floor")</f>
        <v>Tower - Top Floor</v>
      </c>
      <c r="H159" s="218">
        <f>IFERROR(__xludf.DUMMYFUNCTION("""COMPUTED_VALUE"""),21.0)</f>
        <v>21</v>
      </c>
      <c r="I159" s="219">
        <f>IFERROR(__xludf.DUMMYFUNCTION("""COMPUTED_VALUE"""),49.70238095238095)</f>
        <v>49.70238095</v>
      </c>
      <c r="J159" s="220">
        <f>IFERROR(__xludf.DUMMYFUNCTION("""COMPUTED_VALUE"""),176.4)</f>
        <v>176.4</v>
      </c>
      <c r="K159" s="221" t="str">
        <f>IFERROR(__xludf.DUMMYFUNCTION("""COMPUTED_VALUE"""),"AP")</f>
        <v>AP</v>
      </c>
      <c r="L159" s="220">
        <f>IFERROR(__xludf.DUMMYFUNCTION("""COMPUTED_VALUE"""),11.9)</f>
        <v>11.9</v>
      </c>
      <c r="M159" s="221" t="str">
        <f>IFERROR(__xludf.DUMMYFUNCTION("""COMPUTED_VALUE"""),"％")</f>
        <v>％</v>
      </c>
      <c r="N159" s="218">
        <f>IFERROR(__xludf.DUMMYFUNCTION("""COMPUTED_VALUE"""),3200.0)</f>
        <v>3200</v>
      </c>
      <c r="O159" s="217"/>
      <c r="P159" s="371" t="str">
        <f>IFERROR(__xludf.DUMMYFUNCTION("""COMPUTED_VALUE"""),"")</f>
        <v/>
      </c>
      <c r="S159" s="204"/>
      <c r="T159" s="208">
        <f>IFERROR(__xludf.DUMMYFUNCTION("""COMPUTED_VALUE"""),2.0)</f>
        <v>2</v>
      </c>
      <c r="U159" s="210" t="str">
        <f>IFERROR(__xludf.DUMMYFUNCTION("""COMPUTED_VALUE"""),"TRF4")</f>
        <v>TRF4</v>
      </c>
      <c r="V159" s="212" t="str">
        <f>IFERROR(__xludf.DUMMYFUNCTION("""COMPUTED_VALUE"""),"Chaldea Gate (Mon)")</f>
        <v>Chaldea Gate (Mon)</v>
      </c>
      <c r="W159" s="212" t="str">
        <f>IFERROR(__xludf.DUMMYFUNCTION("""COMPUTED_VALUE"""),"MON Archer Training Ground- Exp")</f>
        <v>MON Archer Training Ground- Exp</v>
      </c>
      <c r="X159" s="218">
        <f>IFERROR(__xludf.DUMMYFUNCTION("""COMPUTED_VALUE"""),40.0)</f>
        <v>40</v>
      </c>
      <c r="Y159" s="219">
        <f>IFERROR(__xludf.DUMMYFUNCTION("""COMPUTED_VALUE"""),20.46875)</f>
        <v>20.46875</v>
      </c>
      <c r="Z159" s="220">
        <f>IFERROR(__xludf.DUMMYFUNCTION("""COMPUTED_VALUE"""),49.5)</f>
        <v>49.5</v>
      </c>
      <c r="AA159" s="221" t="str">
        <f>IFERROR(__xludf.DUMMYFUNCTION("""COMPUTED_VALUE"""),"AP")</f>
        <v>AP</v>
      </c>
      <c r="AB159" s="220">
        <f>IFERROR(__xludf.DUMMYFUNCTION("""COMPUTED_VALUE"""),80.8)</f>
        <v>80.8</v>
      </c>
      <c r="AC159" s="221" t="str">
        <f>IFERROR(__xludf.DUMMYFUNCTION("""COMPUTED_VALUE"""),"％")</f>
        <v>％</v>
      </c>
      <c r="AD159" s="218">
        <f>IFERROR(__xludf.DUMMYFUNCTION("""COMPUTED_VALUE"""),9159.0)</f>
        <v>9159</v>
      </c>
      <c r="AE159" s="217"/>
      <c r="AF159" s="372" t="str">
        <f>IFERROR(__xludf.DUMMYFUNCTION("""COMPUTED_VALUE"""),"")</f>
        <v/>
      </c>
    </row>
    <row r="160" ht="16.5" customHeight="1">
      <c r="C160" s="204"/>
      <c r="D160" s="225">
        <f>IFERROR(__xludf.DUMMYFUNCTION("""COMPUTED_VALUE"""),3.0)</f>
        <v>3</v>
      </c>
      <c r="E160" s="227" t="str">
        <f>IFERROR(__xludf.DUMMYFUNCTION("""COMPUTED_VALUE"""),"GTT11")</f>
        <v>GTT11</v>
      </c>
      <c r="F160" s="229" t="str">
        <f>IFERROR(__xludf.DUMMYFUNCTION("""COMPUTED_VALUE"""),"Götterdämmerung")</f>
        <v>Götterdämmerung</v>
      </c>
      <c r="G160" s="233" t="str">
        <f>IFERROR(__xludf.DUMMYFUNCTION("""COMPUTED_VALUE"""),"Forgotten Temple")</f>
        <v>Forgotten Temple</v>
      </c>
      <c r="H160" s="234">
        <f>IFERROR(__xludf.DUMMYFUNCTION("""COMPUTED_VALUE"""),21.0)</f>
        <v>21</v>
      </c>
      <c r="I160" s="235">
        <f>IFERROR(__xludf.DUMMYFUNCTION("""COMPUTED_VALUE"""),50.892857142857146)</f>
        <v>50.89285714</v>
      </c>
      <c r="J160" s="236">
        <f>IFERROR(__xludf.DUMMYFUNCTION("""COMPUTED_VALUE"""),187.0)</f>
        <v>187</v>
      </c>
      <c r="K160" s="237" t="str">
        <f>IFERROR(__xludf.DUMMYFUNCTION("""COMPUTED_VALUE"""),"AP")</f>
        <v>AP</v>
      </c>
      <c r="L160" s="236">
        <f>IFERROR(__xludf.DUMMYFUNCTION("""COMPUTED_VALUE"""),11.2)</f>
        <v>11.2</v>
      </c>
      <c r="M160" s="237" t="str">
        <f>IFERROR(__xludf.DUMMYFUNCTION("""COMPUTED_VALUE"""),"％")</f>
        <v>％</v>
      </c>
      <c r="N160" s="234">
        <f>IFERROR(__xludf.DUMMYFUNCTION("""COMPUTED_VALUE"""),3740.0)</f>
        <v>3740</v>
      </c>
      <c r="O160" s="217"/>
      <c r="P160" s="371" t="str">
        <f>IFERROR(__xludf.DUMMYFUNCTION("""COMPUTED_VALUE"""),"")</f>
        <v/>
      </c>
      <c r="S160" s="204"/>
      <c r="T160" s="225">
        <f>IFERROR(__xludf.DUMMYFUNCTION("""COMPUTED_VALUE"""),3.0)</f>
        <v>3</v>
      </c>
      <c r="U160" s="227" t="str">
        <f>IFERROR(__xludf.DUMMYFUNCTION("""COMPUTED_VALUE"""),"TRF2")</f>
        <v>TRF2</v>
      </c>
      <c r="V160" s="229" t="str">
        <f>IFERROR(__xludf.DUMMYFUNCTION("""COMPUTED_VALUE"""),"Chaldea Gate (Mon)")</f>
        <v>Chaldea Gate (Mon)</v>
      </c>
      <c r="W160" s="229" t="str">
        <f>IFERROR(__xludf.DUMMYFUNCTION("""COMPUTED_VALUE"""),"MON Archer Training Ground- Int")</f>
        <v>MON Archer Training Ground- Int</v>
      </c>
      <c r="X160" s="234">
        <f>IFERROR(__xludf.DUMMYFUNCTION("""COMPUTED_VALUE"""),20.0)</f>
        <v>20</v>
      </c>
      <c r="Y160" s="235">
        <f>IFERROR(__xludf.DUMMYFUNCTION("""COMPUTED_VALUE"""),19.0625)</f>
        <v>19.0625</v>
      </c>
      <c r="Z160" s="236">
        <f>IFERROR(__xludf.DUMMYFUNCTION("""COMPUTED_VALUE"""),29.1)</f>
        <v>29.1</v>
      </c>
      <c r="AA160" s="237" t="str">
        <f>IFERROR(__xludf.DUMMYFUNCTION("""COMPUTED_VALUE"""),"AP")</f>
        <v>AP</v>
      </c>
      <c r="AB160" s="236">
        <f>IFERROR(__xludf.DUMMYFUNCTION("""COMPUTED_VALUE"""),68.6)</f>
        <v>68.6</v>
      </c>
      <c r="AC160" s="237" t="str">
        <f>IFERROR(__xludf.DUMMYFUNCTION("""COMPUTED_VALUE"""),"％")</f>
        <v>％</v>
      </c>
      <c r="AD160" s="234">
        <f>IFERROR(__xludf.DUMMYFUNCTION("""COMPUTED_VALUE"""),657.0)</f>
        <v>657</v>
      </c>
      <c r="AE160" s="217"/>
      <c r="AF160" s="372" t="str">
        <f>IFERROR(__xludf.DUMMYFUNCTION("""COMPUTED_VALUE"""),"")</f>
        <v/>
      </c>
    </row>
    <row r="161" ht="16.5" customHeight="1">
      <c r="C161" s="204"/>
      <c r="D161" s="239">
        <f>IFERROR(__xludf.DUMMYFUNCTION("""COMPUTED_VALUE"""),4.0)</f>
        <v>4</v>
      </c>
      <c r="E161" s="241" t="str">
        <f>IFERROR(__xludf.DUMMYFUNCTION("""COMPUTED_VALUE"""),"TRF28")</f>
        <v>TRF28</v>
      </c>
      <c r="F161" s="243" t="str">
        <f>IFERROR(__xludf.DUMMYFUNCTION("""COMPUTED_VALUE"""),"Chaldea Gate (Sun)")</f>
        <v>Chaldea Gate (Sun)</v>
      </c>
      <c r="G161" s="243" t="str">
        <f>IFERROR(__xludf.DUMMYFUNCTION("""COMPUTED_VALUE"""),"SUN Saber Training Ground- Exp")</f>
        <v>SUN Saber Training Ground- Exp</v>
      </c>
      <c r="H161" s="247">
        <f>IFERROR(__xludf.DUMMYFUNCTION("""COMPUTED_VALUE"""),40.0)</f>
        <v>40</v>
      </c>
      <c r="I161" s="249">
        <f>IFERROR(__xludf.DUMMYFUNCTION("""COMPUTED_VALUE"""),20.46875)</f>
        <v>20.46875</v>
      </c>
      <c r="J161" s="251">
        <f>IFERROR(__xludf.DUMMYFUNCTION("""COMPUTED_VALUE"""),489.6)</f>
        <v>489.6</v>
      </c>
      <c r="K161" s="253" t="str">
        <f>IFERROR(__xludf.DUMMYFUNCTION("""COMPUTED_VALUE"""),"AP")</f>
        <v>AP</v>
      </c>
      <c r="L161" s="251">
        <f>IFERROR(__xludf.DUMMYFUNCTION("""COMPUTED_VALUE"""),8.2)</f>
        <v>8.2</v>
      </c>
      <c r="M161" s="253" t="str">
        <f>IFERROR(__xludf.DUMMYFUNCTION("""COMPUTED_VALUE"""),"％")</f>
        <v>％</v>
      </c>
      <c r="N161" s="247">
        <f>IFERROR(__xludf.DUMMYFUNCTION("""COMPUTED_VALUE"""),21334.0)</f>
        <v>21334</v>
      </c>
      <c r="O161" s="217"/>
      <c r="P161" s="371" t="str">
        <f>IFERROR(__xludf.DUMMYFUNCTION("""COMPUTED_VALUE"""),"")</f>
        <v/>
      </c>
      <c r="S161" s="204"/>
      <c r="T161" s="239">
        <f>IFERROR(__xludf.DUMMYFUNCTION("""COMPUTED_VALUE"""),4.0)</f>
        <v>4</v>
      </c>
      <c r="U161" s="241" t="str">
        <f>IFERROR(__xludf.DUMMYFUNCTION("""COMPUTED_VALUE"""),"TRF1")</f>
        <v>TRF1</v>
      </c>
      <c r="V161" s="243" t="str">
        <f>IFERROR(__xludf.DUMMYFUNCTION("""COMPUTED_VALUE"""),"Chaldea Gate (Mon)")</f>
        <v>Chaldea Gate (Mon)</v>
      </c>
      <c r="W161" s="243" t="str">
        <f>IFERROR(__xludf.DUMMYFUNCTION("""COMPUTED_VALUE"""),"MON Archer Training Ground- Nov")</f>
        <v>MON Archer Training Ground- Nov</v>
      </c>
      <c r="X161" s="247">
        <f>IFERROR(__xludf.DUMMYFUNCTION("""COMPUTED_VALUE"""),10.0)</f>
        <v>10</v>
      </c>
      <c r="Y161" s="249">
        <f>IFERROR(__xludf.DUMMYFUNCTION("""COMPUTED_VALUE"""),19.375)</f>
        <v>19.375</v>
      </c>
      <c r="Z161" s="251">
        <f>IFERROR(__xludf.DUMMYFUNCTION("""COMPUTED_VALUE"""),44.9)</f>
        <v>44.9</v>
      </c>
      <c r="AA161" s="253" t="str">
        <f>IFERROR(__xludf.DUMMYFUNCTION("""COMPUTED_VALUE"""),"AP")</f>
        <v>AP</v>
      </c>
      <c r="AB161" s="251">
        <f>IFERROR(__xludf.DUMMYFUNCTION("""COMPUTED_VALUE"""),22.3)</f>
        <v>22.3</v>
      </c>
      <c r="AC161" s="253" t="str">
        <f>IFERROR(__xludf.DUMMYFUNCTION("""COMPUTED_VALUE"""),"％")</f>
        <v>％</v>
      </c>
      <c r="AD161" s="247">
        <f>IFERROR(__xludf.DUMMYFUNCTION("""COMPUTED_VALUE"""),1558.0)</f>
        <v>1558</v>
      </c>
      <c r="AE161" s="217"/>
      <c r="AF161" s="372" t="str">
        <f>IFERROR(__xludf.DUMMYFUNCTION("""COMPUTED_VALUE"""),"")</f>
        <v/>
      </c>
    </row>
    <row r="162" ht="16.5" customHeight="1">
      <c r="A162" s="166"/>
      <c r="C162" s="255"/>
      <c r="D162" s="256">
        <f>IFERROR(__xludf.DUMMYFUNCTION("""COMPUTED_VALUE"""),5.0)</f>
        <v>5</v>
      </c>
      <c r="E162" s="257" t="str">
        <f>IFERROR(__xludf.DUMMYFUNCTION("""COMPUTED_VALUE"""),"EPU13")</f>
        <v>EPU13</v>
      </c>
      <c r="F162" s="42" t="str">
        <f>IFERROR(__xludf.DUMMYFUNCTION("""COMPUTED_VALUE"""),"E Pluribus Unum")</f>
        <v>E Pluribus Unum</v>
      </c>
      <c r="G162" s="258" t="str">
        <f>IFERROR(__xludf.DUMMYFUNCTION("""COMPUTED_VALUE"""),"Washington")</f>
        <v>Washington</v>
      </c>
      <c r="H162" s="259">
        <f>IFERROR(__xludf.DUMMYFUNCTION("""COMPUTED_VALUE"""),20.0)</f>
        <v>20</v>
      </c>
      <c r="I162" s="260">
        <f>IFERROR(__xludf.DUMMYFUNCTION("""COMPUTED_VALUE"""),49.0625)</f>
        <v>49.0625</v>
      </c>
      <c r="J162" s="261">
        <f>IFERROR(__xludf.DUMMYFUNCTION("""COMPUTED_VALUE"""),296.8)</f>
        <v>296.8</v>
      </c>
      <c r="K162" s="262" t="str">
        <f>IFERROR(__xludf.DUMMYFUNCTION("""COMPUTED_VALUE"""),"AP")</f>
        <v>AP</v>
      </c>
      <c r="L162" s="261">
        <f>IFERROR(__xludf.DUMMYFUNCTION("""COMPUTED_VALUE"""),6.7)</f>
        <v>6.7</v>
      </c>
      <c r="M162" s="262" t="str">
        <f>IFERROR(__xludf.DUMMYFUNCTION("""COMPUTED_VALUE"""),"％")</f>
        <v>％</v>
      </c>
      <c r="N162" s="259">
        <f>IFERROR(__xludf.DUMMYFUNCTION("""COMPUTED_VALUE"""),742.0)</f>
        <v>742</v>
      </c>
      <c r="O162" s="263"/>
      <c r="P162" s="371" t="str">
        <f>IFERROR(__xludf.DUMMYFUNCTION("""COMPUTED_VALUE"""),"")</f>
        <v/>
      </c>
      <c r="Q162" s="166"/>
      <c r="S162" s="255"/>
      <c r="T162" s="256">
        <f>IFERROR(__xludf.DUMMYFUNCTION("""COMPUTED_VALUE"""),5.0)</f>
        <v>5</v>
      </c>
      <c r="U162" s="257" t="str">
        <f>IFERROR(__xludf.DUMMYFUNCTION("""COMPUTED_VALUE"""),"EPU8")</f>
        <v>EPU8</v>
      </c>
      <c r="V162" s="42" t="str">
        <f>IFERROR(__xludf.DUMMYFUNCTION("""COMPUTED_VALUE"""),"E Pluribus Unum")</f>
        <v>E Pluribus Unum</v>
      </c>
      <c r="W162" s="258" t="str">
        <f>IFERROR(__xludf.DUMMYFUNCTION("""COMPUTED_VALUE"""),"Montgomery")</f>
        <v>Montgomery</v>
      </c>
      <c r="X162" s="259">
        <f>IFERROR(__xludf.DUMMYFUNCTION("""COMPUTED_VALUE"""),18.0)</f>
        <v>18</v>
      </c>
      <c r="Y162" s="260">
        <f>IFERROR(__xludf.DUMMYFUNCTION("""COMPUTED_VALUE"""),44.09722222222222)</f>
        <v>44.09722222</v>
      </c>
      <c r="Z162" s="261">
        <f>IFERROR(__xludf.DUMMYFUNCTION("""COMPUTED_VALUE"""),147.8)</f>
        <v>147.8</v>
      </c>
      <c r="AA162" s="262" t="str">
        <f>IFERROR(__xludf.DUMMYFUNCTION("""COMPUTED_VALUE"""),"AP")</f>
        <v>AP</v>
      </c>
      <c r="AB162" s="261">
        <f>IFERROR(__xludf.DUMMYFUNCTION("""COMPUTED_VALUE"""),12.2)</f>
        <v>12.2</v>
      </c>
      <c r="AC162" s="262" t="str">
        <f>IFERROR(__xludf.DUMMYFUNCTION("""COMPUTED_VALUE"""),"％")</f>
        <v>％</v>
      </c>
      <c r="AD162" s="259">
        <f>IFERROR(__xludf.DUMMYFUNCTION("""COMPUTED_VALUE"""),2068.0)</f>
        <v>2068</v>
      </c>
      <c r="AE162" s="263"/>
      <c r="AF162" s="372" t="str">
        <f>IFERROR(__xludf.DUMMYFUNCTION("""COMPUTED_VALUE"""),"")</f>
        <v/>
      </c>
    </row>
    <row r="163" ht="16.5" customHeight="1">
      <c r="A163" s="61" t="str">
        <f>IFERROR(__xludf.DUMMYFUNCTION("""COMPUTED_VALUE"""),"")</f>
        <v/>
      </c>
      <c r="B163" s="367" t="str">
        <f>IFERROR(__xludf.DUMMYFUNCTION("""COMPUTED_VALUE"""),"A105")</f>
        <v>A105</v>
      </c>
      <c r="C163" s="65" t="str">
        <f>IFERROR(__xludf.DUMMYFUNCTION("""COMPUTED_VALUE"""),"Warhorse's Young Horn")</f>
        <v>Warhorse's Young Horn</v>
      </c>
      <c r="D163" s="70">
        <f>IFERROR(__xludf.DUMMYFUNCTION("""COMPUTED_VALUE"""),1.0)</f>
        <v>1</v>
      </c>
      <c r="E163" s="73" t="str">
        <f>IFERROR(__xludf.DUMMYFUNCTION("""COMPUTED_VALUE"""),"AGT2")</f>
        <v>AGT2</v>
      </c>
      <c r="F163" s="76" t="str">
        <f>IFERROR(__xludf.DUMMYFUNCTION("""COMPUTED_VALUE"""),"Agartha")</f>
        <v>Agartha</v>
      </c>
      <c r="G163" s="85" t="str">
        <f>IFERROR(__xludf.DUMMYFUNCTION("""COMPUTED_VALUE"""),"Camping Ground")</f>
        <v>Camping Ground</v>
      </c>
      <c r="H163" s="87">
        <f>IFERROR(__xludf.DUMMYFUNCTION("""COMPUTED_VALUE"""),20.0)</f>
        <v>20</v>
      </c>
      <c r="I163" s="90">
        <f>IFERROR(__xludf.DUMMYFUNCTION("""COMPUTED_VALUE"""),48.4375)</f>
        <v>48.4375</v>
      </c>
      <c r="J163" s="92">
        <f>IFERROR(__xludf.DUMMYFUNCTION("""COMPUTED_VALUE"""),86.9)</f>
        <v>86.9</v>
      </c>
      <c r="K163" s="94" t="str">
        <f>IFERROR(__xludf.DUMMYFUNCTION("""COMPUTED_VALUE"""),"AP")</f>
        <v>AP</v>
      </c>
      <c r="L163" s="96">
        <f>IFERROR(__xludf.DUMMYFUNCTION("""COMPUTED_VALUE"""),23.0)</f>
        <v>23</v>
      </c>
      <c r="M163" s="94" t="str">
        <f>IFERROR(__xludf.DUMMYFUNCTION("""COMPUTED_VALUE"""),"％")</f>
        <v>％</v>
      </c>
      <c r="N163" s="87">
        <f>IFERROR(__xludf.DUMMYFUNCTION("""COMPUTED_VALUE"""),1303.0)</f>
        <v>1303</v>
      </c>
      <c r="O163" s="97" t="str">
        <f>IFERROR(__xludf.DUMMYFUNCTION("""COMPUTED_VALUE"""),"Warhorse's Young Horn")</f>
        <v>Warhorse's Young Horn</v>
      </c>
      <c r="P163" s="371" t="str">
        <f>IFERROR(__xludf.DUMMYFUNCTION("""COMPUTED_VALUE"""),"")</f>
        <v/>
      </c>
      <c r="Q163" s="61" t="str">
        <f>IFERROR(__xludf.DUMMYFUNCTION("""COMPUTED_VALUE"""),"")</f>
        <v/>
      </c>
      <c r="R163" s="367" t="str">
        <f>IFERROR(__xludf.DUMMYFUNCTION("""COMPUTED_VALUE"""),"B213")</f>
        <v>B213</v>
      </c>
      <c r="S163" s="65" t="str">
        <f>IFERROR(__xludf.DUMMYFUNCTION("""COMPUTED_VALUE"""),"Lancer Piece")</f>
        <v>Lancer Piece</v>
      </c>
      <c r="T163" s="70">
        <f>IFERROR(__xludf.DUMMYFUNCTION("""COMPUTED_VALUE"""),1.0)</f>
        <v>1</v>
      </c>
      <c r="U163" s="73" t="str">
        <f>IFERROR(__xludf.DUMMYFUNCTION("""COMPUTED_VALUE"""),"TRF7")</f>
        <v>TRF7</v>
      </c>
      <c r="V163" s="76" t="str">
        <f>IFERROR(__xludf.DUMMYFUNCTION("""COMPUTED_VALUE"""),"Chaldea Gate (Tue)")</f>
        <v>Chaldea Gate (Tue)</v>
      </c>
      <c r="W163" s="76" t="str">
        <f>IFERROR(__xludf.DUMMYFUNCTION("""COMPUTED_VALUE"""),"TUE Lancer Training Ground- Adv")</f>
        <v>TUE Lancer Training Ground- Adv</v>
      </c>
      <c r="X163" s="87">
        <f>IFERROR(__xludf.DUMMYFUNCTION("""COMPUTED_VALUE"""),30.0)</f>
        <v>30</v>
      </c>
      <c r="Y163" s="90">
        <f>IFERROR(__xludf.DUMMYFUNCTION("""COMPUTED_VALUE"""),18.958333333333332)</f>
        <v>18.95833333</v>
      </c>
      <c r="Z163" s="92">
        <f>IFERROR(__xludf.DUMMYFUNCTION("""COMPUTED_VALUE"""),30.5)</f>
        <v>30.5</v>
      </c>
      <c r="AA163" s="94" t="str">
        <f>IFERROR(__xludf.DUMMYFUNCTION("""COMPUTED_VALUE"""),"AP")</f>
        <v>AP</v>
      </c>
      <c r="AB163" s="96">
        <f>IFERROR(__xludf.DUMMYFUNCTION("""COMPUTED_VALUE"""),98.5)</f>
        <v>98.5</v>
      </c>
      <c r="AC163" s="94" t="str">
        <f>IFERROR(__xludf.DUMMYFUNCTION("""COMPUTED_VALUE"""),"％")</f>
        <v>％</v>
      </c>
      <c r="AD163" s="87">
        <f>IFERROR(__xludf.DUMMYFUNCTION("""COMPUTED_VALUE"""),1022.0)</f>
        <v>1022</v>
      </c>
      <c r="AE163" s="97" t="str">
        <f>IFERROR(__xludf.DUMMYFUNCTION("""COMPUTED_VALUE"""),"Lancer Piece")</f>
        <v>Lancer Piece</v>
      </c>
      <c r="AF163" s="372" t="str">
        <f>IFERROR(__xludf.DUMMYFUNCTION("""COMPUTED_VALUE"""),"")</f>
        <v/>
      </c>
    </row>
    <row r="164" ht="16.5" customHeight="1">
      <c r="C164" s="100"/>
      <c r="D164" s="105">
        <f>IFERROR(__xludf.DUMMYFUNCTION("""COMPUTED_VALUE"""),2.0)</f>
        <v>2</v>
      </c>
      <c r="E164" s="106" t="str">
        <f>IFERROR(__xludf.DUMMYFUNCTION("""COMPUTED_VALUE"""),"YKS1")</f>
        <v>YKS1</v>
      </c>
      <c r="F164" s="107" t="str">
        <f>IFERROR(__xludf.DUMMYFUNCTION("""COMPUTED_VALUE"""),"Yuga Kshetra")</f>
        <v>Yuga Kshetra</v>
      </c>
      <c r="G164" s="114" t="str">
        <f>IFERROR(__xludf.DUMMYFUNCTION("""COMPUTED_VALUE"""),"Initiate Point")</f>
        <v>Initiate Point</v>
      </c>
      <c r="H164" s="116">
        <f>IFERROR(__xludf.DUMMYFUNCTION("""COMPUTED_VALUE"""),20.0)</f>
        <v>20</v>
      </c>
      <c r="I164" s="118">
        <f>IFERROR(__xludf.DUMMYFUNCTION("""COMPUTED_VALUE"""),48.4375)</f>
        <v>48.4375</v>
      </c>
      <c r="J164" s="120">
        <f>IFERROR(__xludf.DUMMYFUNCTION("""COMPUTED_VALUE"""),89.4)</f>
        <v>89.4</v>
      </c>
      <c r="K164" s="122" t="str">
        <f>IFERROR(__xludf.DUMMYFUNCTION("""COMPUTED_VALUE"""),"AP")</f>
        <v>AP</v>
      </c>
      <c r="L164" s="124">
        <f>IFERROR(__xludf.DUMMYFUNCTION("""COMPUTED_VALUE"""),22.4)</f>
        <v>22.4</v>
      </c>
      <c r="M164" s="122" t="str">
        <f>IFERROR(__xludf.DUMMYFUNCTION("""COMPUTED_VALUE"""),"％")</f>
        <v>％</v>
      </c>
      <c r="N164" s="116">
        <f>IFERROR(__xludf.DUMMYFUNCTION("""COMPUTED_VALUE"""),1430.0)</f>
        <v>1430</v>
      </c>
      <c r="O164" s="100"/>
      <c r="P164" s="371" t="str">
        <f>IFERROR(__xludf.DUMMYFUNCTION("""COMPUTED_VALUE"""),"")</f>
        <v/>
      </c>
      <c r="S164" s="100"/>
      <c r="T164" s="105">
        <f>IFERROR(__xludf.DUMMYFUNCTION("""COMPUTED_VALUE"""),2.0)</f>
        <v>2</v>
      </c>
      <c r="U164" s="106" t="str">
        <f>IFERROR(__xludf.DUMMYFUNCTION("""COMPUTED_VALUE"""),"TRF8")</f>
        <v>TRF8</v>
      </c>
      <c r="V164" s="107" t="str">
        <f>IFERROR(__xludf.DUMMYFUNCTION("""COMPUTED_VALUE"""),"Chaldea Gate (Tue)")</f>
        <v>Chaldea Gate (Tue)</v>
      </c>
      <c r="W164" s="107" t="str">
        <f>IFERROR(__xludf.DUMMYFUNCTION("""COMPUTED_VALUE"""),"TUE Lancer Training Ground- Exp")</f>
        <v>TUE Lancer Training Ground- Exp</v>
      </c>
      <c r="X164" s="116">
        <f>IFERROR(__xludf.DUMMYFUNCTION("""COMPUTED_VALUE"""),40.0)</f>
        <v>40</v>
      </c>
      <c r="Y164" s="118">
        <f>IFERROR(__xludf.DUMMYFUNCTION("""COMPUTED_VALUE"""),20.46875)</f>
        <v>20.46875</v>
      </c>
      <c r="Z164" s="120">
        <f>IFERROR(__xludf.DUMMYFUNCTION("""COMPUTED_VALUE"""),51.8)</f>
        <v>51.8</v>
      </c>
      <c r="AA164" s="122" t="str">
        <f>IFERROR(__xludf.DUMMYFUNCTION("""COMPUTED_VALUE"""),"AP")</f>
        <v>AP</v>
      </c>
      <c r="AB164" s="124">
        <f>IFERROR(__xludf.DUMMYFUNCTION("""COMPUTED_VALUE"""),77.3)</f>
        <v>77.3</v>
      </c>
      <c r="AC164" s="122" t="str">
        <f>IFERROR(__xludf.DUMMYFUNCTION("""COMPUTED_VALUE"""),"％")</f>
        <v>％</v>
      </c>
      <c r="AD164" s="116">
        <f>IFERROR(__xludf.DUMMYFUNCTION("""COMPUTED_VALUE"""),5650.0)</f>
        <v>5650</v>
      </c>
      <c r="AE164" s="100"/>
      <c r="AF164" s="372" t="str">
        <f>IFERROR(__xludf.DUMMYFUNCTION("""COMPUTED_VALUE"""),"")</f>
        <v/>
      </c>
    </row>
    <row r="165" ht="16.5" customHeight="1">
      <c r="C165" s="100"/>
      <c r="D165" s="128">
        <f>IFERROR(__xludf.DUMMYFUNCTION("""COMPUTED_VALUE"""),3.0)</f>
        <v>3</v>
      </c>
      <c r="E165" s="129" t="str">
        <f>IFERROR(__xludf.DUMMYFUNCTION("""COMPUTED_VALUE"""),"ANA4")</f>
        <v>ANA4</v>
      </c>
      <c r="F165" s="131" t="str">
        <f>IFERROR(__xludf.DUMMYFUNCTION("""COMPUTED_VALUE"""),"Anastasia")</f>
        <v>Anastasia</v>
      </c>
      <c r="G165" s="134" t="str">
        <f>IFERROR(__xludf.DUMMYFUNCTION("""COMPUTED_VALUE"""),"Rebellion Army's Stronghold")</f>
        <v>Rebellion Army's Stronghold</v>
      </c>
      <c r="H165" s="136">
        <f>IFERROR(__xludf.DUMMYFUNCTION("""COMPUTED_VALUE"""),21.0)</f>
        <v>21</v>
      </c>
      <c r="I165" s="138">
        <f>IFERROR(__xludf.DUMMYFUNCTION("""COMPUTED_VALUE"""),47.32142857142857)</f>
        <v>47.32142857</v>
      </c>
      <c r="J165" s="140">
        <f>IFERROR(__xludf.DUMMYFUNCTION("""COMPUTED_VALUE"""),95.3)</f>
        <v>95.3</v>
      </c>
      <c r="K165" s="142" t="str">
        <f>IFERROR(__xludf.DUMMYFUNCTION("""COMPUTED_VALUE"""),"AP")</f>
        <v>AP</v>
      </c>
      <c r="L165" s="144">
        <f>IFERROR(__xludf.DUMMYFUNCTION("""COMPUTED_VALUE"""),22.0)</f>
        <v>22</v>
      </c>
      <c r="M165" s="142" t="str">
        <f>IFERROR(__xludf.DUMMYFUNCTION("""COMPUTED_VALUE"""),"％")</f>
        <v>％</v>
      </c>
      <c r="N165" s="136">
        <f>IFERROR(__xludf.DUMMYFUNCTION("""COMPUTED_VALUE"""),1539.0)</f>
        <v>1539</v>
      </c>
      <c r="O165" s="100"/>
      <c r="P165" s="371" t="str">
        <f>IFERROR(__xludf.DUMMYFUNCTION("""COMPUTED_VALUE"""),"")</f>
        <v/>
      </c>
      <c r="S165" s="100"/>
      <c r="T165" s="128">
        <f>IFERROR(__xludf.DUMMYFUNCTION("""COMPUTED_VALUE"""),3.0)</f>
        <v>3</v>
      </c>
      <c r="U165" s="129" t="str">
        <f>IFERROR(__xludf.DUMMYFUNCTION("""COMPUTED_VALUE"""),"TRF6")</f>
        <v>TRF6</v>
      </c>
      <c r="V165" s="131" t="str">
        <f>IFERROR(__xludf.DUMMYFUNCTION("""COMPUTED_VALUE"""),"Chaldea Gate (Tue)")</f>
        <v>Chaldea Gate (Tue)</v>
      </c>
      <c r="W165" s="131" t="str">
        <f>IFERROR(__xludf.DUMMYFUNCTION("""COMPUTED_VALUE"""),"TUE Lancer Training Ground- Int")</f>
        <v>TUE Lancer Training Ground- Int</v>
      </c>
      <c r="X165" s="136">
        <f>IFERROR(__xludf.DUMMYFUNCTION("""COMPUTED_VALUE"""),20.0)</f>
        <v>20</v>
      </c>
      <c r="Y165" s="138">
        <f>IFERROR(__xludf.DUMMYFUNCTION("""COMPUTED_VALUE"""),19.0625)</f>
        <v>19.0625</v>
      </c>
      <c r="Z165" s="140">
        <f>IFERROR(__xludf.DUMMYFUNCTION("""COMPUTED_VALUE"""),28.6)</f>
        <v>28.6</v>
      </c>
      <c r="AA165" s="142" t="str">
        <f>IFERROR(__xludf.DUMMYFUNCTION("""COMPUTED_VALUE"""),"AP")</f>
        <v>AP</v>
      </c>
      <c r="AB165" s="144">
        <f>IFERROR(__xludf.DUMMYFUNCTION("""COMPUTED_VALUE"""),69.8)</f>
        <v>69.8</v>
      </c>
      <c r="AC165" s="142" t="str">
        <f>IFERROR(__xludf.DUMMYFUNCTION("""COMPUTED_VALUE"""),"％")</f>
        <v>％</v>
      </c>
      <c r="AD165" s="136">
        <f>IFERROR(__xludf.DUMMYFUNCTION("""COMPUTED_VALUE"""),338.0)</f>
        <v>338</v>
      </c>
      <c r="AE165" s="100"/>
      <c r="AF165" s="372" t="str">
        <f>IFERROR(__xludf.DUMMYFUNCTION("""COMPUTED_VALUE"""),"")</f>
        <v/>
      </c>
    </row>
    <row r="166" ht="16.5" customHeight="1">
      <c r="C166" s="100"/>
      <c r="D166" s="147">
        <f>IFERROR(__xludf.DUMMYFUNCTION("""COMPUTED_VALUE"""),4.0)</f>
        <v>4</v>
      </c>
      <c r="E166" s="149" t="str">
        <f>IFERROR(__xludf.DUMMYFUNCTION("""COMPUTED_VALUE"""),"ANA1")</f>
        <v>ANA1</v>
      </c>
      <c r="F166" s="151" t="str">
        <f>IFERROR(__xludf.DUMMYFUNCTION("""COMPUTED_VALUE"""),"Anastasia")</f>
        <v>Anastasia</v>
      </c>
      <c r="G166" s="153" t="str">
        <f>IFERROR(__xludf.DUMMYFUNCTION("""COMPUTED_VALUE"""),"Anchor Point")</f>
        <v>Anchor Point</v>
      </c>
      <c r="H166" s="155">
        <f>IFERROR(__xludf.DUMMYFUNCTION("""COMPUTED_VALUE"""),20.0)</f>
        <v>20</v>
      </c>
      <c r="I166" s="157">
        <f>IFERROR(__xludf.DUMMYFUNCTION("""COMPUTED_VALUE"""),48.4375)</f>
        <v>48.4375</v>
      </c>
      <c r="J166" s="159">
        <f>IFERROR(__xludf.DUMMYFUNCTION("""COMPUTED_VALUE"""),96.9)</f>
        <v>96.9</v>
      </c>
      <c r="K166" s="161" t="str">
        <f>IFERROR(__xludf.DUMMYFUNCTION("""COMPUTED_VALUE"""),"AP")</f>
        <v>AP</v>
      </c>
      <c r="L166" s="163">
        <f>IFERROR(__xludf.DUMMYFUNCTION("""COMPUTED_VALUE"""),20.6)</f>
        <v>20.6</v>
      </c>
      <c r="M166" s="161" t="str">
        <f>IFERROR(__xludf.DUMMYFUNCTION("""COMPUTED_VALUE"""),"％")</f>
        <v>％</v>
      </c>
      <c r="N166" s="155">
        <f>IFERROR(__xludf.DUMMYFUNCTION("""COMPUTED_VALUE"""),2205.0)</f>
        <v>2205</v>
      </c>
      <c r="O166" s="100"/>
      <c r="P166" s="371" t="str">
        <f>IFERROR(__xludf.DUMMYFUNCTION("""COMPUTED_VALUE"""),"")</f>
        <v/>
      </c>
      <c r="S166" s="100"/>
      <c r="T166" s="147">
        <f>IFERROR(__xludf.DUMMYFUNCTION("""COMPUTED_VALUE"""),4.0)</f>
        <v>4</v>
      </c>
      <c r="U166" s="149" t="str">
        <f>IFERROR(__xludf.DUMMYFUNCTION("""COMPUTED_VALUE"""),"TRF5")</f>
        <v>TRF5</v>
      </c>
      <c r="V166" s="151" t="str">
        <f>IFERROR(__xludf.DUMMYFUNCTION("""COMPUTED_VALUE"""),"Chaldea Gate (Tue)")</f>
        <v>Chaldea Gate (Tue)</v>
      </c>
      <c r="W166" s="151" t="str">
        <f>IFERROR(__xludf.DUMMYFUNCTION("""COMPUTED_VALUE"""),"TUE Lancer Training Ground- Nov")</f>
        <v>TUE Lancer Training Ground- Nov</v>
      </c>
      <c r="X166" s="155">
        <f>IFERROR(__xludf.DUMMYFUNCTION("""COMPUTED_VALUE"""),10.0)</f>
        <v>10</v>
      </c>
      <c r="Y166" s="157">
        <f>IFERROR(__xludf.DUMMYFUNCTION("""COMPUTED_VALUE"""),19.375)</f>
        <v>19.375</v>
      </c>
      <c r="Z166" s="159">
        <f>IFERROR(__xludf.DUMMYFUNCTION("""COMPUTED_VALUE"""),41.8)</f>
        <v>41.8</v>
      </c>
      <c r="AA166" s="161" t="str">
        <f>IFERROR(__xludf.DUMMYFUNCTION("""COMPUTED_VALUE"""),"AP")</f>
        <v>AP</v>
      </c>
      <c r="AB166" s="163">
        <f>IFERROR(__xludf.DUMMYFUNCTION("""COMPUTED_VALUE"""),23.9)</f>
        <v>23.9</v>
      </c>
      <c r="AC166" s="161" t="str">
        <f>IFERROR(__xludf.DUMMYFUNCTION("""COMPUTED_VALUE"""),"％")</f>
        <v>％</v>
      </c>
      <c r="AD166" s="155">
        <f>IFERROR(__xludf.DUMMYFUNCTION("""COMPUTED_VALUE"""),1502.0)</f>
        <v>1502</v>
      </c>
      <c r="AE166" s="100"/>
      <c r="AF166" s="372" t="str">
        <f>IFERROR(__xludf.DUMMYFUNCTION("""COMPUTED_VALUE"""),"")</f>
        <v/>
      </c>
    </row>
    <row r="167" ht="16.5" customHeight="1">
      <c r="A167" s="166"/>
      <c r="C167" s="168"/>
      <c r="D167" s="169">
        <f>IFERROR(__xludf.DUMMYFUNCTION("""COMPUTED_VALUE"""),5.0)</f>
        <v>5</v>
      </c>
      <c r="E167" s="170" t="str">
        <f>IFERROR(__xludf.DUMMYFUNCTION("""COMPUTED_VALUE"""),"ANA8")</f>
        <v>ANA8</v>
      </c>
      <c r="F167" s="51" t="str">
        <f>IFERROR(__xludf.DUMMYFUNCTION("""COMPUTED_VALUE"""),"Anastasia")</f>
        <v>Anastasia</v>
      </c>
      <c r="G167" s="171" t="str">
        <f>IFERROR(__xludf.DUMMYFUNCTION("""COMPUTED_VALUE"""),"Yaga Demensk")</f>
        <v>Yaga Demensk</v>
      </c>
      <c r="H167" s="172">
        <f>IFERROR(__xludf.DUMMYFUNCTION("""COMPUTED_VALUE"""),21.0)</f>
        <v>21</v>
      </c>
      <c r="I167" s="173">
        <f>IFERROR(__xludf.DUMMYFUNCTION("""COMPUTED_VALUE"""),48.51190476190476)</f>
        <v>48.51190476</v>
      </c>
      <c r="J167" s="174">
        <f>IFERROR(__xludf.DUMMYFUNCTION("""COMPUTED_VALUE"""),103.2)</f>
        <v>103.2</v>
      </c>
      <c r="K167" s="175" t="str">
        <f>IFERROR(__xludf.DUMMYFUNCTION("""COMPUTED_VALUE"""),"AP")</f>
        <v>AP</v>
      </c>
      <c r="L167" s="176">
        <f>IFERROR(__xludf.DUMMYFUNCTION("""COMPUTED_VALUE"""),20.4)</f>
        <v>20.4</v>
      </c>
      <c r="M167" s="175" t="str">
        <f>IFERROR(__xludf.DUMMYFUNCTION("""COMPUTED_VALUE"""),"％")</f>
        <v>％</v>
      </c>
      <c r="N167" s="172">
        <f>IFERROR(__xludf.DUMMYFUNCTION("""COMPUTED_VALUE"""),452.0)</f>
        <v>452</v>
      </c>
      <c r="O167" s="168"/>
      <c r="P167" s="371" t="str">
        <f>IFERROR(__xludf.DUMMYFUNCTION("""COMPUTED_VALUE"""),"")</f>
        <v/>
      </c>
      <c r="Q167" s="166"/>
      <c r="S167" s="168"/>
      <c r="T167" s="169">
        <f>IFERROR(__xludf.DUMMYFUNCTION("""COMPUTED_VALUE"""),5.0)</f>
        <v>5</v>
      </c>
      <c r="U167" s="170" t="str">
        <f>IFERROR(__xludf.DUMMYFUNCTION("""COMPUTED_VALUE"""),"EPU2")</f>
        <v>EPU2</v>
      </c>
      <c r="V167" s="51" t="str">
        <f>IFERROR(__xludf.DUMMYFUNCTION("""COMPUTED_VALUE"""),"E Pluribus Unum")</f>
        <v>E Pluribus Unum</v>
      </c>
      <c r="W167" s="171" t="str">
        <f>IFERROR(__xludf.DUMMYFUNCTION("""COMPUTED_VALUE"""),"Riverton")</f>
        <v>Riverton</v>
      </c>
      <c r="X167" s="172">
        <f>IFERROR(__xludf.DUMMYFUNCTION("""COMPUTED_VALUE"""),17.0)</f>
        <v>17</v>
      </c>
      <c r="Y167" s="173">
        <f>IFERROR(__xludf.DUMMYFUNCTION("""COMPUTED_VALUE"""),42.279411764705884)</f>
        <v>42.27941176</v>
      </c>
      <c r="Z167" s="174">
        <f>IFERROR(__xludf.DUMMYFUNCTION("""COMPUTED_VALUE"""),80.5)</f>
        <v>80.5</v>
      </c>
      <c r="AA167" s="175" t="str">
        <f>IFERROR(__xludf.DUMMYFUNCTION("""COMPUTED_VALUE"""),"AP")</f>
        <v>AP</v>
      </c>
      <c r="AB167" s="176">
        <f>IFERROR(__xludf.DUMMYFUNCTION("""COMPUTED_VALUE"""),21.1)</f>
        <v>21.1</v>
      </c>
      <c r="AC167" s="175" t="str">
        <f>IFERROR(__xludf.DUMMYFUNCTION("""COMPUTED_VALUE"""),"％")</f>
        <v>％</v>
      </c>
      <c r="AD167" s="172">
        <f>IFERROR(__xludf.DUMMYFUNCTION("""COMPUTED_VALUE"""),336.0)</f>
        <v>336</v>
      </c>
      <c r="AE167" s="168"/>
      <c r="AF167" s="372" t="str">
        <f>IFERROR(__xludf.DUMMYFUNCTION("""COMPUTED_VALUE"""),"")</f>
        <v/>
      </c>
    </row>
    <row r="168" ht="16.5" customHeight="1">
      <c r="A168" s="61" t="str">
        <f>IFERROR(__xludf.DUMMYFUNCTION("""COMPUTED_VALUE"""),"")</f>
        <v/>
      </c>
      <c r="B168" s="366" t="str">
        <f>IFERROR(__xludf.DUMMYFUNCTION("""COMPUTED_VALUE"""),"A106")</f>
        <v>A106</v>
      </c>
      <c r="C168" s="180" t="str">
        <f>IFERROR(__xludf.DUMMYFUNCTION("""COMPUTED_VALUE"""),"Tearstone of Blood")</f>
        <v>Tearstone of Blood</v>
      </c>
      <c r="D168" s="185">
        <f>IFERROR(__xludf.DUMMYFUNCTION("""COMPUTED_VALUE"""),1.0)</f>
        <v>1</v>
      </c>
      <c r="E168" s="187" t="str">
        <f>IFERROR(__xludf.DUMMYFUNCTION("""COMPUTED_VALUE"""),"SJK10")</f>
        <v>SJK10</v>
      </c>
      <c r="F168" s="188" t="str">
        <f>IFERROR(__xludf.DUMMYFUNCTION("""COMPUTED_VALUE"""),"Shinjuku")</f>
        <v>Shinjuku</v>
      </c>
      <c r="G168" s="193" t="str">
        <f>IFERROR(__xludf.DUMMYFUNCTION("""COMPUTED_VALUE"""),"Shinjuku 2-chome")</f>
        <v>Shinjuku 2-chome</v>
      </c>
      <c r="H168" s="195">
        <f>IFERROR(__xludf.DUMMYFUNCTION("""COMPUTED_VALUE"""),21.0)</f>
        <v>21</v>
      </c>
      <c r="I168" s="196">
        <f>IFERROR(__xludf.DUMMYFUNCTION("""COMPUTED_VALUE"""),50.892857142857146)</f>
        <v>50.89285714</v>
      </c>
      <c r="J168" s="198">
        <f>IFERROR(__xludf.DUMMYFUNCTION("""COMPUTED_VALUE"""),114.1)</f>
        <v>114.1</v>
      </c>
      <c r="K168" s="200" t="str">
        <f>IFERROR(__xludf.DUMMYFUNCTION("""COMPUTED_VALUE"""),"AP")</f>
        <v>AP</v>
      </c>
      <c r="L168" s="198">
        <f>IFERROR(__xludf.DUMMYFUNCTION("""COMPUTED_VALUE"""),18.4)</f>
        <v>18.4</v>
      </c>
      <c r="M168" s="201" t="str">
        <f>IFERROR(__xludf.DUMMYFUNCTION("""COMPUTED_VALUE"""),"％")</f>
        <v>％</v>
      </c>
      <c r="N168" s="195">
        <f>IFERROR(__xludf.DUMMYFUNCTION("""COMPUTED_VALUE"""),38593.0)</f>
        <v>38593</v>
      </c>
      <c r="O168" s="197" t="str">
        <f>IFERROR(__xludf.DUMMYFUNCTION("""COMPUTED_VALUE"""),"Tearstone of Blood")</f>
        <v>Tearstone of Blood</v>
      </c>
      <c r="P168" s="371" t="str">
        <f>IFERROR(__xludf.DUMMYFUNCTION("""COMPUTED_VALUE"""),"")</f>
        <v/>
      </c>
      <c r="Q168" s="61" t="str">
        <f>IFERROR(__xludf.DUMMYFUNCTION("""COMPUTED_VALUE"""),"")</f>
        <v/>
      </c>
      <c r="R168" s="366" t="str">
        <f>IFERROR(__xludf.DUMMYFUNCTION("""COMPUTED_VALUE"""),"B214")</f>
        <v>B214</v>
      </c>
      <c r="S168" s="180" t="str">
        <f>IFERROR(__xludf.DUMMYFUNCTION("""COMPUTED_VALUE"""),"Rider Piece")</f>
        <v>Rider Piece</v>
      </c>
      <c r="T168" s="185">
        <f>IFERROR(__xludf.DUMMYFUNCTION("""COMPUTED_VALUE"""),1.0)</f>
        <v>1</v>
      </c>
      <c r="U168" s="187" t="str">
        <f>IFERROR(__xludf.DUMMYFUNCTION("""COMPUTED_VALUE"""),"TRF15")</f>
        <v>TRF15</v>
      </c>
      <c r="V168" s="188" t="str">
        <f>IFERROR(__xludf.DUMMYFUNCTION("""COMPUTED_VALUE"""),"Chaldea Gate (Thu)")</f>
        <v>Chaldea Gate (Thu)</v>
      </c>
      <c r="W168" s="188" t="str">
        <f>IFERROR(__xludf.DUMMYFUNCTION("""COMPUTED_VALUE"""),"THU Rider Training Ground- Adv")</f>
        <v>THU Rider Training Ground- Adv</v>
      </c>
      <c r="X168" s="195">
        <f>IFERROR(__xludf.DUMMYFUNCTION("""COMPUTED_VALUE"""),30.0)</f>
        <v>30</v>
      </c>
      <c r="Y168" s="196">
        <f>IFERROR(__xludf.DUMMYFUNCTION("""COMPUTED_VALUE"""),18.958333333333332)</f>
        <v>18.95833333</v>
      </c>
      <c r="Z168" s="198">
        <f>IFERROR(__xludf.DUMMYFUNCTION("""COMPUTED_VALUE"""),29.4)</f>
        <v>29.4</v>
      </c>
      <c r="AA168" s="200" t="str">
        <f>IFERROR(__xludf.DUMMYFUNCTION("""COMPUTED_VALUE"""),"AP")</f>
        <v>AP</v>
      </c>
      <c r="AB168" s="198">
        <f>IFERROR(__xludf.DUMMYFUNCTION("""COMPUTED_VALUE"""),102.8)</f>
        <v>102.8</v>
      </c>
      <c r="AC168" s="201" t="str">
        <f>IFERROR(__xludf.DUMMYFUNCTION("""COMPUTED_VALUE"""),"％")</f>
        <v>％</v>
      </c>
      <c r="AD168" s="195">
        <f>IFERROR(__xludf.DUMMYFUNCTION("""COMPUTED_VALUE"""),721.0)</f>
        <v>721</v>
      </c>
      <c r="AE168" s="197" t="str">
        <f>IFERROR(__xludf.DUMMYFUNCTION("""COMPUTED_VALUE"""),"Rider Piece")</f>
        <v>Rider Piece</v>
      </c>
      <c r="AF168" s="372" t="str">
        <f>IFERROR(__xludf.DUMMYFUNCTION("""COMPUTED_VALUE"""),"")</f>
        <v/>
      </c>
    </row>
    <row r="169" ht="16.5" customHeight="1">
      <c r="C169" s="204"/>
      <c r="D169" s="208">
        <f>IFERROR(__xludf.DUMMYFUNCTION("""COMPUTED_VALUE"""),2.0)</f>
        <v>2</v>
      </c>
      <c r="E169" s="210" t="str">
        <f>IFERROR(__xludf.DUMMYFUNCTION("""COMPUTED_VALUE"""),"TRF4")</f>
        <v>TRF4</v>
      </c>
      <c r="F169" s="212" t="str">
        <f>IFERROR(__xludf.DUMMYFUNCTION("""COMPUTED_VALUE"""),"Chaldea Gate (Mon)")</f>
        <v>Chaldea Gate (Mon)</v>
      </c>
      <c r="G169" s="212" t="str">
        <f>IFERROR(__xludf.DUMMYFUNCTION("""COMPUTED_VALUE"""),"MON Archer Training Ground- Exp")</f>
        <v>MON Archer Training Ground- Exp</v>
      </c>
      <c r="H169" s="218">
        <f>IFERROR(__xludf.DUMMYFUNCTION("""COMPUTED_VALUE"""),40.0)</f>
        <v>40</v>
      </c>
      <c r="I169" s="219">
        <f>IFERROR(__xludf.DUMMYFUNCTION("""COMPUTED_VALUE"""),20.46875)</f>
        <v>20.46875</v>
      </c>
      <c r="J169" s="220">
        <f>IFERROR(__xludf.DUMMYFUNCTION("""COMPUTED_VALUE"""),310.6)</f>
        <v>310.6</v>
      </c>
      <c r="K169" s="221" t="str">
        <f>IFERROR(__xludf.DUMMYFUNCTION("""COMPUTED_VALUE"""),"AP")</f>
        <v>AP</v>
      </c>
      <c r="L169" s="220">
        <f>IFERROR(__xludf.DUMMYFUNCTION("""COMPUTED_VALUE"""),12.9)</f>
        <v>12.9</v>
      </c>
      <c r="M169" s="221" t="str">
        <f>IFERROR(__xludf.DUMMYFUNCTION("""COMPUTED_VALUE"""),"％")</f>
        <v>％</v>
      </c>
      <c r="N169" s="218">
        <f>IFERROR(__xludf.DUMMYFUNCTION("""COMPUTED_VALUE"""),9159.0)</f>
        <v>9159</v>
      </c>
      <c r="O169" s="217"/>
      <c r="P169" s="371" t="str">
        <f>IFERROR(__xludf.DUMMYFUNCTION("""COMPUTED_VALUE"""),"")</f>
        <v/>
      </c>
      <c r="S169" s="204"/>
      <c r="T169" s="208">
        <f>IFERROR(__xludf.DUMMYFUNCTION("""COMPUTED_VALUE"""),2.0)</f>
        <v>2</v>
      </c>
      <c r="U169" s="210" t="str">
        <f>IFERROR(__xludf.DUMMYFUNCTION("""COMPUTED_VALUE"""),"TRF16")</f>
        <v>TRF16</v>
      </c>
      <c r="V169" s="212" t="str">
        <f>IFERROR(__xludf.DUMMYFUNCTION("""COMPUTED_VALUE"""),"Chaldea Gate (Thu)")</f>
        <v>Chaldea Gate (Thu)</v>
      </c>
      <c r="W169" s="212" t="str">
        <f>IFERROR(__xludf.DUMMYFUNCTION("""COMPUTED_VALUE"""),"THU Rider Training Ground- Exp")</f>
        <v>THU Rider Training Ground- Exp</v>
      </c>
      <c r="X169" s="218">
        <f>IFERROR(__xludf.DUMMYFUNCTION("""COMPUTED_VALUE"""),40.0)</f>
        <v>40</v>
      </c>
      <c r="Y169" s="219">
        <f>IFERROR(__xludf.DUMMYFUNCTION("""COMPUTED_VALUE"""),20.46875)</f>
        <v>20.46875</v>
      </c>
      <c r="Z169" s="220">
        <f>IFERROR(__xludf.DUMMYFUNCTION("""COMPUTED_VALUE"""),51.2)</f>
        <v>51.2</v>
      </c>
      <c r="AA169" s="221" t="str">
        <f>IFERROR(__xludf.DUMMYFUNCTION("""COMPUTED_VALUE"""),"AP")</f>
        <v>AP</v>
      </c>
      <c r="AB169" s="220">
        <f>IFERROR(__xludf.DUMMYFUNCTION("""COMPUTED_VALUE"""),78.2)</f>
        <v>78.2</v>
      </c>
      <c r="AC169" s="221" t="str">
        <f>IFERROR(__xludf.DUMMYFUNCTION("""COMPUTED_VALUE"""),"％")</f>
        <v>％</v>
      </c>
      <c r="AD169" s="218">
        <f>IFERROR(__xludf.DUMMYFUNCTION("""COMPUTED_VALUE"""),3420.0)</f>
        <v>3420</v>
      </c>
      <c r="AE169" s="217"/>
      <c r="AF169" s="372" t="str">
        <f>IFERROR(__xludf.DUMMYFUNCTION("""COMPUTED_VALUE"""),"")</f>
        <v/>
      </c>
    </row>
    <row r="170" ht="16.5" customHeight="1">
      <c r="C170" s="204"/>
      <c r="D170" s="225">
        <f>IFERROR(__xludf.DUMMYFUNCTION("""COMPUTED_VALUE"""),3.0)</f>
        <v>3</v>
      </c>
      <c r="E170" s="227" t="str">
        <f>IFERROR(__xludf.DUMMYFUNCTION("""COMPUTED_VALUE"""),"EPU10")</f>
        <v>EPU10</v>
      </c>
      <c r="F170" s="229" t="str">
        <f>IFERROR(__xludf.DUMMYFUNCTION("""COMPUTED_VALUE"""),"E Pluribus Unum")</f>
        <v>E Pluribus Unum</v>
      </c>
      <c r="G170" s="233" t="str">
        <f>IFERROR(__xludf.DUMMYFUNCTION("""COMPUTED_VALUE"""),"Alexandria")</f>
        <v>Alexandria</v>
      </c>
      <c r="H170" s="234">
        <f>IFERROR(__xludf.DUMMYFUNCTION("""COMPUTED_VALUE"""),18.0)</f>
        <v>18</v>
      </c>
      <c r="I170" s="235">
        <f>IFERROR(__xludf.DUMMYFUNCTION("""COMPUTED_VALUE"""),45.486111111111114)</f>
        <v>45.48611111</v>
      </c>
      <c r="J170" s="236">
        <f>IFERROR(__xludf.DUMMYFUNCTION("""COMPUTED_VALUE"""),152.4)</f>
        <v>152.4</v>
      </c>
      <c r="K170" s="237" t="str">
        <f>IFERROR(__xludf.DUMMYFUNCTION("""COMPUTED_VALUE"""),"AP")</f>
        <v>AP</v>
      </c>
      <c r="L170" s="236">
        <f>IFERROR(__xludf.DUMMYFUNCTION("""COMPUTED_VALUE"""),11.8)</f>
        <v>11.8</v>
      </c>
      <c r="M170" s="237" t="str">
        <f>IFERROR(__xludf.DUMMYFUNCTION("""COMPUTED_VALUE"""),"％")</f>
        <v>％</v>
      </c>
      <c r="N170" s="234">
        <f>IFERROR(__xludf.DUMMYFUNCTION("""COMPUTED_VALUE"""),3293.0)</f>
        <v>3293</v>
      </c>
      <c r="O170" s="217"/>
      <c r="P170" s="371" t="str">
        <f>IFERROR(__xludf.DUMMYFUNCTION("""COMPUTED_VALUE"""),"")</f>
        <v/>
      </c>
      <c r="S170" s="204"/>
      <c r="T170" s="225">
        <f>IFERROR(__xludf.DUMMYFUNCTION("""COMPUTED_VALUE"""),3.0)</f>
        <v>3</v>
      </c>
      <c r="U170" s="227" t="str">
        <f>IFERROR(__xludf.DUMMYFUNCTION("""COMPUTED_VALUE"""),"TRF14")</f>
        <v>TRF14</v>
      </c>
      <c r="V170" s="229" t="str">
        <f>IFERROR(__xludf.DUMMYFUNCTION("""COMPUTED_VALUE"""),"Chaldea Gate (Thu)")</f>
        <v>Chaldea Gate (Thu)</v>
      </c>
      <c r="W170" s="229" t="str">
        <f>IFERROR(__xludf.DUMMYFUNCTION("""COMPUTED_VALUE"""),"THU Rider Training Ground- Int")</f>
        <v>THU Rider Training Ground- Int</v>
      </c>
      <c r="X170" s="234">
        <f>IFERROR(__xludf.DUMMYFUNCTION("""COMPUTED_VALUE"""),20.0)</f>
        <v>20</v>
      </c>
      <c r="Y170" s="235">
        <f>IFERROR(__xludf.DUMMYFUNCTION("""COMPUTED_VALUE"""),19.0625)</f>
        <v>19.0625</v>
      </c>
      <c r="Z170" s="236">
        <f>IFERROR(__xludf.DUMMYFUNCTION("""COMPUTED_VALUE"""),28.7)</f>
        <v>28.7</v>
      </c>
      <c r="AA170" s="237" t="str">
        <f>IFERROR(__xludf.DUMMYFUNCTION("""COMPUTED_VALUE"""),"AP")</f>
        <v>AP</v>
      </c>
      <c r="AB170" s="236">
        <f>IFERROR(__xludf.DUMMYFUNCTION("""COMPUTED_VALUE"""),69.8)</f>
        <v>69.8</v>
      </c>
      <c r="AC170" s="237" t="str">
        <f>IFERROR(__xludf.DUMMYFUNCTION("""COMPUTED_VALUE"""),"％")</f>
        <v>％</v>
      </c>
      <c r="AD170" s="234">
        <f>IFERROR(__xludf.DUMMYFUNCTION("""COMPUTED_VALUE"""),712.0)</f>
        <v>712</v>
      </c>
      <c r="AE170" s="217"/>
      <c r="AF170" s="372" t="str">
        <f>IFERROR(__xludf.DUMMYFUNCTION("""COMPUTED_VALUE"""),"")</f>
        <v/>
      </c>
    </row>
    <row r="171" ht="16.5" customHeight="1">
      <c r="C171" s="204"/>
      <c r="D171" s="239">
        <f>IFERROR(__xludf.DUMMYFUNCTION("""COMPUTED_VALUE"""),4.0)</f>
        <v>4</v>
      </c>
      <c r="E171" s="241" t="str">
        <f>IFERROR(__xludf.DUMMYFUNCTION("""COMPUTED_VALUE"""),"TRF3")</f>
        <v>TRF3</v>
      </c>
      <c r="F171" s="243" t="str">
        <f>IFERROR(__xludf.DUMMYFUNCTION("""COMPUTED_VALUE"""),"Chaldea Gate (Mon)")</f>
        <v>Chaldea Gate (Mon)</v>
      </c>
      <c r="G171" s="243" t="str">
        <f>IFERROR(__xludf.DUMMYFUNCTION("""COMPUTED_VALUE"""),"MON Archer Training Ground- Adv")</f>
        <v>MON Archer Training Ground- Adv</v>
      </c>
      <c r="H171" s="247">
        <f>IFERROR(__xludf.DUMMYFUNCTION("""COMPUTED_VALUE"""),30.0)</f>
        <v>30</v>
      </c>
      <c r="I171" s="249">
        <f>IFERROR(__xludf.DUMMYFUNCTION("""COMPUTED_VALUE"""),18.958333333333332)</f>
        <v>18.95833333</v>
      </c>
      <c r="J171" s="251">
        <f>IFERROR(__xludf.DUMMYFUNCTION("""COMPUTED_VALUE"""),478.2)</f>
        <v>478.2</v>
      </c>
      <c r="K171" s="253" t="str">
        <f>IFERROR(__xludf.DUMMYFUNCTION("""COMPUTED_VALUE"""),"AP")</f>
        <v>AP</v>
      </c>
      <c r="L171" s="251">
        <f>IFERROR(__xludf.DUMMYFUNCTION("""COMPUTED_VALUE"""),6.3)</f>
        <v>6.3</v>
      </c>
      <c r="M171" s="253" t="str">
        <f>IFERROR(__xludf.DUMMYFUNCTION("""COMPUTED_VALUE"""),"％")</f>
        <v>％</v>
      </c>
      <c r="N171" s="247">
        <f>IFERROR(__xludf.DUMMYFUNCTION("""COMPUTED_VALUE"""),817.0)</f>
        <v>817</v>
      </c>
      <c r="O171" s="217"/>
      <c r="P171" s="371" t="str">
        <f>IFERROR(__xludf.DUMMYFUNCTION("""COMPUTED_VALUE"""),"")</f>
        <v/>
      </c>
      <c r="S171" s="204"/>
      <c r="T171" s="239">
        <f>IFERROR(__xludf.DUMMYFUNCTION("""COMPUTED_VALUE"""),4.0)</f>
        <v>4</v>
      </c>
      <c r="U171" s="241" t="str">
        <f>IFERROR(__xludf.DUMMYFUNCTION("""COMPUTED_VALUE"""),"TRF13")</f>
        <v>TRF13</v>
      </c>
      <c r="V171" s="243" t="str">
        <f>IFERROR(__xludf.DUMMYFUNCTION("""COMPUTED_VALUE"""),"Chaldea Gate (Thu)")</f>
        <v>Chaldea Gate (Thu)</v>
      </c>
      <c r="W171" s="243" t="str">
        <f>IFERROR(__xludf.DUMMYFUNCTION("""COMPUTED_VALUE"""),"THU Rider Training Ground- Nov")</f>
        <v>THU Rider Training Ground- Nov</v>
      </c>
      <c r="X171" s="247">
        <f>IFERROR(__xludf.DUMMYFUNCTION("""COMPUTED_VALUE"""),10.0)</f>
        <v>10</v>
      </c>
      <c r="Y171" s="249">
        <f>IFERROR(__xludf.DUMMYFUNCTION("""COMPUTED_VALUE"""),19.375)</f>
        <v>19.375</v>
      </c>
      <c r="Z171" s="251">
        <f>IFERROR(__xludf.DUMMYFUNCTION("""COMPUTED_VALUE"""),44.8)</f>
        <v>44.8</v>
      </c>
      <c r="AA171" s="253" t="str">
        <f>IFERROR(__xludf.DUMMYFUNCTION("""COMPUTED_VALUE"""),"AP")</f>
        <v>AP</v>
      </c>
      <c r="AB171" s="251">
        <f>IFERROR(__xludf.DUMMYFUNCTION("""COMPUTED_VALUE"""),22.3)</f>
        <v>22.3</v>
      </c>
      <c r="AC171" s="253" t="str">
        <f>IFERROR(__xludf.DUMMYFUNCTION("""COMPUTED_VALUE"""),"％")</f>
        <v>％</v>
      </c>
      <c r="AD171" s="247">
        <f>IFERROR(__xludf.DUMMYFUNCTION("""COMPUTED_VALUE"""),923.0)</f>
        <v>923</v>
      </c>
      <c r="AE171" s="217"/>
      <c r="AF171" s="372" t="str">
        <f>IFERROR(__xludf.DUMMYFUNCTION("""COMPUTED_VALUE"""),"")</f>
        <v/>
      </c>
    </row>
    <row r="172" ht="16.5" customHeight="1">
      <c r="A172" s="166"/>
      <c r="C172" s="255"/>
      <c r="D172" s="256">
        <f>IFERROR(__xludf.DUMMYFUNCTION("""COMPUTED_VALUE"""),5.0)</f>
        <v>5</v>
      </c>
      <c r="E172" s="257" t="str">
        <f>IFERROR(__xludf.DUMMYFUNCTION("""COMPUTED_VALUE"""),"")</f>
        <v/>
      </c>
      <c r="F172" s="42" t="str">
        <f>IFERROR(__xludf.DUMMYFUNCTION("""COMPUTED_VALUE"""),"")</f>
        <v/>
      </c>
      <c r="G172" s="42" t="str">
        <f>IFERROR(__xludf.DUMMYFUNCTION("""COMPUTED_VALUE"""),"")</f>
        <v/>
      </c>
      <c r="H172" s="259" t="str">
        <f>IFERROR(__xludf.DUMMYFUNCTION("""COMPUTED_VALUE"""),"")</f>
        <v/>
      </c>
      <c r="I172" s="260" t="str">
        <f>IFERROR(__xludf.DUMMYFUNCTION("""COMPUTED_VALUE"""),"")</f>
        <v/>
      </c>
      <c r="J172" s="261" t="str">
        <f>IFERROR(__xludf.DUMMYFUNCTION("""COMPUTED_VALUE"""),"")</f>
        <v/>
      </c>
      <c r="K172" s="262" t="str">
        <f>IFERROR(__xludf.DUMMYFUNCTION("""COMPUTED_VALUE"""),"AP")</f>
        <v>AP</v>
      </c>
      <c r="L172" s="261" t="str">
        <f>IFERROR(__xludf.DUMMYFUNCTION("""COMPUTED_VALUE"""),"")</f>
        <v/>
      </c>
      <c r="M172" s="262" t="str">
        <f>IFERROR(__xludf.DUMMYFUNCTION("""COMPUTED_VALUE"""),"％")</f>
        <v>％</v>
      </c>
      <c r="N172" s="259" t="str">
        <f>IFERROR(__xludf.DUMMYFUNCTION("""COMPUTED_VALUE"""),"")</f>
        <v/>
      </c>
      <c r="O172" s="263"/>
      <c r="P172" s="371" t="str">
        <f>IFERROR(__xludf.DUMMYFUNCTION("""COMPUTED_VALUE"""),"")</f>
        <v/>
      </c>
      <c r="Q172" s="166"/>
      <c r="S172" s="255"/>
      <c r="T172" s="256">
        <f>IFERROR(__xludf.DUMMYFUNCTION("""COMPUTED_VALUE"""),5.0)</f>
        <v>5</v>
      </c>
      <c r="U172" s="257" t="str">
        <f>IFERROR(__xludf.DUMMYFUNCTION("""COMPUTED_VALUE"""),"ORL4")</f>
        <v>ORL4</v>
      </c>
      <c r="V172" s="42" t="str">
        <f>IFERROR(__xludf.DUMMYFUNCTION("""COMPUTED_VALUE"""),"Orleans")</f>
        <v>Orleans</v>
      </c>
      <c r="W172" s="258" t="str">
        <f>IFERROR(__xludf.DUMMYFUNCTION("""COMPUTED_VALUE"""),"Jura")</f>
        <v>Jura</v>
      </c>
      <c r="X172" s="259">
        <f>IFERROR(__xludf.DUMMYFUNCTION("""COMPUTED_VALUE"""),7.0)</f>
        <v>7</v>
      </c>
      <c r="Y172" s="260">
        <f>IFERROR(__xludf.DUMMYFUNCTION("""COMPUTED_VALUE"""),31.25)</f>
        <v>31.25</v>
      </c>
      <c r="Z172" s="261">
        <f>IFERROR(__xludf.DUMMYFUNCTION("""COMPUTED_VALUE"""),60.8)</f>
        <v>60.8</v>
      </c>
      <c r="AA172" s="262" t="str">
        <f>IFERROR(__xludf.DUMMYFUNCTION("""COMPUTED_VALUE"""),"AP")</f>
        <v>AP</v>
      </c>
      <c r="AB172" s="261">
        <f>IFERROR(__xludf.DUMMYFUNCTION("""COMPUTED_VALUE"""),11.5)</f>
        <v>11.5</v>
      </c>
      <c r="AC172" s="262" t="str">
        <f>IFERROR(__xludf.DUMMYFUNCTION("""COMPUTED_VALUE"""),"％")</f>
        <v>％</v>
      </c>
      <c r="AD172" s="259">
        <f>IFERROR(__xludf.DUMMYFUNCTION("""COMPUTED_VALUE"""),217.0)</f>
        <v>217</v>
      </c>
      <c r="AE172" s="263"/>
      <c r="AF172" s="372" t="str">
        <f>IFERROR(__xludf.DUMMYFUNCTION("""COMPUTED_VALUE"""),"")</f>
        <v/>
      </c>
    </row>
    <row r="173" ht="16.5" customHeight="1">
      <c r="A173" s="61" t="str">
        <f>IFERROR(__xludf.DUMMYFUNCTION("""COMPUTED_VALUE"""),"")</f>
        <v/>
      </c>
      <c r="B173" s="367" t="str">
        <f>IFERROR(__xludf.DUMMYFUNCTION("""COMPUTED_VALUE"""),"A107")</f>
        <v>A107</v>
      </c>
      <c r="C173" s="65" t="str">
        <f>IFERROR(__xludf.DUMMYFUNCTION("""COMPUTED_VALUE"""),"Black Beast Grease")</f>
        <v>Black Beast Grease</v>
      </c>
      <c r="D173" s="70">
        <f>IFERROR(__xludf.DUMMYFUNCTION("""COMPUTED_VALUE"""),1.0)</f>
        <v>1</v>
      </c>
      <c r="E173" s="73" t="str">
        <f>IFERROR(__xludf.DUMMYFUNCTION("""COMPUTED_VALUE"""),"YKS3")</f>
        <v>YKS3</v>
      </c>
      <c r="F173" s="76" t="str">
        <f>IFERROR(__xludf.DUMMYFUNCTION("""COMPUTED_VALUE"""),"Yuga Kshetra")</f>
        <v>Yuga Kshetra</v>
      </c>
      <c r="G173" s="85" t="str">
        <f>IFERROR(__xludf.DUMMYFUNCTION("""COMPUTED_VALUE"""),"Secluded Grotto")</f>
        <v>Secluded Grotto</v>
      </c>
      <c r="H173" s="87">
        <f>IFERROR(__xludf.DUMMYFUNCTION("""COMPUTED_VALUE"""),21.0)</f>
        <v>21</v>
      </c>
      <c r="I173" s="90">
        <f>IFERROR(__xludf.DUMMYFUNCTION("""COMPUTED_VALUE"""),47.32142857142857)</f>
        <v>47.32142857</v>
      </c>
      <c r="J173" s="92">
        <f>IFERROR(__xludf.DUMMYFUNCTION("""COMPUTED_VALUE"""),91.3)</f>
        <v>91.3</v>
      </c>
      <c r="K173" s="94" t="str">
        <f>IFERROR(__xludf.DUMMYFUNCTION("""COMPUTED_VALUE"""),"AP")</f>
        <v>AP</v>
      </c>
      <c r="L173" s="96">
        <f>IFERROR(__xludf.DUMMYFUNCTION("""COMPUTED_VALUE"""),23.0)</f>
        <v>23</v>
      </c>
      <c r="M173" s="94" t="str">
        <f>IFERROR(__xludf.DUMMYFUNCTION("""COMPUTED_VALUE"""),"％")</f>
        <v>％</v>
      </c>
      <c r="N173" s="87">
        <f>IFERROR(__xludf.DUMMYFUNCTION("""COMPUTED_VALUE"""),374.0)</f>
        <v>374</v>
      </c>
      <c r="O173" s="97" t="str">
        <f>IFERROR(__xludf.DUMMYFUNCTION("""COMPUTED_VALUE"""),"Black Beast Grease")</f>
        <v>Black Beast Grease</v>
      </c>
      <c r="P173" s="371" t="str">
        <f>IFERROR(__xludf.DUMMYFUNCTION("""COMPUTED_VALUE"""),"")</f>
        <v/>
      </c>
      <c r="Q173" s="61" t="str">
        <f>IFERROR(__xludf.DUMMYFUNCTION("""COMPUTED_VALUE"""),"")</f>
        <v/>
      </c>
      <c r="R173" s="367" t="str">
        <f>IFERROR(__xludf.DUMMYFUNCTION("""COMPUTED_VALUE"""),"B215")</f>
        <v>B215</v>
      </c>
      <c r="S173" s="65" t="str">
        <f>IFERROR(__xludf.DUMMYFUNCTION("""COMPUTED_VALUE"""),"Caster Piece")</f>
        <v>Caster Piece</v>
      </c>
      <c r="T173" s="70">
        <f>IFERROR(__xludf.DUMMYFUNCTION("""COMPUTED_VALUE"""),1.0)</f>
        <v>1</v>
      </c>
      <c r="U173" s="73" t="str">
        <f>IFERROR(__xludf.DUMMYFUNCTION("""COMPUTED_VALUE"""),"TRF19")</f>
        <v>TRF19</v>
      </c>
      <c r="V173" s="76" t="str">
        <f>IFERROR(__xludf.DUMMYFUNCTION("""COMPUTED_VALUE"""),"Chaldea Gate (Fri)")</f>
        <v>Chaldea Gate (Fri)</v>
      </c>
      <c r="W173" s="76" t="str">
        <f>IFERROR(__xludf.DUMMYFUNCTION("""COMPUTED_VALUE"""),"FRI Caster Training Ground- Adv")</f>
        <v>FRI Caster Training Ground- Adv</v>
      </c>
      <c r="X173" s="87">
        <f>IFERROR(__xludf.DUMMYFUNCTION("""COMPUTED_VALUE"""),30.0)</f>
        <v>30</v>
      </c>
      <c r="Y173" s="90">
        <f>IFERROR(__xludf.DUMMYFUNCTION("""COMPUTED_VALUE"""),18.958333333333332)</f>
        <v>18.95833333</v>
      </c>
      <c r="Z173" s="92">
        <f>IFERROR(__xludf.DUMMYFUNCTION("""COMPUTED_VALUE"""),31.1)</f>
        <v>31.1</v>
      </c>
      <c r="AA173" s="94" t="str">
        <f>IFERROR(__xludf.DUMMYFUNCTION("""COMPUTED_VALUE"""),"AP")</f>
        <v>AP</v>
      </c>
      <c r="AB173" s="96">
        <f>IFERROR(__xludf.DUMMYFUNCTION("""COMPUTED_VALUE"""),96.4)</f>
        <v>96.4</v>
      </c>
      <c r="AC173" s="94" t="str">
        <f>IFERROR(__xludf.DUMMYFUNCTION("""COMPUTED_VALUE"""),"％")</f>
        <v>％</v>
      </c>
      <c r="AD173" s="87">
        <f>IFERROR(__xludf.DUMMYFUNCTION("""COMPUTED_VALUE"""),1241.0)</f>
        <v>1241</v>
      </c>
      <c r="AE173" s="97" t="str">
        <f>IFERROR(__xludf.DUMMYFUNCTION("""COMPUTED_VALUE"""),"Caster Piece")</f>
        <v>Caster Piece</v>
      </c>
      <c r="AF173" s="372" t="str">
        <f>IFERROR(__xludf.DUMMYFUNCTION("""COMPUTED_VALUE"""),"")</f>
        <v/>
      </c>
    </row>
    <row r="174" ht="16.5" customHeight="1">
      <c r="C174" s="100"/>
      <c r="D174" s="105">
        <f>IFERROR(__xludf.DUMMYFUNCTION("""COMPUTED_VALUE"""),2.0)</f>
        <v>2</v>
      </c>
      <c r="E174" s="106" t="str">
        <f>IFERROR(__xludf.DUMMYFUNCTION("""COMPUTED_VALUE"""),"AGT6")</f>
        <v>AGT6</v>
      </c>
      <c r="F174" s="107" t="str">
        <f>IFERROR(__xludf.DUMMYFUNCTION("""COMPUTED_VALUE"""),"Agartha")</f>
        <v>Agartha</v>
      </c>
      <c r="G174" s="114" t="str">
        <f>IFERROR(__xludf.DUMMYFUNCTION("""COMPUTED_VALUE"""),"Northern Cliffs")</f>
        <v>Northern Cliffs</v>
      </c>
      <c r="H174" s="116">
        <f>IFERROR(__xludf.DUMMYFUNCTION("""COMPUTED_VALUE"""),21.0)</f>
        <v>21</v>
      </c>
      <c r="I174" s="118">
        <f>IFERROR(__xludf.DUMMYFUNCTION("""COMPUTED_VALUE"""),47.32142857142857)</f>
        <v>47.32142857</v>
      </c>
      <c r="J174" s="120">
        <f>IFERROR(__xludf.DUMMYFUNCTION("""COMPUTED_VALUE"""),102.7)</f>
        <v>102.7</v>
      </c>
      <c r="K174" s="122" t="str">
        <f>IFERROR(__xludf.DUMMYFUNCTION("""COMPUTED_VALUE"""),"AP")</f>
        <v>AP</v>
      </c>
      <c r="L174" s="124">
        <f>IFERROR(__xludf.DUMMYFUNCTION("""COMPUTED_VALUE"""),20.4)</f>
        <v>20.4</v>
      </c>
      <c r="M174" s="122" t="str">
        <f>IFERROR(__xludf.DUMMYFUNCTION("""COMPUTED_VALUE"""),"％")</f>
        <v>％</v>
      </c>
      <c r="N174" s="116">
        <f>IFERROR(__xludf.DUMMYFUNCTION("""COMPUTED_VALUE"""),2040.0)</f>
        <v>2040</v>
      </c>
      <c r="O174" s="100"/>
      <c r="P174" s="371" t="str">
        <f>IFERROR(__xludf.DUMMYFUNCTION("""COMPUTED_VALUE"""),"")</f>
        <v/>
      </c>
      <c r="S174" s="100"/>
      <c r="T174" s="105">
        <f>IFERROR(__xludf.DUMMYFUNCTION("""COMPUTED_VALUE"""),2.0)</f>
        <v>2</v>
      </c>
      <c r="U174" s="106" t="str">
        <f>IFERROR(__xludf.DUMMYFUNCTION("""COMPUTED_VALUE"""),"TRF18")</f>
        <v>TRF18</v>
      </c>
      <c r="V174" s="107" t="str">
        <f>IFERROR(__xludf.DUMMYFUNCTION("""COMPUTED_VALUE"""),"Chaldea Gate (Fri)")</f>
        <v>Chaldea Gate (Fri)</v>
      </c>
      <c r="W174" s="107" t="str">
        <f>IFERROR(__xludf.DUMMYFUNCTION("""COMPUTED_VALUE"""),"FRI Caster Training Ground- Int")</f>
        <v>FRI Caster Training Ground- Int</v>
      </c>
      <c r="X174" s="116">
        <f>IFERROR(__xludf.DUMMYFUNCTION("""COMPUTED_VALUE"""),20.0)</f>
        <v>20</v>
      </c>
      <c r="Y174" s="118">
        <f>IFERROR(__xludf.DUMMYFUNCTION("""COMPUTED_VALUE"""),19.0625)</f>
        <v>19.0625</v>
      </c>
      <c r="Z174" s="120">
        <f>IFERROR(__xludf.DUMMYFUNCTION("""COMPUTED_VALUE"""),24.1)</f>
        <v>24.1</v>
      </c>
      <c r="AA174" s="122" t="str">
        <f>IFERROR(__xludf.DUMMYFUNCTION("""COMPUTED_VALUE"""),"AP")</f>
        <v>AP</v>
      </c>
      <c r="AB174" s="124">
        <f>IFERROR(__xludf.DUMMYFUNCTION("""COMPUTED_VALUE"""),82.9)</f>
        <v>82.9</v>
      </c>
      <c r="AC174" s="122" t="str">
        <f>IFERROR(__xludf.DUMMYFUNCTION("""COMPUTED_VALUE"""),"％")</f>
        <v>％</v>
      </c>
      <c r="AD174" s="116">
        <f>IFERROR(__xludf.DUMMYFUNCTION("""COMPUTED_VALUE"""),893.0)</f>
        <v>893</v>
      </c>
      <c r="AE174" s="100"/>
      <c r="AF174" s="372" t="str">
        <f>IFERROR(__xludf.DUMMYFUNCTION("""COMPUTED_VALUE"""),"")</f>
        <v/>
      </c>
    </row>
    <row r="175" ht="16.5" customHeight="1">
      <c r="C175" s="100"/>
      <c r="D175" s="128">
        <f>IFERROR(__xludf.DUMMYFUNCTION("""COMPUTED_VALUE"""),3.0)</f>
        <v>3</v>
      </c>
      <c r="E175" s="129" t="str">
        <f>IFERROR(__xludf.DUMMYFUNCTION("""COMPUTED_VALUE"""),"BBL2")</f>
        <v>BBL2</v>
      </c>
      <c r="F175" s="131" t="str">
        <f>IFERROR(__xludf.DUMMYFUNCTION("""COMPUTED_VALUE"""),"Babylonia")</f>
        <v>Babylonia</v>
      </c>
      <c r="G175" s="134" t="str">
        <f>IFERROR(__xludf.DUMMYFUNCTION("""COMPUTED_VALUE"""),"Northern Hill")</f>
        <v>Northern Hill</v>
      </c>
      <c r="H175" s="136">
        <f>IFERROR(__xludf.DUMMYFUNCTION("""COMPUTED_VALUE"""),20.0)</f>
        <v>20</v>
      </c>
      <c r="I175" s="138">
        <f>IFERROR(__xludf.DUMMYFUNCTION("""COMPUTED_VALUE"""),48.4375)</f>
        <v>48.4375</v>
      </c>
      <c r="J175" s="140">
        <f>IFERROR(__xludf.DUMMYFUNCTION("""COMPUTED_VALUE"""),111.9)</f>
        <v>111.9</v>
      </c>
      <c r="K175" s="142" t="str">
        <f>IFERROR(__xludf.DUMMYFUNCTION("""COMPUTED_VALUE"""),"AP")</f>
        <v>AP</v>
      </c>
      <c r="L175" s="144">
        <f>IFERROR(__xludf.DUMMYFUNCTION("""COMPUTED_VALUE"""),17.9)</f>
        <v>17.9</v>
      </c>
      <c r="M175" s="142" t="str">
        <f>IFERROR(__xludf.DUMMYFUNCTION("""COMPUTED_VALUE"""),"％")</f>
        <v>％</v>
      </c>
      <c r="N175" s="136">
        <f>IFERROR(__xludf.DUMMYFUNCTION("""COMPUTED_VALUE"""),319.0)</f>
        <v>319</v>
      </c>
      <c r="O175" s="100"/>
      <c r="P175" s="371" t="str">
        <f>IFERROR(__xludf.DUMMYFUNCTION("""COMPUTED_VALUE"""),"")</f>
        <v/>
      </c>
      <c r="S175" s="100"/>
      <c r="T175" s="128">
        <f>IFERROR(__xludf.DUMMYFUNCTION("""COMPUTED_VALUE"""),3.0)</f>
        <v>3</v>
      </c>
      <c r="U175" s="129" t="str">
        <f>IFERROR(__xludf.DUMMYFUNCTION("""COMPUTED_VALUE"""),"TRF20")</f>
        <v>TRF20</v>
      </c>
      <c r="V175" s="131" t="str">
        <f>IFERROR(__xludf.DUMMYFUNCTION("""COMPUTED_VALUE"""),"Chaldea Gate (Fri)")</f>
        <v>Chaldea Gate (Fri)</v>
      </c>
      <c r="W175" s="131" t="str">
        <f>IFERROR(__xludf.DUMMYFUNCTION("""COMPUTED_VALUE"""),"FRI Caster Training Ground- Exp")</f>
        <v>FRI Caster Training Ground- Exp</v>
      </c>
      <c r="X175" s="136">
        <f>IFERROR(__xludf.DUMMYFUNCTION("""COMPUTED_VALUE"""),40.0)</f>
        <v>40</v>
      </c>
      <c r="Y175" s="138">
        <f>IFERROR(__xludf.DUMMYFUNCTION("""COMPUTED_VALUE"""),20.46875)</f>
        <v>20.46875</v>
      </c>
      <c r="Z175" s="140">
        <f>IFERROR(__xludf.DUMMYFUNCTION("""COMPUTED_VALUE"""),49.7)</f>
        <v>49.7</v>
      </c>
      <c r="AA175" s="142" t="str">
        <f>IFERROR(__xludf.DUMMYFUNCTION("""COMPUTED_VALUE"""),"AP")</f>
        <v>AP</v>
      </c>
      <c r="AB175" s="144">
        <f>IFERROR(__xludf.DUMMYFUNCTION("""COMPUTED_VALUE"""),80.5)</f>
        <v>80.5</v>
      </c>
      <c r="AC175" s="142" t="str">
        <f>IFERROR(__xludf.DUMMYFUNCTION("""COMPUTED_VALUE"""),"％")</f>
        <v>％</v>
      </c>
      <c r="AD175" s="136">
        <f>IFERROR(__xludf.DUMMYFUNCTION("""COMPUTED_VALUE"""),10906.0)</f>
        <v>10906</v>
      </c>
      <c r="AE175" s="100"/>
      <c r="AF175" s="372" t="str">
        <f>IFERROR(__xludf.DUMMYFUNCTION("""COMPUTED_VALUE"""),"")</f>
        <v/>
      </c>
    </row>
    <row r="176" ht="16.5" customHeight="1">
      <c r="C176" s="100"/>
      <c r="D176" s="147">
        <f>IFERROR(__xludf.DUMMYFUNCTION("""COMPUTED_VALUE"""),4.0)</f>
        <v>4</v>
      </c>
      <c r="E176" s="149" t="str">
        <f>IFERROR(__xludf.DUMMYFUNCTION("""COMPUTED_VALUE"""),"TRF24")</f>
        <v>TRF24</v>
      </c>
      <c r="F176" s="151" t="str">
        <f>IFERROR(__xludf.DUMMYFUNCTION("""COMPUTED_VALUE"""),"Chaldea Gate (Sat)")</f>
        <v>Chaldea Gate (Sat)</v>
      </c>
      <c r="G176" s="151" t="str">
        <f>IFERROR(__xludf.DUMMYFUNCTION("""COMPUTED_VALUE"""),"SAT Assassin Training Ground- Exp")</f>
        <v>SAT Assassin Training Ground- Exp</v>
      </c>
      <c r="H176" s="155">
        <f>IFERROR(__xludf.DUMMYFUNCTION("""COMPUTED_VALUE"""),40.0)</f>
        <v>40</v>
      </c>
      <c r="I176" s="157">
        <f>IFERROR(__xludf.DUMMYFUNCTION("""COMPUTED_VALUE"""),20.46875)</f>
        <v>20.46875</v>
      </c>
      <c r="J176" s="159">
        <f>IFERROR(__xludf.DUMMYFUNCTION("""COMPUTED_VALUE"""),333.0)</f>
        <v>333</v>
      </c>
      <c r="K176" s="161" t="str">
        <f>IFERROR(__xludf.DUMMYFUNCTION("""COMPUTED_VALUE"""),"AP")</f>
        <v>AP</v>
      </c>
      <c r="L176" s="163">
        <f>IFERROR(__xludf.DUMMYFUNCTION("""COMPUTED_VALUE"""),11.99999)</f>
        <v>11.99999</v>
      </c>
      <c r="M176" s="161" t="str">
        <f>IFERROR(__xludf.DUMMYFUNCTION("""COMPUTED_VALUE"""),"％")</f>
        <v>％</v>
      </c>
      <c r="N176" s="155">
        <f>IFERROR(__xludf.DUMMYFUNCTION("""COMPUTED_VALUE"""),6919.0)</f>
        <v>6919</v>
      </c>
      <c r="O176" s="100"/>
      <c r="P176" s="371" t="str">
        <f>IFERROR(__xludf.DUMMYFUNCTION("""COMPUTED_VALUE"""),"")</f>
        <v/>
      </c>
      <c r="S176" s="100"/>
      <c r="T176" s="147">
        <f>IFERROR(__xludf.DUMMYFUNCTION("""COMPUTED_VALUE"""),4.0)</f>
        <v>4</v>
      </c>
      <c r="U176" s="149" t="str">
        <f>IFERROR(__xludf.DUMMYFUNCTION("""COMPUTED_VALUE"""),"TRF17")</f>
        <v>TRF17</v>
      </c>
      <c r="V176" s="151" t="str">
        <f>IFERROR(__xludf.DUMMYFUNCTION("""COMPUTED_VALUE"""),"Chaldea Gate (Fri)")</f>
        <v>Chaldea Gate (Fri)</v>
      </c>
      <c r="W176" s="151" t="str">
        <f>IFERROR(__xludf.DUMMYFUNCTION("""COMPUTED_VALUE"""),"FRI Caster Training Ground- Nov")</f>
        <v>FRI Caster Training Ground- Nov</v>
      </c>
      <c r="X176" s="155">
        <f>IFERROR(__xludf.DUMMYFUNCTION("""COMPUTED_VALUE"""),10.0)</f>
        <v>10</v>
      </c>
      <c r="Y176" s="157">
        <f>IFERROR(__xludf.DUMMYFUNCTION("""COMPUTED_VALUE"""),19.375)</f>
        <v>19.375</v>
      </c>
      <c r="Z176" s="159">
        <f>IFERROR(__xludf.DUMMYFUNCTION("""COMPUTED_VALUE"""),31.1)</f>
        <v>31.1</v>
      </c>
      <c r="AA176" s="161" t="str">
        <f>IFERROR(__xludf.DUMMYFUNCTION("""COMPUTED_VALUE"""),"AP")</f>
        <v>AP</v>
      </c>
      <c r="AB176" s="163">
        <f>IFERROR(__xludf.DUMMYFUNCTION("""COMPUTED_VALUE"""),32.2)</f>
        <v>32.2</v>
      </c>
      <c r="AC176" s="161" t="str">
        <f>IFERROR(__xludf.DUMMYFUNCTION("""COMPUTED_VALUE"""),"％")</f>
        <v>％</v>
      </c>
      <c r="AD176" s="155">
        <f>IFERROR(__xludf.DUMMYFUNCTION("""COMPUTED_VALUE"""),2818.0)</f>
        <v>2818</v>
      </c>
      <c r="AE176" s="100"/>
      <c r="AF176" s="372" t="str">
        <f>IFERROR(__xludf.DUMMYFUNCTION("""COMPUTED_VALUE"""),"")</f>
        <v/>
      </c>
    </row>
    <row r="177" ht="16.5" customHeight="1">
      <c r="A177" s="166"/>
      <c r="C177" s="168"/>
      <c r="D177" s="169">
        <f>IFERROR(__xludf.DUMMYFUNCTION("""COMPUTED_VALUE"""),5.0)</f>
        <v>5</v>
      </c>
      <c r="E177" s="170" t="str">
        <f>IFERROR(__xludf.DUMMYFUNCTION("""COMPUTED_VALUE"""),"EPU9")</f>
        <v>EPU9</v>
      </c>
      <c r="F177" s="51" t="str">
        <f>IFERROR(__xludf.DUMMYFUNCTION("""COMPUTED_VALUE"""),"E Pluribus Unum")</f>
        <v>E Pluribus Unum</v>
      </c>
      <c r="G177" s="171" t="str">
        <f>IFERROR(__xludf.DUMMYFUNCTION("""COMPUTED_VALUE"""),"Lubbock")</f>
        <v>Lubbock</v>
      </c>
      <c r="H177" s="172">
        <f>IFERROR(__xludf.DUMMYFUNCTION("""COMPUTED_VALUE"""),18.0)</f>
        <v>18</v>
      </c>
      <c r="I177" s="173">
        <f>IFERROR(__xludf.DUMMYFUNCTION("""COMPUTED_VALUE"""),45.486111111111114)</f>
        <v>45.48611111</v>
      </c>
      <c r="J177" s="174">
        <f>IFERROR(__xludf.DUMMYFUNCTION("""COMPUTED_VALUE"""),155.3)</f>
        <v>155.3</v>
      </c>
      <c r="K177" s="175" t="str">
        <f>IFERROR(__xludf.DUMMYFUNCTION("""COMPUTED_VALUE"""),"AP")</f>
        <v>AP</v>
      </c>
      <c r="L177" s="176">
        <f>IFERROR(__xludf.DUMMYFUNCTION("""COMPUTED_VALUE"""),11.6)</f>
        <v>11.6</v>
      </c>
      <c r="M177" s="175" t="str">
        <f>IFERROR(__xludf.DUMMYFUNCTION("""COMPUTED_VALUE"""),"％")</f>
        <v>％</v>
      </c>
      <c r="N177" s="172">
        <f>IFERROR(__xludf.DUMMYFUNCTION("""COMPUTED_VALUE"""),440.0)</f>
        <v>440</v>
      </c>
      <c r="O177" s="168"/>
      <c r="P177" s="371" t="str">
        <f>IFERROR(__xludf.DUMMYFUNCTION("""COMPUTED_VALUE"""),"")</f>
        <v/>
      </c>
      <c r="Q177" s="166"/>
      <c r="S177" s="168"/>
      <c r="T177" s="169">
        <f>IFERROR(__xludf.DUMMYFUNCTION("""COMPUTED_VALUE"""),5.0)</f>
        <v>5</v>
      </c>
      <c r="U177" s="170" t="str">
        <f>IFERROR(__xludf.DUMMYFUNCTION("""COMPUTED_VALUE"""),"LDN5")</f>
        <v>LDN5</v>
      </c>
      <c r="V177" s="51" t="str">
        <f>IFERROR(__xludf.DUMMYFUNCTION("""COMPUTED_VALUE"""),"London")</f>
        <v>London</v>
      </c>
      <c r="W177" s="171" t="str">
        <f>IFERROR(__xludf.DUMMYFUNCTION("""COMPUTED_VALUE"""),"Westminster")</f>
        <v>Westminster</v>
      </c>
      <c r="X177" s="172">
        <f>IFERROR(__xludf.DUMMYFUNCTION("""COMPUTED_VALUE"""),16.0)</f>
        <v>16</v>
      </c>
      <c r="Y177" s="173">
        <f>IFERROR(__xludf.DUMMYFUNCTION("""COMPUTED_VALUE"""),38.671875)</f>
        <v>38.671875</v>
      </c>
      <c r="Z177" s="174">
        <f>IFERROR(__xludf.DUMMYFUNCTION("""COMPUTED_VALUE"""),134.4)</f>
        <v>134.4</v>
      </c>
      <c r="AA177" s="175" t="str">
        <f>IFERROR(__xludf.DUMMYFUNCTION("""COMPUTED_VALUE"""),"AP")</f>
        <v>AP</v>
      </c>
      <c r="AB177" s="176">
        <f>IFERROR(__xludf.DUMMYFUNCTION("""COMPUTED_VALUE"""),11.9)</f>
        <v>11.9</v>
      </c>
      <c r="AC177" s="175" t="str">
        <f>IFERROR(__xludf.DUMMYFUNCTION("""COMPUTED_VALUE"""),"％")</f>
        <v>％</v>
      </c>
      <c r="AD177" s="172">
        <f>IFERROR(__xludf.DUMMYFUNCTION("""COMPUTED_VALUE"""),210.0)</f>
        <v>210</v>
      </c>
      <c r="AE177" s="168"/>
      <c r="AF177" s="372" t="str">
        <f>IFERROR(__xludf.DUMMYFUNCTION("""COMPUTED_VALUE"""),"")</f>
        <v/>
      </c>
    </row>
    <row r="178" ht="16.5" customHeight="1">
      <c r="A178" s="61" t="str">
        <f>IFERROR(__xludf.DUMMYFUNCTION("""COMPUTED_VALUE"""),"")</f>
        <v/>
      </c>
      <c r="B178" s="366" t="str">
        <f>IFERROR(__xludf.DUMMYFUNCTION("""COMPUTED_VALUE"""),"A108")</f>
        <v>A108</v>
      </c>
      <c r="C178" s="197" t="str">
        <f>IFERROR(__xludf.DUMMYFUNCTION("""COMPUTED_VALUE"""),"Lamp of Evil-Sealing")</f>
        <v>Lamp of Evil-Sealing</v>
      </c>
      <c r="D178" s="185">
        <f>IFERROR(__xludf.DUMMYFUNCTION("""COMPUTED_VALUE"""),1.0)</f>
        <v>1</v>
      </c>
      <c r="E178" s="187" t="str">
        <f>IFERROR(__xludf.DUMMYFUNCTION("""COMPUTED_VALUE"""),"SLM11")</f>
        <v>SLM11</v>
      </c>
      <c r="F178" s="188" t="str">
        <f>IFERROR(__xludf.DUMMYFUNCTION("""COMPUTED_VALUE"""),"Salem")</f>
        <v>Salem</v>
      </c>
      <c r="G178" s="193" t="str">
        <f>IFERROR(__xludf.DUMMYFUNCTION("""COMPUTED_VALUE"""),"Jail")</f>
        <v>Jail</v>
      </c>
      <c r="H178" s="195">
        <f>IFERROR(__xludf.DUMMYFUNCTION("""COMPUTED_VALUE"""),21.0)</f>
        <v>21</v>
      </c>
      <c r="I178" s="196">
        <f>IFERROR(__xludf.DUMMYFUNCTION("""COMPUTED_VALUE"""),50.892857142857146)</f>
        <v>50.89285714</v>
      </c>
      <c r="J178" s="198">
        <f>IFERROR(__xludf.DUMMYFUNCTION("""COMPUTED_VALUE"""),108.7)</f>
        <v>108.7</v>
      </c>
      <c r="K178" s="200" t="str">
        <f>IFERROR(__xludf.DUMMYFUNCTION("""COMPUTED_VALUE"""),"AP")</f>
        <v>AP</v>
      </c>
      <c r="L178" s="198">
        <f>IFERROR(__xludf.DUMMYFUNCTION("""COMPUTED_VALUE"""),19.3)</f>
        <v>19.3</v>
      </c>
      <c r="M178" s="201" t="str">
        <f>IFERROR(__xludf.DUMMYFUNCTION("""COMPUTED_VALUE"""),"％")</f>
        <v>％</v>
      </c>
      <c r="N178" s="195">
        <f>IFERROR(__xludf.DUMMYFUNCTION("""COMPUTED_VALUE"""),1035.0)</f>
        <v>1035</v>
      </c>
      <c r="O178" s="197" t="str">
        <f>IFERROR(__xludf.DUMMYFUNCTION("""COMPUTED_VALUE"""),"Lamp of Evil-Sealing")</f>
        <v>Lamp of Evil-Sealing</v>
      </c>
      <c r="P178" s="371" t="str">
        <f>IFERROR(__xludf.DUMMYFUNCTION("""COMPUTED_VALUE"""),"")</f>
        <v/>
      </c>
      <c r="Q178" s="61" t="str">
        <f>IFERROR(__xludf.DUMMYFUNCTION("""COMPUTED_VALUE"""),"")</f>
        <v/>
      </c>
      <c r="R178" s="366" t="str">
        <f>IFERROR(__xludf.DUMMYFUNCTION("""COMPUTED_VALUE"""),"B216")</f>
        <v>B216</v>
      </c>
      <c r="S178" s="197" t="str">
        <f>IFERROR(__xludf.DUMMYFUNCTION("""COMPUTED_VALUE"""),"Assassin Piece")</f>
        <v>Assassin Piece</v>
      </c>
      <c r="T178" s="185">
        <f>IFERROR(__xludf.DUMMYFUNCTION("""COMPUTED_VALUE"""),1.0)</f>
        <v>1</v>
      </c>
      <c r="U178" s="187" t="str">
        <f>IFERROR(__xludf.DUMMYFUNCTION("""COMPUTED_VALUE"""),"TRF23")</f>
        <v>TRF23</v>
      </c>
      <c r="V178" s="188" t="str">
        <f>IFERROR(__xludf.DUMMYFUNCTION("""COMPUTED_VALUE"""),"Chaldea Gate (Sat)")</f>
        <v>Chaldea Gate (Sat)</v>
      </c>
      <c r="W178" s="188" t="str">
        <f>IFERROR(__xludf.DUMMYFUNCTION("""COMPUTED_VALUE"""),"SAT Assassin Training Ground- Adv")</f>
        <v>SAT Assassin Training Ground- Adv</v>
      </c>
      <c r="X178" s="195">
        <f>IFERROR(__xludf.DUMMYFUNCTION("""COMPUTED_VALUE"""),30.0)</f>
        <v>30</v>
      </c>
      <c r="Y178" s="196">
        <f>IFERROR(__xludf.DUMMYFUNCTION("""COMPUTED_VALUE"""),18.958333333333332)</f>
        <v>18.95833333</v>
      </c>
      <c r="Z178" s="198">
        <f>IFERROR(__xludf.DUMMYFUNCTION("""COMPUTED_VALUE"""),29.3)</f>
        <v>29.3</v>
      </c>
      <c r="AA178" s="200" t="str">
        <f>IFERROR(__xludf.DUMMYFUNCTION("""COMPUTED_VALUE"""),"AP")</f>
        <v>AP</v>
      </c>
      <c r="AB178" s="198">
        <f>IFERROR(__xludf.DUMMYFUNCTION("""COMPUTED_VALUE"""),102.6)</f>
        <v>102.6</v>
      </c>
      <c r="AC178" s="201" t="str">
        <f>IFERROR(__xludf.DUMMYFUNCTION("""COMPUTED_VALUE"""),"％")</f>
        <v>％</v>
      </c>
      <c r="AD178" s="195">
        <f>IFERROR(__xludf.DUMMYFUNCTION("""COMPUTED_VALUE"""),741.0)</f>
        <v>741</v>
      </c>
      <c r="AE178" s="197" t="str">
        <f>IFERROR(__xludf.DUMMYFUNCTION("""COMPUTED_VALUE"""),"Assassin Piece")</f>
        <v>Assassin Piece</v>
      </c>
      <c r="AF178" s="372" t="str">
        <f>IFERROR(__xludf.DUMMYFUNCTION("""COMPUTED_VALUE"""),"")</f>
        <v/>
      </c>
    </row>
    <row r="179" ht="16.5" customHeight="1">
      <c r="C179" s="217"/>
      <c r="D179" s="208">
        <f>IFERROR(__xludf.DUMMYFUNCTION("""COMPUTED_VALUE"""),2.0)</f>
        <v>2</v>
      </c>
      <c r="E179" s="210" t="str">
        <f>IFERROR(__xludf.DUMMYFUNCTION("""COMPUTED_VALUE"""),"YKS10")</f>
        <v>YKS10</v>
      </c>
      <c r="F179" s="212" t="str">
        <f>IFERROR(__xludf.DUMMYFUNCTION("""COMPUTED_VALUE"""),"Yuga Kshetra")</f>
        <v>Yuga Kshetra</v>
      </c>
      <c r="G179" s="216" t="str">
        <f>IFERROR(__xludf.DUMMYFUNCTION("""COMPUTED_VALUE"""),"Eastern Flower Garden")</f>
        <v>Eastern Flower Garden</v>
      </c>
      <c r="H179" s="218">
        <f>IFERROR(__xludf.DUMMYFUNCTION("""COMPUTED_VALUE"""),21.0)</f>
        <v>21</v>
      </c>
      <c r="I179" s="219">
        <f>IFERROR(__xludf.DUMMYFUNCTION("""COMPUTED_VALUE"""),50.892857142857146)</f>
        <v>50.89285714</v>
      </c>
      <c r="J179" s="220">
        <f>IFERROR(__xludf.DUMMYFUNCTION("""COMPUTED_VALUE"""),109.6)</f>
        <v>109.6</v>
      </c>
      <c r="K179" s="221" t="str">
        <f>IFERROR(__xludf.DUMMYFUNCTION("""COMPUTED_VALUE"""),"AP")</f>
        <v>AP</v>
      </c>
      <c r="L179" s="220">
        <f>IFERROR(__xludf.DUMMYFUNCTION("""COMPUTED_VALUE"""),19.2)</f>
        <v>19.2</v>
      </c>
      <c r="M179" s="221" t="str">
        <f>IFERROR(__xludf.DUMMYFUNCTION("""COMPUTED_VALUE"""),"％")</f>
        <v>％</v>
      </c>
      <c r="N179" s="218">
        <f>IFERROR(__xludf.DUMMYFUNCTION("""COMPUTED_VALUE"""),2207.0)</f>
        <v>2207</v>
      </c>
      <c r="O179" s="217"/>
      <c r="P179" s="371" t="str">
        <f>IFERROR(__xludf.DUMMYFUNCTION("""COMPUTED_VALUE"""),"")</f>
        <v/>
      </c>
      <c r="S179" s="217"/>
      <c r="T179" s="208">
        <f>IFERROR(__xludf.DUMMYFUNCTION("""COMPUTED_VALUE"""),2.0)</f>
        <v>2</v>
      </c>
      <c r="U179" s="210" t="str">
        <f>IFERROR(__xludf.DUMMYFUNCTION("""COMPUTED_VALUE"""),"TRF24")</f>
        <v>TRF24</v>
      </c>
      <c r="V179" s="212" t="str">
        <f>IFERROR(__xludf.DUMMYFUNCTION("""COMPUTED_VALUE"""),"Chaldea Gate (Sat)")</f>
        <v>Chaldea Gate (Sat)</v>
      </c>
      <c r="W179" s="212" t="str">
        <f>IFERROR(__xludf.DUMMYFUNCTION("""COMPUTED_VALUE"""),"SAT Assassin Training Ground- Exp")</f>
        <v>SAT Assassin Training Ground- Exp</v>
      </c>
      <c r="X179" s="218">
        <f>IFERROR(__xludf.DUMMYFUNCTION("""COMPUTED_VALUE"""),40.0)</f>
        <v>40</v>
      </c>
      <c r="Y179" s="219">
        <f>IFERROR(__xludf.DUMMYFUNCTION("""COMPUTED_VALUE"""),20.46875)</f>
        <v>20.46875</v>
      </c>
      <c r="Z179" s="220">
        <f>IFERROR(__xludf.DUMMYFUNCTION("""COMPUTED_VALUE"""),50.1)</f>
        <v>50.1</v>
      </c>
      <c r="AA179" s="221" t="str">
        <f>IFERROR(__xludf.DUMMYFUNCTION("""COMPUTED_VALUE"""),"AP")</f>
        <v>AP</v>
      </c>
      <c r="AB179" s="220">
        <f>IFERROR(__xludf.DUMMYFUNCTION("""COMPUTED_VALUE"""),79.8)</f>
        <v>79.8</v>
      </c>
      <c r="AC179" s="221" t="str">
        <f>IFERROR(__xludf.DUMMYFUNCTION("""COMPUTED_VALUE"""),"％")</f>
        <v>％</v>
      </c>
      <c r="AD179" s="218">
        <f>IFERROR(__xludf.DUMMYFUNCTION("""COMPUTED_VALUE"""),6919.0)</f>
        <v>6919</v>
      </c>
      <c r="AE179" s="217"/>
      <c r="AF179" s="372" t="str">
        <f>IFERROR(__xludf.DUMMYFUNCTION("""COMPUTED_VALUE"""),"")</f>
        <v/>
      </c>
    </row>
    <row r="180" ht="16.5" customHeight="1">
      <c r="C180" s="217"/>
      <c r="D180" s="225">
        <f>IFERROR(__xludf.DUMMYFUNCTION("""COMPUTED_VALUE"""),3.0)</f>
        <v>3</v>
      </c>
      <c r="E180" s="227" t="str">
        <f>IFERROR(__xludf.DUMMYFUNCTION("""COMPUTED_VALUE"""),"CML11")</f>
        <v>CML11</v>
      </c>
      <c r="F180" s="229" t="str">
        <f>IFERROR(__xludf.DUMMYFUNCTION("""COMPUTED_VALUE"""),"Camelot")</f>
        <v>Camelot</v>
      </c>
      <c r="G180" s="233" t="str">
        <f>IFERROR(__xludf.DUMMYFUNCTION("""COMPUTED_VALUE"""),"Hidden Village")</f>
        <v>Hidden Village</v>
      </c>
      <c r="H180" s="234">
        <f>IFERROR(__xludf.DUMMYFUNCTION("""COMPUTED_VALUE"""),21.0)</f>
        <v>21</v>
      </c>
      <c r="I180" s="235">
        <f>IFERROR(__xludf.DUMMYFUNCTION("""COMPUTED_VALUE"""),49.70238095238095)</f>
        <v>49.70238095</v>
      </c>
      <c r="J180" s="236">
        <f>IFERROR(__xludf.DUMMYFUNCTION("""COMPUTED_VALUE"""),131.5)</f>
        <v>131.5</v>
      </c>
      <c r="K180" s="237" t="str">
        <f>IFERROR(__xludf.DUMMYFUNCTION("""COMPUTED_VALUE"""),"AP")</f>
        <v>AP</v>
      </c>
      <c r="L180" s="236">
        <f>IFERROR(__xludf.DUMMYFUNCTION("""COMPUTED_VALUE"""),16.0)</f>
        <v>16</v>
      </c>
      <c r="M180" s="237" t="str">
        <f>IFERROR(__xludf.DUMMYFUNCTION("""COMPUTED_VALUE"""),"％")</f>
        <v>％</v>
      </c>
      <c r="N180" s="234">
        <f>IFERROR(__xludf.DUMMYFUNCTION("""COMPUTED_VALUE"""),49308.0)</f>
        <v>49308</v>
      </c>
      <c r="O180" s="217"/>
      <c r="P180" s="371" t="str">
        <f>IFERROR(__xludf.DUMMYFUNCTION("""COMPUTED_VALUE"""),"")</f>
        <v/>
      </c>
      <c r="S180" s="217"/>
      <c r="T180" s="225">
        <f>IFERROR(__xludf.DUMMYFUNCTION("""COMPUTED_VALUE"""),3.0)</f>
        <v>3</v>
      </c>
      <c r="U180" s="227" t="str">
        <f>IFERROR(__xludf.DUMMYFUNCTION("""COMPUTED_VALUE"""),"TRF22")</f>
        <v>TRF22</v>
      </c>
      <c r="V180" s="229" t="str">
        <f>IFERROR(__xludf.DUMMYFUNCTION("""COMPUTED_VALUE"""),"Chaldea Gate (Sat)")</f>
        <v>Chaldea Gate (Sat)</v>
      </c>
      <c r="W180" s="229" t="str">
        <f>IFERROR(__xludf.DUMMYFUNCTION("""COMPUTED_VALUE"""),"SAT Assassin Training Ground- Int")</f>
        <v>SAT Assassin Training Ground- Int</v>
      </c>
      <c r="X180" s="234">
        <f>IFERROR(__xludf.DUMMYFUNCTION("""COMPUTED_VALUE"""),20.0)</f>
        <v>20</v>
      </c>
      <c r="Y180" s="235">
        <f>IFERROR(__xludf.DUMMYFUNCTION("""COMPUTED_VALUE"""),19.0625)</f>
        <v>19.0625</v>
      </c>
      <c r="Z180" s="236">
        <f>IFERROR(__xludf.DUMMYFUNCTION("""COMPUTED_VALUE"""),28.9)</f>
        <v>28.9</v>
      </c>
      <c r="AA180" s="237" t="str">
        <f>IFERROR(__xludf.DUMMYFUNCTION("""COMPUTED_VALUE"""),"AP")</f>
        <v>AP</v>
      </c>
      <c r="AB180" s="236">
        <f>IFERROR(__xludf.DUMMYFUNCTION("""COMPUTED_VALUE"""),69.2)</f>
        <v>69.2</v>
      </c>
      <c r="AC180" s="237" t="str">
        <f>IFERROR(__xludf.DUMMYFUNCTION("""COMPUTED_VALUE"""),"％")</f>
        <v>％</v>
      </c>
      <c r="AD180" s="234">
        <f>IFERROR(__xludf.DUMMYFUNCTION("""COMPUTED_VALUE"""),462.0)</f>
        <v>462</v>
      </c>
      <c r="AE180" s="217"/>
      <c r="AF180" s="372" t="str">
        <f>IFERROR(__xludf.DUMMYFUNCTION("""COMPUTED_VALUE"""),"")</f>
        <v/>
      </c>
    </row>
    <row r="181" ht="16.5" customHeight="1">
      <c r="C181" s="217"/>
      <c r="D181" s="239">
        <f>IFERROR(__xludf.DUMMYFUNCTION("""COMPUTED_VALUE"""),4.0)</f>
        <v>4</v>
      </c>
      <c r="E181" s="241" t="str">
        <f>IFERROR(__xludf.DUMMYFUNCTION("""COMPUTED_VALUE"""),"CML2")</f>
        <v>CML2</v>
      </c>
      <c r="F181" s="243" t="str">
        <f>IFERROR(__xludf.DUMMYFUNCTION("""COMPUTED_VALUE"""),"Camelot")</f>
        <v>Camelot</v>
      </c>
      <c r="G181" s="245" t="str">
        <f>IFERROR(__xludf.DUMMYFUNCTION("""COMPUTED_VALUE"""),"Dune of Dawn")</f>
        <v>Dune of Dawn</v>
      </c>
      <c r="H181" s="247">
        <f>IFERROR(__xludf.DUMMYFUNCTION("""COMPUTED_VALUE"""),19.0)</f>
        <v>19</v>
      </c>
      <c r="I181" s="249">
        <f>IFERROR(__xludf.DUMMYFUNCTION("""COMPUTED_VALUE"""),44.4078947368421)</f>
        <v>44.40789474</v>
      </c>
      <c r="J181" s="251">
        <f>IFERROR(__xludf.DUMMYFUNCTION("""COMPUTED_VALUE"""),165.9)</f>
        <v>165.9</v>
      </c>
      <c r="K181" s="253" t="str">
        <f>IFERROR(__xludf.DUMMYFUNCTION("""COMPUTED_VALUE"""),"AP")</f>
        <v>AP</v>
      </c>
      <c r="L181" s="251">
        <f>IFERROR(__xludf.DUMMYFUNCTION("""COMPUTED_VALUE"""),11.5)</f>
        <v>11.5</v>
      </c>
      <c r="M181" s="253" t="str">
        <f>IFERROR(__xludf.DUMMYFUNCTION("""COMPUTED_VALUE"""),"％")</f>
        <v>％</v>
      </c>
      <c r="N181" s="247">
        <f>IFERROR(__xludf.DUMMYFUNCTION("""COMPUTED_VALUE"""),262.0)</f>
        <v>262</v>
      </c>
      <c r="O181" s="217"/>
      <c r="P181" s="371" t="str">
        <f>IFERROR(__xludf.DUMMYFUNCTION("""COMPUTED_VALUE"""),"")</f>
        <v/>
      </c>
      <c r="S181" s="217"/>
      <c r="T181" s="239">
        <f>IFERROR(__xludf.DUMMYFUNCTION("""COMPUTED_VALUE"""),4.0)</f>
        <v>4</v>
      </c>
      <c r="U181" s="241" t="str">
        <f>IFERROR(__xludf.DUMMYFUNCTION("""COMPUTED_VALUE"""),"TRF21")</f>
        <v>TRF21</v>
      </c>
      <c r="V181" s="243" t="str">
        <f>IFERROR(__xludf.DUMMYFUNCTION("""COMPUTED_VALUE"""),"Chaldea Gate (Sat)")</f>
        <v>Chaldea Gate (Sat)</v>
      </c>
      <c r="W181" s="243" t="str">
        <f>IFERROR(__xludf.DUMMYFUNCTION("""COMPUTED_VALUE"""),"SAT Assassin Training Ground- Nov")</f>
        <v>SAT Assassin Training Ground- Nov</v>
      </c>
      <c r="X181" s="247">
        <f>IFERROR(__xludf.DUMMYFUNCTION("""COMPUTED_VALUE"""),10.0)</f>
        <v>10</v>
      </c>
      <c r="Y181" s="249">
        <f>IFERROR(__xludf.DUMMYFUNCTION("""COMPUTED_VALUE"""),19.375)</f>
        <v>19.375</v>
      </c>
      <c r="Z181" s="251">
        <f>IFERROR(__xludf.DUMMYFUNCTION("""COMPUTED_VALUE"""),35.9)</f>
        <v>35.9</v>
      </c>
      <c r="AA181" s="253" t="str">
        <f>IFERROR(__xludf.DUMMYFUNCTION("""COMPUTED_VALUE"""),"AP")</f>
        <v>AP</v>
      </c>
      <c r="AB181" s="251">
        <f>IFERROR(__xludf.DUMMYFUNCTION("""COMPUTED_VALUE"""),27.9)</f>
        <v>27.9</v>
      </c>
      <c r="AC181" s="253" t="str">
        <f>IFERROR(__xludf.DUMMYFUNCTION("""COMPUTED_VALUE"""),"％")</f>
        <v>％</v>
      </c>
      <c r="AD181" s="247">
        <f>IFERROR(__xludf.DUMMYFUNCTION("""COMPUTED_VALUE"""),1054.0)</f>
        <v>1054</v>
      </c>
      <c r="AE181" s="217"/>
      <c r="AF181" s="372" t="str">
        <f>IFERROR(__xludf.DUMMYFUNCTION("""COMPUTED_VALUE"""),"")</f>
        <v/>
      </c>
    </row>
    <row r="182" ht="16.5" customHeight="1">
      <c r="A182" s="166"/>
      <c r="C182" s="263"/>
      <c r="D182" s="256">
        <f>IFERROR(__xludf.DUMMYFUNCTION("""COMPUTED_VALUE"""),5.0)</f>
        <v>5</v>
      </c>
      <c r="E182" s="257" t="str">
        <f>IFERROR(__xludf.DUMMYFUNCTION("""COMPUTED_VALUE"""),"")</f>
        <v/>
      </c>
      <c r="F182" s="42" t="str">
        <f>IFERROR(__xludf.DUMMYFUNCTION("""COMPUTED_VALUE"""),"")</f>
        <v/>
      </c>
      <c r="G182" s="42" t="str">
        <f>IFERROR(__xludf.DUMMYFUNCTION("""COMPUTED_VALUE"""),"")</f>
        <v/>
      </c>
      <c r="H182" s="259" t="str">
        <f>IFERROR(__xludf.DUMMYFUNCTION("""COMPUTED_VALUE"""),"")</f>
        <v/>
      </c>
      <c r="I182" s="260" t="str">
        <f>IFERROR(__xludf.DUMMYFUNCTION("""COMPUTED_VALUE"""),"")</f>
        <v/>
      </c>
      <c r="J182" s="261" t="str">
        <f>IFERROR(__xludf.DUMMYFUNCTION("""COMPUTED_VALUE"""),"")</f>
        <v/>
      </c>
      <c r="K182" s="262" t="str">
        <f>IFERROR(__xludf.DUMMYFUNCTION("""COMPUTED_VALUE"""),"AP")</f>
        <v>AP</v>
      </c>
      <c r="L182" s="261" t="str">
        <f>IFERROR(__xludf.DUMMYFUNCTION("""COMPUTED_VALUE"""),"")</f>
        <v/>
      </c>
      <c r="M182" s="262" t="str">
        <f>IFERROR(__xludf.DUMMYFUNCTION("""COMPUTED_VALUE"""),"％")</f>
        <v>％</v>
      </c>
      <c r="N182" s="259" t="str">
        <f>IFERROR(__xludf.DUMMYFUNCTION("""COMPUTED_VALUE"""),"")</f>
        <v/>
      </c>
      <c r="O182" s="263"/>
      <c r="P182" s="371" t="str">
        <f>IFERROR(__xludf.DUMMYFUNCTION("""COMPUTED_VALUE"""),"")</f>
        <v/>
      </c>
      <c r="Q182" s="166"/>
      <c r="S182" s="263"/>
      <c r="T182" s="256">
        <f>IFERROR(__xludf.DUMMYFUNCTION("""COMPUTED_VALUE"""),5.0)</f>
        <v>5</v>
      </c>
      <c r="U182" s="257" t="str">
        <f>IFERROR(__xludf.DUMMYFUNCTION("""COMPUTED_VALUE"""),"ORL5")</f>
        <v>ORL5</v>
      </c>
      <c r="V182" s="42" t="str">
        <f>IFERROR(__xludf.DUMMYFUNCTION("""COMPUTED_VALUE"""),"Orleans")</f>
        <v>Orleans</v>
      </c>
      <c r="W182" s="258" t="str">
        <f>IFERROR(__xludf.DUMMYFUNCTION("""COMPUTED_VALUE"""),"Lyon")</f>
        <v>Lyon</v>
      </c>
      <c r="X182" s="259">
        <f>IFERROR(__xludf.DUMMYFUNCTION("""COMPUTED_VALUE"""),7.0)</f>
        <v>7</v>
      </c>
      <c r="Y182" s="260">
        <f>IFERROR(__xludf.DUMMYFUNCTION("""COMPUTED_VALUE"""),31.25)</f>
        <v>31.25</v>
      </c>
      <c r="Z182" s="261">
        <f>IFERROR(__xludf.DUMMYFUNCTION("""COMPUTED_VALUE"""),49.4)</f>
        <v>49.4</v>
      </c>
      <c r="AA182" s="262" t="str">
        <f>IFERROR(__xludf.DUMMYFUNCTION("""COMPUTED_VALUE"""),"AP")</f>
        <v>AP</v>
      </c>
      <c r="AB182" s="261">
        <f>IFERROR(__xludf.DUMMYFUNCTION("""COMPUTED_VALUE"""),14.2)</f>
        <v>14.2</v>
      </c>
      <c r="AC182" s="262" t="str">
        <f>IFERROR(__xludf.DUMMYFUNCTION("""COMPUTED_VALUE"""),"％")</f>
        <v>％</v>
      </c>
      <c r="AD182" s="259">
        <f>IFERROR(__xludf.DUMMYFUNCTION("""COMPUTED_VALUE"""),346.0)</f>
        <v>346</v>
      </c>
      <c r="AE182" s="263"/>
      <c r="AF182" s="372" t="str">
        <f>IFERROR(__xludf.DUMMYFUNCTION("""COMPUTED_VALUE"""),"")</f>
        <v/>
      </c>
    </row>
    <row r="183" ht="16.5" customHeight="1">
      <c r="A183" s="61" t="str">
        <f>IFERROR(__xludf.DUMMYFUNCTION("""COMPUTED_VALUE"""),"")</f>
        <v/>
      </c>
      <c r="B183" s="367" t="str">
        <f>IFERROR(__xludf.DUMMYFUNCTION("""COMPUTED_VALUE"""),"A109")</f>
        <v>A109</v>
      </c>
      <c r="C183" s="65" t="str">
        <f>IFERROR(__xludf.DUMMYFUNCTION("""COMPUTED_VALUE"""),"Scarab of Wisdom")</f>
        <v>Scarab of Wisdom</v>
      </c>
      <c r="D183" s="70">
        <f>IFERROR(__xludf.DUMMYFUNCTION("""COMPUTED_VALUE"""),1.0)</f>
        <v>1</v>
      </c>
      <c r="E183" s="73" t="str">
        <f>IFERROR(__xludf.DUMMYFUNCTION("""COMPUTED_VALUE"""),"CML14")</f>
        <v>CML14</v>
      </c>
      <c r="F183" s="76" t="str">
        <f>IFERROR(__xludf.DUMMYFUNCTION("""COMPUTED_VALUE"""),"Camelot")</f>
        <v>Camelot</v>
      </c>
      <c r="G183" s="85" t="str">
        <f>IFERROR(__xludf.DUMMYFUNCTION("""COMPUTED_VALUE"""),"Great Temple")</f>
        <v>Great Temple</v>
      </c>
      <c r="H183" s="87">
        <f>IFERROR(__xludf.DUMMYFUNCTION("""COMPUTED_VALUE"""),22.0)</f>
        <v>22</v>
      </c>
      <c r="I183" s="90">
        <f>IFERROR(__xludf.DUMMYFUNCTION("""COMPUTED_VALUE"""),50.85227272727273)</f>
        <v>50.85227273</v>
      </c>
      <c r="J183" s="92">
        <f>IFERROR(__xludf.DUMMYFUNCTION("""COMPUTED_VALUE"""),181.3)</f>
        <v>181.3</v>
      </c>
      <c r="K183" s="94" t="str">
        <f>IFERROR(__xludf.DUMMYFUNCTION("""COMPUTED_VALUE"""),"AP")</f>
        <v>AP</v>
      </c>
      <c r="L183" s="96">
        <f>IFERROR(__xludf.DUMMYFUNCTION("""COMPUTED_VALUE"""),12.1)</f>
        <v>12.1</v>
      </c>
      <c r="M183" s="94" t="str">
        <f>IFERROR(__xludf.DUMMYFUNCTION("""COMPUTED_VALUE"""),"％")</f>
        <v>％</v>
      </c>
      <c r="N183" s="87">
        <f>IFERROR(__xludf.DUMMYFUNCTION("""COMPUTED_VALUE"""),28645.0)</f>
        <v>28645</v>
      </c>
      <c r="O183" s="97" t="str">
        <f>IFERROR(__xludf.DUMMYFUNCTION("""COMPUTED_VALUE"""),"Scarab of Wisdom")</f>
        <v>Scarab of Wisdom</v>
      </c>
      <c r="P183" s="371" t="str">
        <f>IFERROR(__xludf.DUMMYFUNCTION("""COMPUTED_VALUE"""),"")</f>
        <v/>
      </c>
      <c r="Q183" s="61" t="str">
        <f>IFERROR(__xludf.DUMMYFUNCTION("""COMPUTED_VALUE"""),"")</f>
        <v/>
      </c>
      <c r="R183" s="367" t="str">
        <f>IFERROR(__xludf.DUMMYFUNCTION("""COMPUTED_VALUE"""),"B217")</f>
        <v>B217</v>
      </c>
      <c r="S183" s="65" t="str">
        <f>IFERROR(__xludf.DUMMYFUNCTION("""COMPUTED_VALUE"""),"Berserker Piece")</f>
        <v>Berserker Piece</v>
      </c>
      <c r="T183" s="70">
        <f>IFERROR(__xludf.DUMMYFUNCTION("""COMPUTED_VALUE"""),1.0)</f>
        <v>1</v>
      </c>
      <c r="U183" s="73" t="str">
        <f>IFERROR(__xludf.DUMMYFUNCTION("""COMPUTED_VALUE"""),"TRF11")</f>
        <v>TRF11</v>
      </c>
      <c r="V183" s="76" t="str">
        <f>IFERROR(__xludf.DUMMYFUNCTION("""COMPUTED_VALUE"""),"Chaldea Gate (Wed)")</f>
        <v>Chaldea Gate (Wed)</v>
      </c>
      <c r="W183" s="76" t="str">
        <f>IFERROR(__xludf.DUMMYFUNCTION("""COMPUTED_VALUE"""),"WED Berserker Training Ground- Adv")</f>
        <v>WED Berserker Training Ground- Adv</v>
      </c>
      <c r="X183" s="87">
        <f>IFERROR(__xludf.DUMMYFUNCTION("""COMPUTED_VALUE"""),30.0)</f>
        <v>30</v>
      </c>
      <c r="Y183" s="90">
        <f>IFERROR(__xludf.DUMMYFUNCTION("""COMPUTED_VALUE"""),18.958333333333332)</f>
        <v>18.95833333</v>
      </c>
      <c r="Z183" s="92">
        <f>IFERROR(__xludf.DUMMYFUNCTION("""COMPUTED_VALUE"""),29.2)</f>
        <v>29.2</v>
      </c>
      <c r="AA183" s="94" t="str">
        <f>IFERROR(__xludf.DUMMYFUNCTION("""COMPUTED_VALUE"""),"AP")</f>
        <v>AP</v>
      </c>
      <c r="AB183" s="96">
        <f>IFERROR(__xludf.DUMMYFUNCTION("""COMPUTED_VALUE"""),102.8)</f>
        <v>102.8</v>
      </c>
      <c r="AC183" s="94" t="str">
        <f>IFERROR(__xludf.DUMMYFUNCTION("""COMPUTED_VALUE"""),"％")</f>
        <v>％</v>
      </c>
      <c r="AD183" s="87">
        <f>IFERROR(__xludf.DUMMYFUNCTION("""COMPUTED_VALUE"""),469.0)</f>
        <v>469</v>
      </c>
      <c r="AE183" s="97" t="str">
        <f>IFERROR(__xludf.DUMMYFUNCTION("""COMPUTED_VALUE"""),"Berserker Piece")</f>
        <v>Berserker Piece</v>
      </c>
      <c r="AF183" s="372" t="str">
        <f>IFERROR(__xludf.DUMMYFUNCTION("""COMPUTED_VALUE"""),"")</f>
        <v/>
      </c>
    </row>
    <row r="184" ht="16.5" customHeight="1">
      <c r="C184" s="100"/>
      <c r="D184" s="105">
        <f>IFERROR(__xludf.DUMMYFUNCTION("""COMPUTED_VALUE"""),2.0)</f>
        <v>2</v>
      </c>
      <c r="E184" s="106" t="str">
        <f>IFERROR(__xludf.DUMMYFUNCTION("""COMPUTED_VALUE"""),"CML1")</f>
        <v>CML1</v>
      </c>
      <c r="F184" s="107" t="str">
        <f>IFERROR(__xludf.DUMMYFUNCTION("""COMPUTED_VALUE"""),"Camelot")</f>
        <v>Camelot</v>
      </c>
      <c r="G184" s="114" t="str">
        <f>IFERROR(__xludf.DUMMYFUNCTION("""COMPUTED_VALUE"""),"Sandstorm Desert")</f>
        <v>Sandstorm Desert</v>
      </c>
      <c r="H184" s="116">
        <f>IFERROR(__xludf.DUMMYFUNCTION("""COMPUTED_VALUE"""),19.0)</f>
        <v>19</v>
      </c>
      <c r="I184" s="118">
        <f>IFERROR(__xludf.DUMMYFUNCTION("""COMPUTED_VALUE"""),44.4078947368421)</f>
        <v>44.40789474</v>
      </c>
      <c r="J184" s="120">
        <f>IFERROR(__xludf.DUMMYFUNCTION("""COMPUTED_VALUE"""),234.7)</f>
        <v>234.7</v>
      </c>
      <c r="K184" s="122" t="str">
        <f>IFERROR(__xludf.DUMMYFUNCTION("""COMPUTED_VALUE"""),"AP")</f>
        <v>AP</v>
      </c>
      <c r="L184" s="124">
        <f>IFERROR(__xludf.DUMMYFUNCTION("""COMPUTED_VALUE"""),8.1)</f>
        <v>8.1</v>
      </c>
      <c r="M184" s="122" t="str">
        <f>IFERROR(__xludf.DUMMYFUNCTION("""COMPUTED_VALUE"""),"％")</f>
        <v>％</v>
      </c>
      <c r="N184" s="116">
        <f>IFERROR(__xludf.DUMMYFUNCTION("""COMPUTED_VALUE"""),32910.0)</f>
        <v>32910</v>
      </c>
      <c r="O184" s="100"/>
      <c r="P184" s="371" t="str">
        <f>IFERROR(__xludf.DUMMYFUNCTION("""COMPUTED_VALUE"""),"")</f>
        <v/>
      </c>
      <c r="S184" s="100"/>
      <c r="T184" s="105">
        <f>IFERROR(__xludf.DUMMYFUNCTION("""COMPUTED_VALUE"""),2.0)</f>
        <v>2</v>
      </c>
      <c r="U184" s="106" t="str">
        <f>IFERROR(__xludf.DUMMYFUNCTION("""COMPUTED_VALUE"""),"TRF12")</f>
        <v>TRF12</v>
      </c>
      <c r="V184" s="107" t="str">
        <f>IFERROR(__xludf.DUMMYFUNCTION("""COMPUTED_VALUE"""),"Chaldea Gate (Wed)")</f>
        <v>Chaldea Gate (Wed)</v>
      </c>
      <c r="W184" s="107" t="str">
        <f>IFERROR(__xludf.DUMMYFUNCTION("""COMPUTED_VALUE"""),"WED Berserker Training Ground- Exp")</f>
        <v>WED Berserker Training Ground- Exp</v>
      </c>
      <c r="X184" s="116">
        <f>IFERROR(__xludf.DUMMYFUNCTION("""COMPUTED_VALUE"""),40.0)</f>
        <v>40</v>
      </c>
      <c r="Y184" s="118">
        <f>IFERROR(__xludf.DUMMYFUNCTION("""COMPUTED_VALUE"""),20.46875)</f>
        <v>20.46875</v>
      </c>
      <c r="Z184" s="120">
        <f>IFERROR(__xludf.DUMMYFUNCTION("""COMPUTED_VALUE"""),46.3)</f>
        <v>46.3</v>
      </c>
      <c r="AA184" s="122" t="str">
        <f>IFERROR(__xludf.DUMMYFUNCTION("""COMPUTED_VALUE"""),"AP")</f>
        <v>AP</v>
      </c>
      <c r="AB184" s="124">
        <f>IFERROR(__xludf.DUMMYFUNCTION("""COMPUTED_VALUE"""),86.4)</f>
        <v>86.4</v>
      </c>
      <c r="AC184" s="122" t="str">
        <f>IFERROR(__xludf.DUMMYFUNCTION("""COMPUTED_VALUE"""),"％")</f>
        <v>％</v>
      </c>
      <c r="AD184" s="116">
        <f>IFERROR(__xludf.DUMMYFUNCTION("""COMPUTED_VALUE"""),3095.0)</f>
        <v>3095</v>
      </c>
      <c r="AE184" s="100"/>
      <c r="AF184" s="372" t="str">
        <f>IFERROR(__xludf.DUMMYFUNCTION("""COMPUTED_VALUE"""),"")</f>
        <v/>
      </c>
    </row>
    <row r="185" ht="16.5" customHeight="1">
      <c r="C185" s="100"/>
      <c r="D185" s="128">
        <f>IFERROR(__xludf.DUMMYFUNCTION("""COMPUTED_VALUE"""),3.0)</f>
        <v>3</v>
      </c>
      <c r="E185" s="129" t="str">
        <f>IFERROR(__xludf.DUMMYFUNCTION("""COMPUTED_VALUE"""),"")</f>
        <v/>
      </c>
      <c r="F185" s="131" t="str">
        <f>IFERROR(__xludf.DUMMYFUNCTION("""COMPUTED_VALUE"""),"")</f>
        <v/>
      </c>
      <c r="G185" s="131" t="str">
        <f>IFERROR(__xludf.DUMMYFUNCTION("""COMPUTED_VALUE"""),"")</f>
        <v/>
      </c>
      <c r="H185" s="136" t="str">
        <f>IFERROR(__xludf.DUMMYFUNCTION("""COMPUTED_VALUE"""),"")</f>
        <v/>
      </c>
      <c r="I185" s="138" t="str">
        <f>IFERROR(__xludf.DUMMYFUNCTION("""COMPUTED_VALUE"""),"")</f>
        <v/>
      </c>
      <c r="J185" s="140" t="str">
        <f>IFERROR(__xludf.DUMMYFUNCTION("""COMPUTED_VALUE"""),"")</f>
        <v/>
      </c>
      <c r="K185" s="142" t="str">
        <f>IFERROR(__xludf.DUMMYFUNCTION("""COMPUTED_VALUE"""),"AP")</f>
        <v>AP</v>
      </c>
      <c r="L185" s="144" t="str">
        <f>IFERROR(__xludf.DUMMYFUNCTION("""COMPUTED_VALUE"""),"")</f>
        <v/>
      </c>
      <c r="M185" s="142" t="str">
        <f>IFERROR(__xludf.DUMMYFUNCTION("""COMPUTED_VALUE"""),"％")</f>
        <v>％</v>
      </c>
      <c r="N185" s="136" t="str">
        <f>IFERROR(__xludf.DUMMYFUNCTION("""COMPUTED_VALUE"""),"")</f>
        <v/>
      </c>
      <c r="O185" s="100"/>
      <c r="P185" s="371" t="str">
        <f>IFERROR(__xludf.DUMMYFUNCTION("""COMPUTED_VALUE"""),"")</f>
        <v/>
      </c>
      <c r="S185" s="100"/>
      <c r="T185" s="128">
        <f>IFERROR(__xludf.DUMMYFUNCTION("""COMPUTED_VALUE"""),3.0)</f>
        <v>3</v>
      </c>
      <c r="U185" s="129" t="str">
        <f>IFERROR(__xludf.DUMMYFUNCTION("""COMPUTED_VALUE"""),"TRF10")</f>
        <v>TRF10</v>
      </c>
      <c r="V185" s="131" t="str">
        <f>IFERROR(__xludf.DUMMYFUNCTION("""COMPUTED_VALUE"""),"Chaldea Gate (Wed)")</f>
        <v>Chaldea Gate (Wed)</v>
      </c>
      <c r="W185" s="131" t="str">
        <f>IFERROR(__xludf.DUMMYFUNCTION("""COMPUTED_VALUE"""),"WED Berserker Training Ground- Int")</f>
        <v>WED Berserker Training Ground- Int</v>
      </c>
      <c r="X185" s="136">
        <f>IFERROR(__xludf.DUMMYFUNCTION("""COMPUTED_VALUE"""),20.0)</f>
        <v>20</v>
      </c>
      <c r="Y185" s="138">
        <f>IFERROR(__xludf.DUMMYFUNCTION("""COMPUTED_VALUE"""),19.0625)</f>
        <v>19.0625</v>
      </c>
      <c r="Z185" s="140">
        <f>IFERROR(__xludf.DUMMYFUNCTION("""COMPUTED_VALUE"""),27.3)</f>
        <v>27.3</v>
      </c>
      <c r="AA185" s="142" t="str">
        <f>IFERROR(__xludf.DUMMYFUNCTION("""COMPUTED_VALUE"""),"AP")</f>
        <v>AP</v>
      </c>
      <c r="AB185" s="144">
        <f>IFERROR(__xludf.DUMMYFUNCTION("""COMPUTED_VALUE"""),73.3)</f>
        <v>73.3</v>
      </c>
      <c r="AC185" s="142" t="str">
        <f>IFERROR(__xludf.DUMMYFUNCTION("""COMPUTED_VALUE"""),"％")</f>
        <v>％</v>
      </c>
      <c r="AD185" s="136">
        <f>IFERROR(__xludf.DUMMYFUNCTION("""COMPUTED_VALUE"""),554.0)</f>
        <v>554</v>
      </c>
      <c r="AE185" s="100"/>
      <c r="AF185" s="372" t="str">
        <f>IFERROR(__xludf.DUMMYFUNCTION("""COMPUTED_VALUE"""),"")</f>
        <v/>
      </c>
    </row>
    <row r="186" ht="16.5" customHeight="1">
      <c r="C186" s="100"/>
      <c r="D186" s="147">
        <f>IFERROR(__xludf.DUMMYFUNCTION("""COMPUTED_VALUE"""),4.0)</f>
        <v>4</v>
      </c>
      <c r="E186" s="149" t="str">
        <f>IFERROR(__xludf.DUMMYFUNCTION("""COMPUTED_VALUE"""),"")</f>
        <v/>
      </c>
      <c r="F186" s="151" t="str">
        <f>IFERROR(__xludf.DUMMYFUNCTION("""COMPUTED_VALUE"""),"")</f>
        <v/>
      </c>
      <c r="G186" s="151" t="str">
        <f>IFERROR(__xludf.DUMMYFUNCTION("""COMPUTED_VALUE"""),"")</f>
        <v/>
      </c>
      <c r="H186" s="155" t="str">
        <f>IFERROR(__xludf.DUMMYFUNCTION("""COMPUTED_VALUE"""),"")</f>
        <v/>
      </c>
      <c r="I186" s="157" t="str">
        <f>IFERROR(__xludf.DUMMYFUNCTION("""COMPUTED_VALUE"""),"")</f>
        <v/>
      </c>
      <c r="J186" s="159" t="str">
        <f>IFERROR(__xludf.DUMMYFUNCTION("""COMPUTED_VALUE"""),"")</f>
        <v/>
      </c>
      <c r="K186" s="161" t="str">
        <f>IFERROR(__xludf.DUMMYFUNCTION("""COMPUTED_VALUE"""),"AP")</f>
        <v>AP</v>
      </c>
      <c r="L186" s="163" t="str">
        <f>IFERROR(__xludf.DUMMYFUNCTION("""COMPUTED_VALUE"""),"")</f>
        <v/>
      </c>
      <c r="M186" s="161" t="str">
        <f>IFERROR(__xludf.DUMMYFUNCTION("""COMPUTED_VALUE"""),"％")</f>
        <v>％</v>
      </c>
      <c r="N186" s="155" t="str">
        <f>IFERROR(__xludf.DUMMYFUNCTION("""COMPUTED_VALUE"""),"")</f>
        <v/>
      </c>
      <c r="O186" s="100"/>
      <c r="P186" s="371" t="str">
        <f>IFERROR(__xludf.DUMMYFUNCTION("""COMPUTED_VALUE"""),"")</f>
        <v/>
      </c>
      <c r="S186" s="100"/>
      <c r="T186" s="147">
        <f>IFERROR(__xludf.DUMMYFUNCTION("""COMPUTED_VALUE"""),4.0)</f>
        <v>4</v>
      </c>
      <c r="U186" s="149" t="str">
        <f>IFERROR(__xludf.DUMMYFUNCTION("""COMPUTED_VALUE"""),"EPU12")</f>
        <v>EPU12</v>
      </c>
      <c r="V186" s="151" t="str">
        <f>IFERROR(__xludf.DUMMYFUNCTION("""COMPUTED_VALUE"""),"E Pluribus Unum")</f>
        <v>E Pluribus Unum</v>
      </c>
      <c r="W186" s="153" t="str">
        <f>IFERROR(__xludf.DUMMYFUNCTION("""COMPUTED_VALUE"""),"Charlotte")</f>
        <v>Charlotte</v>
      </c>
      <c r="X186" s="155">
        <f>IFERROR(__xludf.DUMMYFUNCTION("""COMPUTED_VALUE"""),20.0)</f>
        <v>20</v>
      </c>
      <c r="Y186" s="157">
        <f>IFERROR(__xludf.DUMMYFUNCTION("""COMPUTED_VALUE"""),47.1875)</f>
        <v>47.1875</v>
      </c>
      <c r="Z186" s="159">
        <f>IFERROR(__xludf.DUMMYFUNCTION("""COMPUTED_VALUE"""),69.4)</f>
        <v>69.4</v>
      </c>
      <c r="AA186" s="161" t="str">
        <f>IFERROR(__xludf.DUMMYFUNCTION("""COMPUTED_VALUE"""),"AP")</f>
        <v>AP</v>
      </c>
      <c r="AB186" s="163">
        <f>IFERROR(__xludf.DUMMYFUNCTION("""COMPUTED_VALUE"""),28.8)</f>
        <v>28.8</v>
      </c>
      <c r="AC186" s="161" t="str">
        <f>IFERROR(__xludf.DUMMYFUNCTION("""COMPUTED_VALUE"""),"％")</f>
        <v>％</v>
      </c>
      <c r="AD186" s="155">
        <f>IFERROR(__xludf.DUMMYFUNCTION("""COMPUTED_VALUE"""),153252.0)</f>
        <v>153252</v>
      </c>
      <c r="AE186" s="100"/>
      <c r="AF186" s="372" t="str">
        <f>IFERROR(__xludf.DUMMYFUNCTION("""COMPUTED_VALUE"""),"")</f>
        <v/>
      </c>
    </row>
    <row r="187" ht="16.5" customHeight="1">
      <c r="A187" s="166"/>
      <c r="C187" s="168"/>
      <c r="D187" s="169">
        <f>IFERROR(__xludf.DUMMYFUNCTION("""COMPUTED_VALUE"""),5.0)</f>
        <v>5</v>
      </c>
      <c r="E187" s="170" t="str">
        <f>IFERROR(__xludf.DUMMYFUNCTION("""COMPUTED_VALUE"""),"")</f>
        <v/>
      </c>
      <c r="F187" s="51" t="str">
        <f>IFERROR(__xludf.DUMMYFUNCTION("""COMPUTED_VALUE"""),"")</f>
        <v/>
      </c>
      <c r="G187" s="51" t="str">
        <f>IFERROR(__xludf.DUMMYFUNCTION("""COMPUTED_VALUE"""),"")</f>
        <v/>
      </c>
      <c r="H187" s="172" t="str">
        <f>IFERROR(__xludf.DUMMYFUNCTION("""COMPUTED_VALUE"""),"")</f>
        <v/>
      </c>
      <c r="I187" s="173" t="str">
        <f>IFERROR(__xludf.DUMMYFUNCTION("""COMPUTED_VALUE"""),"")</f>
        <v/>
      </c>
      <c r="J187" s="174" t="str">
        <f>IFERROR(__xludf.DUMMYFUNCTION("""COMPUTED_VALUE"""),"")</f>
        <v/>
      </c>
      <c r="K187" s="175" t="str">
        <f>IFERROR(__xludf.DUMMYFUNCTION("""COMPUTED_VALUE"""),"AP")</f>
        <v>AP</v>
      </c>
      <c r="L187" s="176" t="str">
        <f>IFERROR(__xludf.DUMMYFUNCTION("""COMPUTED_VALUE"""),"")</f>
        <v/>
      </c>
      <c r="M187" s="175" t="str">
        <f>IFERROR(__xludf.DUMMYFUNCTION("""COMPUTED_VALUE"""),"％")</f>
        <v>％</v>
      </c>
      <c r="N187" s="172" t="str">
        <f>IFERROR(__xludf.DUMMYFUNCTION("""COMPUTED_VALUE"""),"")</f>
        <v/>
      </c>
      <c r="O187" s="168"/>
      <c r="P187" s="371" t="str">
        <f>IFERROR(__xludf.DUMMYFUNCTION("""COMPUTED_VALUE"""),"")</f>
        <v/>
      </c>
      <c r="Q187" s="166"/>
      <c r="S187" s="168"/>
      <c r="T187" s="169">
        <f>IFERROR(__xludf.DUMMYFUNCTION("""COMPUTED_VALUE"""),5.0)</f>
        <v>5</v>
      </c>
      <c r="U187" s="170" t="str">
        <f>IFERROR(__xludf.DUMMYFUNCTION("""COMPUTED_VALUE"""),"TRF9")</f>
        <v>TRF9</v>
      </c>
      <c r="V187" s="51" t="str">
        <f>IFERROR(__xludf.DUMMYFUNCTION("""COMPUTED_VALUE"""),"Chaldea Gate (Wed)")</f>
        <v>Chaldea Gate (Wed)</v>
      </c>
      <c r="W187" s="51" t="str">
        <f>IFERROR(__xludf.DUMMYFUNCTION("""COMPUTED_VALUE"""),"WED Berserker Training Ground- Nov")</f>
        <v>WED Berserker Training Ground- Nov</v>
      </c>
      <c r="X187" s="172">
        <f>IFERROR(__xludf.DUMMYFUNCTION("""COMPUTED_VALUE"""),10.0)</f>
        <v>10</v>
      </c>
      <c r="Y187" s="173">
        <f>IFERROR(__xludf.DUMMYFUNCTION("""COMPUTED_VALUE"""),19.375)</f>
        <v>19.375</v>
      </c>
      <c r="Z187" s="174">
        <f>IFERROR(__xludf.DUMMYFUNCTION("""COMPUTED_VALUE"""),54.2)</f>
        <v>54.2</v>
      </c>
      <c r="AA187" s="175" t="str">
        <f>IFERROR(__xludf.DUMMYFUNCTION("""COMPUTED_VALUE"""),"AP")</f>
        <v>AP</v>
      </c>
      <c r="AB187" s="176">
        <f>IFERROR(__xludf.DUMMYFUNCTION("""COMPUTED_VALUE"""),18.5)</f>
        <v>18.5</v>
      </c>
      <c r="AC187" s="175" t="str">
        <f>IFERROR(__xludf.DUMMYFUNCTION("""COMPUTED_VALUE"""),"％")</f>
        <v>％</v>
      </c>
      <c r="AD187" s="172">
        <f>IFERROR(__xludf.DUMMYFUNCTION("""COMPUTED_VALUE"""),821.0)</f>
        <v>821</v>
      </c>
      <c r="AE187" s="168"/>
      <c r="AF187" s="372" t="str">
        <f>IFERROR(__xludf.DUMMYFUNCTION("""COMPUTED_VALUE"""),"")</f>
        <v/>
      </c>
    </row>
    <row r="188" ht="16.5" customHeight="1">
      <c r="A188" s="352" t="str">
        <f>IFERROR(__xludf.DUMMYFUNCTION("""COMPUTED_VALUE"""),"Item")</f>
        <v>Item</v>
      </c>
      <c r="C188" s="353"/>
      <c r="D188" s="30" t="str">
        <f>IFERROR(__xludf.DUMMYFUNCTION("""COMPUTED_VALUE"""),"No.")</f>
        <v>No.</v>
      </c>
      <c r="E188" s="31" t="str">
        <f>IFERROR(__xludf.DUMMYFUNCTION("""COMPUTED_VALUE"""),"Node Code")</f>
        <v>Node Code</v>
      </c>
      <c r="F188" s="31" t="str">
        <f>IFERROR(__xludf.DUMMYFUNCTION("""COMPUTED_VALUE"""),"Area")</f>
        <v>Area</v>
      </c>
      <c r="G188" s="31" t="str">
        <f>IFERROR(__xludf.DUMMYFUNCTION("""COMPUTED_VALUE"""),"Quest")</f>
        <v>Quest</v>
      </c>
      <c r="H188" s="30" t="str">
        <f>IFERROR(__xludf.DUMMYFUNCTION("""COMPUTED_VALUE"""),"AP")</f>
        <v>AP</v>
      </c>
      <c r="I188" s="354" t="str">
        <f>IFERROR(__xludf.DUMMYFUNCTION("""COMPUTED_VALUE"""),"BP/AP")</f>
        <v>BP/AP</v>
      </c>
      <c r="J188" s="36" t="str">
        <f>IFERROR(__xludf.DUMMYFUNCTION("""COMPUTED_VALUE"""),"AP/Drop")</f>
        <v>AP/Drop</v>
      </c>
      <c r="K188" s="28"/>
      <c r="L188" s="36" t="str">
        <f>IFERROR(__xludf.DUMMYFUNCTION("""COMPUTED_VALUE"""),"Drop Chance")</f>
        <v>Drop Chance</v>
      </c>
      <c r="M188" s="28"/>
      <c r="N188" s="38" t="str">
        <f>IFERROR(__xludf.DUMMYFUNCTION("""COMPUTED_VALUE"""),"Runs")</f>
        <v>Runs</v>
      </c>
      <c r="O188" s="355" t="str">
        <f>IFERROR(__xludf.DUMMYFUNCTION("""COMPUTED_VALUE"""),"")</f>
        <v/>
      </c>
      <c r="P188" s="42" t="str">
        <f>IFERROR(__xludf.DUMMYFUNCTION("""COMPUTED_VALUE"""),"")</f>
        <v/>
      </c>
      <c r="Q188" s="352" t="str">
        <f>IFERROR(__xludf.DUMMYFUNCTION("""COMPUTED_VALUE"""),"Item")</f>
        <v>Item</v>
      </c>
      <c r="S188" s="353"/>
      <c r="T188" s="30" t="str">
        <f>IFERROR(__xludf.DUMMYFUNCTION("""COMPUTED_VALUE"""),"No.")</f>
        <v>No.</v>
      </c>
      <c r="U188" s="31" t="str">
        <f>IFERROR(__xludf.DUMMYFUNCTION("""COMPUTED_VALUE"""),"Node Code")</f>
        <v>Node Code</v>
      </c>
      <c r="V188" s="31" t="str">
        <f>IFERROR(__xludf.DUMMYFUNCTION("""COMPUTED_VALUE"""),"Area")</f>
        <v>Area</v>
      </c>
      <c r="W188" s="31" t="str">
        <f>IFERROR(__xludf.DUMMYFUNCTION("""COMPUTED_VALUE"""),"Quest")</f>
        <v>Quest</v>
      </c>
      <c r="X188" s="30" t="str">
        <f>IFERROR(__xludf.DUMMYFUNCTION("""COMPUTED_VALUE"""),"AP")</f>
        <v>AP</v>
      </c>
      <c r="Y188" s="354" t="str">
        <f>IFERROR(__xludf.DUMMYFUNCTION("""COMPUTED_VALUE"""),"BP/AP")</f>
        <v>BP/AP</v>
      </c>
      <c r="Z188" s="36" t="str">
        <f>IFERROR(__xludf.DUMMYFUNCTION("""COMPUTED_VALUE"""),"AP/Drop")</f>
        <v>AP/Drop</v>
      </c>
      <c r="AA188" s="28"/>
      <c r="AB188" s="36" t="str">
        <f>IFERROR(__xludf.DUMMYFUNCTION("""COMPUTED_VALUE"""),"Drop Chance")</f>
        <v>Drop Chance</v>
      </c>
      <c r="AC188" s="28"/>
      <c r="AD188" s="369" t="str">
        <f>IFERROR(__xludf.DUMMYFUNCTION("""COMPUTED_VALUE"""),"Runs")</f>
        <v>Runs</v>
      </c>
      <c r="AE188" s="373" t="str">
        <f>IFERROR(__xludf.DUMMYFUNCTION("""COMPUTED_VALUE"""),"")</f>
        <v/>
      </c>
      <c r="AF188" s="51" t="str">
        <f>IFERROR(__xludf.DUMMYFUNCTION("""COMPUTED_VALUE"""),"")</f>
        <v/>
      </c>
    </row>
    <row r="189" ht="16.5" customHeight="1">
      <c r="A189" s="54"/>
      <c r="B189" s="55"/>
      <c r="C189" s="57"/>
      <c r="D189" s="57"/>
      <c r="E189" s="57"/>
      <c r="F189" s="57"/>
      <c r="G189" s="57"/>
      <c r="H189" s="57"/>
      <c r="I189" s="58" t="str">
        <f>IFERROR(__xludf.DUMMYFUNCTION("""COMPUTED_VALUE"""),"1P+1L+1T")</f>
        <v>1P+1L+1T</v>
      </c>
      <c r="J189" s="55"/>
      <c r="K189" s="57"/>
      <c r="L189" s="55"/>
      <c r="M189" s="57"/>
      <c r="N189" s="57"/>
      <c r="O189" s="57"/>
      <c r="P189" s="42" t="str">
        <f>IFERROR(__xludf.DUMMYFUNCTION("""COMPUTED_VALUE"""),"")</f>
        <v/>
      </c>
      <c r="Q189" s="54"/>
      <c r="R189" s="55"/>
      <c r="S189" s="57"/>
      <c r="T189" s="57"/>
      <c r="U189" s="57"/>
      <c r="V189" s="57"/>
      <c r="W189" s="57"/>
      <c r="X189" s="57"/>
      <c r="Y189" s="58" t="str">
        <f>IFERROR(__xludf.DUMMYFUNCTION("""COMPUTED_VALUE"""),"1P+1L+1T")</f>
        <v>1P+1L+1T</v>
      </c>
      <c r="Z189" s="55"/>
      <c r="AA189" s="57"/>
      <c r="AB189" s="55"/>
      <c r="AC189" s="57"/>
      <c r="AD189" s="370"/>
      <c r="AE189" s="370"/>
      <c r="AF189" s="51" t="str">
        <f>IFERROR(__xludf.DUMMYFUNCTION("""COMPUTED_VALUE"""),"")</f>
        <v/>
      </c>
    </row>
    <row r="190" ht="16.5" customHeight="1">
      <c r="A190" s="61" t="str">
        <f>IFERROR(__xludf.DUMMYFUNCTION("""COMPUTED_VALUE"""),"")</f>
        <v/>
      </c>
      <c r="B190" s="366" t="str">
        <f>IFERROR(__xludf.DUMMYFUNCTION("""COMPUTED_VALUE"""),"A110")</f>
        <v>A110</v>
      </c>
      <c r="C190" s="180" t="str">
        <f>IFERROR(__xludf.DUMMYFUNCTION("""COMPUTED_VALUE"""),"Primordial Lanugo")</f>
        <v>Primordial Lanugo</v>
      </c>
      <c r="D190" s="185">
        <f>IFERROR(__xludf.DUMMYFUNCTION("""COMPUTED_VALUE"""),1.0)</f>
        <v>1</v>
      </c>
      <c r="E190" s="187" t="str">
        <f>IFERROR(__xludf.DUMMYFUNCTION("""COMPUTED_VALUE"""),"BBL14")</f>
        <v>BBL14</v>
      </c>
      <c r="F190" s="188" t="str">
        <f>IFERROR(__xludf.DUMMYFUNCTION("""COMPUTED_VALUE"""),"Babylonia")</f>
        <v>Babylonia</v>
      </c>
      <c r="G190" s="193" t="str">
        <f>IFERROR(__xludf.DUMMYFUNCTION("""COMPUTED_VALUE"""),"Blood Fort")</f>
        <v>Blood Fort</v>
      </c>
      <c r="H190" s="195">
        <f>IFERROR(__xludf.DUMMYFUNCTION("""COMPUTED_VALUE"""),21.0)</f>
        <v>21</v>
      </c>
      <c r="I190" s="196">
        <f>IFERROR(__xludf.DUMMYFUNCTION("""COMPUTED_VALUE"""),50.892857142857146)</f>
        <v>50.89285714</v>
      </c>
      <c r="J190" s="198">
        <f>IFERROR(__xludf.DUMMYFUNCTION("""COMPUTED_VALUE"""),113.9)</f>
        <v>113.9</v>
      </c>
      <c r="K190" s="200" t="str">
        <f>IFERROR(__xludf.DUMMYFUNCTION("""COMPUTED_VALUE"""),"AP")</f>
        <v>AP</v>
      </c>
      <c r="L190" s="198">
        <f>IFERROR(__xludf.DUMMYFUNCTION("""COMPUTED_VALUE"""),18.4)</f>
        <v>18.4</v>
      </c>
      <c r="M190" s="201" t="str">
        <f>IFERROR(__xludf.DUMMYFUNCTION("""COMPUTED_VALUE"""),"％")</f>
        <v>％</v>
      </c>
      <c r="N190" s="195">
        <f>IFERROR(__xludf.DUMMYFUNCTION("""COMPUTED_VALUE"""),18632.0)</f>
        <v>18632</v>
      </c>
      <c r="O190" s="197" t="str">
        <f>IFERROR(__xludf.DUMMYFUNCTION("""COMPUTED_VALUE"""),"Primordial Lanugo")</f>
        <v>Primordial Lanugo</v>
      </c>
      <c r="P190" s="371" t="str">
        <f>IFERROR(__xludf.DUMMYFUNCTION("""COMPUTED_VALUE"""),"")</f>
        <v/>
      </c>
      <c r="Q190" s="458" t="str">
        <f>IFERROR(__xludf.DUMMYFUNCTION("""COMPUTED_VALUE"""),"")</f>
        <v/>
      </c>
      <c r="R190" s="459" t="str">
        <f>IFERROR(__xludf.DUMMYFUNCTION("""COMPUTED_VALUE"""),"")</f>
        <v/>
      </c>
      <c r="S190" s="459" t="str">
        <f>IFERROR(__xludf.DUMMYFUNCTION("""COMPUTED_VALUE"""),"")</f>
        <v/>
      </c>
      <c r="T190" t="str">
        <f>IFERROR(__xludf.DUMMYFUNCTION("""COMPUTED_VALUE"""),"")</f>
        <v/>
      </c>
      <c r="U190" t="str">
        <f>IFERROR(__xludf.DUMMYFUNCTION("""COMPUTED_VALUE"""),"")</f>
        <v/>
      </c>
      <c r="V190" t="str">
        <f>IFERROR(__xludf.DUMMYFUNCTION("""COMPUTED_VALUE"""),"")</f>
        <v/>
      </c>
      <c r="W190" t="str">
        <f>IFERROR(__xludf.DUMMYFUNCTION("""COMPUTED_VALUE"""),"")</f>
        <v/>
      </c>
      <c r="X190" t="str">
        <f>IFERROR(__xludf.DUMMYFUNCTION("""COMPUTED_VALUE"""),"")</f>
        <v/>
      </c>
      <c r="Y190" t="str">
        <f>IFERROR(__xludf.DUMMYFUNCTION("""COMPUTED_VALUE"""),"")</f>
        <v/>
      </c>
      <c r="Z190" t="str">
        <f>IFERROR(__xludf.DUMMYFUNCTION("""COMPUTED_VALUE"""),"")</f>
        <v/>
      </c>
      <c r="AA190" t="str">
        <f>IFERROR(__xludf.DUMMYFUNCTION("""COMPUTED_VALUE"""),"")</f>
        <v/>
      </c>
      <c r="AB190" t="str">
        <f>IFERROR(__xludf.DUMMYFUNCTION("""COMPUTED_VALUE"""),"")</f>
        <v/>
      </c>
      <c r="AC190" t="str">
        <f>IFERROR(__xludf.DUMMYFUNCTION("""COMPUTED_VALUE"""),"")</f>
        <v/>
      </c>
      <c r="AD190" t="str">
        <f>IFERROR(__xludf.DUMMYFUNCTION("""COMPUTED_VALUE"""),"")</f>
        <v/>
      </c>
      <c r="AE190" s="460" t="str">
        <f>IFERROR(__xludf.DUMMYFUNCTION("""COMPUTED_VALUE"""),"")</f>
        <v/>
      </c>
      <c r="AF190" s="372" t="str">
        <f>IFERROR(__xludf.DUMMYFUNCTION("""COMPUTED_VALUE"""),"")</f>
        <v/>
      </c>
    </row>
    <row r="191" ht="16.5" customHeight="1">
      <c r="C191" s="204"/>
      <c r="D191" s="208">
        <f>IFERROR(__xludf.DUMMYFUNCTION("""COMPUTED_VALUE"""),2.0)</f>
        <v>2</v>
      </c>
      <c r="E191" s="210" t="str">
        <f>IFERROR(__xludf.DUMMYFUNCTION("""COMPUTED_VALUE"""),"GTT9")</f>
        <v>GTT9</v>
      </c>
      <c r="F191" s="212" t="str">
        <f>IFERROR(__xludf.DUMMYFUNCTION("""COMPUTED_VALUE"""),"Götterdämmerung")</f>
        <v>Götterdämmerung</v>
      </c>
      <c r="G191" s="216" t="str">
        <f>IFERROR(__xludf.DUMMYFUNCTION("""COMPUTED_VALUE"""),"67th Settlement")</f>
        <v>67th Settlement</v>
      </c>
      <c r="H191" s="218">
        <f>IFERROR(__xludf.DUMMYFUNCTION("""COMPUTED_VALUE"""),21.0)</f>
        <v>21</v>
      </c>
      <c r="I191" s="219">
        <f>IFERROR(__xludf.DUMMYFUNCTION("""COMPUTED_VALUE"""),49.70238095238095)</f>
        <v>49.70238095</v>
      </c>
      <c r="J191" s="220">
        <f>IFERROR(__xludf.DUMMYFUNCTION("""COMPUTED_VALUE"""),115.4)</f>
        <v>115.4</v>
      </c>
      <c r="K191" s="221" t="str">
        <f>IFERROR(__xludf.DUMMYFUNCTION("""COMPUTED_VALUE"""),"AP")</f>
        <v>AP</v>
      </c>
      <c r="L191" s="220">
        <f>IFERROR(__xludf.DUMMYFUNCTION("""COMPUTED_VALUE"""),18.2)</f>
        <v>18.2</v>
      </c>
      <c r="M191" s="221" t="str">
        <f>IFERROR(__xludf.DUMMYFUNCTION("""COMPUTED_VALUE"""),"％")</f>
        <v>％</v>
      </c>
      <c r="N191" s="218">
        <f>IFERROR(__xludf.DUMMYFUNCTION("""COMPUTED_VALUE"""),1000.0)</f>
        <v>1000</v>
      </c>
      <c r="O191" s="217"/>
      <c r="P191" s="371" t="str">
        <f>IFERROR(__xludf.DUMMYFUNCTION("""COMPUTED_VALUE"""),"")</f>
        <v/>
      </c>
      <c r="Q191" s="458" t="str">
        <f>IFERROR(__xludf.DUMMYFUNCTION("""COMPUTED_VALUE"""),"")</f>
        <v/>
      </c>
      <c r="R191" s="459" t="str">
        <f>IFERROR(__xludf.DUMMYFUNCTION("""COMPUTED_VALUE"""),"")</f>
        <v/>
      </c>
      <c r="S191" s="459" t="str">
        <f>IFERROR(__xludf.DUMMYFUNCTION("""COMPUTED_VALUE"""),"")</f>
        <v/>
      </c>
      <c r="T191" t="str">
        <f>IFERROR(__xludf.DUMMYFUNCTION("""COMPUTED_VALUE"""),"")</f>
        <v/>
      </c>
      <c r="U191" t="str">
        <f>IFERROR(__xludf.DUMMYFUNCTION("""COMPUTED_VALUE"""),"")</f>
        <v/>
      </c>
      <c r="V191" t="str">
        <f>IFERROR(__xludf.DUMMYFUNCTION("""COMPUTED_VALUE"""),"")</f>
        <v/>
      </c>
      <c r="W191" t="str">
        <f>IFERROR(__xludf.DUMMYFUNCTION("""COMPUTED_VALUE"""),"")</f>
        <v/>
      </c>
      <c r="X191" t="str">
        <f>IFERROR(__xludf.DUMMYFUNCTION("""COMPUTED_VALUE"""),"")</f>
        <v/>
      </c>
      <c r="Y191" t="str">
        <f>IFERROR(__xludf.DUMMYFUNCTION("""COMPUTED_VALUE"""),"")</f>
        <v/>
      </c>
      <c r="Z191" t="str">
        <f>IFERROR(__xludf.DUMMYFUNCTION("""COMPUTED_VALUE"""),"")</f>
        <v/>
      </c>
      <c r="AA191" t="str">
        <f>IFERROR(__xludf.DUMMYFUNCTION("""COMPUTED_VALUE"""),"")</f>
        <v/>
      </c>
      <c r="AB191" t="str">
        <f>IFERROR(__xludf.DUMMYFUNCTION("""COMPUTED_VALUE"""),"")</f>
        <v/>
      </c>
      <c r="AC191" t="str">
        <f>IFERROR(__xludf.DUMMYFUNCTION("""COMPUTED_VALUE"""),"")</f>
        <v/>
      </c>
      <c r="AD191" t="str">
        <f>IFERROR(__xludf.DUMMYFUNCTION("""COMPUTED_VALUE"""),"")</f>
        <v/>
      </c>
      <c r="AE191" s="460" t="str">
        <f>IFERROR(__xludf.DUMMYFUNCTION("""COMPUTED_VALUE"""),"")</f>
        <v/>
      </c>
      <c r="AF191" s="372" t="str">
        <f>IFERROR(__xludf.DUMMYFUNCTION("""COMPUTED_VALUE"""),"")</f>
        <v/>
      </c>
    </row>
    <row r="192" ht="16.5" customHeight="1">
      <c r="C192" s="204"/>
      <c r="D192" s="225">
        <f>IFERROR(__xludf.DUMMYFUNCTION("""COMPUTED_VALUE"""),3.0)</f>
        <v>3</v>
      </c>
      <c r="E192" s="227" t="str">
        <f>IFERROR(__xludf.DUMMYFUNCTION("""COMPUTED_VALUE"""),"GTT7")</f>
        <v>GTT7</v>
      </c>
      <c r="F192" s="229" t="str">
        <f>IFERROR(__xludf.DUMMYFUNCTION("""COMPUTED_VALUE"""),"Götterdämmerung")</f>
        <v>Götterdämmerung</v>
      </c>
      <c r="G192" s="233" t="str">
        <f>IFERROR(__xludf.DUMMYFUNCTION("""COMPUTED_VALUE"""),"Pathway Towards The Peak")</f>
        <v>Pathway Towards The Peak</v>
      </c>
      <c r="H192" s="234">
        <f>IFERROR(__xludf.DUMMYFUNCTION("""COMPUTED_VALUE"""),21.0)</f>
        <v>21</v>
      </c>
      <c r="I192" s="235">
        <f>IFERROR(__xludf.DUMMYFUNCTION("""COMPUTED_VALUE"""),48.51190476190476)</f>
        <v>48.51190476</v>
      </c>
      <c r="J192" s="236">
        <f>IFERROR(__xludf.DUMMYFUNCTION("""COMPUTED_VALUE"""),116.7)</f>
        <v>116.7</v>
      </c>
      <c r="K192" s="237" t="str">
        <f>IFERROR(__xludf.DUMMYFUNCTION("""COMPUTED_VALUE"""),"AP")</f>
        <v>AP</v>
      </c>
      <c r="L192" s="236">
        <f>IFERROR(__xludf.DUMMYFUNCTION("""COMPUTED_VALUE"""),18.0)</f>
        <v>18</v>
      </c>
      <c r="M192" s="237" t="str">
        <f>IFERROR(__xludf.DUMMYFUNCTION("""COMPUTED_VALUE"""),"％")</f>
        <v>％</v>
      </c>
      <c r="N192" s="234">
        <f>IFERROR(__xludf.DUMMYFUNCTION("""COMPUTED_VALUE"""),9083.0)</f>
        <v>9083</v>
      </c>
      <c r="O192" s="217"/>
      <c r="P192" s="371" t="str">
        <f>IFERROR(__xludf.DUMMYFUNCTION("""COMPUTED_VALUE"""),"")</f>
        <v/>
      </c>
      <c r="Q192" s="458" t="str">
        <f>IFERROR(__xludf.DUMMYFUNCTION("""COMPUTED_VALUE"""),"")</f>
        <v/>
      </c>
      <c r="R192" s="459" t="str">
        <f>IFERROR(__xludf.DUMMYFUNCTION("""COMPUTED_VALUE"""),"")</f>
        <v/>
      </c>
      <c r="S192" s="459" t="str">
        <f>IFERROR(__xludf.DUMMYFUNCTION("""COMPUTED_VALUE"""),"")</f>
        <v/>
      </c>
      <c r="T192" t="str">
        <f>IFERROR(__xludf.DUMMYFUNCTION("""COMPUTED_VALUE"""),"")</f>
        <v/>
      </c>
      <c r="U192" t="str">
        <f>IFERROR(__xludf.DUMMYFUNCTION("""COMPUTED_VALUE"""),"")</f>
        <v/>
      </c>
      <c r="V192" t="str">
        <f>IFERROR(__xludf.DUMMYFUNCTION("""COMPUTED_VALUE"""),"")</f>
        <v/>
      </c>
      <c r="W192" t="str">
        <f>IFERROR(__xludf.DUMMYFUNCTION("""COMPUTED_VALUE"""),"")</f>
        <v/>
      </c>
      <c r="X192" t="str">
        <f>IFERROR(__xludf.DUMMYFUNCTION("""COMPUTED_VALUE"""),"")</f>
        <v/>
      </c>
      <c r="Y192" t="str">
        <f>IFERROR(__xludf.DUMMYFUNCTION("""COMPUTED_VALUE"""),"")</f>
        <v/>
      </c>
      <c r="Z192" t="str">
        <f>IFERROR(__xludf.DUMMYFUNCTION("""COMPUTED_VALUE"""),"")</f>
        <v/>
      </c>
      <c r="AA192" t="str">
        <f>IFERROR(__xludf.DUMMYFUNCTION("""COMPUTED_VALUE"""),"")</f>
        <v/>
      </c>
      <c r="AB192" t="str">
        <f>IFERROR(__xludf.DUMMYFUNCTION("""COMPUTED_VALUE"""),"")</f>
        <v/>
      </c>
      <c r="AC192" t="str">
        <f>IFERROR(__xludf.DUMMYFUNCTION("""COMPUTED_VALUE"""),"")</f>
        <v/>
      </c>
      <c r="AD192" t="str">
        <f>IFERROR(__xludf.DUMMYFUNCTION("""COMPUTED_VALUE"""),"")</f>
        <v/>
      </c>
      <c r="AE192" s="460" t="str">
        <f>IFERROR(__xludf.DUMMYFUNCTION("""COMPUTED_VALUE"""),"")</f>
        <v/>
      </c>
      <c r="AF192" s="372" t="str">
        <f>IFERROR(__xludf.DUMMYFUNCTION("""COMPUTED_VALUE"""),"")</f>
        <v/>
      </c>
    </row>
    <row r="193" ht="16.5" customHeight="1">
      <c r="C193" s="204"/>
      <c r="D193" s="239">
        <f>IFERROR(__xludf.DUMMYFUNCTION("""COMPUTED_VALUE"""),4.0)</f>
        <v>4</v>
      </c>
      <c r="E193" s="241" t="str">
        <f>IFERROR(__xludf.DUMMYFUNCTION("""COMPUTED_VALUE"""),"GTT1")</f>
        <v>GTT1</v>
      </c>
      <c r="F193" s="243" t="str">
        <f>IFERROR(__xludf.DUMMYFUNCTION("""COMPUTED_VALUE"""),"Götterdämmerung")</f>
        <v>Götterdämmerung</v>
      </c>
      <c r="G193" s="245" t="str">
        <f>IFERROR(__xludf.DUMMYFUNCTION("""COMPUTED_VALUE"""),"Landing Point")</f>
        <v>Landing Point</v>
      </c>
      <c r="H193" s="247">
        <f>IFERROR(__xludf.DUMMYFUNCTION("""COMPUTED_VALUE"""),20.0)</f>
        <v>20</v>
      </c>
      <c r="I193" s="249">
        <f>IFERROR(__xludf.DUMMYFUNCTION("""COMPUTED_VALUE"""),48.4375)</f>
        <v>48.4375</v>
      </c>
      <c r="J193" s="251">
        <f>IFERROR(__xludf.DUMMYFUNCTION("""COMPUTED_VALUE"""),155.1)</f>
        <v>155.1</v>
      </c>
      <c r="K193" s="253" t="str">
        <f>IFERROR(__xludf.DUMMYFUNCTION("""COMPUTED_VALUE"""),"AP")</f>
        <v>AP</v>
      </c>
      <c r="L193" s="251">
        <f>IFERROR(__xludf.DUMMYFUNCTION("""COMPUTED_VALUE"""),12.9)</f>
        <v>12.9</v>
      </c>
      <c r="M193" s="253" t="str">
        <f>IFERROR(__xludf.DUMMYFUNCTION("""COMPUTED_VALUE"""),"％")</f>
        <v>％</v>
      </c>
      <c r="N193" s="247">
        <f>IFERROR(__xludf.DUMMYFUNCTION("""COMPUTED_VALUE"""),2389.0)</f>
        <v>2389</v>
      </c>
      <c r="O193" s="217"/>
      <c r="P193" s="371" t="str">
        <f>IFERROR(__xludf.DUMMYFUNCTION("""COMPUTED_VALUE"""),"")</f>
        <v/>
      </c>
      <c r="Q193" s="458" t="str">
        <f>IFERROR(__xludf.DUMMYFUNCTION("""COMPUTED_VALUE"""),"")</f>
        <v/>
      </c>
      <c r="R193" s="459" t="str">
        <f>IFERROR(__xludf.DUMMYFUNCTION("""COMPUTED_VALUE"""),"")</f>
        <v/>
      </c>
      <c r="S193" s="459" t="str">
        <f>IFERROR(__xludf.DUMMYFUNCTION("""COMPUTED_VALUE"""),"")</f>
        <v/>
      </c>
      <c r="T193" t="str">
        <f>IFERROR(__xludf.DUMMYFUNCTION("""COMPUTED_VALUE"""),"")</f>
        <v/>
      </c>
      <c r="U193" t="str">
        <f>IFERROR(__xludf.DUMMYFUNCTION("""COMPUTED_VALUE"""),"")</f>
        <v/>
      </c>
      <c r="V193" t="str">
        <f>IFERROR(__xludf.DUMMYFUNCTION("""COMPUTED_VALUE"""),"")</f>
        <v/>
      </c>
      <c r="W193" t="str">
        <f>IFERROR(__xludf.DUMMYFUNCTION("""COMPUTED_VALUE"""),"")</f>
        <v/>
      </c>
      <c r="X193" t="str">
        <f>IFERROR(__xludf.DUMMYFUNCTION("""COMPUTED_VALUE"""),"")</f>
        <v/>
      </c>
      <c r="Y193" t="str">
        <f>IFERROR(__xludf.DUMMYFUNCTION("""COMPUTED_VALUE"""),"")</f>
        <v/>
      </c>
      <c r="Z193" t="str">
        <f>IFERROR(__xludf.DUMMYFUNCTION("""COMPUTED_VALUE"""),"")</f>
        <v/>
      </c>
      <c r="AA193" t="str">
        <f>IFERROR(__xludf.DUMMYFUNCTION("""COMPUTED_VALUE"""),"")</f>
        <v/>
      </c>
      <c r="AB193" t="str">
        <f>IFERROR(__xludf.DUMMYFUNCTION("""COMPUTED_VALUE"""),"")</f>
        <v/>
      </c>
      <c r="AC193" t="str">
        <f>IFERROR(__xludf.DUMMYFUNCTION("""COMPUTED_VALUE"""),"")</f>
        <v/>
      </c>
      <c r="AD193" t="str">
        <f>IFERROR(__xludf.DUMMYFUNCTION("""COMPUTED_VALUE"""),"")</f>
        <v/>
      </c>
      <c r="AE193" s="460" t="str">
        <f>IFERROR(__xludf.DUMMYFUNCTION("""COMPUTED_VALUE"""),"")</f>
        <v/>
      </c>
      <c r="AF193" s="372" t="str">
        <f>IFERROR(__xludf.DUMMYFUNCTION("""COMPUTED_VALUE"""),"")</f>
        <v/>
      </c>
    </row>
    <row r="194" ht="16.5" customHeight="1">
      <c r="A194" s="166"/>
      <c r="C194" s="255"/>
      <c r="D194" s="256">
        <f>IFERROR(__xludf.DUMMYFUNCTION("""COMPUTED_VALUE"""),5.0)</f>
        <v>5</v>
      </c>
      <c r="E194" s="257" t="str">
        <f>IFERROR(__xludf.DUMMYFUNCTION("""COMPUTED_VALUE"""),"BBL3")</f>
        <v>BBL3</v>
      </c>
      <c r="F194" s="42" t="str">
        <f>IFERROR(__xludf.DUMMYFUNCTION("""COMPUTED_VALUE"""),"Babylonia")</f>
        <v>Babylonia</v>
      </c>
      <c r="G194" s="258" t="str">
        <f>IFERROR(__xludf.DUMMYFUNCTION("""COMPUTED_VALUE"""),"Black Cedar Forest")</f>
        <v>Black Cedar Forest</v>
      </c>
      <c r="H194" s="259">
        <f>IFERROR(__xludf.DUMMYFUNCTION("""COMPUTED_VALUE"""),20.0)</f>
        <v>20</v>
      </c>
      <c r="I194" s="260">
        <f>IFERROR(__xludf.DUMMYFUNCTION("""COMPUTED_VALUE"""),48.4375)</f>
        <v>48.4375</v>
      </c>
      <c r="J194" s="261">
        <f>IFERROR(__xludf.DUMMYFUNCTION("""COMPUTED_VALUE"""),156.8)</f>
        <v>156.8</v>
      </c>
      <c r="K194" s="262" t="str">
        <f>IFERROR(__xludf.DUMMYFUNCTION("""COMPUTED_VALUE"""),"AP")</f>
        <v>AP</v>
      </c>
      <c r="L194" s="261">
        <f>IFERROR(__xludf.DUMMYFUNCTION("""COMPUTED_VALUE"""),12.8)</f>
        <v>12.8</v>
      </c>
      <c r="M194" s="262" t="str">
        <f>IFERROR(__xludf.DUMMYFUNCTION("""COMPUTED_VALUE"""),"％")</f>
        <v>％</v>
      </c>
      <c r="N194" s="259">
        <f>IFERROR(__xludf.DUMMYFUNCTION("""COMPUTED_VALUE"""),972.0)</f>
        <v>972</v>
      </c>
      <c r="O194" s="263"/>
      <c r="P194" s="371" t="str">
        <f>IFERROR(__xludf.DUMMYFUNCTION("""COMPUTED_VALUE"""),"")</f>
        <v/>
      </c>
      <c r="Q194" s="458" t="str">
        <f>IFERROR(__xludf.DUMMYFUNCTION("""COMPUTED_VALUE"""),"")</f>
        <v/>
      </c>
      <c r="R194" s="459" t="str">
        <f>IFERROR(__xludf.DUMMYFUNCTION("""COMPUTED_VALUE"""),"")</f>
        <v/>
      </c>
      <c r="S194" s="459" t="str">
        <f>IFERROR(__xludf.DUMMYFUNCTION("""COMPUTED_VALUE"""),"")</f>
        <v/>
      </c>
      <c r="T194" t="str">
        <f>IFERROR(__xludf.DUMMYFUNCTION("""COMPUTED_VALUE"""),"")</f>
        <v/>
      </c>
      <c r="U194" t="str">
        <f>IFERROR(__xludf.DUMMYFUNCTION("""COMPUTED_VALUE"""),"")</f>
        <v/>
      </c>
      <c r="V194" t="str">
        <f>IFERROR(__xludf.DUMMYFUNCTION("""COMPUTED_VALUE"""),"")</f>
        <v/>
      </c>
      <c r="W194" t="str">
        <f>IFERROR(__xludf.DUMMYFUNCTION("""COMPUTED_VALUE"""),"")</f>
        <v/>
      </c>
      <c r="X194" t="str">
        <f>IFERROR(__xludf.DUMMYFUNCTION("""COMPUTED_VALUE"""),"")</f>
        <v/>
      </c>
      <c r="Y194" t="str">
        <f>IFERROR(__xludf.DUMMYFUNCTION("""COMPUTED_VALUE"""),"")</f>
        <v/>
      </c>
      <c r="Z194" t="str">
        <f>IFERROR(__xludf.DUMMYFUNCTION("""COMPUTED_VALUE"""),"")</f>
        <v/>
      </c>
      <c r="AA194" t="str">
        <f>IFERROR(__xludf.DUMMYFUNCTION("""COMPUTED_VALUE"""),"")</f>
        <v/>
      </c>
      <c r="AB194" t="str">
        <f>IFERROR(__xludf.DUMMYFUNCTION("""COMPUTED_VALUE"""),"")</f>
        <v/>
      </c>
      <c r="AC194" t="str">
        <f>IFERROR(__xludf.DUMMYFUNCTION("""COMPUTED_VALUE"""),"")</f>
        <v/>
      </c>
      <c r="AD194" t="str">
        <f>IFERROR(__xludf.DUMMYFUNCTION("""COMPUTED_VALUE"""),"")</f>
        <v/>
      </c>
      <c r="AE194" s="460" t="str">
        <f>IFERROR(__xludf.DUMMYFUNCTION("""COMPUTED_VALUE"""),"")</f>
        <v/>
      </c>
      <c r="AF194" s="372" t="str">
        <f>IFERROR(__xludf.DUMMYFUNCTION("""COMPUTED_VALUE"""),"")</f>
        <v/>
      </c>
    </row>
    <row r="195" ht="16.5" customHeight="1">
      <c r="A195" s="61" t="str">
        <f>IFERROR(__xludf.DUMMYFUNCTION("""COMPUTED_VALUE"""),"")</f>
        <v/>
      </c>
      <c r="B195" s="367" t="str">
        <f>IFERROR(__xludf.DUMMYFUNCTION("""COMPUTED_VALUE"""),"A111")</f>
        <v>A111</v>
      </c>
      <c r="C195" s="65" t="str">
        <f>IFERROR(__xludf.DUMMYFUNCTION("""COMPUTED_VALUE"""),"Cursed Beast Gallstone")</f>
        <v>Cursed Beast Gallstone</v>
      </c>
      <c r="D195" s="70">
        <f>IFERROR(__xludf.DUMMYFUNCTION("""COMPUTED_VALUE"""),1.0)</f>
        <v>1</v>
      </c>
      <c r="E195" s="73" t="str">
        <f>IFERROR(__xludf.DUMMYFUNCTION("""COMPUTED_VALUE"""),"BBL13")</f>
        <v>BBL13</v>
      </c>
      <c r="F195" s="76" t="str">
        <f>IFERROR(__xludf.DUMMYFUNCTION("""COMPUTED_VALUE"""),"Babylonia")</f>
        <v>Babylonia</v>
      </c>
      <c r="G195" s="85" t="str">
        <f>IFERROR(__xludf.DUMMYFUNCTION("""COMPUTED_VALUE"""),"Mt. Ebih")</f>
        <v>Mt. Ebih</v>
      </c>
      <c r="H195" s="87">
        <f>IFERROR(__xludf.DUMMYFUNCTION("""COMPUTED_VALUE"""),21.0)</f>
        <v>21</v>
      </c>
      <c r="I195" s="90">
        <f>IFERROR(__xludf.DUMMYFUNCTION("""COMPUTED_VALUE"""),50.892857142857146)</f>
        <v>50.89285714</v>
      </c>
      <c r="J195" s="92">
        <f>IFERROR(__xludf.DUMMYFUNCTION("""COMPUTED_VALUE"""),171.3)</f>
        <v>171.3</v>
      </c>
      <c r="K195" s="94" t="str">
        <f>IFERROR(__xludf.DUMMYFUNCTION("""COMPUTED_VALUE"""),"AP")</f>
        <v>AP</v>
      </c>
      <c r="L195" s="96">
        <f>IFERROR(__xludf.DUMMYFUNCTION("""COMPUTED_VALUE"""),12.3)</f>
        <v>12.3</v>
      </c>
      <c r="M195" s="94" t="str">
        <f>IFERROR(__xludf.DUMMYFUNCTION("""COMPUTED_VALUE"""),"％")</f>
        <v>％</v>
      </c>
      <c r="N195" s="87">
        <f>IFERROR(__xludf.DUMMYFUNCTION("""COMPUTED_VALUE"""),8853.0)</f>
        <v>8853</v>
      </c>
      <c r="O195" s="97" t="str">
        <f>IFERROR(__xludf.DUMMYFUNCTION("""COMPUTED_VALUE"""),"Cursed Beast Gallstone")</f>
        <v>Cursed Beast Gallstone</v>
      </c>
      <c r="P195" s="371" t="str">
        <f>IFERROR(__xludf.DUMMYFUNCTION("""COMPUTED_VALUE"""),"")</f>
        <v/>
      </c>
      <c r="Q195" s="458" t="str">
        <f>IFERROR(__xludf.DUMMYFUNCTION("""COMPUTED_VALUE"""),"")</f>
        <v/>
      </c>
      <c r="R195" s="459" t="str">
        <f>IFERROR(__xludf.DUMMYFUNCTION("""COMPUTED_VALUE"""),"")</f>
        <v/>
      </c>
      <c r="S195" s="459" t="str">
        <f>IFERROR(__xludf.DUMMYFUNCTION("""COMPUTED_VALUE"""),"")</f>
        <v/>
      </c>
      <c r="T195" t="str">
        <f>IFERROR(__xludf.DUMMYFUNCTION("""COMPUTED_VALUE"""),"")</f>
        <v/>
      </c>
      <c r="U195" t="str">
        <f>IFERROR(__xludf.DUMMYFUNCTION("""COMPUTED_VALUE"""),"")</f>
        <v/>
      </c>
      <c r="V195" t="str">
        <f>IFERROR(__xludf.DUMMYFUNCTION("""COMPUTED_VALUE"""),"")</f>
        <v/>
      </c>
      <c r="W195" t="str">
        <f>IFERROR(__xludf.DUMMYFUNCTION("""COMPUTED_VALUE"""),"")</f>
        <v/>
      </c>
      <c r="X195" t="str">
        <f>IFERROR(__xludf.DUMMYFUNCTION("""COMPUTED_VALUE"""),"")</f>
        <v/>
      </c>
      <c r="Y195" t="str">
        <f>IFERROR(__xludf.DUMMYFUNCTION("""COMPUTED_VALUE"""),"")</f>
        <v/>
      </c>
      <c r="Z195" t="str">
        <f>IFERROR(__xludf.DUMMYFUNCTION("""COMPUTED_VALUE"""),"")</f>
        <v/>
      </c>
      <c r="AA195" t="str">
        <f>IFERROR(__xludf.DUMMYFUNCTION("""COMPUTED_VALUE"""),"")</f>
        <v/>
      </c>
      <c r="AB195" t="str">
        <f>IFERROR(__xludf.DUMMYFUNCTION("""COMPUTED_VALUE"""),"")</f>
        <v/>
      </c>
      <c r="AC195" t="str">
        <f>IFERROR(__xludf.DUMMYFUNCTION("""COMPUTED_VALUE"""),"")</f>
        <v/>
      </c>
      <c r="AD195" t="str">
        <f>IFERROR(__xludf.DUMMYFUNCTION("""COMPUTED_VALUE"""),"")</f>
        <v/>
      </c>
      <c r="AE195" s="460" t="str">
        <f>IFERROR(__xludf.DUMMYFUNCTION("""COMPUTED_VALUE"""),"")</f>
        <v/>
      </c>
      <c r="AF195" s="372" t="str">
        <f>IFERROR(__xludf.DUMMYFUNCTION("""COMPUTED_VALUE"""),"")</f>
        <v/>
      </c>
    </row>
    <row r="196" ht="16.5" customHeight="1">
      <c r="C196" s="100"/>
      <c r="D196" s="105">
        <f>IFERROR(__xludf.DUMMYFUNCTION("""COMPUTED_VALUE"""),2.0)</f>
        <v>2</v>
      </c>
      <c r="E196" s="106" t="str">
        <f>IFERROR(__xludf.DUMMYFUNCTION("""COMPUTED_VALUE"""),"BBL13")</f>
        <v>BBL13</v>
      </c>
      <c r="F196" s="107" t="str">
        <f>IFERROR(__xludf.DUMMYFUNCTION("""COMPUTED_VALUE"""),"Babylonia")</f>
        <v>Babylonia</v>
      </c>
      <c r="G196" s="114" t="str">
        <f>IFERROR(__xludf.DUMMYFUNCTION("""COMPUTED_VALUE"""),"Mt. Ebih")</f>
        <v>Mt. Ebih</v>
      </c>
      <c r="H196" s="116">
        <f>IFERROR(__xludf.DUMMYFUNCTION("""COMPUTED_VALUE"""),21.0)</f>
        <v>21</v>
      </c>
      <c r="I196" s="118">
        <f>IFERROR(__xludf.DUMMYFUNCTION("""COMPUTED_VALUE"""),50.892857142857146)</f>
        <v>50.89285714</v>
      </c>
      <c r="J196" s="120">
        <f>IFERROR(__xludf.DUMMYFUNCTION("""COMPUTED_VALUE"""),171.3)</f>
        <v>171.3</v>
      </c>
      <c r="K196" s="122" t="str">
        <f>IFERROR(__xludf.DUMMYFUNCTION("""COMPUTED_VALUE"""),"AP")</f>
        <v>AP</v>
      </c>
      <c r="L196" s="124">
        <f>IFERROR(__xludf.DUMMYFUNCTION("""COMPUTED_VALUE"""),12.3)</f>
        <v>12.3</v>
      </c>
      <c r="M196" s="122" t="str">
        <f>IFERROR(__xludf.DUMMYFUNCTION("""COMPUTED_VALUE"""),"％")</f>
        <v>％</v>
      </c>
      <c r="N196" s="116">
        <f>IFERROR(__xludf.DUMMYFUNCTION("""COMPUTED_VALUE"""),8853.0)</f>
        <v>8853</v>
      </c>
      <c r="O196" s="100"/>
      <c r="P196" s="371" t="str">
        <f>IFERROR(__xludf.DUMMYFUNCTION("""COMPUTED_VALUE"""),"")</f>
        <v/>
      </c>
      <c r="Q196" s="458" t="str">
        <f>IFERROR(__xludf.DUMMYFUNCTION("""COMPUTED_VALUE"""),"")</f>
        <v/>
      </c>
      <c r="R196" s="459" t="str">
        <f>IFERROR(__xludf.DUMMYFUNCTION("""COMPUTED_VALUE"""),"")</f>
        <v/>
      </c>
      <c r="S196" s="459" t="str">
        <f>IFERROR(__xludf.DUMMYFUNCTION("""COMPUTED_VALUE"""),"")</f>
        <v/>
      </c>
      <c r="T196" t="str">
        <f>IFERROR(__xludf.DUMMYFUNCTION("""COMPUTED_VALUE"""),"")</f>
        <v/>
      </c>
      <c r="U196" t="str">
        <f>IFERROR(__xludf.DUMMYFUNCTION("""COMPUTED_VALUE"""),"")</f>
        <v/>
      </c>
      <c r="V196" t="str">
        <f>IFERROR(__xludf.DUMMYFUNCTION("""COMPUTED_VALUE"""),"")</f>
        <v/>
      </c>
      <c r="W196" t="str">
        <f>IFERROR(__xludf.DUMMYFUNCTION("""COMPUTED_VALUE"""),"")</f>
        <v/>
      </c>
      <c r="X196" t="str">
        <f>IFERROR(__xludf.DUMMYFUNCTION("""COMPUTED_VALUE"""),"")</f>
        <v/>
      </c>
      <c r="Y196" t="str">
        <f>IFERROR(__xludf.DUMMYFUNCTION("""COMPUTED_VALUE"""),"")</f>
        <v/>
      </c>
      <c r="Z196" t="str">
        <f>IFERROR(__xludf.DUMMYFUNCTION("""COMPUTED_VALUE"""),"")</f>
        <v/>
      </c>
      <c r="AA196" t="str">
        <f>IFERROR(__xludf.DUMMYFUNCTION("""COMPUTED_VALUE"""),"")</f>
        <v/>
      </c>
      <c r="AB196" t="str">
        <f>IFERROR(__xludf.DUMMYFUNCTION("""COMPUTED_VALUE"""),"")</f>
        <v/>
      </c>
      <c r="AC196" t="str">
        <f>IFERROR(__xludf.DUMMYFUNCTION("""COMPUTED_VALUE"""),"")</f>
        <v/>
      </c>
      <c r="AD196" t="str">
        <f>IFERROR(__xludf.DUMMYFUNCTION("""COMPUTED_VALUE"""),"")</f>
        <v/>
      </c>
      <c r="AE196" s="460" t="str">
        <f>IFERROR(__xludf.DUMMYFUNCTION("""COMPUTED_VALUE"""),"")</f>
        <v/>
      </c>
      <c r="AF196" s="372" t="str">
        <f>IFERROR(__xludf.DUMMYFUNCTION("""COMPUTED_VALUE"""),"")</f>
        <v/>
      </c>
    </row>
    <row r="197" ht="16.5" customHeight="1">
      <c r="C197" s="100"/>
      <c r="D197" s="128">
        <f>IFERROR(__xludf.DUMMYFUNCTION("""COMPUTED_VALUE"""),3.0)</f>
        <v>3</v>
      </c>
      <c r="E197" s="129" t="str">
        <f>IFERROR(__xludf.DUMMYFUNCTION("""COMPUTED_VALUE"""),"")</f>
        <v/>
      </c>
      <c r="F197" s="131" t="str">
        <f>IFERROR(__xludf.DUMMYFUNCTION("""COMPUTED_VALUE"""),"")</f>
        <v/>
      </c>
      <c r="G197" s="131" t="str">
        <f>IFERROR(__xludf.DUMMYFUNCTION("""COMPUTED_VALUE"""),"")</f>
        <v/>
      </c>
      <c r="H197" s="136" t="str">
        <f>IFERROR(__xludf.DUMMYFUNCTION("""COMPUTED_VALUE"""),"")</f>
        <v/>
      </c>
      <c r="I197" s="138" t="str">
        <f>IFERROR(__xludf.DUMMYFUNCTION("""COMPUTED_VALUE"""),"")</f>
        <v/>
      </c>
      <c r="J197" s="140" t="str">
        <f>IFERROR(__xludf.DUMMYFUNCTION("""COMPUTED_VALUE"""),"")</f>
        <v/>
      </c>
      <c r="K197" s="142" t="str">
        <f>IFERROR(__xludf.DUMMYFUNCTION("""COMPUTED_VALUE"""),"AP")</f>
        <v>AP</v>
      </c>
      <c r="L197" s="144" t="str">
        <f>IFERROR(__xludf.DUMMYFUNCTION("""COMPUTED_VALUE"""),"")</f>
        <v/>
      </c>
      <c r="M197" s="142" t="str">
        <f>IFERROR(__xludf.DUMMYFUNCTION("""COMPUTED_VALUE"""),"％")</f>
        <v>％</v>
      </c>
      <c r="N197" s="136" t="str">
        <f>IFERROR(__xludf.DUMMYFUNCTION("""COMPUTED_VALUE"""),"")</f>
        <v/>
      </c>
      <c r="O197" s="100"/>
      <c r="P197" s="371" t="str">
        <f>IFERROR(__xludf.DUMMYFUNCTION("""COMPUTED_VALUE"""),"")</f>
        <v/>
      </c>
      <c r="Q197" s="458" t="str">
        <f>IFERROR(__xludf.DUMMYFUNCTION("""COMPUTED_VALUE"""),"")</f>
        <v/>
      </c>
      <c r="R197" s="459" t="str">
        <f>IFERROR(__xludf.DUMMYFUNCTION("""COMPUTED_VALUE"""),"")</f>
        <v/>
      </c>
      <c r="S197" s="459" t="str">
        <f>IFERROR(__xludf.DUMMYFUNCTION("""COMPUTED_VALUE"""),"")</f>
        <v/>
      </c>
      <c r="T197" t="str">
        <f>IFERROR(__xludf.DUMMYFUNCTION("""COMPUTED_VALUE"""),"")</f>
        <v/>
      </c>
      <c r="U197" t="str">
        <f>IFERROR(__xludf.DUMMYFUNCTION("""COMPUTED_VALUE"""),"")</f>
        <v/>
      </c>
      <c r="V197" t="str">
        <f>IFERROR(__xludf.DUMMYFUNCTION("""COMPUTED_VALUE"""),"")</f>
        <v/>
      </c>
      <c r="W197" t="str">
        <f>IFERROR(__xludf.DUMMYFUNCTION("""COMPUTED_VALUE"""),"")</f>
        <v/>
      </c>
      <c r="X197" t="str">
        <f>IFERROR(__xludf.DUMMYFUNCTION("""COMPUTED_VALUE"""),"")</f>
        <v/>
      </c>
      <c r="Y197" t="str">
        <f>IFERROR(__xludf.DUMMYFUNCTION("""COMPUTED_VALUE"""),"")</f>
        <v/>
      </c>
      <c r="Z197" t="str">
        <f>IFERROR(__xludf.DUMMYFUNCTION("""COMPUTED_VALUE"""),"")</f>
        <v/>
      </c>
      <c r="AA197" t="str">
        <f>IFERROR(__xludf.DUMMYFUNCTION("""COMPUTED_VALUE"""),"")</f>
        <v/>
      </c>
      <c r="AB197" t="str">
        <f>IFERROR(__xludf.DUMMYFUNCTION("""COMPUTED_VALUE"""),"")</f>
        <v/>
      </c>
      <c r="AC197" t="str">
        <f>IFERROR(__xludf.DUMMYFUNCTION("""COMPUTED_VALUE"""),"")</f>
        <v/>
      </c>
      <c r="AD197" t="str">
        <f>IFERROR(__xludf.DUMMYFUNCTION("""COMPUTED_VALUE"""),"")</f>
        <v/>
      </c>
      <c r="AE197" s="460" t="str">
        <f>IFERROR(__xludf.DUMMYFUNCTION("""COMPUTED_VALUE"""),"")</f>
        <v/>
      </c>
      <c r="AF197" s="372" t="str">
        <f>IFERROR(__xludf.DUMMYFUNCTION("""COMPUTED_VALUE"""),"")</f>
        <v/>
      </c>
    </row>
    <row r="198" ht="16.5" customHeight="1">
      <c r="C198" s="100"/>
      <c r="D198" s="147">
        <f>IFERROR(__xludf.DUMMYFUNCTION("""COMPUTED_VALUE"""),4.0)</f>
        <v>4</v>
      </c>
      <c r="E198" s="149" t="str">
        <f>IFERROR(__xludf.DUMMYFUNCTION("""COMPUTED_VALUE"""),"")</f>
        <v/>
      </c>
      <c r="F198" s="151" t="str">
        <f>IFERROR(__xludf.DUMMYFUNCTION("""COMPUTED_VALUE"""),"")</f>
        <v/>
      </c>
      <c r="G198" s="151" t="str">
        <f>IFERROR(__xludf.DUMMYFUNCTION("""COMPUTED_VALUE"""),"")</f>
        <v/>
      </c>
      <c r="H198" s="155" t="str">
        <f>IFERROR(__xludf.DUMMYFUNCTION("""COMPUTED_VALUE"""),"")</f>
        <v/>
      </c>
      <c r="I198" s="157" t="str">
        <f>IFERROR(__xludf.DUMMYFUNCTION("""COMPUTED_VALUE"""),"")</f>
        <v/>
      </c>
      <c r="J198" s="159" t="str">
        <f>IFERROR(__xludf.DUMMYFUNCTION("""COMPUTED_VALUE"""),"")</f>
        <v/>
      </c>
      <c r="K198" s="161" t="str">
        <f>IFERROR(__xludf.DUMMYFUNCTION("""COMPUTED_VALUE"""),"AP")</f>
        <v>AP</v>
      </c>
      <c r="L198" s="163" t="str">
        <f>IFERROR(__xludf.DUMMYFUNCTION("""COMPUTED_VALUE"""),"")</f>
        <v/>
      </c>
      <c r="M198" s="161" t="str">
        <f>IFERROR(__xludf.DUMMYFUNCTION("""COMPUTED_VALUE"""),"％")</f>
        <v>％</v>
      </c>
      <c r="N198" s="155" t="str">
        <f>IFERROR(__xludf.DUMMYFUNCTION("""COMPUTED_VALUE"""),"")</f>
        <v/>
      </c>
      <c r="O198" s="100"/>
      <c r="P198" s="371" t="str">
        <f>IFERROR(__xludf.DUMMYFUNCTION("""COMPUTED_VALUE"""),"")</f>
        <v/>
      </c>
      <c r="Q198" s="458" t="str">
        <f>IFERROR(__xludf.DUMMYFUNCTION("""COMPUTED_VALUE"""),"")</f>
        <v/>
      </c>
      <c r="R198" s="459" t="str">
        <f>IFERROR(__xludf.DUMMYFUNCTION("""COMPUTED_VALUE"""),"")</f>
        <v/>
      </c>
      <c r="S198" s="459" t="str">
        <f>IFERROR(__xludf.DUMMYFUNCTION("""COMPUTED_VALUE"""),"")</f>
        <v/>
      </c>
      <c r="T198" t="str">
        <f>IFERROR(__xludf.DUMMYFUNCTION("""COMPUTED_VALUE"""),"")</f>
        <v/>
      </c>
      <c r="U198" t="str">
        <f>IFERROR(__xludf.DUMMYFUNCTION("""COMPUTED_VALUE"""),"")</f>
        <v/>
      </c>
      <c r="V198" t="str">
        <f>IFERROR(__xludf.DUMMYFUNCTION("""COMPUTED_VALUE"""),"")</f>
        <v/>
      </c>
      <c r="W198" t="str">
        <f>IFERROR(__xludf.DUMMYFUNCTION("""COMPUTED_VALUE"""),"")</f>
        <v/>
      </c>
      <c r="X198" t="str">
        <f>IFERROR(__xludf.DUMMYFUNCTION("""COMPUTED_VALUE"""),"")</f>
        <v/>
      </c>
      <c r="Y198" t="str">
        <f>IFERROR(__xludf.DUMMYFUNCTION("""COMPUTED_VALUE"""),"")</f>
        <v/>
      </c>
      <c r="Z198" t="str">
        <f>IFERROR(__xludf.DUMMYFUNCTION("""COMPUTED_VALUE"""),"")</f>
        <v/>
      </c>
      <c r="AA198" t="str">
        <f>IFERROR(__xludf.DUMMYFUNCTION("""COMPUTED_VALUE"""),"")</f>
        <v/>
      </c>
      <c r="AB198" t="str">
        <f>IFERROR(__xludf.DUMMYFUNCTION("""COMPUTED_VALUE"""),"")</f>
        <v/>
      </c>
      <c r="AC198" t="str">
        <f>IFERROR(__xludf.DUMMYFUNCTION("""COMPUTED_VALUE"""),"")</f>
        <v/>
      </c>
      <c r="AD198" t="str">
        <f>IFERROR(__xludf.DUMMYFUNCTION("""COMPUTED_VALUE"""),"")</f>
        <v/>
      </c>
      <c r="AE198" s="460" t="str">
        <f>IFERROR(__xludf.DUMMYFUNCTION("""COMPUTED_VALUE"""),"")</f>
        <v/>
      </c>
      <c r="AF198" s="372" t="str">
        <f>IFERROR(__xludf.DUMMYFUNCTION("""COMPUTED_VALUE"""),"")</f>
        <v/>
      </c>
    </row>
    <row r="199" ht="16.5" customHeight="1">
      <c r="A199" s="166"/>
      <c r="C199" s="168"/>
      <c r="D199" s="169">
        <f>IFERROR(__xludf.DUMMYFUNCTION("""COMPUTED_VALUE"""),5.0)</f>
        <v>5</v>
      </c>
      <c r="E199" s="170" t="str">
        <f>IFERROR(__xludf.DUMMYFUNCTION("""COMPUTED_VALUE"""),"")</f>
        <v/>
      </c>
      <c r="F199" s="51" t="str">
        <f>IFERROR(__xludf.DUMMYFUNCTION("""COMPUTED_VALUE"""),"")</f>
        <v/>
      </c>
      <c r="G199" s="51" t="str">
        <f>IFERROR(__xludf.DUMMYFUNCTION("""COMPUTED_VALUE"""),"")</f>
        <v/>
      </c>
      <c r="H199" s="172" t="str">
        <f>IFERROR(__xludf.DUMMYFUNCTION("""COMPUTED_VALUE"""),"")</f>
        <v/>
      </c>
      <c r="I199" s="173" t="str">
        <f>IFERROR(__xludf.DUMMYFUNCTION("""COMPUTED_VALUE"""),"")</f>
        <v/>
      </c>
      <c r="J199" s="174" t="str">
        <f>IFERROR(__xludf.DUMMYFUNCTION("""COMPUTED_VALUE"""),"")</f>
        <v/>
      </c>
      <c r="K199" s="175" t="str">
        <f>IFERROR(__xludf.DUMMYFUNCTION("""COMPUTED_VALUE"""),"AP")</f>
        <v>AP</v>
      </c>
      <c r="L199" s="176" t="str">
        <f>IFERROR(__xludf.DUMMYFUNCTION("""COMPUTED_VALUE"""),"")</f>
        <v/>
      </c>
      <c r="M199" s="175" t="str">
        <f>IFERROR(__xludf.DUMMYFUNCTION("""COMPUTED_VALUE"""),"％")</f>
        <v>％</v>
      </c>
      <c r="N199" s="172" t="str">
        <f>IFERROR(__xludf.DUMMYFUNCTION("""COMPUTED_VALUE"""),"")</f>
        <v/>
      </c>
      <c r="O199" s="168"/>
      <c r="P199" s="371" t="str">
        <f>IFERROR(__xludf.DUMMYFUNCTION("""COMPUTED_VALUE"""),"")</f>
        <v/>
      </c>
      <c r="Q199" s="458" t="str">
        <f>IFERROR(__xludf.DUMMYFUNCTION("""COMPUTED_VALUE"""),"")</f>
        <v/>
      </c>
      <c r="R199" s="459" t="str">
        <f>IFERROR(__xludf.DUMMYFUNCTION("""COMPUTED_VALUE"""),"")</f>
        <v/>
      </c>
      <c r="S199" s="459" t="str">
        <f>IFERROR(__xludf.DUMMYFUNCTION("""COMPUTED_VALUE"""),"")</f>
        <v/>
      </c>
      <c r="T199" t="str">
        <f>IFERROR(__xludf.DUMMYFUNCTION("""COMPUTED_VALUE"""),"")</f>
        <v/>
      </c>
      <c r="U199" t="str">
        <f>IFERROR(__xludf.DUMMYFUNCTION("""COMPUTED_VALUE"""),"")</f>
        <v/>
      </c>
      <c r="V199" t="str">
        <f>IFERROR(__xludf.DUMMYFUNCTION("""COMPUTED_VALUE"""),"")</f>
        <v/>
      </c>
      <c r="W199" t="str">
        <f>IFERROR(__xludf.DUMMYFUNCTION("""COMPUTED_VALUE"""),"")</f>
        <v/>
      </c>
      <c r="X199" t="str">
        <f>IFERROR(__xludf.DUMMYFUNCTION("""COMPUTED_VALUE"""),"")</f>
        <v/>
      </c>
      <c r="Y199" t="str">
        <f>IFERROR(__xludf.DUMMYFUNCTION("""COMPUTED_VALUE"""),"")</f>
        <v/>
      </c>
      <c r="Z199" t="str">
        <f>IFERROR(__xludf.DUMMYFUNCTION("""COMPUTED_VALUE"""),"")</f>
        <v/>
      </c>
      <c r="AA199" t="str">
        <f>IFERROR(__xludf.DUMMYFUNCTION("""COMPUTED_VALUE"""),"")</f>
        <v/>
      </c>
      <c r="AB199" t="str">
        <f>IFERROR(__xludf.DUMMYFUNCTION("""COMPUTED_VALUE"""),"")</f>
        <v/>
      </c>
      <c r="AC199" t="str">
        <f>IFERROR(__xludf.DUMMYFUNCTION("""COMPUTED_VALUE"""),"")</f>
        <v/>
      </c>
      <c r="AD199" t="str">
        <f>IFERROR(__xludf.DUMMYFUNCTION("""COMPUTED_VALUE"""),"")</f>
        <v/>
      </c>
      <c r="AE199" s="460" t="str">
        <f>IFERROR(__xludf.DUMMYFUNCTION("""COMPUTED_VALUE"""),"")</f>
        <v/>
      </c>
      <c r="AF199" s="372" t="str">
        <f>IFERROR(__xludf.DUMMYFUNCTION("""COMPUTED_VALUE"""),"")</f>
        <v/>
      </c>
    </row>
    <row r="200" ht="16.5" customHeight="1">
      <c r="A200" s="61" t="str">
        <f>IFERROR(__xludf.DUMMYFUNCTION("""COMPUTED_VALUE"""),"")</f>
        <v/>
      </c>
      <c r="B200" s="366" t="str">
        <f>IFERROR(__xludf.DUMMYFUNCTION("""COMPUTED_VALUE"""),"A112")</f>
        <v>A112</v>
      </c>
      <c r="C200" s="180" t="str">
        <f>IFERROR(__xludf.DUMMYFUNCTION("""COMPUTED_VALUE"""),"Mysterious Divine Wine")</f>
        <v>Mysterious Divine Wine</v>
      </c>
      <c r="D200" s="185">
        <f>IFERROR(__xludf.DUMMYFUNCTION("""COMPUTED_VALUE"""),1.0)</f>
        <v>1</v>
      </c>
      <c r="E200" s="187" t="str">
        <f>IFERROR(__xludf.DUMMYFUNCTION("""COMPUTED_VALUE"""),"AGT9")</f>
        <v>AGT9</v>
      </c>
      <c r="F200" s="188" t="str">
        <f>IFERROR(__xludf.DUMMYFUNCTION("""COMPUTED_VALUE"""),"Agartha")</f>
        <v>Agartha</v>
      </c>
      <c r="G200" s="193" t="str">
        <f>IFERROR(__xludf.DUMMYFUNCTION("""COMPUTED_VALUE"""),"Palace of Dragon King")</f>
        <v>Palace of Dragon King</v>
      </c>
      <c r="H200" s="195">
        <f>IFERROR(__xludf.DUMMYFUNCTION("""COMPUTED_VALUE"""),21.0)</f>
        <v>21</v>
      </c>
      <c r="I200" s="196">
        <f>IFERROR(__xludf.DUMMYFUNCTION("""COMPUTED_VALUE"""),49.70238095238095)</f>
        <v>49.70238095</v>
      </c>
      <c r="J200" s="198">
        <f>IFERROR(__xludf.DUMMYFUNCTION("""COMPUTED_VALUE"""),166.5)</f>
        <v>166.5</v>
      </c>
      <c r="K200" s="200" t="str">
        <f>IFERROR(__xludf.DUMMYFUNCTION("""COMPUTED_VALUE"""),"AP")</f>
        <v>AP</v>
      </c>
      <c r="L200" s="198">
        <f>IFERROR(__xludf.DUMMYFUNCTION("""COMPUTED_VALUE"""),12.6)</f>
        <v>12.6</v>
      </c>
      <c r="M200" s="201" t="str">
        <f>IFERROR(__xludf.DUMMYFUNCTION("""COMPUTED_VALUE"""),"％")</f>
        <v>％</v>
      </c>
      <c r="N200" s="195">
        <f>IFERROR(__xludf.DUMMYFUNCTION("""COMPUTED_VALUE"""),2172.0)</f>
        <v>2172</v>
      </c>
      <c r="O200" s="197" t="str">
        <f>IFERROR(__xludf.DUMMYFUNCTION("""COMPUTED_VALUE"""),"Mysterious Divine Wine")</f>
        <v>Mysterious Divine Wine</v>
      </c>
      <c r="P200" s="371" t="str">
        <f>IFERROR(__xludf.DUMMYFUNCTION("""COMPUTED_VALUE"""),"")</f>
        <v/>
      </c>
      <c r="Q200" s="458" t="str">
        <f>IFERROR(__xludf.DUMMYFUNCTION("""COMPUTED_VALUE"""),"")</f>
        <v/>
      </c>
      <c r="R200" s="459" t="str">
        <f>IFERROR(__xludf.DUMMYFUNCTION("""COMPUTED_VALUE"""),"")</f>
        <v/>
      </c>
      <c r="S200" s="459" t="str">
        <f>IFERROR(__xludf.DUMMYFUNCTION("""COMPUTED_VALUE"""),"")</f>
        <v/>
      </c>
      <c r="T200" t="str">
        <f>IFERROR(__xludf.DUMMYFUNCTION("""COMPUTED_VALUE"""),"")</f>
        <v/>
      </c>
      <c r="U200" t="str">
        <f>IFERROR(__xludf.DUMMYFUNCTION("""COMPUTED_VALUE"""),"")</f>
        <v/>
      </c>
      <c r="V200" t="str">
        <f>IFERROR(__xludf.DUMMYFUNCTION("""COMPUTED_VALUE"""),"")</f>
        <v/>
      </c>
      <c r="W200" t="str">
        <f>IFERROR(__xludf.DUMMYFUNCTION("""COMPUTED_VALUE"""),"")</f>
        <v/>
      </c>
      <c r="X200" t="str">
        <f>IFERROR(__xludf.DUMMYFUNCTION("""COMPUTED_VALUE"""),"")</f>
        <v/>
      </c>
      <c r="Y200" t="str">
        <f>IFERROR(__xludf.DUMMYFUNCTION("""COMPUTED_VALUE"""),"")</f>
        <v/>
      </c>
      <c r="Z200" t="str">
        <f>IFERROR(__xludf.DUMMYFUNCTION("""COMPUTED_VALUE"""),"")</f>
        <v/>
      </c>
      <c r="AA200" t="str">
        <f>IFERROR(__xludf.DUMMYFUNCTION("""COMPUTED_VALUE"""),"")</f>
        <v/>
      </c>
      <c r="AB200" t="str">
        <f>IFERROR(__xludf.DUMMYFUNCTION("""COMPUTED_VALUE"""),"")</f>
        <v/>
      </c>
      <c r="AC200" t="str">
        <f>IFERROR(__xludf.DUMMYFUNCTION("""COMPUTED_VALUE"""),"")</f>
        <v/>
      </c>
      <c r="AD200" t="str">
        <f>IFERROR(__xludf.DUMMYFUNCTION("""COMPUTED_VALUE"""),"")</f>
        <v/>
      </c>
      <c r="AE200" s="460" t="str">
        <f>IFERROR(__xludf.DUMMYFUNCTION("""COMPUTED_VALUE"""),"")</f>
        <v/>
      </c>
      <c r="AF200" s="372" t="str">
        <f>IFERROR(__xludf.DUMMYFUNCTION("""COMPUTED_VALUE"""),"")</f>
        <v/>
      </c>
    </row>
    <row r="201" ht="16.5" customHeight="1">
      <c r="C201" s="204"/>
      <c r="D201" s="208">
        <f>IFERROR(__xludf.DUMMYFUNCTION("""COMPUTED_VALUE"""),2.0)</f>
        <v>2</v>
      </c>
      <c r="E201" s="210" t="str">
        <f>IFERROR(__xludf.DUMMYFUNCTION("""COMPUTED_VALUE"""),"ANA12")</f>
        <v>ANA12</v>
      </c>
      <c r="F201" s="212" t="str">
        <f>IFERROR(__xludf.DUMMYFUNCTION("""COMPUTED_VALUE"""),"Anastasia")</f>
        <v>Anastasia</v>
      </c>
      <c r="G201" s="216" t="str">
        <f>IFERROR(__xludf.DUMMYFUNCTION("""COMPUTED_VALUE"""),"Great Valley Stronghold")</f>
        <v>Great Valley Stronghold</v>
      </c>
      <c r="H201" s="218">
        <f>IFERROR(__xludf.DUMMYFUNCTION("""COMPUTED_VALUE"""),21.0)</f>
        <v>21</v>
      </c>
      <c r="I201" s="219">
        <f>IFERROR(__xludf.DUMMYFUNCTION("""COMPUTED_VALUE"""),49.70238095238095)</f>
        <v>49.70238095</v>
      </c>
      <c r="J201" s="220">
        <f>IFERROR(__xludf.DUMMYFUNCTION("""COMPUTED_VALUE"""),215.9)</f>
        <v>215.9</v>
      </c>
      <c r="K201" s="221" t="str">
        <f>IFERROR(__xludf.DUMMYFUNCTION("""COMPUTED_VALUE"""),"AP")</f>
        <v>AP</v>
      </c>
      <c r="L201" s="220">
        <f>IFERROR(__xludf.DUMMYFUNCTION("""COMPUTED_VALUE"""),9.7)</f>
        <v>9.7</v>
      </c>
      <c r="M201" s="221" t="str">
        <f>IFERROR(__xludf.DUMMYFUNCTION("""COMPUTED_VALUE"""),"％")</f>
        <v>％</v>
      </c>
      <c r="N201" s="218">
        <f>IFERROR(__xludf.DUMMYFUNCTION("""COMPUTED_VALUE"""),4585.0)</f>
        <v>4585</v>
      </c>
      <c r="O201" s="217"/>
      <c r="P201" s="371" t="str">
        <f>IFERROR(__xludf.DUMMYFUNCTION("""COMPUTED_VALUE"""),"")</f>
        <v/>
      </c>
      <c r="Q201" s="458" t="str">
        <f>IFERROR(__xludf.DUMMYFUNCTION("""COMPUTED_VALUE"""),"")</f>
        <v/>
      </c>
      <c r="R201" s="459" t="str">
        <f>IFERROR(__xludf.DUMMYFUNCTION("""COMPUTED_VALUE"""),"")</f>
        <v/>
      </c>
      <c r="S201" s="459" t="str">
        <f>IFERROR(__xludf.DUMMYFUNCTION("""COMPUTED_VALUE"""),"")</f>
        <v/>
      </c>
      <c r="T201" t="str">
        <f>IFERROR(__xludf.DUMMYFUNCTION("""COMPUTED_VALUE"""),"")</f>
        <v/>
      </c>
      <c r="U201" t="str">
        <f>IFERROR(__xludf.DUMMYFUNCTION("""COMPUTED_VALUE"""),"")</f>
        <v/>
      </c>
      <c r="V201" t="str">
        <f>IFERROR(__xludf.DUMMYFUNCTION("""COMPUTED_VALUE"""),"")</f>
        <v/>
      </c>
      <c r="W201" t="str">
        <f>IFERROR(__xludf.DUMMYFUNCTION("""COMPUTED_VALUE"""),"")</f>
        <v/>
      </c>
      <c r="X201" t="str">
        <f>IFERROR(__xludf.DUMMYFUNCTION("""COMPUTED_VALUE"""),"")</f>
        <v/>
      </c>
      <c r="Y201" t="str">
        <f>IFERROR(__xludf.DUMMYFUNCTION("""COMPUTED_VALUE"""),"")</f>
        <v/>
      </c>
      <c r="Z201" t="str">
        <f>IFERROR(__xludf.DUMMYFUNCTION("""COMPUTED_VALUE"""),"")</f>
        <v/>
      </c>
      <c r="AA201" t="str">
        <f>IFERROR(__xludf.DUMMYFUNCTION("""COMPUTED_VALUE"""),"")</f>
        <v/>
      </c>
      <c r="AB201" t="str">
        <f>IFERROR(__xludf.DUMMYFUNCTION("""COMPUTED_VALUE"""),"")</f>
        <v/>
      </c>
      <c r="AC201" t="str">
        <f>IFERROR(__xludf.DUMMYFUNCTION("""COMPUTED_VALUE"""),"")</f>
        <v/>
      </c>
      <c r="AD201" t="str">
        <f>IFERROR(__xludf.DUMMYFUNCTION("""COMPUTED_VALUE"""),"")</f>
        <v/>
      </c>
      <c r="AE201" s="460" t="str">
        <f>IFERROR(__xludf.DUMMYFUNCTION("""COMPUTED_VALUE"""),"")</f>
        <v/>
      </c>
      <c r="AF201" s="372" t="str">
        <f>IFERROR(__xludf.DUMMYFUNCTION("""COMPUTED_VALUE"""),"")</f>
        <v/>
      </c>
    </row>
    <row r="202" ht="16.5" customHeight="1">
      <c r="C202" s="204"/>
      <c r="D202" s="225">
        <f>IFERROR(__xludf.DUMMYFUNCTION("""COMPUTED_VALUE"""),3.0)</f>
        <v>3</v>
      </c>
      <c r="E202" s="227" t="str">
        <f>IFERROR(__xludf.DUMMYFUNCTION("""COMPUTED_VALUE"""),"ANA12")</f>
        <v>ANA12</v>
      </c>
      <c r="F202" s="229" t="str">
        <f>IFERROR(__xludf.DUMMYFUNCTION("""COMPUTED_VALUE"""),"Anastasia")</f>
        <v>Anastasia</v>
      </c>
      <c r="G202" s="233" t="str">
        <f>IFERROR(__xludf.DUMMYFUNCTION("""COMPUTED_VALUE"""),"Great Valley Stronghold")</f>
        <v>Great Valley Stronghold</v>
      </c>
      <c r="H202" s="234">
        <f>IFERROR(__xludf.DUMMYFUNCTION("""COMPUTED_VALUE"""),21.0)</f>
        <v>21</v>
      </c>
      <c r="I202" s="235">
        <f>IFERROR(__xludf.DUMMYFUNCTION("""COMPUTED_VALUE"""),49.70238095238095)</f>
        <v>49.70238095</v>
      </c>
      <c r="J202" s="236">
        <f>IFERROR(__xludf.DUMMYFUNCTION("""COMPUTED_VALUE"""),215.9)</f>
        <v>215.9</v>
      </c>
      <c r="K202" s="237" t="str">
        <f>IFERROR(__xludf.DUMMYFUNCTION("""COMPUTED_VALUE"""),"AP")</f>
        <v>AP</v>
      </c>
      <c r="L202" s="236">
        <f>IFERROR(__xludf.DUMMYFUNCTION("""COMPUTED_VALUE"""),9.7)</f>
        <v>9.7</v>
      </c>
      <c r="M202" s="237" t="str">
        <f>IFERROR(__xludf.DUMMYFUNCTION("""COMPUTED_VALUE"""),"％")</f>
        <v>％</v>
      </c>
      <c r="N202" s="234">
        <f>IFERROR(__xludf.DUMMYFUNCTION("""COMPUTED_VALUE"""),4585.0)</f>
        <v>4585</v>
      </c>
      <c r="O202" s="217"/>
      <c r="P202" s="371" t="str">
        <f>IFERROR(__xludf.DUMMYFUNCTION("""COMPUTED_VALUE"""),"")</f>
        <v/>
      </c>
      <c r="Q202" s="458" t="str">
        <f>IFERROR(__xludf.DUMMYFUNCTION("""COMPUTED_VALUE"""),"")</f>
        <v/>
      </c>
      <c r="R202" s="459" t="str">
        <f>IFERROR(__xludf.DUMMYFUNCTION("""COMPUTED_VALUE"""),"")</f>
        <v/>
      </c>
      <c r="S202" s="459" t="str">
        <f>IFERROR(__xludf.DUMMYFUNCTION("""COMPUTED_VALUE"""),"")</f>
        <v/>
      </c>
      <c r="T202" t="str">
        <f>IFERROR(__xludf.DUMMYFUNCTION("""COMPUTED_VALUE"""),"")</f>
        <v/>
      </c>
      <c r="U202" t="str">
        <f>IFERROR(__xludf.DUMMYFUNCTION("""COMPUTED_VALUE"""),"")</f>
        <v/>
      </c>
      <c r="V202" t="str">
        <f>IFERROR(__xludf.DUMMYFUNCTION("""COMPUTED_VALUE"""),"")</f>
        <v/>
      </c>
      <c r="W202" t="str">
        <f>IFERROR(__xludf.DUMMYFUNCTION("""COMPUTED_VALUE"""),"")</f>
        <v/>
      </c>
      <c r="X202" t="str">
        <f>IFERROR(__xludf.DUMMYFUNCTION("""COMPUTED_VALUE"""),"")</f>
        <v/>
      </c>
      <c r="Y202" t="str">
        <f>IFERROR(__xludf.DUMMYFUNCTION("""COMPUTED_VALUE"""),"")</f>
        <v/>
      </c>
      <c r="Z202" t="str">
        <f>IFERROR(__xludf.DUMMYFUNCTION("""COMPUTED_VALUE"""),"")</f>
        <v/>
      </c>
      <c r="AA202" t="str">
        <f>IFERROR(__xludf.DUMMYFUNCTION("""COMPUTED_VALUE"""),"")</f>
        <v/>
      </c>
      <c r="AB202" t="str">
        <f>IFERROR(__xludf.DUMMYFUNCTION("""COMPUTED_VALUE"""),"")</f>
        <v/>
      </c>
      <c r="AC202" t="str">
        <f>IFERROR(__xludf.DUMMYFUNCTION("""COMPUTED_VALUE"""),"")</f>
        <v/>
      </c>
      <c r="AD202" t="str">
        <f>IFERROR(__xludf.DUMMYFUNCTION("""COMPUTED_VALUE"""),"")</f>
        <v/>
      </c>
      <c r="AE202" s="460" t="str">
        <f>IFERROR(__xludf.DUMMYFUNCTION("""COMPUTED_VALUE"""),"")</f>
        <v/>
      </c>
      <c r="AF202" s="372" t="str">
        <f>IFERROR(__xludf.DUMMYFUNCTION("""COMPUTED_VALUE"""),"")</f>
        <v/>
      </c>
    </row>
    <row r="203" ht="16.5" customHeight="1">
      <c r="C203" s="204"/>
      <c r="D203" s="239">
        <f>IFERROR(__xludf.DUMMYFUNCTION("""COMPUTED_VALUE"""),4.0)</f>
        <v>4</v>
      </c>
      <c r="E203" s="241" t="str">
        <f>IFERROR(__xludf.DUMMYFUNCTION("""COMPUTED_VALUE"""),"SMS6")</f>
        <v>SMS6</v>
      </c>
      <c r="F203" s="243" t="str">
        <f>IFERROR(__xludf.DUMMYFUNCTION("""COMPUTED_VALUE"""),"Shimosa")</f>
        <v>Shimosa</v>
      </c>
      <c r="G203" s="245" t="str">
        <f>IFERROR(__xludf.DUMMYFUNCTION("""COMPUTED_VALUE"""),"Toke Castle")</f>
        <v>Toke Castle</v>
      </c>
      <c r="H203" s="247">
        <f>IFERROR(__xludf.DUMMYFUNCTION("""COMPUTED_VALUE"""),21.0)</f>
        <v>21</v>
      </c>
      <c r="I203" s="249">
        <f>IFERROR(__xludf.DUMMYFUNCTION("""COMPUTED_VALUE"""),49.70238095238095)</f>
        <v>49.70238095</v>
      </c>
      <c r="J203" s="251">
        <f>IFERROR(__xludf.DUMMYFUNCTION("""COMPUTED_VALUE"""),223.8)</f>
        <v>223.8</v>
      </c>
      <c r="K203" s="253" t="str">
        <f>IFERROR(__xludf.DUMMYFUNCTION("""COMPUTED_VALUE"""),"AP")</f>
        <v>AP</v>
      </c>
      <c r="L203" s="251">
        <f>IFERROR(__xludf.DUMMYFUNCTION("""COMPUTED_VALUE"""),9.4)</f>
        <v>9.4</v>
      </c>
      <c r="M203" s="253" t="str">
        <f>IFERROR(__xludf.DUMMYFUNCTION("""COMPUTED_VALUE"""),"％")</f>
        <v>％</v>
      </c>
      <c r="N203" s="247">
        <f>IFERROR(__xludf.DUMMYFUNCTION("""COMPUTED_VALUE"""),2163.0)</f>
        <v>2163</v>
      </c>
      <c r="O203" s="217"/>
      <c r="P203" s="371" t="str">
        <f>IFERROR(__xludf.DUMMYFUNCTION("""COMPUTED_VALUE"""),"")</f>
        <v/>
      </c>
      <c r="Q203" s="458" t="str">
        <f>IFERROR(__xludf.DUMMYFUNCTION("""COMPUTED_VALUE"""),"")</f>
        <v/>
      </c>
      <c r="R203" s="459" t="str">
        <f>IFERROR(__xludf.DUMMYFUNCTION("""COMPUTED_VALUE"""),"")</f>
        <v/>
      </c>
      <c r="S203" s="459" t="str">
        <f>IFERROR(__xludf.DUMMYFUNCTION("""COMPUTED_VALUE"""),"")</f>
        <v/>
      </c>
      <c r="T203" t="str">
        <f>IFERROR(__xludf.DUMMYFUNCTION("""COMPUTED_VALUE"""),"")</f>
        <v/>
      </c>
      <c r="U203" t="str">
        <f>IFERROR(__xludf.DUMMYFUNCTION("""COMPUTED_VALUE"""),"")</f>
        <v/>
      </c>
      <c r="V203" t="str">
        <f>IFERROR(__xludf.DUMMYFUNCTION("""COMPUTED_VALUE"""),"")</f>
        <v/>
      </c>
      <c r="W203" t="str">
        <f>IFERROR(__xludf.DUMMYFUNCTION("""COMPUTED_VALUE"""),"")</f>
        <v/>
      </c>
      <c r="X203" t="str">
        <f>IFERROR(__xludf.DUMMYFUNCTION("""COMPUTED_VALUE"""),"")</f>
        <v/>
      </c>
      <c r="Y203" t="str">
        <f>IFERROR(__xludf.DUMMYFUNCTION("""COMPUTED_VALUE"""),"")</f>
        <v/>
      </c>
      <c r="Z203" t="str">
        <f>IFERROR(__xludf.DUMMYFUNCTION("""COMPUTED_VALUE"""),"")</f>
        <v/>
      </c>
      <c r="AA203" t="str">
        <f>IFERROR(__xludf.DUMMYFUNCTION("""COMPUTED_VALUE"""),"")</f>
        <v/>
      </c>
      <c r="AB203" t="str">
        <f>IFERROR(__xludf.DUMMYFUNCTION("""COMPUTED_VALUE"""),"")</f>
        <v/>
      </c>
      <c r="AC203" t="str">
        <f>IFERROR(__xludf.DUMMYFUNCTION("""COMPUTED_VALUE"""),"")</f>
        <v/>
      </c>
      <c r="AD203" t="str">
        <f>IFERROR(__xludf.DUMMYFUNCTION("""COMPUTED_VALUE"""),"")</f>
        <v/>
      </c>
      <c r="AE203" s="460" t="str">
        <f>IFERROR(__xludf.DUMMYFUNCTION("""COMPUTED_VALUE"""),"")</f>
        <v/>
      </c>
      <c r="AF203" s="372" t="str">
        <f>IFERROR(__xludf.DUMMYFUNCTION("""COMPUTED_VALUE"""),"")</f>
        <v/>
      </c>
    </row>
    <row r="204" ht="16.5" customHeight="1">
      <c r="A204" s="166"/>
      <c r="C204" s="255"/>
      <c r="D204" s="256">
        <f>IFERROR(__xludf.DUMMYFUNCTION("""COMPUTED_VALUE"""),5.0)</f>
        <v>5</v>
      </c>
      <c r="E204" s="257" t="str">
        <f>IFERROR(__xludf.DUMMYFUNCTION("""COMPUTED_VALUE"""),"")</f>
        <v/>
      </c>
      <c r="F204" s="42" t="str">
        <f>IFERROR(__xludf.DUMMYFUNCTION("""COMPUTED_VALUE"""),"")</f>
        <v/>
      </c>
      <c r="G204" s="42" t="str">
        <f>IFERROR(__xludf.DUMMYFUNCTION("""COMPUTED_VALUE"""),"")</f>
        <v/>
      </c>
      <c r="H204" s="259" t="str">
        <f>IFERROR(__xludf.DUMMYFUNCTION("""COMPUTED_VALUE"""),"")</f>
        <v/>
      </c>
      <c r="I204" s="260" t="str">
        <f>IFERROR(__xludf.DUMMYFUNCTION("""COMPUTED_VALUE"""),"")</f>
        <v/>
      </c>
      <c r="J204" s="261" t="str">
        <f>IFERROR(__xludf.DUMMYFUNCTION("""COMPUTED_VALUE"""),"")</f>
        <v/>
      </c>
      <c r="K204" s="262" t="str">
        <f>IFERROR(__xludf.DUMMYFUNCTION("""COMPUTED_VALUE"""),"AP")</f>
        <v>AP</v>
      </c>
      <c r="L204" s="261" t="str">
        <f>IFERROR(__xludf.DUMMYFUNCTION("""COMPUTED_VALUE"""),"")</f>
        <v/>
      </c>
      <c r="M204" s="262" t="str">
        <f>IFERROR(__xludf.DUMMYFUNCTION("""COMPUTED_VALUE"""),"％")</f>
        <v>％</v>
      </c>
      <c r="N204" s="259" t="str">
        <f>IFERROR(__xludf.DUMMYFUNCTION("""COMPUTED_VALUE"""),"")</f>
        <v/>
      </c>
      <c r="O204" s="263"/>
      <c r="P204" s="371" t="str">
        <f>IFERROR(__xludf.DUMMYFUNCTION("""COMPUTED_VALUE"""),"")</f>
        <v/>
      </c>
      <c r="Q204" s="458" t="str">
        <f>IFERROR(__xludf.DUMMYFUNCTION("""COMPUTED_VALUE"""),"")</f>
        <v/>
      </c>
      <c r="R204" s="459" t="str">
        <f>IFERROR(__xludf.DUMMYFUNCTION("""COMPUTED_VALUE"""),"")</f>
        <v/>
      </c>
      <c r="S204" s="459" t="str">
        <f>IFERROR(__xludf.DUMMYFUNCTION("""COMPUTED_VALUE"""),"")</f>
        <v/>
      </c>
      <c r="T204" t="str">
        <f>IFERROR(__xludf.DUMMYFUNCTION("""COMPUTED_VALUE"""),"")</f>
        <v/>
      </c>
      <c r="U204" t="str">
        <f>IFERROR(__xludf.DUMMYFUNCTION("""COMPUTED_VALUE"""),"")</f>
        <v/>
      </c>
      <c r="V204" t="str">
        <f>IFERROR(__xludf.DUMMYFUNCTION("""COMPUTED_VALUE"""),"")</f>
        <v/>
      </c>
      <c r="W204" t="str">
        <f>IFERROR(__xludf.DUMMYFUNCTION("""COMPUTED_VALUE"""),"")</f>
        <v/>
      </c>
      <c r="X204" t="str">
        <f>IFERROR(__xludf.DUMMYFUNCTION("""COMPUTED_VALUE"""),"")</f>
        <v/>
      </c>
      <c r="Y204" t="str">
        <f>IFERROR(__xludf.DUMMYFUNCTION("""COMPUTED_VALUE"""),"")</f>
        <v/>
      </c>
      <c r="Z204" t="str">
        <f>IFERROR(__xludf.DUMMYFUNCTION("""COMPUTED_VALUE"""),"")</f>
        <v/>
      </c>
      <c r="AA204" t="str">
        <f>IFERROR(__xludf.DUMMYFUNCTION("""COMPUTED_VALUE"""),"")</f>
        <v/>
      </c>
      <c r="AB204" t="str">
        <f>IFERROR(__xludf.DUMMYFUNCTION("""COMPUTED_VALUE"""),"")</f>
        <v/>
      </c>
      <c r="AC204" t="str">
        <f>IFERROR(__xludf.DUMMYFUNCTION("""COMPUTED_VALUE"""),"")</f>
        <v/>
      </c>
      <c r="AD204" t="str">
        <f>IFERROR(__xludf.DUMMYFUNCTION("""COMPUTED_VALUE"""),"")</f>
        <v/>
      </c>
      <c r="AE204" s="460" t="str">
        <f>IFERROR(__xludf.DUMMYFUNCTION("""COMPUTED_VALUE"""),"")</f>
        <v/>
      </c>
      <c r="AF204" s="372" t="str">
        <f>IFERROR(__xludf.DUMMYFUNCTION("""COMPUTED_VALUE"""),"")</f>
        <v/>
      </c>
    </row>
    <row r="205" ht="16.5" customHeight="1">
      <c r="A205" s="61" t="str">
        <f>IFERROR(__xludf.DUMMYFUNCTION("""COMPUTED_VALUE"""),"")</f>
        <v/>
      </c>
      <c r="B205" s="367" t="str">
        <f>IFERROR(__xludf.DUMMYFUNCTION("""COMPUTED_VALUE"""),"A113")</f>
        <v>A113</v>
      </c>
      <c r="C205" s="65" t="str">
        <f>IFERROR(__xludf.DUMMYFUNCTION("""COMPUTED_VALUE"""),"Dawnlight Reactor Core")</f>
        <v>Dawnlight Reactor Core</v>
      </c>
      <c r="D205" s="70">
        <f>IFERROR(__xludf.DUMMYFUNCTION("""COMPUTED_VALUE"""),1.0)</f>
        <v>1</v>
      </c>
      <c r="E205" s="73" t="str">
        <f>IFERROR(__xludf.DUMMYFUNCTION("""COMPUTED_VALUE"""),"SIN7")</f>
        <v>SIN7</v>
      </c>
      <c r="F205" s="76" t="str">
        <f>IFERROR(__xludf.DUMMYFUNCTION("""COMPUTED_VALUE"""),"SIN")</f>
        <v>SIN</v>
      </c>
      <c r="G205" s="85" t="str">
        <f>IFERROR(__xludf.DUMMYFUNCTION("""COMPUTED_VALUE"""),"Detention Centre")</f>
        <v>Detention Centre</v>
      </c>
      <c r="H205" s="87">
        <f>IFERROR(__xludf.DUMMYFUNCTION("""COMPUTED_VALUE"""),21.0)</f>
        <v>21</v>
      </c>
      <c r="I205" s="90">
        <f>IFERROR(__xludf.DUMMYFUNCTION("""COMPUTED_VALUE"""),48.51190476190476)</f>
        <v>48.51190476</v>
      </c>
      <c r="J205" s="92">
        <f>IFERROR(__xludf.DUMMYFUNCTION("""COMPUTED_VALUE"""),103.6)</f>
        <v>103.6</v>
      </c>
      <c r="K205" s="94" t="str">
        <f>IFERROR(__xludf.DUMMYFUNCTION("""COMPUTED_VALUE"""),"AP")</f>
        <v>AP</v>
      </c>
      <c r="L205" s="96">
        <f>IFERROR(__xludf.DUMMYFUNCTION("""COMPUTED_VALUE"""),20.3)</f>
        <v>20.3</v>
      </c>
      <c r="M205" s="94" t="str">
        <f>IFERROR(__xludf.DUMMYFUNCTION("""COMPUTED_VALUE"""),"％")</f>
        <v>％</v>
      </c>
      <c r="N205" s="87">
        <f>IFERROR(__xludf.DUMMYFUNCTION("""COMPUTED_VALUE"""),57337.0)</f>
        <v>57337</v>
      </c>
      <c r="O205" s="97" t="str">
        <f>IFERROR(__xludf.DUMMYFUNCTION("""COMPUTED_VALUE"""),"Dawnlight Reactor Core")</f>
        <v>Dawnlight Reactor Core</v>
      </c>
      <c r="P205" s="371" t="str">
        <f>IFERROR(__xludf.DUMMYFUNCTION("""COMPUTED_VALUE"""),"")</f>
        <v/>
      </c>
      <c r="Q205" s="458" t="str">
        <f>IFERROR(__xludf.DUMMYFUNCTION("""COMPUTED_VALUE"""),"")</f>
        <v/>
      </c>
      <c r="R205" s="459" t="str">
        <f>IFERROR(__xludf.DUMMYFUNCTION("""COMPUTED_VALUE"""),"")</f>
        <v/>
      </c>
      <c r="S205" s="459" t="str">
        <f>IFERROR(__xludf.DUMMYFUNCTION("""COMPUTED_VALUE"""),"")</f>
        <v/>
      </c>
      <c r="T205" t="str">
        <f>IFERROR(__xludf.DUMMYFUNCTION("""COMPUTED_VALUE"""),"")</f>
        <v/>
      </c>
      <c r="U205" t="str">
        <f>IFERROR(__xludf.DUMMYFUNCTION("""COMPUTED_VALUE"""),"")</f>
        <v/>
      </c>
      <c r="V205" t="str">
        <f>IFERROR(__xludf.DUMMYFUNCTION("""COMPUTED_VALUE"""),"")</f>
        <v/>
      </c>
      <c r="W205" t="str">
        <f>IFERROR(__xludf.DUMMYFUNCTION("""COMPUTED_VALUE"""),"")</f>
        <v/>
      </c>
      <c r="X205" t="str">
        <f>IFERROR(__xludf.DUMMYFUNCTION("""COMPUTED_VALUE"""),"")</f>
        <v/>
      </c>
      <c r="Y205" t="str">
        <f>IFERROR(__xludf.DUMMYFUNCTION("""COMPUTED_VALUE"""),"")</f>
        <v/>
      </c>
      <c r="Z205" t="str">
        <f>IFERROR(__xludf.DUMMYFUNCTION("""COMPUTED_VALUE"""),"")</f>
        <v/>
      </c>
      <c r="AA205" t="str">
        <f>IFERROR(__xludf.DUMMYFUNCTION("""COMPUTED_VALUE"""),"")</f>
        <v/>
      </c>
      <c r="AB205" t="str">
        <f>IFERROR(__xludf.DUMMYFUNCTION("""COMPUTED_VALUE"""),"")</f>
        <v/>
      </c>
      <c r="AC205" t="str">
        <f>IFERROR(__xludf.DUMMYFUNCTION("""COMPUTED_VALUE"""),"")</f>
        <v/>
      </c>
      <c r="AD205" t="str">
        <f>IFERROR(__xludf.DUMMYFUNCTION("""COMPUTED_VALUE"""),"")</f>
        <v/>
      </c>
      <c r="AE205" s="460" t="str">
        <f>IFERROR(__xludf.DUMMYFUNCTION("""COMPUTED_VALUE"""),"")</f>
        <v/>
      </c>
      <c r="AF205" s="372" t="str">
        <f>IFERROR(__xludf.DUMMYFUNCTION("""COMPUTED_VALUE"""),"")</f>
        <v/>
      </c>
    </row>
    <row r="206" ht="16.5" customHeight="1">
      <c r="C206" s="100"/>
      <c r="D206" s="105">
        <f>IFERROR(__xludf.DUMMYFUNCTION("""COMPUTED_VALUE"""),2.0)</f>
        <v>2</v>
      </c>
      <c r="E206" s="106" t="str">
        <f>IFERROR(__xludf.DUMMYFUNCTION("""COMPUTED_VALUE"""),"SIN8")</f>
        <v>SIN8</v>
      </c>
      <c r="F206" s="107" t="str">
        <f>IFERROR(__xludf.DUMMYFUNCTION("""COMPUTED_VALUE"""),"SIN")</f>
        <v>SIN</v>
      </c>
      <c r="G206" s="114" t="str">
        <f>IFERROR(__xludf.DUMMYFUNCTION("""COMPUTED_VALUE"""),"Shiquan Gorge")</f>
        <v>Shiquan Gorge</v>
      </c>
      <c r="H206" s="116">
        <f>IFERROR(__xludf.DUMMYFUNCTION("""COMPUTED_VALUE"""),21.0)</f>
        <v>21</v>
      </c>
      <c r="I206" s="118">
        <f>IFERROR(__xludf.DUMMYFUNCTION("""COMPUTED_VALUE"""),49.70238095238095)</f>
        <v>49.70238095</v>
      </c>
      <c r="J206" s="120">
        <f>IFERROR(__xludf.DUMMYFUNCTION("""COMPUTED_VALUE"""),105.1)</f>
        <v>105.1</v>
      </c>
      <c r="K206" s="122" t="str">
        <f>IFERROR(__xludf.DUMMYFUNCTION("""COMPUTED_VALUE"""),"AP")</f>
        <v>AP</v>
      </c>
      <c r="L206" s="124">
        <f>IFERROR(__xludf.DUMMYFUNCTION("""COMPUTED_VALUE"""),20.0)</f>
        <v>20</v>
      </c>
      <c r="M206" s="122" t="str">
        <f>IFERROR(__xludf.DUMMYFUNCTION("""COMPUTED_VALUE"""),"％")</f>
        <v>％</v>
      </c>
      <c r="N206" s="116">
        <f>IFERROR(__xludf.DUMMYFUNCTION("""COMPUTED_VALUE"""),9582.0)</f>
        <v>9582</v>
      </c>
      <c r="O206" s="100"/>
      <c r="P206" s="371" t="str">
        <f>IFERROR(__xludf.DUMMYFUNCTION("""COMPUTED_VALUE"""),"")</f>
        <v/>
      </c>
      <c r="Q206" s="458" t="str">
        <f>IFERROR(__xludf.DUMMYFUNCTION("""COMPUTED_VALUE"""),"")</f>
        <v/>
      </c>
      <c r="R206" s="459" t="str">
        <f>IFERROR(__xludf.DUMMYFUNCTION("""COMPUTED_VALUE"""),"")</f>
        <v/>
      </c>
      <c r="S206" s="459" t="str">
        <f>IFERROR(__xludf.DUMMYFUNCTION("""COMPUTED_VALUE"""),"")</f>
        <v/>
      </c>
      <c r="T206" t="str">
        <f>IFERROR(__xludf.DUMMYFUNCTION("""COMPUTED_VALUE"""),"")</f>
        <v/>
      </c>
      <c r="U206" t="str">
        <f>IFERROR(__xludf.DUMMYFUNCTION("""COMPUTED_VALUE"""),"")</f>
        <v/>
      </c>
      <c r="V206" t="str">
        <f>IFERROR(__xludf.DUMMYFUNCTION("""COMPUTED_VALUE"""),"")</f>
        <v/>
      </c>
      <c r="W206" t="str">
        <f>IFERROR(__xludf.DUMMYFUNCTION("""COMPUTED_VALUE"""),"")</f>
        <v/>
      </c>
      <c r="X206" t="str">
        <f>IFERROR(__xludf.DUMMYFUNCTION("""COMPUTED_VALUE"""),"")</f>
        <v/>
      </c>
      <c r="Y206" t="str">
        <f>IFERROR(__xludf.DUMMYFUNCTION("""COMPUTED_VALUE"""),"")</f>
        <v/>
      </c>
      <c r="Z206" t="str">
        <f>IFERROR(__xludf.DUMMYFUNCTION("""COMPUTED_VALUE"""),"")</f>
        <v/>
      </c>
      <c r="AA206" t="str">
        <f>IFERROR(__xludf.DUMMYFUNCTION("""COMPUTED_VALUE"""),"")</f>
        <v/>
      </c>
      <c r="AB206" t="str">
        <f>IFERROR(__xludf.DUMMYFUNCTION("""COMPUTED_VALUE"""),"")</f>
        <v/>
      </c>
      <c r="AC206" t="str">
        <f>IFERROR(__xludf.DUMMYFUNCTION("""COMPUTED_VALUE"""),"")</f>
        <v/>
      </c>
      <c r="AD206" t="str">
        <f>IFERROR(__xludf.DUMMYFUNCTION("""COMPUTED_VALUE"""),"")</f>
        <v/>
      </c>
      <c r="AE206" s="460" t="str">
        <f>IFERROR(__xludf.DUMMYFUNCTION("""COMPUTED_VALUE"""),"")</f>
        <v/>
      </c>
      <c r="AF206" s="372" t="str">
        <f>IFERROR(__xludf.DUMMYFUNCTION("""COMPUTED_VALUE"""),"")</f>
        <v/>
      </c>
    </row>
    <row r="207" ht="16.5" customHeight="1">
      <c r="C207" s="100"/>
      <c r="D207" s="128">
        <f>IFERROR(__xludf.DUMMYFUNCTION("""COMPUTED_VALUE"""),3.0)</f>
        <v>3</v>
      </c>
      <c r="E207" s="129" t="str">
        <f>IFERROR(__xludf.DUMMYFUNCTION("""COMPUTED_VALUE"""),"SIN5")</f>
        <v>SIN5</v>
      </c>
      <c r="F207" s="131" t="str">
        <f>IFERROR(__xludf.DUMMYFUNCTION("""COMPUTED_VALUE"""),"SIN")</f>
        <v>SIN</v>
      </c>
      <c r="G207" s="134" t="str">
        <f>IFERROR(__xludf.DUMMYFUNCTION("""COMPUTED_VALUE"""),"Jing Yangyuan")</f>
        <v>Jing Yangyuan</v>
      </c>
      <c r="H207" s="136">
        <f>IFERROR(__xludf.DUMMYFUNCTION("""COMPUTED_VALUE"""),21.0)</f>
        <v>21</v>
      </c>
      <c r="I207" s="138">
        <f>IFERROR(__xludf.DUMMYFUNCTION("""COMPUTED_VALUE"""),47.32142857142857)</f>
        <v>47.32142857</v>
      </c>
      <c r="J207" s="140">
        <f>IFERROR(__xludf.DUMMYFUNCTION("""COMPUTED_VALUE"""),131.6)</f>
        <v>131.6</v>
      </c>
      <c r="K207" s="142" t="str">
        <f>IFERROR(__xludf.DUMMYFUNCTION("""COMPUTED_VALUE"""),"AP")</f>
        <v>AP</v>
      </c>
      <c r="L207" s="144">
        <f>IFERROR(__xludf.DUMMYFUNCTION("""COMPUTED_VALUE"""),15.9999999999999)</f>
        <v>16</v>
      </c>
      <c r="M207" s="142" t="str">
        <f>IFERROR(__xludf.DUMMYFUNCTION("""COMPUTED_VALUE"""),"％")</f>
        <v>％</v>
      </c>
      <c r="N207" s="136">
        <f>IFERROR(__xludf.DUMMYFUNCTION("""COMPUTED_VALUE"""),3985.0)</f>
        <v>3985</v>
      </c>
      <c r="O207" s="100"/>
      <c r="P207" s="371" t="str">
        <f>IFERROR(__xludf.DUMMYFUNCTION("""COMPUTED_VALUE"""),"")</f>
        <v/>
      </c>
      <c r="Q207" s="458" t="str">
        <f>IFERROR(__xludf.DUMMYFUNCTION("""COMPUTED_VALUE"""),"")</f>
        <v/>
      </c>
      <c r="R207" s="459" t="str">
        <f>IFERROR(__xludf.DUMMYFUNCTION("""COMPUTED_VALUE"""),"")</f>
        <v/>
      </c>
      <c r="S207" s="459" t="str">
        <f>IFERROR(__xludf.DUMMYFUNCTION("""COMPUTED_VALUE"""),"")</f>
        <v/>
      </c>
      <c r="T207" t="str">
        <f>IFERROR(__xludf.DUMMYFUNCTION("""COMPUTED_VALUE"""),"")</f>
        <v/>
      </c>
      <c r="U207" t="str">
        <f>IFERROR(__xludf.DUMMYFUNCTION("""COMPUTED_VALUE"""),"")</f>
        <v/>
      </c>
      <c r="V207" t="str">
        <f>IFERROR(__xludf.DUMMYFUNCTION("""COMPUTED_VALUE"""),"")</f>
        <v/>
      </c>
      <c r="W207" t="str">
        <f>IFERROR(__xludf.DUMMYFUNCTION("""COMPUTED_VALUE"""),"")</f>
        <v/>
      </c>
      <c r="X207" t="str">
        <f>IFERROR(__xludf.DUMMYFUNCTION("""COMPUTED_VALUE"""),"")</f>
        <v/>
      </c>
      <c r="Y207" t="str">
        <f>IFERROR(__xludf.DUMMYFUNCTION("""COMPUTED_VALUE"""),"")</f>
        <v/>
      </c>
      <c r="Z207" t="str">
        <f>IFERROR(__xludf.DUMMYFUNCTION("""COMPUTED_VALUE"""),"")</f>
        <v/>
      </c>
      <c r="AA207" t="str">
        <f>IFERROR(__xludf.DUMMYFUNCTION("""COMPUTED_VALUE"""),"")</f>
        <v/>
      </c>
      <c r="AB207" t="str">
        <f>IFERROR(__xludf.DUMMYFUNCTION("""COMPUTED_VALUE"""),"")</f>
        <v/>
      </c>
      <c r="AC207" t="str">
        <f>IFERROR(__xludf.DUMMYFUNCTION("""COMPUTED_VALUE"""),"")</f>
        <v/>
      </c>
      <c r="AD207" t="str">
        <f>IFERROR(__xludf.DUMMYFUNCTION("""COMPUTED_VALUE"""),"")</f>
        <v/>
      </c>
      <c r="AE207" s="460" t="str">
        <f>IFERROR(__xludf.DUMMYFUNCTION("""COMPUTED_VALUE"""),"")</f>
        <v/>
      </c>
      <c r="AF207" s="372" t="str">
        <f>IFERROR(__xludf.DUMMYFUNCTION("""COMPUTED_VALUE"""),"")</f>
        <v/>
      </c>
    </row>
    <row r="208" ht="16.5" customHeight="1">
      <c r="C208" s="100"/>
      <c r="D208" s="147">
        <f>IFERROR(__xludf.DUMMYFUNCTION("""COMPUTED_VALUE"""),4.0)</f>
        <v>4</v>
      </c>
      <c r="E208" s="149" t="str">
        <f>IFERROR(__xludf.DUMMYFUNCTION("""COMPUTED_VALUE"""),"SIN10")</f>
        <v>SIN10</v>
      </c>
      <c r="F208" s="151" t="str">
        <f>IFERROR(__xludf.DUMMYFUNCTION("""COMPUTED_VALUE"""),"SIN")</f>
        <v>SIN</v>
      </c>
      <c r="G208" s="153" t="str">
        <f>IFERROR(__xludf.DUMMYFUNCTION("""COMPUTED_VALUE"""),"Xianyang")</f>
        <v>Xianyang</v>
      </c>
      <c r="H208" s="155">
        <f>IFERROR(__xludf.DUMMYFUNCTION("""COMPUTED_VALUE"""),21.0)</f>
        <v>21</v>
      </c>
      <c r="I208" s="157">
        <f>IFERROR(__xludf.DUMMYFUNCTION("""COMPUTED_VALUE"""),50.892857142857146)</f>
        <v>50.89285714</v>
      </c>
      <c r="J208" s="159">
        <f>IFERROR(__xludf.DUMMYFUNCTION("""COMPUTED_VALUE"""),131.9)</f>
        <v>131.9</v>
      </c>
      <c r="K208" s="161" t="str">
        <f>IFERROR(__xludf.DUMMYFUNCTION("""COMPUTED_VALUE"""),"AP")</f>
        <v>AP</v>
      </c>
      <c r="L208" s="163">
        <f>IFERROR(__xludf.DUMMYFUNCTION("""COMPUTED_VALUE"""),15.9)</f>
        <v>15.9</v>
      </c>
      <c r="M208" s="161" t="str">
        <f>IFERROR(__xludf.DUMMYFUNCTION("""COMPUTED_VALUE"""),"％")</f>
        <v>％</v>
      </c>
      <c r="N208" s="155">
        <f>IFERROR(__xludf.DUMMYFUNCTION("""COMPUTED_VALUE"""),7993.0)</f>
        <v>7993</v>
      </c>
      <c r="O208" s="100"/>
      <c r="P208" s="371" t="str">
        <f>IFERROR(__xludf.DUMMYFUNCTION("""COMPUTED_VALUE"""),"")</f>
        <v/>
      </c>
      <c r="Q208" s="458" t="str">
        <f>IFERROR(__xludf.DUMMYFUNCTION("""COMPUTED_VALUE"""),"")</f>
        <v/>
      </c>
      <c r="R208" s="459" t="str">
        <f>IFERROR(__xludf.DUMMYFUNCTION("""COMPUTED_VALUE"""),"")</f>
        <v/>
      </c>
      <c r="S208" s="459" t="str">
        <f>IFERROR(__xludf.DUMMYFUNCTION("""COMPUTED_VALUE"""),"")</f>
        <v/>
      </c>
      <c r="T208" t="str">
        <f>IFERROR(__xludf.DUMMYFUNCTION("""COMPUTED_VALUE"""),"")</f>
        <v/>
      </c>
      <c r="U208" t="str">
        <f>IFERROR(__xludf.DUMMYFUNCTION("""COMPUTED_VALUE"""),"")</f>
        <v/>
      </c>
      <c r="V208" t="str">
        <f>IFERROR(__xludf.DUMMYFUNCTION("""COMPUTED_VALUE"""),"")</f>
        <v/>
      </c>
      <c r="W208" t="str">
        <f>IFERROR(__xludf.DUMMYFUNCTION("""COMPUTED_VALUE"""),"")</f>
        <v/>
      </c>
      <c r="X208" t="str">
        <f>IFERROR(__xludf.DUMMYFUNCTION("""COMPUTED_VALUE"""),"")</f>
        <v/>
      </c>
      <c r="Y208" t="str">
        <f>IFERROR(__xludf.DUMMYFUNCTION("""COMPUTED_VALUE"""),"")</f>
        <v/>
      </c>
      <c r="Z208" t="str">
        <f>IFERROR(__xludf.DUMMYFUNCTION("""COMPUTED_VALUE"""),"")</f>
        <v/>
      </c>
      <c r="AA208" t="str">
        <f>IFERROR(__xludf.DUMMYFUNCTION("""COMPUTED_VALUE"""),"")</f>
        <v/>
      </c>
      <c r="AB208" t="str">
        <f>IFERROR(__xludf.DUMMYFUNCTION("""COMPUTED_VALUE"""),"")</f>
        <v/>
      </c>
      <c r="AC208" t="str">
        <f>IFERROR(__xludf.DUMMYFUNCTION("""COMPUTED_VALUE"""),"")</f>
        <v/>
      </c>
      <c r="AD208" t="str">
        <f>IFERROR(__xludf.DUMMYFUNCTION("""COMPUTED_VALUE"""),"")</f>
        <v/>
      </c>
      <c r="AE208" s="460" t="str">
        <f>IFERROR(__xludf.DUMMYFUNCTION("""COMPUTED_VALUE"""),"")</f>
        <v/>
      </c>
      <c r="AF208" s="372" t="str">
        <f>IFERROR(__xludf.DUMMYFUNCTION("""COMPUTED_VALUE"""),"")</f>
        <v/>
      </c>
    </row>
    <row r="209" ht="16.5" customHeight="1">
      <c r="A209" s="166"/>
      <c r="C209" s="168"/>
      <c r="D209" s="169">
        <f>IFERROR(__xludf.DUMMYFUNCTION("""COMPUTED_VALUE"""),5.0)</f>
        <v>5</v>
      </c>
      <c r="E209" s="170" t="str">
        <f>IFERROR(__xludf.DUMMYFUNCTION("""COMPUTED_VALUE"""),"SIN6")</f>
        <v>SIN6</v>
      </c>
      <c r="F209" s="51" t="str">
        <f>IFERROR(__xludf.DUMMYFUNCTION("""COMPUTED_VALUE"""),"SIN")</f>
        <v>SIN</v>
      </c>
      <c r="G209" s="171" t="str">
        <f>IFERROR(__xludf.DUMMYFUNCTION("""COMPUTED_VALUE"""),"Shenyang Knoll")</f>
        <v>Shenyang Knoll</v>
      </c>
      <c r="H209" s="172">
        <f>IFERROR(__xludf.DUMMYFUNCTION("""COMPUTED_VALUE"""),21.0)</f>
        <v>21</v>
      </c>
      <c r="I209" s="173">
        <f>IFERROR(__xludf.DUMMYFUNCTION("""COMPUTED_VALUE"""),48.51190476190476)</f>
        <v>48.51190476</v>
      </c>
      <c r="J209" s="174">
        <f>IFERROR(__xludf.DUMMYFUNCTION("""COMPUTED_VALUE"""),143.6)</f>
        <v>143.6</v>
      </c>
      <c r="K209" s="175" t="str">
        <f>IFERROR(__xludf.DUMMYFUNCTION("""COMPUTED_VALUE"""),"AP")</f>
        <v>AP</v>
      </c>
      <c r="L209" s="176">
        <f>IFERROR(__xludf.DUMMYFUNCTION("""COMPUTED_VALUE"""),14.6)</f>
        <v>14.6</v>
      </c>
      <c r="M209" s="175" t="str">
        <f>IFERROR(__xludf.DUMMYFUNCTION("""COMPUTED_VALUE"""),"％")</f>
        <v>％</v>
      </c>
      <c r="N209" s="172">
        <f>IFERROR(__xludf.DUMMYFUNCTION("""COMPUTED_VALUE"""),2331.0)</f>
        <v>2331</v>
      </c>
      <c r="O209" s="168"/>
      <c r="P209" s="371" t="str">
        <f>IFERROR(__xludf.DUMMYFUNCTION("""COMPUTED_VALUE"""),"")</f>
        <v/>
      </c>
      <c r="Q209" s="458" t="str">
        <f>IFERROR(__xludf.DUMMYFUNCTION("""COMPUTED_VALUE"""),"")</f>
        <v/>
      </c>
      <c r="R209" s="459" t="str">
        <f>IFERROR(__xludf.DUMMYFUNCTION("""COMPUTED_VALUE"""),"")</f>
        <v/>
      </c>
      <c r="S209" s="459" t="str">
        <f>IFERROR(__xludf.DUMMYFUNCTION("""COMPUTED_VALUE"""),"")</f>
        <v/>
      </c>
      <c r="T209" t="str">
        <f>IFERROR(__xludf.DUMMYFUNCTION("""COMPUTED_VALUE"""),"")</f>
        <v/>
      </c>
      <c r="U209" t="str">
        <f>IFERROR(__xludf.DUMMYFUNCTION("""COMPUTED_VALUE"""),"")</f>
        <v/>
      </c>
      <c r="V209" t="str">
        <f>IFERROR(__xludf.DUMMYFUNCTION("""COMPUTED_VALUE"""),"")</f>
        <v/>
      </c>
      <c r="W209" t="str">
        <f>IFERROR(__xludf.DUMMYFUNCTION("""COMPUTED_VALUE"""),"")</f>
        <v/>
      </c>
      <c r="X209" t="str">
        <f>IFERROR(__xludf.DUMMYFUNCTION("""COMPUTED_VALUE"""),"")</f>
        <v/>
      </c>
      <c r="Y209" t="str">
        <f>IFERROR(__xludf.DUMMYFUNCTION("""COMPUTED_VALUE"""),"")</f>
        <v/>
      </c>
      <c r="Z209" t="str">
        <f>IFERROR(__xludf.DUMMYFUNCTION("""COMPUTED_VALUE"""),"")</f>
        <v/>
      </c>
      <c r="AA209" t="str">
        <f>IFERROR(__xludf.DUMMYFUNCTION("""COMPUTED_VALUE"""),"")</f>
        <v/>
      </c>
      <c r="AB209" t="str">
        <f>IFERROR(__xludf.DUMMYFUNCTION("""COMPUTED_VALUE"""),"")</f>
        <v/>
      </c>
      <c r="AC209" t="str">
        <f>IFERROR(__xludf.DUMMYFUNCTION("""COMPUTED_VALUE"""),"")</f>
        <v/>
      </c>
      <c r="AD209" t="str">
        <f>IFERROR(__xludf.DUMMYFUNCTION("""COMPUTED_VALUE"""),"")</f>
        <v/>
      </c>
      <c r="AE209" s="460" t="str">
        <f>IFERROR(__xludf.DUMMYFUNCTION("""COMPUTED_VALUE"""),"")</f>
        <v/>
      </c>
      <c r="AF209" s="372" t="str">
        <f>IFERROR(__xludf.DUMMYFUNCTION("""COMPUTED_VALUE"""),"")</f>
        <v/>
      </c>
    </row>
    <row r="210" ht="16.5" customHeight="1">
      <c r="A210" s="61" t="str">
        <f>IFERROR(__xludf.DUMMYFUNCTION("""COMPUTED_VALUE"""),"")</f>
        <v/>
      </c>
      <c r="B210" s="366" t="str">
        <f>IFERROR(__xludf.DUMMYFUNCTION("""COMPUTED_VALUE"""),"A114")</f>
        <v>A114</v>
      </c>
      <c r="C210" s="180" t="str">
        <f>IFERROR(__xludf.DUMMYFUNCTION("""COMPUTED_VALUE"""),"Tsukumo Mirror")</f>
        <v>Tsukumo Mirror</v>
      </c>
      <c r="D210" s="185">
        <f>IFERROR(__xludf.DUMMYFUNCTION("""COMPUTED_VALUE"""),1.0)</f>
        <v>1</v>
      </c>
      <c r="E210" s="187" t="str">
        <f>IFERROR(__xludf.DUMMYFUNCTION("""COMPUTED_VALUE"""),"SMS9")</f>
        <v>SMS9</v>
      </c>
      <c r="F210" s="188" t="str">
        <f>IFERROR(__xludf.DUMMYFUNCTION("""COMPUTED_VALUE"""),"Shimosa")</f>
        <v>Shimosa</v>
      </c>
      <c r="G210" s="193" t="str">
        <f>IFERROR(__xludf.DUMMYFUNCTION("""COMPUTED_VALUE"""),"Rear Mountain (Trembling in Fear)")</f>
        <v>Rear Mountain (Trembling in Fear)</v>
      </c>
      <c r="H210" s="195">
        <f>IFERROR(__xludf.DUMMYFUNCTION("""COMPUTED_VALUE"""),21.0)</f>
        <v>21</v>
      </c>
      <c r="I210" s="196">
        <f>IFERROR(__xludf.DUMMYFUNCTION("""COMPUTED_VALUE"""),50.892857142857146)</f>
        <v>50.89285714</v>
      </c>
      <c r="J210" s="198">
        <f>IFERROR(__xludf.DUMMYFUNCTION("""COMPUTED_VALUE"""),171.2)</f>
        <v>171.2</v>
      </c>
      <c r="K210" s="200" t="str">
        <f>IFERROR(__xludf.DUMMYFUNCTION("""COMPUTED_VALUE"""),"AP")</f>
        <v>AP</v>
      </c>
      <c r="L210" s="198">
        <f>IFERROR(__xludf.DUMMYFUNCTION("""COMPUTED_VALUE"""),12.3)</f>
        <v>12.3</v>
      </c>
      <c r="M210" s="201" t="str">
        <f>IFERROR(__xludf.DUMMYFUNCTION("""COMPUTED_VALUE"""),"％")</f>
        <v>％</v>
      </c>
      <c r="N210" s="195">
        <f>IFERROR(__xludf.DUMMYFUNCTION("""COMPUTED_VALUE"""),18465.0)</f>
        <v>18465</v>
      </c>
      <c r="O210" s="197" t="str">
        <f>IFERROR(__xludf.DUMMYFUNCTION("""COMPUTED_VALUE"""),"Tsukumo Mirror")</f>
        <v>Tsukumo Mirror</v>
      </c>
      <c r="P210" s="371" t="str">
        <f>IFERROR(__xludf.DUMMYFUNCTION("""COMPUTED_VALUE"""),"")</f>
        <v/>
      </c>
      <c r="Q210" s="458" t="str">
        <f>IFERROR(__xludf.DUMMYFUNCTION("""COMPUTED_VALUE"""),"")</f>
        <v/>
      </c>
      <c r="R210" s="459" t="str">
        <f>IFERROR(__xludf.DUMMYFUNCTION("""COMPUTED_VALUE"""),"")</f>
        <v/>
      </c>
      <c r="S210" s="459" t="str">
        <f>IFERROR(__xludf.DUMMYFUNCTION("""COMPUTED_VALUE"""),"")</f>
        <v/>
      </c>
      <c r="T210" t="str">
        <f>IFERROR(__xludf.DUMMYFUNCTION("""COMPUTED_VALUE"""),"")</f>
        <v/>
      </c>
      <c r="U210" t="str">
        <f>IFERROR(__xludf.DUMMYFUNCTION("""COMPUTED_VALUE"""),"")</f>
        <v/>
      </c>
      <c r="V210" t="str">
        <f>IFERROR(__xludf.DUMMYFUNCTION("""COMPUTED_VALUE"""),"")</f>
        <v/>
      </c>
      <c r="W210" t="str">
        <f>IFERROR(__xludf.DUMMYFUNCTION("""COMPUTED_VALUE"""),"")</f>
        <v/>
      </c>
      <c r="X210" t="str">
        <f>IFERROR(__xludf.DUMMYFUNCTION("""COMPUTED_VALUE"""),"")</f>
        <v/>
      </c>
      <c r="Y210" t="str">
        <f>IFERROR(__xludf.DUMMYFUNCTION("""COMPUTED_VALUE"""),"")</f>
        <v/>
      </c>
      <c r="Z210" t="str">
        <f>IFERROR(__xludf.DUMMYFUNCTION("""COMPUTED_VALUE"""),"")</f>
        <v/>
      </c>
      <c r="AA210" t="str">
        <f>IFERROR(__xludf.DUMMYFUNCTION("""COMPUTED_VALUE"""),"")</f>
        <v/>
      </c>
      <c r="AB210" t="str">
        <f>IFERROR(__xludf.DUMMYFUNCTION("""COMPUTED_VALUE"""),"")</f>
        <v/>
      </c>
      <c r="AC210" t="str">
        <f>IFERROR(__xludf.DUMMYFUNCTION("""COMPUTED_VALUE"""),"")</f>
        <v/>
      </c>
      <c r="AD210" t="str">
        <f>IFERROR(__xludf.DUMMYFUNCTION("""COMPUTED_VALUE"""),"")</f>
        <v/>
      </c>
      <c r="AE210" s="460" t="str">
        <f>IFERROR(__xludf.DUMMYFUNCTION("""COMPUTED_VALUE"""),"")</f>
        <v/>
      </c>
      <c r="AF210" s="372" t="str">
        <f>IFERROR(__xludf.DUMMYFUNCTION("""COMPUTED_VALUE"""),"")</f>
        <v/>
      </c>
    </row>
    <row r="211" ht="16.5" customHeight="1">
      <c r="C211" s="204"/>
      <c r="D211" s="208">
        <f>IFERROR(__xludf.DUMMYFUNCTION("""COMPUTED_VALUE"""),2.0)</f>
        <v>2</v>
      </c>
      <c r="E211" s="210" t="str">
        <f>IFERROR(__xludf.DUMMYFUNCTION("""COMPUTED_VALUE"""),"")</f>
        <v/>
      </c>
      <c r="F211" s="212" t="str">
        <f>IFERROR(__xludf.DUMMYFUNCTION("""COMPUTED_VALUE"""),"")</f>
        <v/>
      </c>
      <c r="G211" s="212" t="str">
        <f>IFERROR(__xludf.DUMMYFUNCTION("""COMPUTED_VALUE"""),"")</f>
        <v/>
      </c>
      <c r="H211" s="218" t="str">
        <f>IFERROR(__xludf.DUMMYFUNCTION("""COMPUTED_VALUE"""),"")</f>
        <v/>
      </c>
      <c r="I211" s="219" t="str">
        <f>IFERROR(__xludf.DUMMYFUNCTION("""COMPUTED_VALUE"""),"")</f>
        <v/>
      </c>
      <c r="J211" s="220" t="str">
        <f>IFERROR(__xludf.DUMMYFUNCTION("""COMPUTED_VALUE"""),"")</f>
        <v/>
      </c>
      <c r="K211" s="221" t="str">
        <f>IFERROR(__xludf.DUMMYFUNCTION("""COMPUTED_VALUE"""),"AP")</f>
        <v>AP</v>
      </c>
      <c r="L211" s="220" t="str">
        <f>IFERROR(__xludf.DUMMYFUNCTION("""COMPUTED_VALUE"""),"")</f>
        <v/>
      </c>
      <c r="M211" s="221" t="str">
        <f>IFERROR(__xludf.DUMMYFUNCTION("""COMPUTED_VALUE"""),"％")</f>
        <v>％</v>
      </c>
      <c r="N211" s="218" t="str">
        <f>IFERROR(__xludf.DUMMYFUNCTION("""COMPUTED_VALUE"""),"")</f>
        <v/>
      </c>
      <c r="O211" s="217"/>
      <c r="P211" s="371" t="str">
        <f>IFERROR(__xludf.DUMMYFUNCTION("""COMPUTED_VALUE"""),"")</f>
        <v/>
      </c>
      <c r="Q211" s="458" t="str">
        <f>IFERROR(__xludf.DUMMYFUNCTION("""COMPUTED_VALUE"""),"")</f>
        <v/>
      </c>
      <c r="R211" s="459" t="str">
        <f>IFERROR(__xludf.DUMMYFUNCTION("""COMPUTED_VALUE"""),"")</f>
        <v/>
      </c>
      <c r="S211" s="459" t="str">
        <f>IFERROR(__xludf.DUMMYFUNCTION("""COMPUTED_VALUE"""),"")</f>
        <v/>
      </c>
      <c r="T211" t="str">
        <f>IFERROR(__xludf.DUMMYFUNCTION("""COMPUTED_VALUE"""),"")</f>
        <v/>
      </c>
      <c r="U211" t="str">
        <f>IFERROR(__xludf.DUMMYFUNCTION("""COMPUTED_VALUE"""),"")</f>
        <v/>
      </c>
      <c r="V211" t="str">
        <f>IFERROR(__xludf.DUMMYFUNCTION("""COMPUTED_VALUE"""),"")</f>
        <v/>
      </c>
      <c r="W211" t="str">
        <f>IFERROR(__xludf.DUMMYFUNCTION("""COMPUTED_VALUE"""),"")</f>
        <v/>
      </c>
      <c r="X211" t="str">
        <f>IFERROR(__xludf.DUMMYFUNCTION("""COMPUTED_VALUE"""),"")</f>
        <v/>
      </c>
      <c r="Y211" t="str">
        <f>IFERROR(__xludf.DUMMYFUNCTION("""COMPUTED_VALUE"""),"")</f>
        <v/>
      </c>
      <c r="Z211" t="str">
        <f>IFERROR(__xludf.DUMMYFUNCTION("""COMPUTED_VALUE"""),"")</f>
        <v/>
      </c>
      <c r="AA211" t="str">
        <f>IFERROR(__xludf.DUMMYFUNCTION("""COMPUTED_VALUE"""),"")</f>
        <v/>
      </c>
      <c r="AB211" t="str">
        <f>IFERROR(__xludf.DUMMYFUNCTION("""COMPUTED_VALUE"""),"")</f>
        <v/>
      </c>
      <c r="AC211" t="str">
        <f>IFERROR(__xludf.DUMMYFUNCTION("""COMPUTED_VALUE"""),"")</f>
        <v/>
      </c>
      <c r="AD211" t="str">
        <f>IFERROR(__xludf.DUMMYFUNCTION("""COMPUTED_VALUE"""),"")</f>
        <v/>
      </c>
      <c r="AE211" s="460" t="str">
        <f>IFERROR(__xludf.DUMMYFUNCTION("""COMPUTED_VALUE"""),"")</f>
        <v/>
      </c>
      <c r="AF211" s="372" t="str">
        <f>IFERROR(__xludf.DUMMYFUNCTION("""COMPUTED_VALUE"""),"")</f>
        <v/>
      </c>
    </row>
    <row r="212" ht="16.5" customHeight="1">
      <c r="C212" s="204"/>
      <c r="D212" s="225">
        <f>IFERROR(__xludf.DUMMYFUNCTION("""COMPUTED_VALUE"""),3.0)</f>
        <v>3</v>
      </c>
      <c r="E212" s="227" t="str">
        <f>IFERROR(__xludf.DUMMYFUNCTION("""COMPUTED_VALUE"""),"")</f>
        <v/>
      </c>
      <c r="F212" s="229" t="str">
        <f>IFERROR(__xludf.DUMMYFUNCTION("""COMPUTED_VALUE"""),"")</f>
        <v/>
      </c>
      <c r="G212" s="229" t="str">
        <f>IFERROR(__xludf.DUMMYFUNCTION("""COMPUTED_VALUE"""),"")</f>
        <v/>
      </c>
      <c r="H212" s="234" t="str">
        <f>IFERROR(__xludf.DUMMYFUNCTION("""COMPUTED_VALUE"""),"")</f>
        <v/>
      </c>
      <c r="I212" s="235" t="str">
        <f>IFERROR(__xludf.DUMMYFUNCTION("""COMPUTED_VALUE"""),"")</f>
        <v/>
      </c>
      <c r="J212" s="236" t="str">
        <f>IFERROR(__xludf.DUMMYFUNCTION("""COMPUTED_VALUE"""),"")</f>
        <v/>
      </c>
      <c r="K212" s="237" t="str">
        <f>IFERROR(__xludf.DUMMYFUNCTION("""COMPUTED_VALUE"""),"AP")</f>
        <v>AP</v>
      </c>
      <c r="L212" s="236" t="str">
        <f>IFERROR(__xludf.DUMMYFUNCTION("""COMPUTED_VALUE"""),"")</f>
        <v/>
      </c>
      <c r="M212" s="237" t="str">
        <f>IFERROR(__xludf.DUMMYFUNCTION("""COMPUTED_VALUE"""),"％")</f>
        <v>％</v>
      </c>
      <c r="N212" s="234" t="str">
        <f>IFERROR(__xludf.DUMMYFUNCTION("""COMPUTED_VALUE"""),"")</f>
        <v/>
      </c>
      <c r="O212" s="217"/>
      <c r="P212" s="371" t="str">
        <f>IFERROR(__xludf.DUMMYFUNCTION("""COMPUTED_VALUE"""),"")</f>
        <v/>
      </c>
      <c r="Q212" s="458" t="str">
        <f>IFERROR(__xludf.DUMMYFUNCTION("""COMPUTED_VALUE"""),"")</f>
        <v/>
      </c>
      <c r="R212" s="459" t="str">
        <f>IFERROR(__xludf.DUMMYFUNCTION("""COMPUTED_VALUE"""),"")</f>
        <v/>
      </c>
      <c r="S212" s="459" t="str">
        <f>IFERROR(__xludf.DUMMYFUNCTION("""COMPUTED_VALUE"""),"")</f>
        <v/>
      </c>
      <c r="T212" t="str">
        <f>IFERROR(__xludf.DUMMYFUNCTION("""COMPUTED_VALUE"""),"")</f>
        <v/>
      </c>
      <c r="U212" t="str">
        <f>IFERROR(__xludf.DUMMYFUNCTION("""COMPUTED_VALUE"""),"")</f>
        <v/>
      </c>
      <c r="V212" t="str">
        <f>IFERROR(__xludf.DUMMYFUNCTION("""COMPUTED_VALUE"""),"")</f>
        <v/>
      </c>
      <c r="W212" t="str">
        <f>IFERROR(__xludf.DUMMYFUNCTION("""COMPUTED_VALUE"""),"")</f>
        <v/>
      </c>
      <c r="X212" t="str">
        <f>IFERROR(__xludf.DUMMYFUNCTION("""COMPUTED_VALUE"""),"")</f>
        <v/>
      </c>
      <c r="Y212" t="str">
        <f>IFERROR(__xludf.DUMMYFUNCTION("""COMPUTED_VALUE"""),"")</f>
        <v/>
      </c>
      <c r="Z212" t="str">
        <f>IFERROR(__xludf.DUMMYFUNCTION("""COMPUTED_VALUE"""),"")</f>
        <v/>
      </c>
      <c r="AA212" t="str">
        <f>IFERROR(__xludf.DUMMYFUNCTION("""COMPUTED_VALUE"""),"")</f>
        <v/>
      </c>
      <c r="AB212" t="str">
        <f>IFERROR(__xludf.DUMMYFUNCTION("""COMPUTED_VALUE"""),"")</f>
        <v/>
      </c>
      <c r="AC212" t="str">
        <f>IFERROR(__xludf.DUMMYFUNCTION("""COMPUTED_VALUE"""),"")</f>
        <v/>
      </c>
      <c r="AD212" t="str">
        <f>IFERROR(__xludf.DUMMYFUNCTION("""COMPUTED_VALUE"""),"")</f>
        <v/>
      </c>
      <c r="AE212" s="460" t="str">
        <f>IFERROR(__xludf.DUMMYFUNCTION("""COMPUTED_VALUE"""),"")</f>
        <v/>
      </c>
      <c r="AF212" s="372" t="str">
        <f>IFERROR(__xludf.DUMMYFUNCTION("""COMPUTED_VALUE"""),"")</f>
        <v/>
      </c>
    </row>
    <row r="213" ht="16.5" customHeight="1">
      <c r="C213" s="204"/>
      <c r="D213" s="239">
        <f>IFERROR(__xludf.DUMMYFUNCTION("""COMPUTED_VALUE"""),4.0)</f>
        <v>4</v>
      </c>
      <c r="E213" s="241" t="str">
        <f>IFERROR(__xludf.DUMMYFUNCTION("""COMPUTED_VALUE"""),"")</f>
        <v/>
      </c>
      <c r="F213" s="243" t="str">
        <f>IFERROR(__xludf.DUMMYFUNCTION("""COMPUTED_VALUE"""),"")</f>
        <v/>
      </c>
      <c r="G213" s="243" t="str">
        <f>IFERROR(__xludf.DUMMYFUNCTION("""COMPUTED_VALUE"""),"")</f>
        <v/>
      </c>
      <c r="H213" s="247" t="str">
        <f>IFERROR(__xludf.DUMMYFUNCTION("""COMPUTED_VALUE"""),"")</f>
        <v/>
      </c>
      <c r="I213" s="249" t="str">
        <f>IFERROR(__xludf.DUMMYFUNCTION("""COMPUTED_VALUE"""),"")</f>
        <v/>
      </c>
      <c r="J213" s="251" t="str">
        <f>IFERROR(__xludf.DUMMYFUNCTION("""COMPUTED_VALUE"""),"")</f>
        <v/>
      </c>
      <c r="K213" s="253" t="str">
        <f>IFERROR(__xludf.DUMMYFUNCTION("""COMPUTED_VALUE"""),"AP")</f>
        <v>AP</v>
      </c>
      <c r="L213" s="251" t="str">
        <f>IFERROR(__xludf.DUMMYFUNCTION("""COMPUTED_VALUE"""),"")</f>
        <v/>
      </c>
      <c r="M213" s="253" t="str">
        <f>IFERROR(__xludf.DUMMYFUNCTION("""COMPUTED_VALUE"""),"％")</f>
        <v>％</v>
      </c>
      <c r="N213" s="247" t="str">
        <f>IFERROR(__xludf.DUMMYFUNCTION("""COMPUTED_VALUE"""),"")</f>
        <v/>
      </c>
      <c r="O213" s="217"/>
      <c r="P213" s="371" t="str">
        <f>IFERROR(__xludf.DUMMYFUNCTION("""COMPUTED_VALUE"""),"")</f>
        <v/>
      </c>
      <c r="Q213" s="458" t="str">
        <f>IFERROR(__xludf.DUMMYFUNCTION("""COMPUTED_VALUE"""),"")</f>
        <v/>
      </c>
      <c r="R213" s="459" t="str">
        <f>IFERROR(__xludf.DUMMYFUNCTION("""COMPUTED_VALUE"""),"")</f>
        <v/>
      </c>
      <c r="S213" s="459" t="str">
        <f>IFERROR(__xludf.DUMMYFUNCTION("""COMPUTED_VALUE"""),"")</f>
        <v/>
      </c>
      <c r="T213" t="str">
        <f>IFERROR(__xludf.DUMMYFUNCTION("""COMPUTED_VALUE"""),"")</f>
        <v/>
      </c>
      <c r="U213" t="str">
        <f>IFERROR(__xludf.DUMMYFUNCTION("""COMPUTED_VALUE"""),"")</f>
        <v/>
      </c>
      <c r="V213" t="str">
        <f>IFERROR(__xludf.DUMMYFUNCTION("""COMPUTED_VALUE"""),"")</f>
        <v/>
      </c>
      <c r="W213" t="str">
        <f>IFERROR(__xludf.DUMMYFUNCTION("""COMPUTED_VALUE"""),"")</f>
        <v/>
      </c>
      <c r="X213" t="str">
        <f>IFERROR(__xludf.DUMMYFUNCTION("""COMPUTED_VALUE"""),"")</f>
        <v/>
      </c>
      <c r="Y213" t="str">
        <f>IFERROR(__xludf.DUMMYFUNCTION("""COMPUTED_VALUE"""),"")</f>
        <v/>
      </c>
      <c r="Z213" t="str">
        <f>IFERROR(__xludf.DUMMYFUNCTION("""COMPUTED_VALUE"""),"")</f>
        <v/>
      </c>
      <c r="AA213" t="str">
        <f>IFERROR(__xludf.DUMMYFUNCTION("""COMPUTED_VALUE"""),"")</f>
        <v/>
      </c>
      <c r="AB213" t="str">
        <f>IFERROR(__xludf.DUMMYFUNCTION("""COMPUTED_VALUE"""),"")</f>
        <v/>
      </c>
      <c r="AC213" t="str">
        <f>IFERROR(__xludf.DUMMYFUNCTION("""COMPUTED_VALUE"""),"")</f>
        <v/>
      </c>
      <c r="AD213" t="str">
        <f>IFERROR(__xludf.DUMMYFUNCTION("""COMPUTED_VALUE"""),"")</f>
        <v/>
      </c>
      <c r="AE213" s="460" t="str">
        <f>IFERROR(__xludf.DUMMYFUNCTION("""COMPUTED_VALUE"""),"")</f>
        <v/>
      </c>
      <c r="AF213" s="372" t="str">
        <f>IFERROR(__xludf.DUMMYFUNCTION("""COMPUTED_VALUE"""),"")</f>
        <v/>
      </c>
    </row>
    <row r="214" ht="16.5" customHeight="1">
      <c r="A214" s="166"/>
      <c r="C214" s="255"/>
      <c r="D214" s="256">
        <f>IFERROR(__xludf.DUMMYFUNCTION("""COMPUTED_VALUE"""),5.0)</f>
        <v>5</v>
      </c>
      <c r="E214" s="257" t="str">
        <f>IFERROR(__xludf.DUMMYFUNCTION("""COMPUTED_VALUE"""),"")</f>
        <v/>
      </c>
      <c r="F214" s="42" t="str">
        <f>IFERROR(__xludf.DUMMYFUNCTION("""COMPUTED_VALUE"""),"")</f>
        <v/>
      </c>
      <c r="G214" s="42" t="str">
        <f>IFERROR(__xludf.DUMMYFUNCTION("""COMPUTED_VALUE"""),"")</f>
        <v/>
      </c>
      <c r="H214" s="259" t="str">
        <f>IFERROR(__xludf.DUMMYFUNCTION("""COMPUTED_VALUE"""),"")</f>
        <v/>
      </c>
      <c r="I214" s="260" t="str">
        <f>IFERROR(__xludf.DUMMYFUNCTION("""COMPUTED_VALUE"""),"")</f>
        <v/>
      </c>
      <c r="J214" s="261" t="str">
        <f>IFERROR(__xludf.DUMMYFUNCTION("""COMPUTED_VALUE"""),"")</f>
        <v/>
      </c>
      <c r="K214" s="262" t="str">
        <f>IFERROR(__xludf.DUMMYFUNCTION("""COMPUTED_VALUE"""),"AP")</f>
        <v>AP</v>
      </c>
      <c r="L214" s="261" t="str">
        <f>IFERROR(__xludf.DUMMYFUNCTION("""COMPUTED_VALUE"""),"")</f>
        <v/>
      </c>
      <c r="M214" s="262" t="str">
        <f>IFERROR(__xludf.DUMMYFUNCTION("""COMPUTED_VALUE"""),"％")</f>
        <v>％</v>
      </c>
      <c r="N214" s="259" t="str">
        <f>IFERROR(__xludf.DUMMYFUNCTION("""COMPUTED_VALUE"""),"")</f>
        <v/>
      </c>
      <c r="O214" s="263"/>
      <c r="P214" s="371" t="str">
        <f>IFERROR(__xludf.DUMMYFUNCTION("""COMPUTED_VALUE"""),"")</f>
        <v/>
      </c>
      <c r="Q214" s="458" t="str">
        <f>IFERROR(__xludf.DUMMYFUNCTION("""COMPUTED_VALUE"""),"")</f>
        <v/>
      </c>
      <c r="R214" s="459" t="str">
        <f>IFERROR(__xludf.DUMMYFUNCTION("""COMPUTED_VALUE"""),"")</f>
        <v/>
      </c>
      <c r="S214" s="459" t="str">
        <f>IFERROR(__xludf.DUMMYFUNCTION("""COMPUTED_VALUE"""),"")</f>
        <v/>
      </c>
      <c r="T214" t="str">
        <f>IFERROR(__xludf.DUMMYFUNCTION("""COMPUTED_VALUE"""),"")</f>
        <v/>
      </c>
      <c r="U214" t="str">
        <f>IFERROR(__xludf.DUMMYFUNCTION("""COMPUTED_VALUE"""),"")</f>
        <v/>
      </c>
      <c r="V214" t="str">
        <f>IFERROR(__xludf.DUMMYFUNCTION("""COMPUTED_VALUE"""),"")</f>
        <v/>
      </c>
      <c r="W214" t="str">
        <f>IFERROR(__xludf.DUMMYFUNCTION("""COMPUTED_VALUE"""),"")</f>
        <v/>
      </c>
      <c r="X214" t="str">
        <f>IFERROR(__xludf.DUMMYFUNCTION("""COMPUTED_VALUE"""),"")</f>
        <v/>
      </c>
      <c r="Y214" t="str">
        <f>IFERROR(__xludf.DUMMYFUNCTION("""COMPUTED_VALUE"""),"")</f>
        <v/>
      </c>
      <c r="Z214" t="str">
        <f>IFERROR(__xludf.DUMMYFUNCTION("""COMPUTED_VALUE"""),"")</f>
        <v/>
      </c>
      <c r="AA214" t="str">
        <f>IFERROR(__xludf.DUMMYFUNCTION("""COMPUTED_VALUE"""),"")</f>
        <v/>
      </c>
      <c r="AB214" t="str">
        <f>IFERROR(__xludf.DUMMYFUNCTION("""COMPUTED_VALUE"""),"")</f>
        <v/>
      </c>
      <c r="AC214" t="str">
        <f>IFERROR(__xludf.DUMMYFUNCTION("""COMPUTED_VALUE"""),"")</f>
        <v/>
      </c>
      <c r="AD214" t="str">
        <f>IFERROR(__xludf.DUMMYFUNCTION("""COMPUTED_VALUE"""),"")</f>
        <v/>
      </c>
      <c r="AE214" s="460" t="str">
        <f>IFERROR(__xludf.DUMMYFUNCTION("""COMPUTED_VALUE"""),"")</f>
        <v/>
      </c>
      <c r="AF214" s="372" t="str">
        <f>IFERROR(__xludf.DUMMYFUNCTION("""COMPUTED_VALUE"""),"")</f>
        <v/>
      </c>
    </row>
    <row r="215" ht="16.5" customHeight="1">
      <c r="A215" s="61" t="str">
        <f>IFERROR(__xludf.DUMMYFUNCTION("""COMPUTED_VALUE"""),"")</f>
        <v/>
      </c>
      <c r="B215" s="367" t="str">
        <f>IFERROR(__xludf.DUMMYFUNCTION("""COMPUTED_VALUE"""),"A115")</f>
        <v>A115</v>
      </c>
      <c r="C215" s="65" t="str">
        <f>IFERROR(__xludf.DUMMYFUNCTION("""COMPUTED_VALUE"""),"Egg of Truth")</f>
        <v>Egg of Truth</v>
      </c>
      <c r="D215" s="70">
        <f>IFERROR(__xludf.DUMMYFUNCTION("""COMPUTED_VALUE"""),1.0)</f>
        <v>1</v>
      </c>
      <c r="E215" s="73" t="str">
        <f>IFERROR(__xludf.DUMMYFUNCTION("""COMPUTED_VALUE"""),"YKS6")</f>
        <v>YKS6</v>
      </c>
      <c r="F215" s="76" t="str">
        <f>IFERROR(__xludf.DUMMYFUNCTION("""COMPUTED_VALUE"""),"Yuga Kshetra")</f>
        <v>Yuga Kshetra</v>
      </c>
      <c r="G215" s="85" t="str">
        <f>IFERROR(__xludf.DUMMYFUNCTION("""COMPUTED_VALUE"""),"Deewar")</f>
        <v>Deewar</v>
      </c>
      <c r="H215" s="87">
        <f>IFERROR(__xludf.DUMMYFUNCTION("""COMPUTED_VALUE"""),21.0)</f>
        <v>21</v>
      </c>
      <c r="I215" s="90">
        <f>IFERROR(__xludf.DUMMYFUNCTION("""COMPUTED_VALUE"""),48.51190476190476)</f>
        <v>48.51190476</v>
      </c>
      <c r="J215" s="92">
        <f>IFERROR(__xludf.DUMMYFUNCTION("""COMPUTED_VALUE"""),170.8)</f>
        <v>170.8</v>
      </c>
      <c r="K215" s="94" t="str">
        <f>IFERROR(__xludf.DUMMYFUNCTION("""COMPUTED_VALUE"""),"AP")</f>
        <v>AP</v>
      </c>
      <c r="L215" s="96">
        <f>IFERROR(__xludf.DUMMYFUNCTION("""COMPUTED_VALUE"""),12.3)</f>
        <v>12.3</v>
      </c>
      <c r="M215" s="94" t="str">
        <f>IFERROR(__xludf.DUMMYFUNCTION("""COMPUTED_VALUE"""),"％")</f>
        <v>％</v>
      </c>
      <c r="N215" s="87">
        <f>IFERROR(__xludf.DUMMYFUNCTION("""COMPUTED_VALUE"""),56066.0)</f>
        <v>56066</v>
      </c>
      <c r="O215" s="97" t="str">
        <f>IFERROR(__xludf.DUMMYFUNCTION("""COMPUTED_VALUE"""),"Egg of Truth")</f>
        <v>Egg of Truth</v>
      </c>
      <c r="P215" s="371" t="str">
        <f>IFERROR(__xludf.DUMMYFUNCTION("""COMPUTED_VALUE"""),"")</f>
        <v/>
      </c>
      <c r="Q215" s="458" t="str">
        <f>IFERROR(__xludf.DUMMYFUNCTION("""COMPUTED_VALUE"""),"")</f>
        <v/>
      </c>
      <c r="R215" s="459" t="str">
        <f>IFERROR(__xludf.DUMMYFUNCTION("""COMPUTED_VALUE"""),"")</f>
        <v/>
      </c>
      <c r="S215" s="459" t="str">
        <f>IFERROR(__xludf.DUMMYFUNCTION("""COMPUTED_VALUE"""),"")</f>
        <v/>
      </c>
      <c r="T215" t="str">
        <f>IFERROR(__xludf.DUMMYFUNCTION("""COMPUTED_VALUE"""),"")</f>
        <v/>
      </c>
      <c r="U215" t="str">
        <f>IFERROR(__xludf.DUMMYFUNCTION("""COMPUTED_VALUE"""),"")</f>
        <v/>
      </c>
      <c r="V215" t="str">
        <f>IFERROR(__xludf.DUMMYFUNCTION("""COMPUTED_VALUE"""),"")</f>
        <v/>
      </c>
      <c r="W215" t="str">
        <f>IFERROR(__xludf.DUMMYFUNCTION("""COMPUTED_VALUE"""),"")</f>
        <v/>
      </c>
      <c r="X215" t="str">
        <f>IFERROR(__xludf.DUMMYFUNCTION("""COMPUTED_VALUE"""),"")</f>
        <v/>
      </c>
      <c r="Y215" t="str">
        <f>IFERROR(__xludf.DUMMYFUNCTION("""COMPUTED_VALUE"""),"")</f>
        <v/>
      </c>
      <c r="Z215" t="str">
        <f>IFERROR(__xludf.DUMMYFUNCTION("""COMPUTED_VALUE"""),"")</f>
        <v/>
      </c>
      <c r="AA215" t="str">
        <f>IFERROR(__xludf.DUMMYFUNCTION("""COMPUTED_VALUE"""),"")</f>
        <v/>
      </c>
      <c r="AB215" t="str">
        <f>IFERROR(__xludf.DUMMYFUNCTION("""COMPUTED_VALUE"""),"")</f>
        <v/>
      </c>
      <c r="AC215" t="str">
        <f>IFERROR(__xludf.DUMMYFUNCTION("""COMPUTED_VALUE"""),"")</f>
        <v/>
      </c>
      <c r="AD215" t="str">
        <f>IFERROR(__xludf.DUMMYFUNCTION("""COMPUTED_VALUE"""),"")</f>
        <v/>
      </c>
      <c r="AE215" s="460" t="str">
        <f>IFERROR(__xludf.DUMMYFUNCTION("""COMPUTED_VALUE"""),"")</f>
        <v/>
      </c>
      <c r="AF215" s="372" t="str">
        <f>IFERROR(__xludf.DUMMYFUNCTION("""COMPUTED_VALUE"""),"")</f>
        <v/>
      </c>
    </row>
    <row r="216" ht="16.5" customHeight="1">
      <c r="C216" s="100"/>
      <c r="D216" s="105">
        <f>IFERROR(__xludf.DUMMYFUNCTION("""COMPUTED_VALUE"""),2.0)</f>
        <v>2</v>
      </c>
      <c r="E216" s="106" t="str">
        <f>IFERROR(__xludf.DUMMYFUNCTION("""COMPUTED_VALUE"""),"YKS9")</f>
        <v>YKS9</v>
      </c>
      <c r="F216" s="107" t="str">
        <f>IFERROR(__xludf.DUMMYFUNCTION("""COMPUTED_VALUE"""),"Yuga Kshetra")</f>
        <v>Yuga Kshetra</v>
      </c>
      <c r="G216" s="114" t="str">
        <f>IFERROR(__xludf.DUMMYFUNCTION("""COMPUTED_VALUE"""),"Eternal Grounds")</f>
        <v>Eternal Grounds</v>
      </c>
      <c r="H216" s="116">
        <f>IFERROR(__xludf.DUMMYFUNCTION("""COMPUTED_VALUE"""),21.0)</f>
        <v>21</v>
      </c>
      <c r="I216" s="118">
        <f>IFERROR(__xludf.DUMMYFUNCTION("""COMPUTED_VALUE"""),50.892857142857146)</f>
        <v>50.89285714</v>
      </c>
      <c r="J216" s="120">
        <f>IFERROR(__xludf.DUMMYFUNCTION("""COMPUTED_VALUE"""),202.0)</f>
        <v>202</v>
      </c>
      <c r="K216" s="122" t="str">
        <f>IFERROR(__xludf.DUMMYFUNCTION("""COMPUTED_VALUE"""),"AP")</f>
        <v>AP</v>
      </c>
      <c r="L216" s="124">
        <f>IFERROR(__xludf.DUMMYFUNCTION("""COMPUTED_VALUE"""),10.4)</f>
        <v>10.4</v>
      </c>
      <c r="M216" s="122" t="str">
        <f>IFERROR(__xludf.DUMMYFUNCTION("""COMPUTED_VALUE"""),"％")</f>
        <v>％</v>
      </c>
      <c r="N216" s="116">
        <f>IFERROR(__xludf.DUMMYFUNCTION("""COMPUTED_VALUE"""),13221.0)</f>
        <v>13221</v>
      </c>
      <c r="O216" s="100"/>
      <c r="P216" s="371" t="str">
        <f>IFERROR(__xludf.DUMMYFUNCTION("""COMPUTED_VALUE"""),"")</f>
        <v/>
      </c>
      <c r="Q216" s="458" t="str">
        <f>IFERROR(__xludf.DUMMYFUNCTION("""COMPUTED_VALUE"""),"")</f>
        <v/>
      </c>
      <c r="R216" s="459" t="str">
        <f>IFERROR(__xludf.DUMMYFUNCTION("""COMPUTED_VALUE"""),"")</f>
        <v/>
      </c>
      <c r="S216" s="459" t="str">
        <f>IFERROR(__xludf.DUMMYFUNCTION("""COMPUTED_VALUE"""),"")</f>
        <v/>
      </c>
      <c r="T216" t="str">
        <f>IFERROR(__xludf.DUMMYFUNCTION("""COMPUTED_VALUE"""),"")</f>
        <v/>
      </c>
      <c r="U216" t="str">
        <f>IFERROR(__xludf.DUMMYFUNCTION("""COMPUTED_VALUE"""),"")</f>
        <v/>
      </c>
      <c r="V216" t="str">
        <f>IFERROR(__xludf.DUMMYFUNCTION("""COMPUTED_VALUE"""),"")</f>
        <v/>
      </c>
      <c r="W216" t="str">
        <f>IFERROR(__xludf.DUMMYFUNCTION("""COMPUTED_VALUE"""),"")</f>
        <v/>
      </c>
      <c r="X216" t="str">
        <f>IFERROR(__xludf.DUMMYFUNCTION("""COMPUTED_VALUE"""),"")</f>
        <v/>
      </c>
      <c r="Y216" t="str">
        <f>IFERROR(__xludf.DUMMYFUNCTION("""COMPUTED_VALUE"""),"")</f>
        <v/>
      </c>
      <c r="Z216" t="str">
        <f>IFERROR(__xludf.DUMMYFUNCTION("""COMPUTED_VALUE"""),"")</f>
        <v/>
      </c>
      <c r="AA216" t="str">
        <f>IFERROR(__xludf.DUMMYFUNCTION("""COMPUTED_VALUE"""),"")</f>
        <v/>
      </c>
      <c r="AB216" t="str">
        <f>IFERROR(__xludf.DUMMYFUNCTION("""COMPUTED_VALUE"""),"")</f>
        <v/>
      </c>
      <c r="AC216" t="str">
        <f>IFERROR(__xludf.DUMMYFUNCTION("""COMPUTED_VALUE"""),"")</f>
        <v/>
      </c>
      <c r="AD216" t="str">
        <f>IFERROR(__xludf.DUMMYFUNCTION("""COMPUTED_VALUE"""),"")</f>
        <v/>
      </c>
      <c r="AE216" s="460" t="str">
        <f>IFERROR(__xludf.DUMMYFUNCTION("""COMPUTED_VALUE"""),"")</f>
        <v/>
      </c>
      <c r="AF216" s="372" t="str">
        <f>IFERROR(__xludf.DUMMYFUNCTION("""COMPUTED_VALUE"""),"")</f>
        <v/>
      </c>
    </row>
    <row r="217" ht="16.5" customHeight="1">
      <c r="C217" s="100"/>
      <c r="D217" s="128">
        <f>IFERROR(__xludf.DUMMYFUNCTION("""COMPUTED_VALUE"""),3.0)</f>
        <v>3</v>
      </c>
      <c r="E217" s="129" t="str">
        <f>IFERROR(__xludf.DUMMYFUNCTION("""COMPUTED_VALUE"""),"YKS4")</f>
        <v>YKS4</v>
      </c>
      <c r="F217" s="131" t="str">
        <f>IFERROR(__xludf.DUMMYFUNCTION("""COMPUTED_VALUE"""),"Yuga Kshetra")</f>
        <v>Yuga Kshetra</v>
      </c>
      <c r="G217" s="134" t="str">
        <f>IFERROR(__xludf.DUMMYFUNCTION("""COMPUTED_VALUE"""),"Northern Sacred Mountain")</f>
        <v>Northern Sacred Mountain</v>
      </c>
      <c r="H217" s="136">
        <f>IFERROR(__xludf.DUMMYFUNCTION("""COMPUTED_VALUE"""),21.0)</f>
        <v>21</v>
      </c>
      <c r="I217" s="138">
        <f>IFERROR(__xludf.DUMMYFUNCTION("""COMPUTED_VALUE"""),47.32142857142857)</f>
        <v>47.32142857</v>
      </c>
      <c r="J217" s="140">
        <f>IFERROR(__xludf.DUMMYFUNCTION("""COMPUTED_VALUE"""),214.6)</f>
        <v>214.6</v>
      </c>
      <c r="K217" s="142" t="str">
        <f>IFERROR(__xludf.DUMMYFUNCTION("""COMPUTED_VALUE"""),"AP")</f>
        <v>AP</v>
      </c>
      <c r="L217" s="144">
        <f>IFERROR(__xludf.DUMMYFUNCTION("""COMPUTED_VALUE"""),9.8)</f>
        <v>9.8</v>
      </c>
      <c r="M217" s="142" t="str">
        <f>IFERROR(__xludf.DUMMYFUNCTION("""COMPUTED_VALUE"""),"％")</f>
        <v>％</v>
      </c>
      <c r="N217" s="136">
        <f>IFERROR(__xludf.DUMMYFUNCTION("""COMPUTED_VALUE"""),9710.0)</f>
        <v>9710</v>
      </c>
      <c r="O217" s="100"/>
      <c r="P217" s="371" t="str">
        <f>IFERROR(__xludf.DUMMYFUNCTION("""COMPUTED_VALUE"""),"")</f>
        <v/>
      </c>
      <c r="Q217" s="458" t="str">
        <f>IFERROR(__xludf.DUMMYFUNCTION("""COMPUTED_VALUE"""),"")</f>
        <v/>
      </c>
      <c r="R217" s="459" t="str">
        <f>IFERROR(__xludf.DUMMYFUNCTION("""COMPUTED_VALUE"""),"")</f>
        <v/>
      </c>
      <c r="S217" s="459" t="str">
        <f>IFERROR(__xludf.DUMMYFUNCTION("""COMPUTED_VALUE"""),"")</f>
        <v/>
      </c>
      <c r="T217" t="str">
        <f>IFERROR(__xludf.DUMMYFUNCTION("""COMPUTED_VALUE"""),"")</f>
        <v/>
      </c>
      <c r="U217" t="str">
        <f>IFERROR(__xludf.DUMMYFUNCTION("""COMPUTED_VALUE"""),"")</f>
        <v/>
      </c>
      <c r="V217" t="str">
        <f>IFERROR(__xludf.DUMMYFUNCTION("""COMPUTED_VALUE"""),"")</f>
        <v/>
      </c>
      <c r="W217" t="str">
        <f>IFERROR(__xludf.DUMMYFUNCTION("""COMPUTED_VALUE"""),"")</f>
        <v/>
      </c>
      <c r="X217" t="str">
        <f>IFERROR(__xludf.DUMMYFUNCTION("""COMPUTED_VALUE"""),"")</f>
        <v/>
      </c>
      <c r="Y217" t="str">
        <f>IFERROR(__xludf.DUMMYFUNCTION("""COMPUTED_VALUE"""),"")</f>
        <v/>
      </c>
      <c r="Z217" t="str">
        <f>IFERROR(__xludf.DUMMYFUNCTION("""COMPUTED_VALUE"""),"")</f>
        <v/>
      </c>
      <c r="AA217" t="str">
        <f>IFERROR(__xludf.DUMMYFUNCTION("""COMPUTED_VALUE"""),"")</f>
        <v/>
      </c>
      <c r="AB217" t="str">
        <f>IFERROR(__xludf.DUMMYFUNCTION("""COMPUTED_VALUE"""),"")</f>
        <v/>
      </c>
      <c r="AC217" t="str">
        <f>IFERROR(__xludf.DUMMYFUNCTION("""COMPUTED_VALUE"""),"")</f>
        <v/>
      </c>
      <c r="AD217" t="str">
        <f>IFERROR(__xludf.DUMMYFUNCTION("""COMPUTED_VALUE"""),"")</f>
        <v/>
      </c>
      <c r="AE217" s="460" t="str">
        <f>IFERROR(__xludf.DUMMYFUNCTION("""COMPUTED_VALUE"""),"")</f>
        <v/>
      </c>
      <c r="AF217" s="372" t="str">
        <f>IFERROR(__xludf.DUMMYFUNCTION("""COMPUTED_VALUE"""),"")</f>
        <v/>
      </c>
    </row>
    <row r="218" ht="16.5" customHeight="1">
      <c r="C218" s="100"/>
      <c r="D218" s="147">
        <f>IFERROR(__xludf.DUMMYFUNCTION("""COMPUTED_VALUE"""),4.0)</f>
        <v>4</v>
      </c>
      <c r="E218" s="149" t="str">
        <f>IFERROR(__xludf.DUMMYFUNCTION("""COMPUTED_VALUE"""),"")</f>
        <v/>
      </c>
      <c r="F218" s="151" t="str">
        <f>IFERROR(__xludf.DUMMYFUNCTION("""COMPUTED_VALUE"""),"")</f>
        <v/>
      </c>
      <c r="G218" s="151" t="str">
        <f>IFERROR(__xludf.DUMMYFUNCTION("""COMPUTED_VALUE"""),"")</f>
        <v/>
      </c>
      <c r="H218" s="155" t="str">
        <f>IFERROR(__xludf.DUMMYFUNCTION("""COMPUTED_VALUE"""),"")</f>
        <v/>
      </c>
      <c r="I218" s="157" t="str">
        <f>IFERROR(__xludf.DUMMYFUNCTION("""COMPUTED_VALUE"""),"")</f>
        <v/>
      </c>
      <c r="J218" s="159" t="str">
        <f>IFERROR(__xludf.DUMMYFUNCTION("""COMPUTED_VALUE"""),"")</f>
        <v/>
      </c>
      <c r="K218" s="161" t="str">
        <f>IFERROR(__xludf.DUMMYFUNCTION("""COMPUTED_VALUE"""),"AP")</f>
        <v>AP</v>
      </c>
      <c r="L218" s="163" t="str">
        <f>IFERROR(__xludf.DUMMYFUNCTION("""COMPUTED_VALUE"""),"")</f>
        <v/>
      </c>
      <c r="M218" s="161" t="str">
        <f>IFERROR(__xludf.DUMMYFUNCTION("""COMPUTED_VALUE"""),"％")</f>
        <v>％</v>
      </c>
      <c r="N218" s="155" t="str">
        <f>IFERROR(__xludf.DUMMYFUNCTION("""COMPUTED_VALUE"""),"")</f>
        <v/>
      </c>
      <c r="O218" s="100"/>
      <c r="P218" s="371" t="str">
        <f>IFERROR(__xludf.DUMMYFUNCTION("""COMPUTED_VALUE"""),"")</f>
        <v/>
      </c>
      <c r="Q218" s="458" t="str">
        <f>IFERROR(__xludf.DUMMYFUNCTION("""COMPUTED_VALUE"""),"")</f>
        <v/>
      </c>
      <c r="R218" s="459" t="str">
        <f>IFERROR(__xludf.DUMMYFUNCTION("""COMPUTED_VALUE"""),"")</f>
        <v/>
      </c>
      <c r="S218" s="459" t="str">
        <f>IFERROR(__xludf.DUMMYFUNCTION("""COMPUTED_VALUE"""),"")</f>
        <v/>
      </c>
      <c r="T218" t="str">
        <f>IFERROR(__xludf.DUMMYFUNCTION("""COMPUTED_VALUE"""),"")</f>
        <v/>
      </c>
      <c r="U218" t="str">
        <f>IFERROR(__xludf.DUMMYFUNCTION("""COMPUTED_VALUE"""),"")</f>
        <v/>
      </c>
      <c r="V218" t="str">
        <f>IFERROR(__xludf.DUMMYFUNCTION("""COMPUTED_VALUE"""),"")</f>
        <v/>
      </c>
      <c r="W218" t="str">
        <f>IFERROR(__xludf.DUMMYFUNCTION("""COMPUTED_VALUE"""),"")</f>
        <v/>
      </c>
      <c r="X218" t="str">
        <f>IFERROR(__xludf.DUMMYFUNCTION("""COMPUTED_VALUE"""),"")</f>
        <v/>
      </c>
      <c r="Y218" t="str">
        <f>IFERROR(__xludf.DUMMYFUNCTION("""COMPUTED_VALUE"""),"")</f>
        <v/>
      </c>
      <c r="Z218" t="str">
        <f>IFERROR(__xludf.DUMMYFUNCTION("""COMPUTED_VALUE"""),"")</f>
        <v/>
      </c>
      <c r="AA218" t="str">
        <f>IFERROR(__xludf.DUMMYFUNCTION("""COMPUTED_VALUE"""),"")</f>
        <v/>
      </c>
      <c r="AB218" t="str">
        <f>IFERROR(__xludf.DUMMYFUNCTION("""COMPUTED_VALUE"""),"")</f>
        <v/>
      </c>
      <c r="AC218" t="str">
        <f>IFERROR(__xludf.DUMMYFUNCTION("""COMPUTED_VALUE"""),"")</f>
        <v/>
      </c>
      <c r="AD218" t="str">
        <f>IFERROR(__xludf.DUMMYFUNCTION("""COMPUTED_VALUE"""),"")</f>
        <v/>
      </c>
      <c r="AE218" s="460" t="str">
        <f>IFERROR(__xludf.DUMMYFUNCTION("""COMPUTED_VALUE"""),"")</f>
        <v/>
      </c>
      <c r="AF218" s="372" t="str">
        <f>IFERROR(__xludf.DUMMYFUNCTION("""COMPUTED_VALUE"""),"")</f>
        <v/>
      </c>
    </row>
    <row r="219" ht="16.5" customHeight="1">
      <c r="A219" s="166"/>
      <c r="C219" s="168"/>
      <c r="D219" s="169">
        <f>IFERROR(__xludf.DUMMYFUNCTION("""COMPUTED_VALUE"""),5.0)</f>
        <v>5</v>
      </c>
      <c r="E219" s="170" t="str">
        <f>IFERROR(__xludf.DUMMYFUNCTION("""COMPUTED_VALUE"""),"")</f>
        <v/>
      </c>
      <c r="F219" s="51" t="str">
        <f>IFERROR(__xludf.DUMMYFUNCTION("""COMPUTED_VALUE"""),"")</f>
        <v/>
      </c>
      <c r="G219" s="51" t="str">
        <f>IFERROR(__xludf.DUMMYFUNCTION("""COMPUTED_VALUE"""),"")</f>
        <v/>
      </c>
      <c r="H219" s="172" t="str">
        <f>IFERROR(__xludf.DUMMYFUNCTION("""COMPUTED_VALUE"""),"")</f>
        <v/>
      </c>
      <c r="I219" s="173" t="str">
        <f>IFERROR(__xludf.DUMMYFUNCTION("""COMPUTED_VALUE"""),"")</f>
        <v/>
      </c>
      <c r="J219" s="174" t="str">
        <f>IFERROR(__xludf.DUMMYFUNCTION("""COMPUTED_VALUE"""),"")</f>
        <v/>
      </c>
      <c r="K219" s="175" t="str">
        <f>IFERROR(__xludf.DUMMYFUNCTION("""COMPUTED_VALUE"""),"AP")</f>
        <v>AP</v>
      </c>
      <c r="L219" s="176" t="str">
        <f>IFERROR(__xludf.DUMMYFUNCTION("""COMPUTED_VALUE"""),"")</f>
        <v/>
      </c>
      <c r="M219" s="175" t="str">
        <f>IFERROR(__xludf.DUMMYFUNCTION("""COMPUTED_VALUE"""),"％")</f>
        <v>％</v>
      </c>
      <c r="N219" s="172" t="str">
        <f>IFERROR(__xludf.DUMMYFUNCTION("""COMPUTED_VALUE"""),"")</f>
        <v/>
      </c>
      <c r="O219" s="168"/>
      <c r="P219" s="371" t="str">
        <f>IFERROR(__xludf.DUMMYFUNCTION("""COMPUTED_VALUE"""),"")</f>
        <v/>
      </c>
      <c r="Q219" s="458" t="str">
        <f>IFERROR(__xludf.DUMMYFUNCTION("""COMPUTED_VALUE"""),"")</f>
        <v/>
      </c>
      <c r="R219" s="459" t="str">
        <f>IFERROR(__xludf.DUMMYFUNCTION("""COMPUTED_VALUE"""),"")</f>
        <v/>
      </c>
      <c r="S219" s="459" t="str">
        <f>IFERROR(__xludf.DUMMYFUNCTION("""COMPUTED_VALUE"""),"")</f>
        <v/>
      </c>
      <c r="T219" t="str">
        <f>IFERROR(__xludf.DUMMYFUNCTION("""COMPUTED_VALUE"""),"")</f>
        <v/>
      </c>
      <c r="U219" t="str">
        <f>IFERROR(__xludf.DUMMYFUNCTION("""COMPUTED_VALUE"""),"")</f>
        <v/>
      </c>
      <c r="V219" t="str">
        <f>IFERROR(__xludf.DUMMYFUNCTION("""COMPUTED_VALUE"""),"")</f>
        <v/>
      </c>
      <c r="W219" t="str">
        <f>IFERROR(__xludf.DUMMYFUNCTION("""COMPUTED_VALUE"""),"")</f>
        <v/>
      </c>
      <c r="X219" t="str">
        <f>IFERROR(__xludf.DUMMYFUNCTION("""COMPUTED_VALUE"""),"")</f>
        <v/>
      </c>
      <c r="Y219" t="str">
        <f>IFERROR(__xludf.DUMMYFUNCTION("""COMPUTED_VALUE"""),"")</f>
        <v/>
      </c>
      <c r="Z219" t="str">
        <f>IFERROR(__xludf.DUMMYFUNCTION("""COMPUTED_VALUE"""),"")</f>
        <v/>
      </c>
      <c r="AA219" t="str">
        <f>IFERROR(__xludf.DUMMYFUNCTION("""COMPUTED_VALUE"""),"")</f>
        <v/>
      </c>
      <c r="AB219" t="str">
        <f>IFERROR(__xludf.DUMMYFUNCTION("""COMPUTED_VALUE"""),"")</f>
        <v/>
      </c>
      <c r="AC219" t="str">
        <f>IFERROR(__xludf.DUMMYFUNCTION("""COMPUTED_VALUE"""),"")</f>
        <v/>
      </c>
      <c r="AD219" t="str">
        <f>IFERROR(__xludf.DUMMYFUNCTION("""COMPUTED_VALUE"""),"")</f>
        <v/>
      </c>
      <c r="AE219" s="460" t="str">
        <f>IFERROR(__xludf.DUMMYFUNCTION("""COMPUTED_VALUE"""),"")</f>
        <v/>
      </c>
      <c r="AF219" s="372" t="str">
        <f>IFERROR(__xludf.DUMMYFUNCTION("""COMPUTED_VALUE"""),"")</f>
        <v/>
      </c>
    </row>
    <row r="220" ht="16.5" customHeight="1">
      <c r="A220" s="61" t="str">
        <f>IFERROR(__xludf.DUMMYFUNCTION("""COMPUTED_VALUE"""),"")</f>
        <v/>
      </c>
      <c r="B220" s="366" t="str">
        <f>IFERROR(__xludf.DUMMYFUNCTION("""COMPUTED_VALUE"""),"A116")</f>
        <v>A116</v>
      </c>
      <c r="C220" s="197" t="str">
        <f>IFERROR(__xludf.DUMMYFUNCTION("""COMPUTED_VALUE"""),"")</f>
        <v/>
      </c>
      <c r="D220" s="185">
        <f>IFERROR(__xludf.DUMMYFUNCTION("""COMPUTED_VALUE"""),1.0)</f>
        <v>1</v>
      </c>
      <c r="E220" s="187" t="str">
        <f>IFERROR(__xludf.DUMMYFUNCTION("""COMPUTED_VALUE"""),"")</f>
        <v/>
      </c>
      <c r="F220" s="188" t="str">
        <f>IFERROR(__xludf.DUMMYFUNCTION("""COMPUTED_VALUE"""),"")</f>
        <v/>
      </c>
      <c r="G220" s="188" t="str">
        <f>IFERROR(__xludf.DUMMYFUNCTION("""COMPUTED_VALUE"""),"")</f>
        <v/>
      </c>
      <c r="H220" s="195" t="str">
        <f>IFERROR(__xludf.DUMMYFUNCTION("""COMPUTED_VALUE"""),"")</f>
        <v/>
      </c>
      <c r="I220" s="196" t="str">
        <f>IFERROR(__xludf.DUMMYFUNCTION("""COMPUTED_VALUE"""),"")</f>
        <v/>
      </c>
      <c r="J220" s="198" t="str">
        <f>IFERROR(__xludf.DUMMYFUNCTION("""COMPUTED_VALUE"""),"")</f>
        <v/>
      </c>
      <c r="K220" s="200" t="str">
        <f>IFERROR(__xludf.DUMMYFUNCTION("""COMPUTED_VALUE"""),"AP")</f>
        <v>AP</v>
      </c>
      <c r="L220" s="198" t="str">
        <f>IFERROR(__xludf.DUMMYFUNCTION("""COMPUTED_VALUE"""),"")</f>
        <v/>
      </c>
      <c r="M220" s="201" t="str">
        <f>IFERROR(__xludf.DUMMYFUNCTION("""COMPUTED_VALUE"""),"％")</f>
        <v>％</v>
      </c>
      <c r="N220" s="195" t="str">
        <f>IFERROR(__xludf.DUMMYFUNCTION("""COMPUTED_VALUE"""),"")</f>
        <v/>
      </c>
      <c r="O220" s="197" t="str">
        <f>IFERROR(__xludf.DUMMYFUNCTION("""COMPUTED_VALUE"""),"")</f>
        <v/>
      </c>
      <c r="P220" s="371" t="str">
        <f>IFERROR(__xludf.DUMMYFUNCTION("""COMPUTED_VALUE"""),"")</f>
        <v/>
      </c>
      <c r="Q220" s="458" t="str">
        <f>IFERROR(__xludf.DUMMYFUNCTION("""COMPUTED_VALUE"""),"")</f>
        <v/>
      </c>
      <c r="R220" s="459" t="str">
        <f>IFERROR(__xludf.DUMMYFUNCTION("""COMPUTED_VALUE"""),"")</f>
        <v/>
      </c>
      <c r="S220" s="459" t="str">
        <f>IFERROR(__xludf.DUMMYFUNCTION("""COMPUTED_VALUE"""),"")</f>
        <v/>
      </c>
      <c r="T220" t="str">
        <f>IFERROR(__xludf.DUMMYFUNCTION("""COMPUTED_VALUE"""),"")</f>
        <v/>
      </c>
      <c r="U220" t="str">
        <f>IFERROR(__xludf.DUMMYFUNCTION("""COMPUTED_VALUE"""),"")</f>
        <v/>
      </c>
      <c r="V220" t="str">
        <f>IFERROR(__xludf.DUMMYFUNCTION("""COMPUTED_VALUE"""),"")</f>
        <v/>
      </c>
      <c r="W220" t="str">
        <f>IFERROR(__xludf.DUMMYFUNCTION("""COMPUTED_VALUE"""),"")</f>
        <v/>
      </c>
      <c r="X220" t="str">
        <f>IFERROR(__xludf.DUMMYFUNCTION("""COMPUTED_VALUE"""),"")</f>
        <v/>
      </c>
      <c r="Y220" t="str">
        <f>IFERROR(__xludf.DUMMYFUNCTION("""COMPUTED_VALUE"""),"")</f>
        <v/>
      </c>
      <c r="Z220" t="str">
        <f>IFERROR(__xludf.DUMMYFUNCTION("""COMPUTED_VALUE"""),"")</f>
        <v/>
      </c>
      <c r="AA220" t="str">
        <f>IFERROR(__xludf.DUMMYFUNCTION("""COMPUTED_VALUE"""),"")</f>
        <v/>
      </c>
      <c r="AB220" t="str">
        <f>IFERROR(__xludf.DUMMYFUNCTION("""COMPUTED_VALUE"""),"")</f>
        <v/>
      </c>
      <c r="AC220" t="str">
        <f>IFERROR(__xludf.DUMMYFUNCTION("""COMPUTED_VALUE"""),"")</f>
        <v/>
      </c>
      <c r="AD220" t="str">
        <f>IFERROR(__xludf.DUMMYFUNCTION("""COMPUTED_VALUE"""),"")</f>
        <v/>
      </c>
      <c r="AE220" s="460" t="str">
        <f>IFERROR(__xludf.DUMMYFUNCTION("""COMPUTED_VALUE"""),"")</f>
        <v/>
      </c>
      <c r="AF220" s="372" t="str">
        <f>IFERROR(__xludf.DUMMYFUNCTION("""COMPUTED_VALUE"""),"")</f>
        <v/>
      </c>
    </row>
    <row r="221" ht="16.5" customHeight="1">
      <c r="C221" s="217"/>
      <c r="D221" s="208">
        <f>IFERROR(__xludf.DUMMYFUNCTION("""COMPUTED_VALUE"""),2.0)</f>
        <v>2</v>
      </c>
      <c r="E221" s="210" t="str">
        <f>IFERROR(__xludf.DUMMYFUNCTION("""COMPUTED_VALUE"""),"")</f>
        <v/>
      </c>
      <c r="F221" s="212" t="str">
        <f>IFERROR(__xludf.DUMMYFUNCTION("""COMPUTED_VALUE"""),"")</f>
        <v/>
      </c>
      <c r="G221" s="212" t="str">
        <f>IFERROR(__xludf.DUMMYFUNCTION("""COMPUTED_VALUE"""),"")</f>
        <v/>
      </c>
      <c r="H221" s="218" t="str">
        <f>IFERROR(__xludf.DUMMYFUNCTION("""COMPUTED_VALUE"""),"")</f>
        <v/>
      </c>
      <c r="I221" s="219" t="str">
        <f>IFERROR(__xludf.DUMMYFUNCTION("""COMPUTED_VALUE"""),"")</f>
        <v/>
      </c>
      <c r="J221" s="220" t="str">
        <f>IFERROR(__xludf.DUMMYFUNCTION("""COMPUTED_VALUE"""),"")</f>
        <v/>
      </c>
      <c r="K221" s="221" t="str">
        <f>IFERROR(__xludf.DUMMYFUNCTION("""COMPUTED_VALUE"""),"AP")</f>
        <v>AP</v>
      </c>
      <c r="L221" s="220" t="str">
        <f>IFERROR(__xludf.DUMMYFUNCTION("""COMPUTED_VALUE"""),"")</f>
        <v/>
      </c>
      <c r="M221" s="221" t="str">
        <f>IFERROR(__xludf.DUMMYFUNCTION("""COMPUTED_VALUE"""),"％")</f>
        <v>％</v>
      </c>
      <c r="N221" s="218" t="str">
        <f>IFERROR(__xludf.DUMMYFUNCTION("""COMPUTED_VALUE"""),"")</f>
        <v/>
      </c>
      <c r="O221" s="217"/>
      <c r="P221" s="371" t="str">
        <f>IFERROR(__xludf.DUMMYFUNCTION("""COMPUTED_VALUE"""),"")</f>
        <v/>
      </c>
      <c r="Q221" s="458" t="str">
        <f>IFERROR(__xludf.DUMMYFUNCTION("""COMPUTED_VALUE"""),"")</f>
        <v/>
      </c>
      <c r="R221" s="459" t="str">
        <f>IFERROR(__xludf.DUMMYFUNCTION("""COMPUTED_VALUE"""),"")</f>
        <v/>
      </c>
      <c r="S221" s="459" t="str">
        <f>IFERROR(__xludf.DUMMYFUNCTION("""COMPUTED_VALUE"""),"")</f>
        <v/>
      </c>
      <c r="T221" t="str">
        <f>IFERROR(__xludf.DUMMYFUNCTION("""COMPUTED_VALUE"""),"")</f>
        <v/>
      </c>
      <c r="U221" t="str">
        <f>IFERROR(__xludf.DUMMYFUNCTION("""COMPUTED_VALUE"""),"")</f>
        <v/>
      </c>
      <c r="V221" t="str">
        <f>IFERROR(__xludf.DUMMYFUNCTION("""COMPUTED_VALUE"""),"")</f>
        <v/>
      </c>
      <c r="W221" t="str">
        <f>IFERROR(__xludf.DUMMYFUNCTION("""COMPUTED_VALUE"""),"")</f>
        <v/>
      </c>
      <c r="X221" t="str">
        <f>IFERROR(__xludf.DUMMYFUNCTION("""COMPUTED_VALUE"""),"")</f>
        <v/>
      </c>
      <c r="Y221" t="str">
        <f>IFERROR(__xludf.DUMMYFUNCTION("""COMPUTED_VALUE"""),"")</f>
        <v/>
      </c>
      <c r="Z221" t="str">
        <f>IFERROR(__xludf.DUMMYFUNCTION("""COMPUTED_VALUE"""),"")</f>
        <v/>
      </c>
      <c r="AA221" t="str">
        <f>IFERROR(__xludf.DUMMYFUNCTION("""COMPUTED_VALUE"""),"")</f>
        <v/>
      </c>
      <c r="AB221" t="str">
        <f>IFERROR(__xludf.DUMMYFUNCTION("""COMPUTED_VALUE"""),"")</f>
        <v/>
      </c>
      <c r="AC221" t="str">
        <f>IFERROR(__xludf.DUMMYFUNCTION("""COMPUTED_VALUE"""),"")</f>
        <v/>
      </c>
      <c r="AD221" t="str">
        <f>IFERROR(__xludf.DUMMYFUNCTION("""COMPUTED_VALUE"""),"")</f>
        <v/>
      </c>
      <c r="AE221" s="460" t="str">
        <f>IFERROR(__xludf.DUMMYFUNCTION("""COMPUTED_VALUE"""),"")</f>
        <v/>
      </c>
      <c r="AF221" s="372" t="str">
        <f>IFERROR(__xludf.DUMMYFUNCTION("""COMPUTED_VALUE"""),"")</f>
        <v/>
      </c>
    </row>
    <row r="222" ht="16.5" customHeight="1">
      <c r="C222" s="217"/>
      <c r="D222" s="225">
        <f>IFERROR(__xludf.DUMMYFUNCTION("""COMPUTED_VALUE"""),3.0)</f>
        <v>3</v>
      </c>
      <c r="E222" s="227" t="str">
        <f>IFERROR(__xludf.DUMMYFUNCTION("""COMPUTED_VALUE"""),"")</f>
        <v/>
      </c>
      <c r="F222" s="229" t="str">
        <f>IFERROR(__xludf.DUMMYFUNCTION("""COMPUTED_VALUE"""),"")</f>
        <v/>
      </c>
      <c r="G222" s="229" t="str">
        <f>IFERROR(__xludf.DUMMYFUNCTION("""COMPUTED_VALUE"""),"")</f>
        <v/>
      </c>
      <c r="H222" s="234" t="str">
        <f>IFERROR(__xludf.DUMMYFUNCTION("""COMPUTED_VALUE"""),"")</f>
        <v/>
      </c>
      <c r="I222" s="235" t="str">
        <f>IFERROR(__xludf.DUMMYFUNCTION("""COMPUTED_VALUE"""),"")</f>
        <v/>
      </c>
      <c r="J222" s="236" t="str">
        <f>IFERROR(__xludf.DUMMYFUNCTION("""COMPUTED_VALUE"""),"")</f>
        <v/>
      </c>
      <c r="K222" s="237" t="str">
        <f>IFERROR(__xludf.DUMMYFUNCTION("""COMPUTED_VALUE"""),"AP")</f>
        <v>AP</v>
      </c>
      <c r="L222" s="236" t="str">
        <f>IFERROR(__xludf.DUMMYFUNCTION("""COMPUTED_VALUE"""),"")</f>
        <v/>
      </c>
      <c r="M222" s="237" t="str">
        <f>IFERROR(__xludf.DUMMYFUNCTION("""COMPUTED_VALUE"""),"％")</f>
        <v>％</v>
      </c>
      <c r="N222" s="234" t="str">
        <f>IFERROR(__xludf.DUMMYFUNCTION("""COMPUTED_VALUE"""),"")</f>
        <v/>
      </c>
      <c r="O222" s="217"/>
      <c r="P222" s="371" t="str">
        <f>IFERROR(__xludf.DUMMYFUNCTION("""COMPUTED_VALUE"""),"")</f>
        <v/>
      </c>
      <c r="Q222" s="458" t="str">
        <f>IFERROR(__xludf.DUMMYFUNCTION("""COMPUTED_VALUE"""),"")</f>
        <v/>
      </c>
      <c r="R222" s="459" t="str">
        <f>IFERROR(__xludf.DUMMYFUNCTION("""COMPUTED_VALUE"""),"")</f>
        <v/>
      </c>
      <c r="S222" s="459" t="str">
        <f>IFERROR(__xludf.DUMMYFUNCTION("""COMPUTED_VALUE"""),"")</f>
        <v/>
      </c>
      <c r="T222" t="str">
        <f>IFERROR(__xludf.DUMMYFUNCTION("""COMPUTED_VALUE"""),"")</f>
        <v/>
      </c>
      <c r="U222" t="str">
        <f>IFERROR(__xludf.DUMMYFUNCTION("""COMPUTED_VALUE"""),"")</f>
        <v/>
      </c>
      <c r="V222" t="str">
        <f>IFERROR(__xludf.DUMMYFUNCTION("""COMPUTED_VALUE"""),"")</f>
        <v/>
      </c>
      <c r="W222" t="str">
        <f>IFERROR(__xludf.DUMMYFUNCTION("""COMPUTED_VALUE"""),"")</f>
        <v/>
      </c>
      <c r="X222" t="str">
        <f>IFERROR(__xludf.DUMMYFUNCTION("""COMPUTED_VALUE"""),"")</f>
        <v/>
      </c>
      <c r="Y222" t="str">
        <f>IFERROR(__xludf.DUMMYFUNCTION("""COMPUTED_VALUE"""),"")</f>
        <v/>
      </c>
      <c r="Z222" t="str">
        <f>IFERROR(__xludf.DUMMYFUNCTION("""COMPUTED_VALUE"""),"")</f>
        <v/>
      </c>
      <c r="AA222" t="str">
        <f>IFERROR(__xludf.DUMMYFUNCTION("""COMPUTED_VALUE"""),"")</f>
        <v/>
      </c>
      <c r="AB222" t="str">
        <f>IFERROR(__xludf.DUMMYFUNCTION("""COMPUTED_VALUE"""),"")</f>
        <v/>
      </c>
      <c r="AC222" t="str">
        <f>IFERROR(__xludf.DUMMYFUNCTION("""COMPUTED_VALUE"""),"")</f>
        <v/>
      </c>
      <c r="AD222" t="str">
        <f>IFERROR(__xludf.DUMMYFUNCTION("""COMPUTED_VALUE"""),"")</f>
        <v/>
      </c>
      <c r="AE222" s="460" t="str">
        <f>IFERROR(__xludf.DUMMYFUNCTION("""COMPUTED_VALUE"""),"")</f>
        <v/>
      </c>
      <c r="AF222" s="372" t="str">
        <f>IFERROR(__xludf.DUMMYFUNCTION("""COMPUTED_VALUE"""),"")</f>
        <v/>
      </c>
    </row>
    <row r="223" ht="16.5" customHeight="1">
      <c r="C223" s="217"/>
      <c r="D223" s="239">
        <f>IFERROR(__xludf.DUMMYFUNCTION("""COMPUTED_VALUE"""),4.0)</f>
        <v>4</v>
      </c>
      <c r="E223" s="241" t="str">
        <f>IFERROR(__xludf.DUMMYFUNCTION("""COMPUTED_VALUE"""),"")</f>
        <v/>
      </c>
      <c r="F223" s="243" t="str">
        <f>IFERROR(__xludf.DUMMYFUNCTION("""COMPUTED_VALUE"""),"")</f>
        <v/>
      </c>
      <c r="G223" s="243" t="str">
        <f>IFERROR(__xludf.DUMMYFUNCTION("""COMPUTED_VALUE"""),"")</f>
        <v/>
      </c>
      <c r="H223" s="247" t="str">
        <f>IFERROR(__xludf.DUMMYFUNCTION("""COMPUTED_VALUE"""),"")</f>
        <v/>
      </c>
      <c r="I223" s="249" t="str">
        <f>IFERROR(__xludf.DUMMYFUNCTION("""COMPUTED_VALUE"""),"")</f>
        <v/>
      </c>
      <c r="J223" s="251" t="str">
        <f>IFERROR(__xludf.DUMMYFUNCTION("""COMPUTED_VALUE"""),"")</f>
        <v/>
      </c>
      <c r="K223" s="253" t="str">
        <f>IFERROR(__xludf.DUMMYFUNCTION("""COMPUTED_VALUE"""),"AP")</f>
        <v>AP</v>
      </c>
      <c r="L223" s="251" t="str">
        <f>IFERROR(__xludf.DUMMYFUNCTION("""COMPUTED_VALUE"""),"")</f>
        <v/>
      </c>
      <c r="M223" s="253" t="str">
        <f>IFERROR(__xludf.DUMMYFUNCTION("""COMPUTED_VALUE"""),"％")</f>
        <v>％</v>
      </c>
      <c r="N223" s="247" t="str">
        <f>IFERROR(__xludf.DUMMYFUNCTION("""COMPUTED_VALUE"""),"")</f>
        <v/>
      </c>
      <c r="O223" s="217"/>
      <c r="P223" s="371" t="str">
        <f>IFERROR(__xludf.DUMMYFUNCTION("""COMPUTED_VALUE"""),"")</f>
        <v/>
      </c>
      <c r="Q223" s="458" t="str">
        <f>IFERROR(__xludf.DUMMYFUNCTION("""COMPUTED_VALUE"""),"")</f>
        <v/>
      </c>
      <c r="R223" s="459" t="str">
        <f>IFERROR(__xludf.DUMMYFUNCTION("""COMPUTED_VALUE"""),"")</f>
        <v/>
      </c>
      <c r="S223" s="459" t="str">
        <f>IFERROR(__xludf.DUMMYFUNCTION("""COMPUTED_VALUE"""),"")</f>
        <v/>
      </c>
      <c r="T223" t="str">
        <f>IFERROR(__xludf.DUMMYFUNCTION("""COMPUTED_VALUE"""),"")</f>
        <v/>
      </c>
      <c r="U223" t="str">
        <f>IFERROR(__xludf.DUMMYFUNCTION("""COMPUTED_VALUE"""),"")</f>
        <v/>
      </c>
      <c r="V223" t="str">
        <f>IFERROR(__xludf.DUMMYFUNCTION("""COMPUTED_VALUE"""),"")</f>
        <v/>
      </c>
      <c r="W223" t="str">
        <f>IFERROR(__xludf.DUMMYFUNCTION("""COMPUTED_VALUE"""),"")</f>
        <v/>
      </c>
      <c r="X223" t="str">
        <f>IFERROR(__xludf.DUMMYFUNCTION("""COMPUTED_VALUE"""),"")</f>
        <v/>
      </c>
      <c r="Y223" t="str">
        <f>IFERROR(__xludf.DUMMYFUNCTION("""COMPUTED_VALUE"""),"")</f>
        <v/>
      </c>
      <c r="Z223" t="str">
        <f>IFERROR(__xludf.DUMMYFUNCTION("""COMPUTED_VALUE"""),"")</f>
        <v/>
      </c>
      <c r="AA223" t="str">
        <f>IFERROR(__xludf.DUMMYFUNCTION("""COMPUTED_VALUE"""),"")</f>
        <v/>
      </c>
      <c r="AB223" t="str">
        <f>IFERROR(__xludf.DUMMYFUNCTION("""COMPUTED_VALUE"""),"")</f>
        <v/>
      </c>
      <c r="AC223" t="str">
        <f>IFERROR(__xludf.DUMMYFUNCTION("""COMPUTED_VALUE"""),"")</f>
        <v/>
      </c>
      <c r="AD223" t="str">
        <f>IFERROR(__xludf.DUMMYFUNCTION("""COMPUTED_VALUE"""),"")</f>
        <v/>
      </c>
      <c r="AE223" s="460" t="str">
        <f>IFERROR(__xludf.DUMMYFUNCTION("""COMPUTED_VALUE"""),"")</f>
        <v/>
      </c>
      <c r="AF223" s="372" t="str">
        <f>IFERROR(__xludf.DUMMYFUNCTION("""COMPUTED_VALUE"""),"")</f>
        <v/>
      </c>
    </row>
    <row r="224" ht="16.5" customHeight="1">
      <c r="A224" s="166"/>
      <c r="C224" s="263"/>
      <c r="D224" s="256">
        <f>IFERROR(__xludf.DUMMYFUNCTION("""COMPUTED_VALUE"""),5.0)</f>
        <v>5</v>
      </c>
      <c r="E224" s="257" t="str">
        <f>IFERROR(__xludf.DUMMYFUNCTION("""COMPUTED_VALUE"""),"")</f>
        <v/>
      </c>
      <c r="F224" s="42" t="str">
        <f>IFERROR(__xludf.DUMMYFUNCTION("""COMPUTED_VALUE"""),"")</f>
        <v/>
      </c>
      <c r="G224" s="42" t="str">
        <f>IFERROR(__xludf.DUMMYFUNCTION("""COMPUTED_VALUE"""),"")</f>
        <v/>
      </c>
      <c r="H224" s="259" t="str">
        <f>IFERROR(__xludf.DUMMYFUNCTION("""COMPUTED_VALUE"""),"")</f>
        <v/>
      </c>
      <c r="I224" s="260" t="str">
        <f>IFERROR(__xludf.DUMMYFUNCTION("""COMPUTED_VALUE"""),"")</f>
        <v/>
      </c>
      <c r="J224" s="261" t="str">
        <f>IFERROR(__xludf.DUMMYFUNCTION("""COMPUTED_VALUE"""),"")</f>
        <v/>
      </c>
      <c r="K224" s="262" t="str">
        <f>IFERROR(__xludf.DUMMYFUNCTION("""COMPUTED_VALUE"""),"AP")</f>
        <v>AP</v>
      </c>
      <c r="L224" s="261" t="str">
        <f>IFERROR(__xludf.DUMMYFUNCTION("""COMPUTED_VALUE"""),"")</f>
        <v/>
      </c>
      <c r="M224" s="262" t="str">
        <f>IFERROR(__xludf.DUMMYFUNCTION("""COMPUTED_VALUE"""),"％")</f>
        <v>％</v>
      </c>
      <c r="N224" s="259" t="str">
        <f>IFERROR(__xludf.DUMMYFUNCTION("""COMPUTED_VALUE"""),"")</f>
        <v/>
      </c>
      <c r="O224" s="263"/>
      <c r="P224" s="371" t="str">
        <f>IFERROR(__xludf.DUMMYFUNCTION("""COMPUTED_VALUE"""),"")</f>
        <v/>
      </c>
      <c r="Q224" s="458" t="str">
        <f>IFERROR(__xludf.DUMMYFUNCTION("""COMPUTED_VALUE"""),"")</f>
        <v/>
      </c>
      <c r="R224" s="459" t="str">
        <f>IFERROR(__xludf.DUMMYFUNCTION("""COMPUTED_VALUE"""),"")</f>
        <v/>
      </c>
      <c r="S224" s="459" t="str">
        <f>IFERROR(__xludf.DUMMYFUNCTION("""COMPUTED_VALUE"""),"")</f>
        <v/>
      </c>
      <c r="T224" t="str">
        <f>IFERROR(__xludf.DUMMYFUNCTION("""COMPUTED_VALUE"""),"")</f>
        <v/>
      </c>
      <c r="U224" t="str">
        <f>IFERROR(__xludf.DUMMYFUNCTION("""COMPUTED_VALUE"""),"")</f>
        <v/>
      </c>
      <c r="V224" t="str">
        <f>IFERROR(__xludf.DUMMYFUNCTION("""COMPUTED_VALUE"""),"")</f>
        <v/>
      </c>
      <c r="W224" t="str">
        <f>IFERROR(__xludf.DUMMYFUNCTION("""COMPUTED_VALUE"""),"")</f>
        <v/>
      </c>
      <c r="X224" t="str">
        <f>IFERROR(__xludf.DUMMYFUNCTION("""COMPUTED_VALUE"""),"")</f>
        <v/>
      </c>
      <c r="Y224" t="str">
        <f>IFERROR(__xludf.DUMMYFUNCTION("""COMPUTED_VALUE"""),"")</f>
        <v/>
      </c>
      <c r="Z224" t="str">
        <f>IFERROR(__xludf.DUMMYFUNCTION("""COMPUTED_VALUE"""),"")</f>
        <v/>
      </c>
      <c r="AA224" t="str">
        <f>IFERROR(__xludf.DUMMYFUNCTION("""COMPUTED_VALUE"""),"")</f>
        <v/>
      </c>
      <c r="AB224" t="str">
        <f>IFERROR(__xludf.DUMMYFUNCTION("""COMPUTED_VALUE"""),"")</f>
        <v/>
      </c>
      <c r="AC224" t="str">
        <f>IFERROR(__xludf.DUMMYFUNCTION("""COMPUTED_VALUE"""),"")</f>
        <v/>
      </c>
      <c r="AD224" t="str">
        <f>IFERROR(__xludf.DUMMYFUNCTION("""COMPUTED_VALUE"""),"")</f>
        <v/>
      </c>
      <c r="AE224" s="460" t="str">
        <f>IFERROR(__xludf.DUMMYFUNCTION("""COMPUTED_VALUE"""),"")</f>
        <v/>
      </c>
      <c r="AF224" s="372" t="str">
        <f>IFERROR(__xludf.DUMMYFUNCTION("""COMPUTED_VALUE"""),"")</f>
        <v/>
      </c>
    </row>
    <row r="225" ht="16.5" customHeight="1">
      <c r="A225" s="352" t="str">
        <f>IFERROR(__xludf.DUMMYFUNCTION("""COMPUTED_VALUE"""),"Item")</f>
        <v>Item</v>
      </c>
      <c r="C225" s="353"/>
      <c r="D225" s="30" t="str">
        <f>IFERROR(__xludf.DUMMYFUNCTION("""COMPUTED_VALUE"""),"No.")</f>
        <v>No.</v>
      </c>
      <c r="E225" s="31" t="str">
        <f>IFERROR(__xludf.DUMMYFUNCTION("""COMPUTED_VALUE"""),"Node Code")</f>
        <v>Node Code</v>
      </c>
      <c r="F225" s="31" t="str">
        <f>IFERROR(__xludf.DUMMYFUNCTION("""COMPUTED_VALUE"""),"Area")</f>
        <v>Area</v>
      </c>
      <c r="G225" s="31" t="str">
        <f>IFERROR(__xludf.DUMMYFUNCTION("""COMPUTED_VALUE"""),"Quest")</f>
        <v>Quest</v>
      </c>
      <c r="H225" s="30" t="str">
        <f>IFERROR(__xludf.DUMMYFUNCTION("""COMPUTED_VALUE"""),"AP")</f>
        <v>AP</v>
      </c>
      <c r="I225" s="365" t="str">
        <f>IFERROR(__xludf.DUMMYFUNCTION("""COMPUTED_VALUE"""),"BP/AP")</f>
        <v>BP/AP</v>
      </c>
      <c r="J225" s="36" t="str">
        <f>IFERROR(__xludf.DUMMYFUNCTION("""COMPUTED_VALUE"""),"AP/Drop")</f>
        <v>AP/Drop</v>
      </c>
      <c r="K225" s="28"/>
      <c r="L225" s="36" t="str">
        <f>IFERROR(__xludf.DUMMYFUNCTION("""COMPUTED_VALUE"""),"Drop Chance")</f>
        <v>Drop Chance</v>
      </c>
      <c r="M225" s="28"/>
      <c r="N225" s="38" t="str">
        <f>IFERROR(__xludf.DUMMYFUNCTION("""COMPUTED_VALUE"""),"Runs")</f>
        <v>Runs</v>
      </c>
      <c r="O225" s="355" t="str">
        <f>IFERROR(__xludf.DUMMYFUNCTION("""COMPUTED_VALUE"""),"")</f>
        <v/>
      </c>
      <c r="P225" s="371" t="str">
        <f>IFERROR(__xludf.DUMMYFUNCTION("""COMPUTED_VALUE"""),"")</f>
        <v/>
      </c>
      <c r="Q225" s="458" t="str">
        <f>IFERROR(__xludf.DUMMYFUNCTION("""COMPUTED_VALUE"""),"")</f>
        <v/>
      </c>
      <c r="R225" s="459" t="str">
        <f>IFERROR(__xludf.DUMMYFUNCTION("""COMPUTED_VALUE"""),"")</f>
        <v/>
      </c>
      <c r="S225" s="459" t="str">
        <f>IFERROR(__xludf.DUMMYFUNCTION("""COMPUTED_VALUE"""),"")</f>
        <v/>
      </c>
      <c r="T225" t="str">
        <f>IFERROR(__xludf.DUMMYFUNCTION("""COMPUTED_VALUE"""),"")</f>
        <v/>
      </c>
      <c r="U225" t="str">
        <f>IFERROR(__xludf.DUMMYFUNCTION("""COMPUTED_VALUE"""),"")</f>
        <v/>
      </c>
      <c r="V225" t="str">
        <f>IFERROR(__xludf.DUMMYFUNCTION("""COMPUTED_VALUE"""),"")</f>
        <v/>
      </c>
      <c r="W225" t="str">
        <f>IFERROR(__xludf.DUMMYFUNCTION("""COMPUTED_VALUE"""),"")</f>
        <v/>
      </c>
      <c r="X225" t="str">
        <f>IFERROR(__xludf.DUMMYFUNCTION("""COMPUTED_VALUE"""),"")</f>
        <v/>
      </c>
      <c r="Y225" t="str">
        <f>IFERROR(__xludf.DUMMYFUNCTION("""COMPUTED_VALUE"""),"")</f>
        <v/>
      </c>
      <c r="Z225" t="str">
        <f>IFERROR(__xludf.DUMMYFUNCTION("""COMPUTED_VALUE"""),"")</f>
        <v/>
      </c>
      <c r="AA225" t="str">
        <f>IFERROR(__xludf.DUMMYFUNCTION("""COMPUTED_VALUE"""),"")</f>
        <v/>
      </c>
      <c r="AB225" t="str">
        <f>IFERROR(__xludf.DUMMYFUNCTION("""COMPUTED_VALUE"""),"")</f>
        <v/>
      </c>
      <c r="AC225" t="str">
        <f>IFERROR(__xludf.DUMMYFUNCTION("""COMPUTED_VALUE"""),"")</f>
        <v/>
      </c>
      <c r="AD225" t="str">
        <f>IFERROR(__xludf.DUMMYFUNCTION("""COMPUTED_VALUE"""),"")</f>
        <v/>
      </c>
      <c r="AE225" s="460" t="str">
        <f>IFERROR(__xludf.DUMMYFUNCTION("""COMPUTED_VALUE"""),"")</f>
        <v/>
      </c>
      <c r="AF225" s="372" t="str">
        <f>IFERROR(__xludf.DUMMYFUNCTION("""COMPUTED_VALUE"""),"")</f>
        <v/>
      </c>
    </row>
    <row r="226" ht="16.5" customHeight="1">
      <c r="A226" s="54"/>
      <c r="B226" s="55"/>
      <c r="C226" s="57"/>
      <c r="D226" s="57"/>
      <c r="E226" s="57"/>
      <c r="F226" s="57"/>
      <c r="G226" s="57"/>
      <c r="H226" s="57"/>
      <c r="I226" s="58" t="str">
        <f>IFERROR(__xludf.DUMMYFUNCTION("""COMPUTED_VALUE"""),"1P+1L+1T")</f>
        <v>1P+1L+1T</v>
      </c>
      <c r="J226" s="55"/>
      <c r="K226" s="57"/>
      <c r="L226" s="55"/>
      <c r="M226" s="57"/>
      <c r="N226" s="57"/>
      <c r="O226" s="57"/>
      <c r="P226" s="371" t="str">
        <f>IFERROR(__xludf.DUMMYFUNCTION("""COMPUTED_VALUE"""),"")</f>
        <v/>
      </c>
      <c r="Q226" s="458" t="str">
        <f>IFERROR(__xludf.DUMMYFUNCTION("""COMPUTED_VALUE"""),"")</f>
        <v/>
      </c>
      <c r="R226" s="459" t="str">
        <f>IFERROR(__xludf.DUMMYFUNCTION("""COMPUTED_VALUE"""),"")</f>
        <v/>
      </c>
      <c r="S226" s="459" t="str">
        <f>IFERROR(__xludf.DUMMYFUNCTION("""COMPUTED_VALUE"""),"")</f>
        <v/>
      </c>
      <c r="T226" t="str">
        <f>IFERROR(__xludf.DUMMYFUNCTION("""COMPUTED_VALUE"""),"")</f>
        <v/>
      </c>
      <c r="U226" t="str">
        <f>IFERROR(__xludf.DUMMYFUNCTION("""COMPUTED_VALUE"""),"")</f>
        <v/>
      </c>
      <c r="V226" t="str">
        <f>IFERROR(__xludf.DUMMYFUNCTION("""COMPUTED_VALUE"""),"")</f>
        <v/>
      </c>
      <c r="W226" t="str">
        <f>IFERROR(__xludf.DUMMYFUNCTION("""COMPUTED_VALUE"""),"")</f>
        <v/>
      </c>
      <c r="X226" t="str">
        <f>IFERROR(__xludf.DUMMYFUNCTION("""COMPUTED_VALUE"""),"")</f>
        <v/>
      </c>
      <c r="Y226" t="str">
        <f>IFERROR(__xludf.DUMMYFUNCTION("""COMPUTED_VALUE"""),"")</f>
        <v/>
      </c>
      <c r="Z226" t="str">
        <f>IFERROR(__xludf.DUMMYFUNCTION("""COMPUTED_VALUE"""),"")</f>
        <v/>
      </c>
      <c r="AA226" t="str">
        <f>IFERROR(__xludf.DUMMYFUNCTION("""COMPUTED_VALUE"""),"")</f>
        <v/>
      </c>
      <c r="AB226" t="str">
        <f>IFERROR(__xludf.DUMMYFUNCTION("""COMPUTED_VALUE"""),"")</f>
        <v/>
      </c>
      <c r="AC226" t="str">
        <f>IFERROR(__xludf.DUMMYFUNCTION("""COMPUTED_VALUE"""),"")</f>
        <v/>
      </c>
      <c r="AD226" t="str">
        <f>IFERROR(__xludf.DUMMYFUNCTION("""COMPUTED_VALUE"""),"")</f>
        <v/>
      </c>
      <c r="AE226" s="460" t="str">
        <f>IFERROR(__xludf.DUMMYFUNCTION("""COMPUTED_VALUE"""),"")</f>
        <v/>
      </c>
      <c r="AF226" s="372" t="str">
        <f>IFERROR(__xludf.DUMMYFUNCTION("""COMPUTED_VALUE"""),"")</f>
        <v/>
      </c>
    </row>
    <row r="227" ht="16.5" customHeight="1">
      <c r="A227" s="494" t="str">
        <f>IFERROR(__xludf.DUMMYFUNCTION("""COMPUTED_VALUE"""),"")</f>
        <v/>
      </c>
      <c r="B227" s="494" t="str">
        <f>IFERROR(__xludf.DUMMYFUNCTION("""COMPUTED_VALUE"""),"")</f>
        <v/>
      </c>
      <c r="C227" s="494" t="str">
        <f>IFERROR(__xludf.DUMMYFUNCTION("""COMPUTED_VALUE"""),"")</f>
        <v/>
      </c>
      <c r="D227" s="494" t="str">
        <f>IFERROR(__xludf.DUMMYFUNCTION("""COMPUTED_VALUE"""),"")</f>
        <v/>
      </c>
      <c r="E227" s="494" t="str">
        <f>IFERROR(__xludf.DUMMYFUNCTION("""COMPUTED_VALUE"""),"")</f>
        <v/>
      </c>
      <c r="F227" s="494" t="str">
        <f>IFERROR(__xludf.DUMMYFUNCTION("""COMPUTED_VALUE"""),"")</f>
        <v/>
      </c>
      <c r="G227" s="494" t="str">
        <f>IFERROR(__xludf.DUMMYFUNCTION("""COMPUTED_VALUE"""),"")</f>
        <v/>
      </c>
      <c r="H227" s="494" t="str">
        <f>IFERROR(__xludf.DUMMYFUNCTION("""COMPUTED_VALUE"""),"")</f>
        <v/>
      </c>
      <c r="I227" s="494" t="str">
        <f>IFERROR(__xludf.DUMMYFUNCTION("""COMPUTED_VALUE"""),"")</f>
        <v/>
      </c>
      <c r="J227" t="str">
        <f>IFERROR(__xludf.DUMMYFUNCTION("""COMPUTED_VALUE"""),"")</f>
        <v/>
      </c>
      <c r="K227" t="str">
        <f>IFERROR(__xludf.DUMMYFUNCTION("""COMPUTED_VALUE"""),"")</f>
        <v/>
      </c>
      <c r="L227" t="str">
        <f>IFERROR(__xludf.DUMMYFUNCTION("""COMPUTED_VALUE"""),"")</f>
        <v/>
      </c>
      <c r="M227" t="str">
        <f>IFERROR(__xludf.DUMMYFUNCTION("""COMPUTED_VALUE"""),"")</f>
        <v/>
      </c>
      <c r="N227" t="str">
        <f>IFERROR(__xludf.DUMMYFUNCTION("""COMPUTED_VALUE"""),"")</f>
        <v/>
      </c>
      <c r="O227" t="str">
        <f>IFERROR(__xludf.DUMMYFUNCTION("""COMPUTED_VALUE"""),"")</f>
        <v/>
      </c>
      <c r="P227" s="371" t="str">
        <f>IFERROR(__xludf.DUMMYFUNCTION("""COMPUTED_VALUE"""),"")</f>
        <v/>
      </c>
      <c r="Q227" s="458" t="str">
        <f>IFERROR(__xludf.DUMMYFUNCTION("""COMPUTED_VALUE"""),"")</f>
        <v/>
      </c>
      <c r="R227" s="459" t="str">
        <f>IFERROR(__xludf.DUMMYFUNCTION("""COMPUTED_VALUE"""),"")</f>
        <v/>
      </c>
      <c r="S227" s="459" t="str">
        <f>IFERROR(__xludf.DUMMYFUNCTION("""COMPUTED_VALUE"""),"")</f>
        <v/>
      </c>
      <c r="T227" t="str">
        <f>IFERROR(__xludf.DUMMYFUNCTION("""COMPUTED_VALUE"""),"")</f>
        <v/>
      </c>
      <c r="U227" t="str">
        <f>IFERROR(__xludf.DUMMYFUNCTION("""COMPUTED_VALUE"""),"")</f>
        <v/>
      </c>
      <c r="V227" t="str">
        <f>IFERROR(__xludf.DUMMYFUNCTION("""COMPUTED_VALUE"""),"")</f>
        <v/>
      </c>
      <c r="W227" t="str">
        <f>IFERROR(__xludf.DUMMYFUNCTION("""COMPUTED_VALUE"""),"")</f>
        <v/>
      </c>
      <c r="X227" t="str">
        <f>IFERROR(__xludf.DUMMYFUNCTION("""COMPUTED_VALUE"""),"")</f>
        <v/>
      </c>
      <c r="Y227" t="str">
        <f>IFERROR(__xludf.DUMMYFUNCTION("""COMPUTED_VALUE"""),"")</f>
        <v/>
      </c>
      <c r="Z227" t="str">
        <f>IFERROR(__xludf.DUMMYFUNCTION("""COMPUTED_VALUE"""),"")</f>
        <v/>
      </c>
      <c r="AA227" t="str">
        <f>IFERROR(__xludf.DUMMYFUNCTION("""COMPUTED_VALUE"""),"")</f>
        <v/>
      </c>
      <c r="AB227" t="str">
        <f>IFERROR(__xludf.DUMMYFUNCTION("""COMPUTED_VALUE"""),"")</f>
        <v/>
      </c>
      <c r="AC227" t="str">
        <f>IFERROR(__xludf.DUMMYFUNCTION("""COMPUTED_VALUE"""),"")</f>
        <v/>
      </c>
      <c r="AD227" t="str">
        <f>IFERROR(__xludf.DUMMYFUNCTION("""COMPUTED_VALUE"""),"")</f>
        <v/>
      </c>
      <c r="AE227" s="460" t="str">
        <f>IFERROR(__xludf.DUMMYFUNCTION("""COMPUTED_VALUE"""),"")</f>
        <v/>
      </c>
      <c r="AF227" s="372" t="str">
        <f>IFERROR(__xludf.DUMMYFUNCTION("""COMPUTED_VALUE"""),"")</f>
        <v/>
      </c>
    </row>
    <row r="228" ht="16.5" customHeight="1">
      <c r="A228" s="494" t="str">
        <f>IFERROR(__xludf.DUMMYFUNCTION("""COMPUTED_VALUE"""),"")</f>
        <v/>
      </c>
      <c r="B228" s="494" t="str">
        <f>IFERROR(__xludf.DUMMYFUNCTION("""COMPUTED_VALUE"""),"")</f>
        <v/>
      </c>
      <c r="C228" s="494" t="str">
        <f>IFERROR(__xludf.DUMMYFUNCTION("""COMPUTED_VALUE"""),"")</f>
        <v/>
      </c>
      <c r="D228" s="494" t="str">
        <f>IFERROR(__xludf.DUMMYFUNCTION("""COMPUTED_VALUE"""),"")</f>
        <v/>
      </c>
      <c r="E228" s="494" t="str">
        <f>IFERROR(__xludf.DUMMYFUNCTION("""COMPUTED_VALUE"""),"")</f>
        <v/>
      </c>
      <c r="F228" s="494" t="str">
        <f>IFERROR(__xludf.DUMMYFUNCTION("""COMPUTED_VALUE"""),"")</f>
        <v/>
      </c>
      <c r="G228" s="494" t="str">
        <f>IFERROR(__xludf.DUMMYFUNCTION("""COMPUTED_VALUE"""),"")</f>
        <v/>
      </c>
      <c r="H228" s="494" t="str">
        <f>IFERROR(__xludf.DUMMYFUNCTION("""COMPUTED_VALUE"""),"")</f>
        <v/>
      </c>
      <c r="I228" s="494" t="str">
        <f>IFERROR(__xludf.DUMMYFUNCTION("""COMPUTED_VALUE"""),"")</f>
        <v/>
      </c>
      <c r="J228" t="str">
        <f>IFERROR(__xludf.DUMMYFUNCTION("""COMPUTED_VALUE"""),"")</f>
        <v/>
      </c>
      <c r="K228" t="str">
        <f>IFERROR(__xludf.DUMMYFUNCTION("""COMPUTED_VALUE"""),"")</f>
        <v/>
      </c>
      <c r="L228" t="str">
        <f>IFERROR(__xludf.DUMMYFUNCTION("""COMPUTED_VALUE"""),"")</f>
        <v/>
      </c>
      <c r="M228" t="str">
        <f>IFERROR(__xludf.DUMMYFUNCTION("""COMPUTED_VALUE"""),"")</f>
        <v/>
      </c>
      <c r="N228" t="str">
        <f>IFERROR(__xludf.DUMMYFUNCTION("""COMPUTED_VALUE"""),"")</f>
        <v/>
      </c>
      <c r="O228" t="str">
        <f>IFERROR(__xludf.DUMMYFUNCTION("""COMPUTED_VALUE"""),"")</f>
        <v/>
      </c>
      <c r="P228" s="371" t="str">
        <f>IFERROR(__xludf.DUMMYFUNCTION("""COMPUTED_VALUE"""),"")</f>
        <v/>
      </c>
      <c r="Q228" s="458" t="str">
        <f>IFERROR(__xludf.DUMMYFUNCTION("""COMPUTED_VALUE"""),"")</f>
        <v/>
      </c>
      <c r="R228" s="459" t="str">
        <f>IFERROR(__xludf.DUMMYFUNCTION("""COMPUTED_VALUE"""),"")</f>
        <v/>
      </c>
      <c r="S228" s="459" t="str">
        <f>IFERROR(__xludf.DUMMYFUNCTION("""COMPUTED_VALUE"""),"")</f>
        <v/>
      </c>
      <c r="T228" t="str">
        <f>IFERROR(__xludf.DUMMYFUNCTION("""COMPUTED_VALUE"""),"")</f>
        <v/>
      </c>
      <c r="U228" t="str">
        <f>IFERROR(__xludf.DUMMYFUNCTION("""COMPUTED_VALUE"""),"")</f>
        <v/>
      </c>
      <c r="V228" t="str">
        <f>IFERROR(__xludf.DUMMYFUNCTION("""COMPUTED_VALUE"""),"")</f>
        <v/>
      </c>
      <c r="W228" t="str">
        <f>IFERROR(__xludf.DUMMYFUNCTION("""COMPUTED_VALUE"""),"")</f>
        <v/>
      </c>
      <c r="X228" t="str">
        <f>IFERROR(__xludf.DUMMYFUNCTION("""COMPUTED_VALUE"""),"")</f>
        <v/>
      </c>
      <c r="Y228" t="str">
        <f>IFERROR(__xludf.DUMMYFUNCTION("""COMPUTED_VALUE"""),"")</f>
        <v/>
      </c>
      <c r="Z228" t="str">
        <f>IFERROR(__xludf.DUMMYFUNCTION("""COMPUTED_VALUE"""),"")</f>
        <v/>
      </c>
      <c r="AA228" t="str">
        <f>IFERROR(__xludf.DUMMYFUNCTION("""COMPUTED_VALUE"""),"")</f>
        <v/>
      </c>
      <c r="AB228" t="str">
        <f>IFERROR(__xludf.DUMMYFUNCTION("""COMPUTED_VALUE"""),"")</f>
        <v/>
      </c>
      <c r="AC228" t="str">
        <f>IFERROR(__xludf.DUMMYFUNCTION("""COMPUTED_VALUE"""),"")</f>
        <v/>
      </c>
      <c r="AD228" t="str">
        <f>IFERROR(__xludf.DUMMYFUNCTION("""COMPUTED_VALUE"""),"")</f>
        <v/>
      </c>
      <c r="AE228" s="460" t="str">
        <f>IFERROR(__xludf.DUMMYFUNCTION("""COMPUTED_VALUE"""),"")</f>
        <v/>
      </c>
      <c r="AF228" s="372" t="str">
        <f>IFERROR(__xludf.DUMMYFUNCTION("""COMPUTED_VALUE"""),"")</f>
        <v/>
      </c>
    </row>
    <row r="229" ht="16.5" customHeight="1">
      <c r="A229" s="494" t="str">
        <f>IFERROR(__xludf.DUMMYFUNCTION("""COMPUTED_VALUE"""),"")</f>
        <v/>
      </c>
      <c r="B229" s="494" t="str">
        <f>IFERROR(__xludf.DUMMYFUNCTION("""COMPUTED_VALUE"""),"")</f>
        <v/>
      </c>
      <c r="C229" s="494" t="str">
        <f>IFERROR(__xludf.DUMMYFUNCTION("""COMPUTED_VALUE"""),"")</f>
        <v/>
      </c>
      <c r="D229" s="494" t="str">
        <f>IFERROR(__xludf.DUMMYFUNCTION("""COMPUTED_VALUE"""),"")</f>
        <v/>
      </c>
      <c r="E229" s="494" t="str">
        <f>IFERROR(__xludf.DUMMYFUNCTION("""COMPUTED_VALUE"""),"")</f>
        <v/>
      </c>
      <c r="F229" s="494" t="str">
        <f>IFERROR(__xludf.DUMMYFUNCTION("""COMPUTED_VALUE"""),"")</f>
        <v/>
      </c>
      <c r="G229" s="494" t="str">
        <f>IFERROR(__xludf.DUMMYFUNCTION("""COMPUTED_VALUE"""),"")</f>
        <v/>
      </c>
      <c r="H229" s="494" t="str">
        <f>IFERROR(__xludf.DUMMYFUNCTION("""COMPUTED_VALUE"""),"")</f>
        <v/>
      </c>
      <c r="I229" s="494" t="str">
        <f>IFERROR(__xludf.DUMMYFUNCTION("""COMPUTED_VALUE"""),"")</f>
        <v/>
      </c>
      <c r="J229" t="str">
        <f>IFERROR(__xludf.DUMMYFUNCTION("""COMPUTED_VALUE"""),"")</f>
        <v/>
      </c>
      <c r="K229" t="str">
        <f>IFERROR(__xludf.DUMMYFUNCTION("""COMPUTED_VALUE"""),"")</f>
        <v/>
      </c>
      <c r="L229" t="str">
        <f>IFERROR(__xludf.DUMMYFUNCTION("""COMPUTED_VALUE"""),"")</f>
        <v/>
      </c>
      <c r="M229" t="str">
        <f>IFERROR(__xludf.DUMMYFUNCTION("""COMPUTED_VALUE"""),"")</f>
        <v/>
      </c>
      <c r="N229" t="str">
        <f>IFERROR(__xludf.DUMMYFUNCTION("""COMPUTED_VALUE"""),"")</f>
        <v/>
      </c>
      <c r="O229" t="str">
        <f>IFERROR(__xludf.DUMMYFUNCTION("""COMPUTED_VALUE"""),"")</f>
        <v/>
      </c>
      <c r="P229" s="371" t="str">
        <f>IFERROR(__xludf.DUMMYFUNCTION("""COMPUTED_VALUE"""),"")</f>
        <v/>
      </c>
      <c r="Q229" s="458" t="str">
        <f>IFERROR(__xludf.DUMMYFUNCTION("""COMPUTED_VALUE"""),"")</f>
        <v/>
      </c>
      <c r="R229" s="459" t="str">
        <f>IFERROR(__xludf.DUMMYFUNCTION("""COMPUTED_VALUE"""),"")</f>
        <v/>
      </c>
      <c r="S229" s="459" t="str">
        <f>IFERROR(__xludf.DUMMYFUNCTION("""COMPUTED_VALUE"""),"")</f>
        <v/>
      </c>
      <c r="T229" t="str">
        <f>IFERROR(__xludf.DUMMYFUNCTION("""COMPUTED_VALUE"""),"")</f>
        <v/>
      </c>
      <c r="U229" t="str">
        <f>IFERROR(__xludf.DUMMYFUNCTION("""COMPUTED_VALUE"""),"")</f>
        <v/>
      </c>
      <c r="V229" t="str">
        <f>IFERROR(__xludf.DUMMYFUNCTION("""COMPUTED_VALUE"""),"")</f>
        <v/>
      </c>
      <c r="W229" t="str">
        <f>IFERROR(__xludf.DUMMYFUNCTION("""COMPUTED_VALUE"""),"")</f>
        <v/>
      </c>
      <c r="X229" t="str">
        <f>IFERROR(__xludf.DUMMYFUNCTION("""COMPUTED_VALUE"""),"")</f>
        <v/>
      </c>
      <c r="Y229" t="str">
        <f>IFERROR(__xludf.DUMMYFUNCTION("""COMPUTED_VALUE"""),"")</f>
        <v/>
      </c>
      <c r="Z229" t="str">
        <f>IFERROR(__xludf.DUMMYFUNCTION("""COMPUTED_VALUE"""),"")</f>
        <v/>
      </c>
      <c r="AA229" t="str">
        <f>IFERROR(__xludf.DUMMYFUNCTION("""COMPUTED_VALUE"""),"")</f>
        <v/>
      </c>
      <c r="AB229" t="str">
        <f>IFERROR(__xludf.DUMMYFUNCTION("""COMPUTED_VALUE"""),"")</f>
        <v/>
      </c>
      <c r="AC229" t="str">
        <f>IFERROR(__xludf.DUMMYFUNCTION("""COMPUTED_VALUE"""),"")</f>
        <v/>
      </c>
      <c r="AD229" t="str">
        <f>IFERROR(__xludf.DUMMYFUNCTION("""COMPUTED_VALUE"""),"")</f>
        <v/>
      </c>
      <c r="AE229" s="460" t="str">
        <f>IFERROR(__xludf.DUMMYFUNCTION("""COMPUTED_VALUE"""),"")</f>
        <v/>
      </c>
      <c r="AF229" s="372" t="str">
        <f>IFERROR(__xludf.DUMMYFUNCTION("""COMPUTED_VALUE"""),"")</f>
        <v/>
      </c>
    </row>
    <row r="230" ht="16.5" customHeight="1">
      <c r="A230" s="494" t="str">
        <f>IFERROR(__xludf.DUMMYFUNCTION("""COMPUTED_VALUE"""),"")</f>
        <v/>
      </c>
      <c r="B230" s="494" t="str">
        <f>IFERROR(__xludf.DUMMYFUNCTION("""COMPUTED_VALUE"""),"")</f>
        <v/>
      </c>
      <c r="C230" s="494" t="str">
        <f>IFERROR(__xludf.DUMMYFUNCTION("""COMPUTED_VALUE"""),"")</f>
        <v/>
      </c>
      <c r="D230" s="494" t="str">
        <f>IFERROR(__xludf.DUMMYFUNCTION("""COMPUTED_VALUE"""),"")</f>
        <v/>
      </c>
      <c r="E230" s="494" t="str">
        <f>IFERROR(__xludf.DUMMYFUNCTION("""COMPUTED_VALUE"""),"")</f>
        <v/>
      </c>
      <c r="F230" s="494" t="str">
        <f>IFERROR(__xludf.DUMMYFUNCTION("""COMPUTED_VALUE"""),"")</f>
        <v/>
      </c>
      <c r="G230" s="494" t="str">
        <f>IFERROR(__xludf.DUMMYFUNCTION("""COMPUTED_VALUE"""),"")</f>
        <v/>
      </c>
      <c r="H230" s="494" t="str">
        <f>IFERROR(__xludf.DUMMYFUNCTION("""COMPUTED_VALUE"""),"")</f>
        <v/>
      </c>
      <c r="I230" s="494" t="str">
        <f>IFERROR(__xludf.DUMMYFUNCTION("""COMPUTED_VALUE"""),"")</f>
        <v/>
      </c>
      <c r="J230" t="str">
        <f>IFERROR(__xludf.DUMMYFUNCTION("""COMPUTED_VALUE"""),"")</f>
        <v/>
      </c>
      <c r="K230" t="str">
        <f>IFERROR(__xludf.DUMMYFUNCTION("""COMPUTED_VALUE"""),"")</f>
        <v/>
      </c>
      <c r="L230" t="str">
        <f>IFERROR(__xludf.DUMMYFUNCTION("""COMPUTED_VALUE"""),"")</f>
        <v/>
      </c>
      <c r="M230" t="str">
        <f>IFERROR(__xludf.DUMMYFUNCTION("""COMPUTED_VALUE"""),"")</f>
        <v/>
      </c>
      <c r="N230" t="str">
        <f>IFERROR(__xludf.DUMMYFUNCTION("""COMPUTED_VALUE"""),"")</f>
        <v/>
      </c>
      <c r="O230" t="str">
        <f>IFERROR(__xludf.DUMMYFUNCTION("""COMPUTED_VALUE"""),"")</f>
        <v/>
      </c>
      <c r="P230" s="371" t="str">
        <f>IFERROR(__xludf.DUMMYFUNCTION("""COMPUTED_VALUE"""),"")</f>
        <v/>
      </c>
      <c r="Q230" s="458" t="str">
        <f>IFERROR(__xludf.DUMMYFUNCTION("""COMPUTED_VALUE"""),"")</f>
        <v/>
      </c>
      <c r="R230" s="459" t="str">
        <f>IFERROR(__xludf.DUMMYFUNCTION("""COMPUTED_VALUE"""),"")</f>
        <v/>
      </c>
      <c r="S230" s="459" t="str">
        <f>IFERROR(__xludf.DUMMYFUNCTION("""COMPUTED_VALUE"""),"")</f>
        <v/>
      </c>
      <c r="T230" t="str">
        <f>IFERROR(__xludf.DUMMYFUNCTION("""COMPUTED_VALUE"""),"")</f>
        <v/>
      </c>
      <c r="U230" t="str">
        <f>IFERROR(__xludf.DUMMYFUNCTION("""COMPUTED_VALUE"""),"")</f>
        <v/>
      </c>
      <c r="V230" t="str">
        <f>IFERROR(__xludf.DUMMYFUNCTION("""COMPUTED_VALUE"""),"")</f>
        <v/>
      </c>
      <c r="W230" t="str">
        <f>IFERROR(__xludf.DUMMYFUNCTION("""COMPUTED_VALUE"""),"")</f>
        <v/>
      </c>
      <c r="X230" t="str">
        <f>IFERROR(__xludf.DUMMYFUNCTION("""COMPUTED_VALUE"""),"")</f>
        <v/>
      </c>
      <c r="Y230" t="str">
        <f>IFERROR(__xludf.DUMMYFUNCTION("""COMPUTED_VALUE"""),"")</f>
        <v/>
      </c>
      <c r="Z230" t="str">
        <f>IFERROR(__xludf.DUMMYFUNCTION("""COMPUTED_VALUE"""),"")</f>
        <v/>
      </c>
      <c r="AA230" t="str">
        <f>IFERROR(__xludf.DUMMYFUNCTION("""COMPUTED_VALUE"""),"")</f>
        <v/>
      </c>
      <c r="AB230" t="str">
        <f>IFERROR(__xludf.DUMMYFUNCTION("""COMPUTED_VALUE"""),"")</f>
        <v/>
      </c>
      <c r="AC230" t="str">
        <f>IFERROR(__xludf.DUMMYFUNCTION("""COMPUTED_VALUE"""),"")</f>
        <v/>
      </c>
      <c r="AD230" t="str">
        <f>IFERROR(__xludf.DUMMYFUNCTION("""COMPUTED_VALUE"""),"")</f>
        <v/>
      </c>
      <c r="AE230" s="460" t="str">
        <f>IFERROR(__xludf.DUMMYFUNCTION("""COMPUTED_VALUE"""),"")</f>
        <v/>
      </c>
      <c r="AF230" s="372" t="str">
        <f>IFERROR(__xludf.DUMMYFUNCTION("""COMPUTED_VALUE"""),"")</f>
        <v/>
      </c>
    </row>
    <row r="231" ht="16.5" customHeight="1">
      <c r="A231" s="494" t="str">
        <f>IFERROR(__xludf.DUMMYFUNCTION("""COMPUTED_VALUE"""),"")</f>
        <v/>
      </c>
      <c r="B231" s="494" t="str">
        <f>IFERROR(__xludf.DUMMYFUNCTION("""COMPUTED_VALUE"""),"")</f>
        <v/>
      </c>
      <c r="C231" s="494" t="str">
        <f>IFERROR(__xludf.DUMMYFUNCTION("""COMPUTED_VALUE"""),"")</f>
        <v/>
      </c>
      <c r="D231" s="494" t="str">
        <f>IFERROR(__xludf.DUMMYFUNCTION("""COMPUTED_VALUE"""),"")</f>
        <v/>
      </c>
      <c r="E231" s="494" t="str">
        <f>IFERROR(__xludf.DUMMYFUNCTION("""COMPUTED_VALUE"""),"")</f>
        <v/>
      </c>
      <c r="F231" s="494" t="str">
        <f>IFERROR(__xludf.DUMMYFUNCTION("""COMPUTED_VALUE"""),"")</f>
        <v/>
      </c>
      <c r="G231" s="494" t="str">
        <f>IFERROR(__xludf.DUMMYFUNCTION("""COMPUTED_VALUE"""),"")</f>
        <v/>
      </c>
      <c r="H231" s="494" t="str">
        <f>IFERROR(__xludf.DUMMYFUNCTION("""COMPUTED_VALUE"""),"")</f>
        <v/>
      </c>
      <c r="I231" s="494" t="str">
        <f>IFERROR(__xludf.DUMMYFUNCTION("""COMPUTED_VALUE"""),"")</f>
        <v/>
      </c>
      <c r="J231" t="str">
        <f>IFERROR(__xludf.DUMMYFUNCTION("""COMPUTED_VALUE"""),"")</f>
        <v/>
      </c>
      <c r="K231" t="str">
        <f>IFERROR(__xludf.DUMMYFUNCTION("""COMPUTED_VALUE"""),"")</f>
        <v/>
      </c>
      <c r="L231" t="str">
        <f>IFERROR(__xludf.DUMMYFUNCTION("""COMPUTED_VALUE"""),"")</f>
        <v/>
      </c>
      <c r="M231" t="str">
        <f>IFERROR(__xludf.DUMMYFUNCTION("""COMPUTED_VALUE"""),"")</f>
        <v/>
      </c>
      <c r="N231" t="str">
        <f>IFERROR(__xludf.DUMMYFUNCTION("""COMPUTED_VALUE"""),"")</f>
        <v/>
      </c>
      <c r="O231" t="str">
        <f>IFERROR(__xludf.DUMMYFUNCTION("""COMPUTED_VALUE"""),"")</f>
        <v/>
      </c>
      <c r="P231" s="371" t="str">
        <f>IFERROR(__xludf.DUMMYFUNCTION("""COMPUTED_VALUE"""),"")</f>
        <v/>
      </c>
      <c r="Q231" s="458" t="str">
        <f>IFERROR(__xludf.DUMMYFUNCTION("""COMPUTED_VALUE"""),"")</f>
        <v/>
      </c>
      <c r="R231" s="459" t="str">
        <f>IFERROR(__xludf.DUMMYFUNCTION("""COMPUTED_VALUE"""),"")</f>
        <v/>
      </c>
      <c r="S231" s="459" t="str">
        <f>IFERROR(__xludf.DUMMYFUNCTION("""COMPUTED_VALUE"""),"")</f>
        <v/>
      </c>
      <c r="T231" t="str">
        <f>IFERROR(__xludf.DUMMYFUNCTION("""COMPUTED_VALUE"""),"")</f>
        <v/>
      </c>
      <c r="U231" t="str">
        <f>IFERROR(__xludf.DUMMYFUNCTION("""COMPUTED_VALUE"""),"")</f>
        <v/>
      </c>
      <c r="V231" t="str">
        <f>IFERROR(__xludf.DUMMYFUNCTION("""COMPUTED_VALUE"""),"")</f>
        <v/>
      </c>
      <c r="W231" t="str">
        <f>IFERROR(__xludf.DUMMYFUNCTION("""COMPUTED_VALUE"""),"")</f>
        <v/>
      </c>
      <c r="X231" t="str">
        <f>IFERROR(__xludf.DUMMYFUNCTION("""COMPUTED_VALUE"""),"")</f>
        <v/>
      </c>
      <c r="Y231" t="str">
        <f>IFERROR(__xludf.DUMMYFUNCTION("""COMPUTED_VALUE"""),"")</f>
        <v/>
      </c>
      <c r="Z231" t="str">
        <f>IFERROR(__xludf.DUMMYFUNCTION("""COMPUTED_VALUE"""),"")</f>
        <v/>
      </c>
      <c r="AA231" t="str">
        <f>IFERROR(__xludf.DUMMYFUNCTION("""COMPUTED_VALUE"""),"")</f>
        <v/>
      </c>
      <c r="AB231" t="str">
        <f>IFERROR(__xludf.DUMMYFUNCTION("""COMPUTED_VALUE"""),"")</f>
        <v/>
      </c>
      <c r="AC231" t="str">
        <f>IFERROR(__xludf.DUMMYFUNCTION("""COMPUTED_VALUE"""),"")</f>
        <v/>
      </c>
      <c r="AD231" t="str">
        <f>IFERROR(__xludf.DUMMYFUNCTION("""COMPUTED_VALUE"""),"")</f>
        <v/>
      </c>
      <c r="AE231" s="460" t="str">
        <f>IFERROR(__xludf.DUMMYFUNCTION("""COMPUTED_VALUE"""),"")</f>
        <v/>
      </c>
      <c r="AF231" s="372" t="str">
        <f>IFERROR(__xludf.DUMMYFUNCTION("""COMPUTED_VALUE"""),"")</f>
        <v/>
      </c>
    </row>
    <row r="232" ht="16.5" customHeight="1">
      <c r="A232" s="494" t="str">
        <f>IFERROR(__xludf.DUMMYFUNCTION("""COMPUTED_VALUE"""),"")</f>
        <v/>
      </c>
      <c r="B232" s="494" t="str">
        <f>IFERROR(__xludf.DUMMYFUNCTION("""COMPUTED_VALUE"""),"")</f>
        <v/>
      </c>
      <c r="C232" s="494" t="str">
        <f>IFERROR(__xludf.DUMMYFUNCTION("""COMPUTED_VALUE"""),"")</f>
        <v/>
      </c>
      <c r="D232" s="494" t="str">
        <f>IFERROR(__xludf.DUMMYFUNCTION("""COMPUTED_VALUE"""),"")</f>
        <v/>
      </c>
      <c r="E232" s="494" t="str">
        <f>IFERROR(__xludf.DUMMYFUNCTION("""COMPUTED_VALUE"""),"")</f>
        <v/>
      </c>
      <c r="F232" s="494" t="str">
        <f>IFERROR(__xludf.DUMMYFUNCTION("""COMPUTED_VALUE"""),"")</f>
        <v/>
      </c>
      <c r="G232" s="494" t="str">
        <f>IFERROR(__xludf.DUMMYFUNCTION("""COMPUTED_VALUE"""),"")</f>
        <v/>
      </c>
      <c r="H232" s="494" t="str">
        <f>IFERROR(__xludf.DUMMYFUNCTION("""COMPUTED_VALUE"""),"")</f>
        <v/>
      </c>
      <c r="I232" s="494" t="str">
        <f>IFERROR(__xludf.DUMMYFUNCTION("""COMPUTED_VALUE"""),"")</f>
        <v/>
      </c>
      <c r="J232" t="str">
        <f>IFERROR(__xludf.DUMMYFUNCTION("""COMPUTED_VALUE"""),"")</f>
        <v/>
      </c>
      <c r="K232" t="str">
        <f>IFERROR(__xludf.DUMMYFUNCTION("""COMPUTED_VALUE"""),"")</f>
        <v/>
      </c>
      <c r="L232" t="str">
        <f>IFERROR(__xludf.DUMMYFUNCTION("""COMPUTED_VALUE"""),"")</f>
        <v/>
      </c>
      <c r="M232" t="str">
        <f>IFERROR(__xludf.DUMMYFUNCTION("""COMPUTED_VALUE"""),"")</f>
        <v/>
      </c>
      <c r="N232" t="str">
        <f>IFERROR(__xludf.DUMMYFUNCTION("""COMPUTED_VALUE"""),"")</f>
        <v/>
      </c>
      <c r="O232" t="str">
        <f>IFERROR(__xludf.DUMMYFUNCTION("""COMPUTED_VALUE"""),"")</f>
        <v/>
      </c>
      <c r="P232" s="371" t="str">
        <f>IFERROR(__xludf.DUMMYFUNCTION("""COMPUTED_VALUE"""),"")</f>
        <v/>
      </c>
      <c r="Q232" s="458" t="str">
        <f>IFERROR(__xludf.DUMMYFUNCTION("""COMPUTED_VALUE"""),"")</f>
        <v/>
      </c>
      <c r="R232" s="459" t="str">
        <f>IFERROR(__xludf.DUMMYFUNCTION("""COMPUTED_VALUE"""),"")</f>
        <v/>
      </c>
      <c r="S232" s="459" t="str">
        <f>IFERROR(__xludf.DUMMYFUNCTION("""COMPUTED_VALUE"""),"")</f>
        <v/>
      </c>
      <c r="T232" t="str">
        <f>IFERROR(__xludf.DUMMYFUNCTION("""COMPUTED_VALUE"""),"")</f>
        <v/>
      </c>
      <c r="U232" t="str">
        <f>IFERROR(__xludf.DUMMYFUNCTION("""COMPUTED_VALUE"""),"")</f>
        <v/>
      </c>
      <c r="V232" t="str">
        <f>IFERROR(__xludf.DUMMYFUNCTION("""COMPUTED_VALUE"""),"")</f>
        <v/>
      </c>
      <c r="W232" t="str">
        <f>IFERROR(__xludf.DUMMYFUNCTION("""COMPUTED_VALUE"""),"")</f>
        <v/>
      </c>
      <c r="X232" t="str">
        <f>IFERROR(__xludf.DUMMYFUNCTION("""COMPUTED_VALUE"""),"")</f>
        <v/>
      </c>
      <c r="Y232" t="str">
        <f>IFERROR(__xludf.DUMMYFUNCTION("""COMPUTED_VALUE"""),"")</f>
        <v/>
      </c>
      <c r="Z232" t="str">
        <f>IFERROR(__xludf.DUMMYFUNCTION("""COMPUTED_VALUE"""),"")</f>
        <v/>
      </c>
      <c r="AA232" t="str">
        <f>IFERROR(__xludf.DUMMYFUNCTION("""COMPUTED_VALUE"""),"")</f>
        <v/>
      </c>
      <c r="AB232" t="str">
        <f>IFERROR(__xludf.DUMMYFUNCTION("""COMPUTED_VALUE"""),"")</f>
        <v/>
      </c>
      <c r="AC232" t="str">
        <f>IFERROR(__xludf.DUMMYFUNCTION("""COMPUTED_VALUE"""),"")</f>
        <v/>
      </c>
      <c r="AD232" t="str">
        <f>IFERROR(__xludf.DUMMYFUNCTION("""COMPUTED_VALUE"""),"")</f>
        <v/>
      </c>
      <c r="AE232" s="460" t="str">
        <f>IFERROR(__xludf.DUMMYFUNCTION("""COMPUTED_VALUE"""),"")</f>
        <v/>
      </c>
      <c r="AF232" s="372" t="str">
        <f>IFERROR(__xludf.DUMMYFUNCTION("""COMPUTED_VALUE"""),"")</f>
        <v/>
      </c>
    </row>
    <row r="233" ht="16.5" customHeight="1">
      <c r="A233" s="494" t="str">
        <f>IFERROR(__xludf.DUMMYFUNCTION("""COMPUTED_VALUE"""),"")</f>
        <v/>
      </c>
      <c r="B233" s="494" t="str">
        <f>IFERROR(__xludf.DUMMYFUNCTION("""COMPUTED_VALUE"""),"")</f>
        <v/>
      </c>
      <c r="C233" s="494" t="str">
        <f>IFERROR(__xludf.DUMMYFUNCTION("""COMPUTED_VALUE"""),"")</f>
        <v/>
      </c>
      <c r="D233" s="494" t="str">
        <f>IFERROR(__xludf.DUMMYFUNCTION("""COMPUTED_VALUE"""),"")</f>
        <v/>
      </c>
      <c r="E233" s="494" t="str">
        <f>IFERROR(__xludf.DUMMYFUNCTION("""COMPUTED_VALUE"""),"")</f>
        <v/>
      </c>
      <c r="F233" s="494" t="str">
        <f>IFERROR(__xludf.DUMMYFUNCTION("""COMPUTED_VALUE"""),"")</f>
        <v/>
      </c>
      <c r="G233" s="494" t="str">
        <f>IFERROR(__xludf.DUMMYFUNCTION("""COMPUTED_VALUE"""),"")</f>
        <v/>
      </c>
      <c r="H233" s="494" t="str">
        <f>IFERROR(__xludf.DUMMYFUNCTION("""COMPUTED_VALUE"""),"")</f>
        <v/>
      </c>
      <c r="I233" s="494" t="str">
        <f>IFERROR(__xludf.DUMMYFUNCTION("""COMPUTED_VALUE"""),"")</f>
        <v/>
      </c>
      <c r="J233" t="str">
        <f>IFERROR(__xludf.DUMMYFUNCTION("""COMPUTED_VALUE"""),"")</f>
        <v/>
      </c>
      <c r="K233" t="str">
        <f>IFERROR(__xludf.DUMMYFUNCTION("""COMPUTED_VALUE"""),"")</f>
        <v/>
      </c>
      <c r="L233" t="str">
        <f>IFERROR(__xludf.DUMMYFUNCTION("""COMPUTED_VALUE"""),"")</f>
        <v/>
      </c>
      <c r="M233" t="str">
        <f>IFERROR(__xludf.DUMMYFUNCTION("""COMPUTED_VALUE"""),"")</f>
        <v/>
      </c>
      <c r="N233" t="str">
        <f>IFERROR(__xludf.DUMMYFUNCTION("""COMPUTED_VALUE"""),"")</f>
        <v/>
      </c>
      <c r="O233" t="str">
        <f>IFERROR(__xludf.DUMMYFUNCTION("""COMPUTED_VALUE"""),"")</f>
        <v/>
      </c>
      <c r="P233" s="371" t="str">
        <f>IFERROR(__xludf.DUMMYFUNCTION("""COMPUTED_VALUE"""),"")</f>
        <v/>
      </c>
      <c r="Q233" s="458" t="str">
        <f>IFERROR(__xludf.DUMMYFUNCTION("""COMPUTED_VALUE"""),"")</f>
        <v/>
      </c>
      <c r="R233" s="459" t="str">
        <f>IFERROR(__xludf.DUMMYFUNCTION("""COMPUTED_VALUE"""),"")</f>
        <v/>
      </c>
      <c r="S233" s="459" t="str">
        <f>IFERROR(__xludf.DUMMYFUNCTION("""COMPUTED_VALUE"""),"")</f>
        <v/>
      </c>
      <c r="T233" t="str">
        <f>IFERROR(__xludf.DUMMYFUNCTION("""COMPUTED_VALUE"""),"")</f>
        <v/>
      </c>
      <c r="U233" t="str">
        <f>IFERROR(__xludf.DUMMYFUNCTION("""COMPUTED_VALUE"""),"")</f>
        <v/>
      </c>
      <c r="V233" t="str">
        <f>IFERROR(__xludf.DUMMYFUNCTION("""COMPUTED_VALUE"""),"")</f>
        <v/>
      </c>
      <c r="W233" t="str">
        <f>IFERROR(__xludf.DUMMYFUNCTION("""COMPUTED_VALUE"""),"")</f>
        <v/>
      </c>
      <c r="X233" t="str">
        <f>IFERROR(__xludf.DUMMYFUNCTION("""COMPUTED_VALUE"""),"")</f>
        <v/>
      </c>
      <c r="Y233" t="str">
        <f>IFERROR(__xludf.DUMMYFUNCTION("""COMPUTED_VALUE"""),"")</f>
        <v/>
      </c>
      <c r="Z233" t="str">
        <f>IFERROR(__xludf.DUMMYFUNCTION("""COMPUTED_VALUE"""),"")</f>
        <v/>
      </c>
      <c r="AA233" t="str">
        <f>IFERROR(__xludf.DUMMYFUNCTION("""COMPUTED_VALUE"""),"")</f>
        <v/>
      </c>
      <c r="AB233" t="str">
        <f>IFERROR(__xludf.DUMMYFUNCTION("""COMPUTED_VALUE"""),"")</f>
        <v/>
      </c>
      <c r="AC233" t="str">
        <f>IFERROR(__xludf.DUMMYFUNCTION("""COMPUTED_VALUE"""),"")</f>
        <v/>
      </c>
      <c r="AD233" t="str">
        <f>IFERROR(__xludf.DUMMYFUNCTION("""COMPUTED_VALUE"""),"")</f>
        <v/>
      </c>
      <c r="AE233" s="460" t="str">
        <f>IFERROR(__xludf.DUMMYFUNCTION("""COMPUTED_VALUE"""),"")</f>
        <v/>
      </c>
      <c r="AF233" s="372" t="str">
        <f>IFERROR(__xludf.DUMMYFUNCTION("""COMPUTED_VALUE"""),"")</f>
        <v/>
      </c>
    </row>
    <row r="234" ht="16.5" customHeight="1">
      <c r="A234" s="494" t="str">
        <f>IFERROR(__xludf.DUMMYFUNCTION("""COMPUTED_VALUE"""),"")</f>
        <v/>
      </c>
      <c r="B234" s="494" t="str">
        <f>IFERROR(__xludf.DUMMYFUNCTION("""COMPUTED_VALUE"""),"")</f>
        <v/>
      </c>
      <c r="C234" s="494" t="str">
        <f>IFERROR(__xludf.DUMMYFUNCTION("""COMPUTED_VALUE"""),"")</f>
        <v/>
      </c>
      <c r="D234" s="494" t="str">
        <f>IFERROR(__xludf.DUMMYFUNCTION("""COMPUTED_VALUE"""),"")</f>
        <v/>
      </c>
      <c r="E234" s="494" t="str">
        <f>IFERROR(__xludf.DUMMYFUNCTION("""COMPUTED_VALUE"""),"")</f>
        <v/>
      </c>
      <c r="F234" s="494" t="str">
        <f>IFERROR(__xludf.DUMMYFUNCTION("""COMPUTED_VALUE"""),"")</f>
        <v/>
      </c>
      <c r="G234" s="494" t="str">
        <f>IFERROR(__xludf.DUMMYFUNCTION("""COMPUTED_VALUE"""),"")</f>
        <v/>
      </c>
      <c r="H234" s="494" t="str">
        <f>IFERROR(__xludf.DUMMYFUNCTION("""COMPUTED_VALUE"""),"")</f>
        <v/>
      </c>
      <c r="I234" s="494" t="str">
        <f>IFERROR(__xludf.DUMMYFUNCTION("""COMPUTED_VALUE"""),"")</f>
        <v/>
      </c>
      <c r="J234" t="str">
        <f>IFERROR(__xludf.DUMMYFUNCTION("""COMPUTED_VALUE"""),"")</f>
        <v/>
      </c>
      <c r="K234" t="str">
        <f>IFERROR(__xludf.DUMMYFUNCTION("""COMPUTED_VALUE"""),"")</f>
        <v/>
      </c>
      <c r="L234" t="str">
        <f>IFERROR(__xludf.DUMMYFUNCTION("""COMPUTED_VALUE"""),"")</f>
        <v/>
      </c>
      <c r="M234" t="str">
        <f>IFERROR(__xludf.DUMMYFUNCTION("""COMPUTED_VALUE"""),"")</f>
        <v/>
      </c>
      <c r="N234" t="str">
        <f>IFERROR(__xludf.DUMMYFUNCTION("""COMPUTED_VALUE"""),"")</f>
        <v/>
      </c>
      <c r="O234" t="str">
        <f>IFERROR(__xludf.DUMMYFUNCTION("""COMPUTED_VALUE"""),"")</f>
        <v/>
      </c>
      <c r="P234" s="371" t="str">
        <f>IFERROR(__xludf.DUMMYFUNCTION("""COMPUTED_VALUE"""),"")</f>
        <v/>
      </c>
      <c r="Q234" s="458" t="str">
        <f>IFERROR(__xludf.DUMMYFUNCTION("""COMPUTED_VALUE"""),"")</f>
        <v/>
      </c>
      <c r="R234" s="459" t="str">
        <f>IFERROR(__xludf.DUMMYFUNCTION("""COMPUTED_VALUE"""),"")</f>
        <v/>
      </c>
      <c r="S234" s="459" t="str">
        <f>IFERROR(__xludf.DUMMYFUNCTION("""COMPUTED_VALUE"""),"")</f>
        <v/>
      </c>
      <c r="T234" t="str">
        <f>IFERROR(__xludf.DUMMYFUNCTION("""COMPUTED_VALUE"""),"")</f>
        <v/>
      </c>
      <c r="U234" t="str">
        <f>IFERROR(__xludf.DUMMYFUNCTION("""COMPUTED_VALUE"""),"")</f>
        <v/>
      </c>
      <c r="V234" t="str">
        <f>IFERROR(__xludf.DUMMYFUNCTION("""COMPUTED_VALUE"""),"")</f>
        <v/>
      </c>
      <c r="W234" t="str">
        <f>IFERROR(__xludf.DUMMYFUNCTION("""COMPUTED_VALUE"""),"")</f>
        <v/>
      </c>
      <c r="X234" t="str">
        <f>IFERROR(__xludf.DUMMYFUNCTION("""COMPUTED_VALUE"""),"")</f>
        <v/>
      </c>
      <c r="Y234" t="str">
        <f>IFERROR(__xludf.DUMMYFUNCTION("""COMPUTED_VALUE"""),"")</f>
        <v/>
      </c>
      <c r="Z234" t="str">
        <f>IFERROR(__xludf.DUMMYFUNCTION("""COMPUTED_VALUE"""),"")</f>
        <v/>
      </c>
      <c r="AA234" t="str">
        <f>IFERROR(__xludf.DUMMYFUNCTION("""COMPUTED_VALUE"""),"")</f>
        <v/>
      </c>
      <c r="AB234" t="str">
        <f>IFERROR(__xludf.DUMMYFUNCTION("""COMPUTED_VALUE"""),"")</f>
        <v/>
      </c>
      <c r="AC234" t="str">
        <f>IFERROR(__xludf.DUMMYFUNCTION("""COMPUTED_VALUE"""),"")</f>
        <v/>
      </c>
      <c r="AD234" t="str">
        <f>IFERROR(__xludf.DUMMYFUNCTION("""COMPUTED_VALUE"""),"")</f>
        <v/>
      </c>
      <c r="AE234" s="460" t="str">
        <f>IFERROR(__xludf.DUMMYFUNCTION("""COMPUTED_VALUE"""),"")</f>
        <v/>
      </c>
      <c r="AF234" s="372" t="str">
        <f>IFERROR(__xludf.DUMMYFUNCTION("""COMPUTED_VALUE"""),"")</f>
        <v/>
      </c>
    </row>
  </sheetData>
  <mergeCells count="439">
    <mergeCell ref="S146:S150"/>
    <mergeCell ref="S163:S167"/>
    <mergeCell ref="Q173:Q177"/>
    <mergeCell ref="O173:O177"/>
    <mergeCell ref="O168:O172"/>
    <mergeCell ref="R168:R172"/>
    <mergeCell ref="R158:R162"/>
    <mergeCell ref="Q188:S189"/>
    <mergeCell ref="T188:T189"/>
    <mergeCell ref="S178:S182"/>
    <mergeCell ref="Q163:Q167"/>
    <mergeCell ref="Q168:Q172"/>
    <mergeCell ref="Q178:Q182"/>
    <mergeCell ref="R153:R157"/>
    <mergeCell ref="R163:R167"/>
    <mergeCell ref="R72:R76"/>
    <mergeCell ref="R173:R177"/>
    <mergeCell ref="S136:S140"/>
    <mergeCell ref="S141:S145"/>
    <mergeCell ref="S109:S113"/>
    <mergeCell ref="S116:S120"/>
    <mergeCell ref="S183:S187"/>
    <mergeCell ref="T114:T115"/>
    <mergeCell ref="Q114:S115"/>
    <mergeCell ref="O109:O113"/>
    <mergeCell ref="O114:O115"/>
    <mergeCell ref="T151:T152"/>
    <mergeCell ref="S131:S135"/>
    <mergeCell ref="Q131:Q135"/>
    <mergeCell ref="Q136:Q140"/>
    <mergeCell ref="Q141:Q145"/>
    <mergeCell ref="Q146:Q150"/>
    <mergeCell ref="R116:R120"/>
    <mergeCell ref="R109:R113"/>
    <mergeCell ref="Q109:Q113"/>
    <mergeCell ref="Q116:Q120"/>
    <mergeCell ref="AE84:AE88"/>
    <mergeCell ref="AE79:AE83"/>
    <mergeCell ref="AE72:AE76"/>
    <mergeCell ref="AE94:AE98"/>
    <mergeCell ref="AE89:AE93"/>
    <mergeCell ref="AE126:AE130"/>
    <mergeCell ref="AE121:AE125"/>
    <mergeCell ref="AE57:AE61"/>
    <mergeCell ref="AE131:AE135"/>
    <mergeCell ref="AE141:AE145"/>
    <mergeCell ref="AE136:AE140"/>
    <mergeCell ref="AD151:AD152"/>
    <mergeCell ref="AE116:AE120"/>
    <mergeCell ref="AE146:AE150"/>
    <mergeCell ref="AE109:AE113"/>
    <mergeCell ref="Q15:Q19"/>
    <mergeCell ref="R15:R19"/>
    <mergeCell ref="Q10:Q14"/>
    <mergeCell ref="S57:S61"/>
    <mergeCell ref="S52:S56"/>
    <mergeCell ref="S62:S66"/>
    <mergeCell ref="R79:R83"/>
    <mergeCell ref="Q79:Q83"/>
    <mergeCell ref="AE42:AE46"/>
    <mergeCell ref="AE40:AE41"/>
    <mergeCell ref="AE67:AE71"/>
    <mergeCell ref="AE62:AE66"/>
    <mergeCell ref="AE15:AE19"/>
    <mergeCell ref="AE20:AE24"/>
    <mergeCell ref="X40:X41"/>
    <mergeCell ref="Z40:AA41"/>
    <mergeCell ref="Q40:S41"/>
    <mergeCell ref="T40:T41"/>
    <mergeCell ref="W40:W41"/>
    <mergeCell ref="U40:U41"/>
    <mergeCell ref="O52:O56"/>
    <mergeCell ref="O57:O61"/>
    <mergeCell ref="O72:O76"/>
    <mergeCell ref="O77:O78"/>
    <mergeCell ref="O67:O71"/>
    <mergeCell ref="O62:O66"/>
    <mergeCell ref="O79:O83"/>
    <mergeCell ref="Q67:Q71"/>
    <mergeCell ref="R67:R71"/>
    <mergeCell ref="S67:S71"/>
    <mergeCell ref="Q62:Q66"/>
    <mergeCell ref="R62:R66"/>
    <mergeCell ref="Z77:AA78"/>
    <mergeCell ref="AB77:AC78"/>
    <mergeCell ref="O10:O14"/>
    <mergeCell ref="O5:O9"/>
    <mergeCell ref="O3:O4"/>
    <mergeCell ref="O25:O29"/>
    <mergeCell ref="O15:O19"/>
    <mergeCell ref="O20:O24"/>
    <mergeCell ref="Q20:Q24"/>
    <mergeCell ref="R20:R24"/>
    <mergeCell ref="R25:R29"/>
    <mergeCell ref="Q25:Q29"/>
    <mergeCell ref="S20:S24"/>
    <mergeCell ref="S42:S46"/>
    <mergeCell ref="S15:S19"/>
    <mergeCell ref="S10:S14"/>
    <mergeCell ref="R10:R14"/>
    <mergeCell ref="Q5:Q9"/>
    <mergeCell ref="R5:R9"/>
    <mergeCell ref="Q3:S4"/>
    <mergeCell ref="AE35:AE39"/>
    <mergeCell ref="AE52:AE56"/>
    <mergeCell ref="AE47:AE51"/>
    <mergeCell ref="V40:V41"/>
    <mergeCell ref="S47:S51"/>
    <mergeCell ref="AE10:AE14"/>
    <mergeCell ref="AE5:AE9"/>
    <mergeCell ref="V3:V4"/>
    <mergeCell ref="U3:U4"/>
    <mergeCell ref="S5:S9"/>
    <mergeCell ref="X3:X4"/>
    <mergeCell ref="Z3:AA4"/>
    <mergeCell ref="AB3:AC4"/>
    <mergeCell ref="W3:W4"/>
    <mergeCell ref="AE3:AE4"/>
    <mergeCell ref="AD3:AD4"/>
    <mergeCell ref="T3:T4"/>
    <mergeCell ref="AE114:AE115"/>
    <mergeCell ref="AD114:AD115"/>
    <mergeCell ref="AB114:AC115"/>
    <mergeCell ref="Z114:AA115"/>
    <mergeCell ref="W114:W115"/>
    <mergeCell ref="AE99:AE103"/>
    <mergeCell ref="AE104:AE108"/>
    <mergeCell ref="AE151:AE152"/>
    <mergeCell ref="AE153:AE157"/>
    <mergeCell ref="AE158:AE162"/>
    <mergeCell ref="Z151:AA152"/>
    <mergeCell ref="AB151:AC152"/>
    <mergeCell ref="AD77:AD78"/>
    <mergeCell ref="AE77:AE78"/>
    <mergeCell ref="AD40:AD41"/>
    <mergeCell ref="AB40:AC41"/>
    <mergeCell ref="AE30:AE34"/>
    <mergeCell ref="AE25:AE29"/>
    <mergeCell ref="X188:X189"/>
    <mergeCell ref="Z188:AA189"/>
    <mergeCell ref="AB188:AC189"/>
    <mergeCell ref="W188:W189"/>
    <mergeCell ref="U188:U189"/>
    <mergeCell ref="V188:V189"/>
    <mergeCell ref="AD188:AD189"/>
    <mergeCell ref="AE178:AE182"/>
    <mergeCell ref="AE173:AE177"/>
    <mergeCell ref="AE168:AE172"/>
    <mergeCell ref="AE163:AE167"/>
    <mergeCell ref="AE183:AE187"/>
    <mergeCell ref="AE188:AE189"/>
    <mergeCell ref="R57:R61"/>
    <mergeCell ref="Q42:Q46"/>
    <mergeCell ref="O42:O46"/>
    <mergeCell ref="O40:O41"/>
    <mergeCell ref="R52:R56"/>
    <mergeCell ref="R42:R46"/>
    <mergeCell ref="R47:R51"/>
    <mergeCell ref="O94:O98"/>
    <mergeCell ref="O99:O103"/>
    <mergeCell ref="O89:O93"/>
    <mergeCell ref="O84:O88"/>
    <mergeCell ref="Q72:Q76"/>
    <mergeCell ref="X77:X78"/>
    <mergeCell ref="T77:T78"/>
    <mergeCell ref="V77:V78"/>
    <mergeCell ref="U77:U78"/>
    <mergeCell ref="W77:W78"/>
    <mergeCell ref="Q77:S78"/>
    <mergeCell ref="Q89:Q93"/>
    <mergeCell ref="Q84:Q88"/>
    <mergeCell ref="Q99:Q103"/>
    <mergeCell ref="Q104:Q108"/>
    <mergeCell ref="Q126:Q130"/>
    <mergeCell ref="Q121:Q125"/>
    <mergeCell ref="S72:S76"/>
    <mergeCell ref="S79:S83"/>
    <mergeCell ref="R84:R88"/>
    <mergeCell ref="R89:R93"/>
    <mergeCell ref="R94:R98"/>
    <mergeCell ref="R99:R103"/>
    <mergeCell ref="S94:S98"/>
    <mergeCell ref="S99:S103"/>
    <mergeCell ref="R104:R108"/>
    <mergeCell ref="S104:S108"/>
    <mergeCell ref="S84:S88"/>
    <mergeCell ref="S89:S93"/>
    <mergeCell ref="S126:S130"/>
    <mergeCell ref="S121:S125"/>
    <mergeCell ref="V151:V152"/>
    <mergeCell ref="U114:U115"/>
    <mergeCell ref="V114:V115"/>
    <mergeCell ref="X114:X115"/>
    <mergeCell ref="U151:U152"/>
    <mergeCell ref="X151:X152"/>
    <mergeCell ref="Q52:Q56"/>
    <mergeCell ref="Q57:Q61"/>
    <mergeCell ref="Q94:Q98"/>
    <mergeCell ref="W151:W152"/>
    <mergeCell ref="O126:O130"/>
    <mergeCell ref="O151:O152"/>
    <mergeCell ref="Q151:S152"/>
    <mergeCell ref="B84:B88"/>
    <mergeCell ref="B79:B83"/>
    <mergeCell ref="B104:B108"/>
    <mergeCell ref="A104:A108"/>
    <mergeCell ref="A99:A103"/>
    <mergeCell ref="A89:A93"/>
    <mergeCell ref="A84:A88"/>
    <mergeCell ref="A94:A98"/>
    <mergeCell ref="A79:A83"/>
    <mergeCell ref="B89:B93"/>
    <mergeCell ref="B158:B162"/>
    <mergeCell ref="B153:B157"/>
    <mergeCell ref="C153:C157"/>
    <mergeCell ref="C158:C162"/>
    <mergeCell ref="H114:H115"/>
    <mergeCell ref="E114:E115"/>
    <mergeCell ref="C131:C135"/>
    <mergeCell ref="B146:B150"/>
    <mergeCell ref="B141:B145"/>
    <mergeCell ref="A141:A145"/>
    <mergeCell ref="A109:A113"/>
    <mergeCell ref="A116:A120"/>
    <mergeCell ref="C141:C145"/>
    <mergeCell ref="C136:C140"/>
    <mergeCell ref="C109:C113"/>
    <mergeCell ref="C126:C130"/>
    <mergeCell ref="B109:B113"/>
    <mergeCell ref="B126:B130"/>
    <mergeCell ref="A136:A140"/>
    <mergeCell ref="G151:G152"/>
    <mergeCell ref="H151:H152"/>
    <mergeCell ref="H77:H78"/>
    <mergeCell ref="J114:K115"/>
    <mergeCell ref="L114:M115"/>
    <mergeCell ref="J77:K78"/>
    <mergeCell ref="N114:N115"/>
    <mergeCell ref="L77:M78"/>
    <mergeCell ref="N77:N78"/>
    <mergeCell ref="C104:C108"/>
    <mergeCell ref="C99:C103"/>
    <mergeCell ref="C89:C93"/>
    <mergeCell ref="C84:C88"/>
    <mergeCell ref="C79:C83"/>
    <mergeCell ref="L151:M152"/>
    <mergeCell ref="N151:N152"/>
    <mergeCell ref="C146:C150"/>
    <mergeCell ref="F151:F152"/>
    <mergeCell ref="E151:E152"/>
    <mergeCell ref="D151:D152"/>
    <mergeCell ref="A146:A150"/>
    <mergeCell ref="A151:C152"/>
    <mergeCell ref="J151:K152"/>
    <mergeCell ref="A131:A135"/>
    <mergeCell ref="A121:A125"/>
    <mergeCell ref="A126:A130"/>
    <mergeCell ref="B131:B135"/>
    <mergeCell ref="B136:B140"/>
    <mergeCell ref="C190:C194"/>
    <mergeCell ref="E188:E189"/>
    <mergeCell ref="D188:D189"/>
    <mergeCell ref="L188:M189"/>
    <mergeCell ref="J188:K189"/>
    <mergeCell ref="A188:C189"/>
    <mergeCell ref="G188:G189"/>
    <mergeCell ref="F188:F189"/>
    <mergeCell ref="B190:B194"/>
    <mergeCell ref="A190:A194"/>
    <mergeCell ref="B195:B199"/>
    <mergeCell ref="C210:C214"/>
    <mergeCell ref="C205:C209"/>
    <mergeCell ref="N188:N189"/>
    <mergeCell ref="C200:C204"/>
    <mergeCell ref="H188:H189"/>
    <mergeCell ref="Q183:Q187"/>
    <mergeCell ref="R183:R187"/>
    <mergeCell ref="R178:R182"/>
    <mergeCell ref="Q158:Q162"/>
    <mergeCell ref="Q153:Q157"/>
    <mergeCell ref="S173:S177"/>
    <mergeCell ref="S168:S172"/>
    <mergeCell ref="S158:S162"/>
    <mergeCell ref="S153:S157"/>
    <mergeCell ref="O158:O162"/>
    <mergeCell ref="O163:O167"/>
    <mergeCell ref="O153:O157"/>
    <mergeCell ref="O136:O140"/>
    <mergeCell ref="O131:O135"/>
    <mergeCell ref="R126:R130"/>
    <mergeCell ref="R121:R125"/>
    <mergeCell ref="R136:R140"/>
    <mergeCell ref="R131:R135"/>
    <mergeCell ref="R141:R145"/>
    <mergeCell ref="R146:R150"/>
    <mergeCell ref="O188:O189"/>
    <mergeCell ref="O178:O182"/>
    <mergeCell ref="O183:O187"/>
    <mergeCell ref="O121:O125"/>
    <mergeCell ref="O104:O108"/>
    <mergeCell ref="O116:O120"/>
    <mergeCell ref="O141:O145"/>
    <mergeCell ref="O146:O150"/>
    <mergeCell ref="O205:O209"/>
    <mergeCell ref="O210:O214"/>
    <mergeCell ref="O215:O219"/>
    <mergeCell ref="O220:O224"/>
    <mergeCell ref="O225:O226"/>
    <mergeCell ref="O200:O204"/>
    <mergeCell ref="O190:O194"/>
    <mergeCell ref="O195:O199"/>
    <mergeCell ref="B210:B214"/>
    <mergeCell ref="B205:B209"/>
    <mergeCell ref="C195:C199"/>
    <mergeCell ref="C183:C187"/>
    <mergeCell ref="C163:C167"/>
    <mergeCell ref="C173:C177"/>
    <mergeCell ref="C168:C172"/>
    <mergeCell ref="C178:C182"/>
    <mergeCell ref="B220:B224"/>
    <mergeCell ref="C220:C224"/>
    <mergeCell ref="A195:A199"/>
    <mergeCell ref="A220:A224"/>
    <mergeCell ref="B215:B219"/>
    <mergeCell ref="C215:C219"/>
    <mergeCell ref="A215:A219"/>
    <mergeCell ref="A210:A214"/>
    <mergeCell ref="A205:A209"/>
    <mergeCell ref="J225:K226"/>
    <mergeCell ref="L225:M226"/>
    <mergeCell ref="G225:G226"/>
    <mergeCell ref="F225:F226"/>
    <mergeCell ref="H225:H226"/>
    <mergeCell ref="A225:C226"/>
    <mergeCell ref="N225:N226"/>
    <mergeCell ref="D225:D226"/>
    <mergeCell ref="E225:E226"/>
    <mergeCell ref="B42:B46"/>
    <mergeCell ref="B94:B98"/>
    <mergeCell ref="B52:B56"/>
    <mergeCell ref="B62:B66"/>
    <mergeCell ref="B67:B71"/>
    <mergeCell ref="B47:B51"/>
    <mergeCell ref="B57:B61"/>
    <mergeCell ref="B72:B76"/>
    <mergeCell ref="C52:C56"/>
    <mergeCell ref="C47:C51"/>
    <mergeCell ref="C57:C61"/>
    <mergeCell ref="C67:C71"/>
    <mergeCell ref="C62:C66"/>
    <mergeCell ref="B178:B182"/>
    <mergeCell ref="B183:B187"/>
    <mergeCell ref="D40:D41"/>
    <mergeCell ref="F40:F41"/>
    <mergeCell ref="G40:G41"/>
    <mergeCell ref="E40:E41"/>
    <mergeCell ref="G77:G78"/>
    <mergeCell ref="C72:C76"/>
    <mergeCell ref="B20:B24"/>
    <mergeCell ref="B25:B29"/>
    <mergeCell ref="C42:C46"/>
    <mergeCell ref="C30:C34"/>
    <mergeCell ref="C35:C39"/>
    <mergeCell ref="A42:A46"/>
    <mergeCell ref="A35:A39"/>
    <mergeCell ref="C25:C29"/>
    <mergeCell ref="C20:C24"/>
    <mergeCell ref="H3:H4"/>
    <mergeCell ref="J3:K4"/>
    <mergeCell ref="L3:M4"/>
    <mergeCell ref="N3:N4"/>
    <mergeCell ref="C10:C14"/>
    <mergeCell ref="B10:B14"/>
    <mergeCell ref="B15:B19"/>
    <mergeCell ref="A10:A14"/>
    <mergeCell ref="A15:A19"/>
    <mergeCell ref="C15:C19"/>
    <mergeCell ref="A40:C41"/>
    <mergeCell ref="B35:B39"/>
    <mergeCell ref="R35:R39"/>
    <mergeCell ref="R30:R34"/>
    <mergeCell ref="S30:S34"/>
    <mergeCell ref="S35:S39"/>
    <mergeCell ref="S25:S29"/>
    <mergeCell ref="O35:O39"/>
    <mergeCell ref="H40:H41"/>
    <mergeCell ref="J40:K41"/>
    <mergeCell ref="L40:M41"/>
    <mergeCell ref="N40:N41"/>
    <mergeCell ref="A30:A34"/>
    <mergeCell ref="B30:B34"/>
    <mergeCell ref="Q35:Q39"/>
    <mergeCell ref="O47:O51"/>
    <mergeCell ref="Q47:Q51"/>
    <mergeCell ref="O30:O34"/>
    <mergeCell ref="Q30:Q34"/>
    <mergeCell ref="A47:A51"/>
    <mergeCell ref="B5:B9"/>
    <mergeCell ref="A5:A9"/>
    <mergeCell ref="A25:A29"/>
    <mergeCell ref="A20:A24"/>
    <mergeCell ref="A52:A56"/>
    <mergeCell ref="A57:A61"/>
    <mergeCell ref="F3:F4"/>
    <mergeCell ref="G3:G4"/>
    <mergeCell ref="C5:C9"/>
    <mergeCell ref="A163:A167"/>
    <mergeCell ref="A153:A157"/>
    <mergeCell ref="A158:A162"/>
    <mergeCell ref="A114:C115"/>
    <mergeCell ref="B116:B120"/>
    <mergeCell ref="B121:B125"/>
    <mergeCell ref="C121:C125"/>
    <mergeCell ref="C116:C120"/>
    <mergeCell ref="A178:A182"/>
    <mergeCell ref="A183:A187"/>
    <mergeCell ref="A200:A204"/>
    <mergeCell ref="B200:B204"/>
    <mergeCell ref="A168:A172"/>
    <mergeCell ref="B168:B172"/>
    <mergeCell ref="B163:B167"/>
    <mergeCell ref="A173:A177"/>
    <mergeCell ref="B173:B177"/>
    <mergeCell ref="D114:D115"/>
    <mergeCell ref="G114:G115"/>
    <mergeCell ref="F114:F115"/>
    <mergeCell ref="D77:D78"/>
    <mergeCell ref="F77:F78"/>
    <mergeCell ref="E77:E78"/>
    <mergeCell ref="A77:C78"/>
    <mergeCell ref="A62:A66"/>
    <mergeCell ref="A67:A71"/>
    <mergeCell ref="A72:A76"/>
    <mergeCell ref="B99:B103"/>
    <mergeCell ref="C94:C98"/>
    <mergeCell ref="E3:E4"/>
    <mergeCell ref="A3:C4"/>
    <mergeCell ref="D3:D4"/>
    <mergeCell ref="A2:F2"/>
  </mergeCells>
  <hyperlinks>
    <hyperlink r:id="rId1" ref="G2"/>
    <hyperlink r:id="rId2" location="Dallas" ref="G5"/>
    <hyperlink r:id="rId3" location="Montgomery" ref="G6"/>
    <hyperlink r:id="rId4" location="Pirate_Ship" ref="G7"/>
    <hyperlink r:id="rId5" location="Tower.27s_Top_Floor" ref="W7"/>
    <hyperlink r:id="rId6" location="Lubbock" ref="G8"/>
    <hyperlink r:id="rId7" location="Forgotten_Temple" ref="W8"/>
    <hyperlink r:id="rId8" location="Alcatraz" ref="G9"/>
    <hyperlink r:id="rId9" location="Riverside_Town" ref="W9"/>
    <hyperlink r:id="rId10" location="Unknown_Coordinates_X-G" ref="G10"/>
    <hyperlink r:id="rId11" location="Unknown_Coordinates_X-G" ref="G11"/>
    <hyperlink r:id="rId12" location="Germania" ref="G12"/>
    <hyperlink r:id="rId13" location="Palace_of_the_Dragon_King" ref="W12"/>
    <hyperlink r:id="rId14" location="Battlefield" ref="G13"/>
    <hyperlink r:id="rId15" location="Chicago" ref="W13"/>
    <hyperlink r:id="rId16" location="Hyde_Park" ref="G14"/>
    <hyperlink r:id="rId17" location="Vast_Land_of_Nothingness" ref="W14"/>
    <hyperlink r:id="rId18" location="Eridu" ref="G15"/>
    <hyperlink r:id="rId19" location="Deming" ref="G16"/>
    <hyperlink r:id="rId20" location="Island_of_Wyverns" ref="G17"/>
    <hyperlink r:id="rId21" location="Northern_Sacred_Mountain" ref="W17"/>
    <hyperlink r:id="rId22" location="Jungle_at_the_Foothills" ref="G18"/>
    <hyperlink r:id="rId23" location="Northern_Sacred_Mountain" ref="W18"/>
    <hyperlink r:id="rId24" location="Tokejou" ref="W19"/>
    <hyperlink r:id="rId25" location="Charlotte" ref="G20"/>
    <hyperlink r:id="rId26" location="Remnants_of_Western_Village" ref="G21"/>
    <hyperlink r:id="rId27" location="Ys" ref="G22"/>
    <hyperlink r:id="rId28" location="Vast_Land_of_Nothingness" ref="W22"/>
    <hyperlink r:id="rId29" location="Jing_Yangyuan" ref="G23"/>
    <hyperlink r:id="rId30" location="Nippur" ref="W23"/>
    <hyperlink r:id="rId31" location="Riverton" ref="G24"/>
    <hyperlink r:id="rId32" location="Wilderness_of_Death" ref="G25"/>
    <hyperlink r:id="rId33" location="Great_Temple" ref="G26"/>
    <hyperlink r:id="rId34" location="Suburb_Mansion" ref="G27"/>
    <hyperlink r:id="rId35" location="Great_Temple" ref="W27"/>
    <hyperlink r:id="rId36" location="Quay" ref="G28"/>
    <hyperlink r:id="rId37" location="Carter_House" ref="W28"/>
    <hyperlink r:id="rId38" location="Northern_Palisade" ref="G29"/>
    <hyperlink r:id="rId39" location="Shinjuku_Imperial_Garden" ref="W29"/>
    <hyperlink r:id="rId40" location="Phragmites_Prairie_.2F_Field_of_Reeds" ref="G30"/>
    <hyperlink r:id="rId41" location="Plateau" ref="G31"/>
    <hyperlink r:id="rId42" location="Northern_Wall" ref="G32"/>
    <hyperlink r:id="rId43" location="Great_Valley_Stronghold" ref="W32"/>
    <hyperlink r:id="rId44" location="Anchor_Point" ref="G33"/>
    <hyperlink r:id="rId45" location="Hill_Behind_The_Hermitage" ref="W33"/>
    <hyperlink r:id="rId46" location="Yaga_Vyazma" ref="G34"/>
    <hyperlink r:id="rId47" location="Icy_Cold_Grotto" ref="W34"/>
    <hyperlink r:id="rId48" location="Shinjuku_Station" ref="G35"/>
    <hyperlink r:id="rId49" location="Shinjuku_4-chome" ref="G36"/>
    <hyperlink r:id="rId50" location="Yoyogi_2-chome" ref="G37"/>
    <hyperlink r:id="rId51" location="Holy_City_Districts" ref="W37"/>
    <hyperlink r:id="rId52" location="Japan_National_Route_20" ref="G38"/>
    <hyperlink r:id="rId53" location="Shinjuku_4-chome" ref="W38"/>
    <hyperlink r:id="rId54" location="Shinjuku_Imperial_Garden" ref="G39"/>
    <hyperlink r:id="rId55" location="Shinjuku_4-chome" ref="W39"/>
    <hyperlink r:id="rId56" location="Gallow_Hill" ref="G42"/>
    <hyperlink r:id="rId57" location="Suburb_Mansion" ref="G43"/>
    <hyperlink r:id="rId58" location="Vacant_House" ref="G44"/>
    <hyperlink r:id="rId59" location="Carter_House" ref="G45"/>
    <hyperlink r:id="rId60" location="Castle_Town" ref="W45"/>
    <hyperlink r:id="rId61" location="Meadows" ref="G46"/>
    <hyperlink r:id="rId62" location="Hill_Behind_The_Hermitage" ref="W46"/>
    <hyperlink r:id="rId63" location="Yaga_Smolensk" ref="G47"/>
    <hyperlink r:id="rId64" location="Yaga_Sychyovka" ref="G48"/>
    <hyperlink r:id="rId65" location="Rebellion_Army.27s_Stronghold" ref="G49"/>
    <hyperlink r:id="rId66" location="Devastated_Village" ref="G50"/>
    <hyperlink r:id="rId67" location="Shinjuku_Station" ref="W50"/>
    <hyperlink r:id="rId68" location="Yaga_Vyazma" ref="G51"/>
    <hyperlink r:id="rId69" location="Shiquan_Gorge" ref="W51"/>
    <hyperlink r:id="rId70" location="Abolished_Metropolis_Babylon" ref="G52"/>
    <hyperlink r:id="rId71" location="Quiet_Forest" ref="G53"/>
    <hyperlink r:id="rId72" location="Refuge" ref="G54"/>
    <hyperlink r:id="rId73" location="Riverside_Town" ref="G55"/>
    <hyperlink r:id="rId74" location="Initiate_Point" ref="W55"/>
    <hyperlink r:id="rId75" location="Paddy_Fields" ref="G56"/>
    <hyperlink r:id="rId76" location="Whateley_House" ref="W56"/>
    <hyperlink r:id="rId77" location="Cuthah" ref="G57"/>
    <hyperlink r:id="rId78" location="Evening_Bell_Mausoleum" ref="G58"/>
    <hyperlink r:id="rId79" location="Paddy_Fields" ref="G59"/>
    <hyperlink r:id="rId80" location="Hill_Behind_The_Hermitage" ref="G60"/>
    <hyperlink r:id="rId81" location="Castle_of_Ice_and_Snow" ref="W60"/>
    <hyperlink r:id="rId82" location="Hermitage" ref="G61"/>
    <hyperlink r:id="rId83" location="Forgotten_Temple" ref="W61"/>
    <hyperlink r:id="rId84" location="Peach_Blossom_Spring" ref="G62"/>
    <hyperlink r:id="rId85" location="Holy_City_Districts" ref="G63"/>
    <hyperlink r:id="rId86" location="Heroes.27_Cellar" ref="G64"/>
    <hyperlink r:id="rId87" location="Hill_Behind_The_Hermitage" ref="G65"/>
    <hyperlink r:id="rId88" location="Chasm_on_The_Ground" ref="W65"/>
    <hyperlink r:id="rId89" location="Dunes_of_Daybreak" ref="W66"/>
    <hyperlink r:id="rId90" location="Chasm_on_The_Ground" ref="G67"/>
    <hyperlink r:id="rId91" location="Marshland.2FBog" ref="G68"/>
    <hyperlink r:id="rId92" location="Yaga_Moscow" ref="W70"/>
    <hyperlink r:id="rId93" location="Sunken_Rock_Seas" ref="G71"/>
    <hyperlink r:id="rId94" location="Eight_Gates_Cave" ref="W71"/>
    <hyperlink r:id="rId95" location="Town_Hall" ref="G72"/>
    <hyperlink r:id="rId96" location="Subterranean_Large_River" ref="G73"/>
    <hyperlink r:id="rId97" location="Riverside_Town" ref="G74"/>
    <hyperlink r:id="rId98" location="Riverside_Town" ref="G75"/>
    <hyperlink r:id="rId99" location="Giants.27_Flower_Patio" ref="W75"/>
    <hyperlink r:id="rId100" location="Quay" ref="G76"/>
    <hyperlink r:id="rId101" location="Pathway_Towards_The_Peak" ref="W76"/>
    <hyperlink r:id="rId102" location="Barrel_Tower" ref="G79"/>
    <hyperlink r:id="rId103" location="Chicago" ref="G80"/>
    <hyperlink r:id="rId104" location="Kabukich.C5.8D" ref="G81"/>
    <hyperlink r:id="rId105" location="El_Dorado" ref="W81"/>
    <hyperlink r:id="rId106" location="Shiquan_Gorge" ref="G82"/>
    <hyperlink r:id="rId107" location="Archipelago" ref="W82"/>
    <hyperlink r:id="rId108" location="Seeding_Point" ref="G83"/>
    <hyperlink r:id="rId109" location="Riverside_Town" ref="W83"/>
    <hyperlink r:id="rId110" location="Shinjuku_2-chome" ref="G84"/>
    <hyperlink r:id="rId111" location="Hyde_Park" ref="G85"/>
    <hyperlink r:id="rId112" location="Black_Hills" ref="W86"/>
    <hyperlink r:id="rId113" location="Subterranean_Large_River" ref="W87"/>
    <hyperlink r:id="rId114" location="Montgomery" ref="W88"/>
    <hyperlink r:id="rId115" location="Whateley_House" ref="G89"/>
    <hyperlink r:id="rId116" location="Southwark_.2F_Borough_of_Southwark" ref="G90"/>
    <hyperlink r:id="rId117" location="City_Of_London" ref="W91"/>
    <hyperlink r:id="rId118" location="Phragmites_Prairie_.2F_Field_of_Reeds" ref="W92"/>
    <hyperlink r:id="rId119" location="Westminster_.2F_City_of_Westminster" ref="G93"/>
    <hyperlink r:id="rId120" location="Campsite" ref="W93"/>
    <hyperlink r:id="rId121" location="Vast_Land_of_Nothingness" ref="G94"/>
    <hyperlink r:id="rId122" location="Abolished_Metropolis_Babylon" ref="W96"/>
    <hyperlink r:id="rId123" location="Quiet_Forest" ref="W97"/>
    <hyperlink r:id="rId124" location="Thiers" ref="W98"/>
    <hyperlink r:id="rId125" location="Sovereign_Castle" ref="G99"/>
    <hyperlink r:id="rId126" location="Holy_City_Main_Entrance" ref="G100"/>
    <hyperlink r:id="rId127" location="Round_Table_Fortress" ref="G101"/>
    <hyperlink r:id="rId128" location="Shinjuku_Imperial_Garden" ref="W101"/>
    <hyperlink r:id="rId129" location="Icicles_Grotto" ref="G102"/>
    <hyperlink r:id="rId130" location="Yoyogi_2-chome" ref="W102"/>
    <hyperlink r:id="rId131" location="Shinjuku_4-chome" ref="W103"/>
    <hyperlink r:id="rId132" location="Observatory" ref="G104"/>
    <hyperlink r:id="rId133" location="Archipelago" ref="G105"/>
    <hyperlink r:id="rId134" location="Icicles_Grotto" ref="G106"/>
    <hyperlink r:id="rId135" location="Old_Street" ref="W106"/>
    <hyperlink r:id="rId136" location="Devastated_Village" ref="G107"/>
    <hyperlink r:id="rId137" location="Stormy_Seas" ref="W107"/>
    <hyperlink r:id="rId138" location="Trampled_Village" ref="G108"/>
    <hyperlink r:id="rId139" location="Evening_Bell_Mausoleum" ref="W108"/>
    <hyperlink r:id="rId140" location="Castle_Town" ref="G109"/>
    <hyperlink r:id="rId141" location="Tokejou" ref="G110"/>
    <hyperlink r:id="rId142" location="Hamlet" ref="G111"/>
    <hyperlink r:id="rId143" location="Remains_of_the_Divine_Floating_Rock" ref="W111"/>
    <hyperlink r:id="rId144" location="Hermitage" ref="G112"/>
    <hyperlink r:id="rId145" location="Gallow_Hill" ref="W112"/>
    <hyperlink r:id="rId146" location="Hermitage" ref="G113"/>
    <hyperlink r:id="rId147" location="Southern_Street" ref="W113"/>
    <hyperlink r:id="rId148" location="Yaga_Moscow" ref="G116"/>
    <hyperlink r:id="rId149" location="Trampled_Village" ref="G117"/>
    <hyperlink r:id="rId150" location="Yaga_Ryazan" ref="G118"/>
    <hyperlink r:id="rId151" location="Yaga_Demensk" ref="G119"/>
    <hyperlink r:id="rId152" location="Sovereign_Castle" ref="W119"/>
    <hyperlink r:id="rId153" location="Yaga_Tula" ref="G120"/>
    <hyperlink r:id="rId154" location="Giants.27_Flower_Patio" ref="G121"/>
    <hyperlink r:id="rId155" location="Northern_Boundary" ref="G122"/>
    <hyperlink r:id="rId156" location="Northern_Boundary" ref="G123"/>
    <hyperlink r:id="rId157" location="Ablazed_Mansion" ref="G124"/>
    <hyperlink r:id="rId158" location="Montgomery" ref="W124"/>
    <hyperlink r:id="rId159" location="Heroes.27_Cellar" ref="G125"/>
    <hyperlink r:id="rId160" location="Castle_of_Ice_and_Snow" ref="G126"/>
    <hyperlink r:id="rId161" location="67th_Settlement" ref="G127"/>
    <hyperlink r:id="rId162" location="23rd_Settlement" ref="G128"/>
    <hyperlink r:id="rId163" location="Ablazed_Mansion" ref="G129"/>
    <hyperlink r:id="rId164" location="Riverton" ref="W129"/>
    <hyperlink r:id="rId165" location="Forgotten_Temple" ref="G130"/>
    <hyperlink r:id="rId166" location="Des_Moines" ref="W130"/>
    <hyperlink r:id="rId167" location="Eight_Gates_Cave" ref="G131"/>
    <hyperlink r:id="rId168" location="Detention_Centre" ref="G132"/>
    <hyperlink r:id="rId169" location="Dapingyu" ref="G133"/>
    <hyperlink r:id="rId170" location="Xianyang" ref="G134"/>
    <hyperlink r:id="rId171" location="Pirate_Island" ref="W134"/>
    <hyperlink r:id="rId172" location="Remains_of_the_Divine_Floating_Rock" ref="G136"/>
    <hyperlink r:id="rId173" location="Initiate_Point" ref="G137"/>
    <hyperlink r:id="rId174" location="Secluded_Grotto" ref="G138"/>
    <hyperlink r:id="rId175" location="Western_Fault" ref="G139"/>
    <hyperlink r:id="rId176" location="Westminster_.2F_City_of_Westminster" ref="W139"/>
    <hyperlink r:id="rId177" location="Dewar" ref="G140"/>
    <hyperlink r:id="rId178" location="SOHO" ref="W140"/>
    <hyperlink r:id="rId179" location="Yaga_Ryazan" ref="G141"/>
    <hyperlink r:id="rId180" location="Subterranean_Moor" ref="G142"/>
    <hyperlink r:id="rId181" location="Western_Fault" ref="G143"/>
    <hyperlink r:id="rId182" location="Des_Moines" ref="G144"/>
    <hyperlink r:id="rId183" location="Remnants_of_Western_Village" ref="W144"/>
    <hyperlink r:id="rId184" location="Shinjuku_4-chome" ref="G145"/>
    <hyperlink r:id="rId185" location="Carter_House" ref="G146"/>
    <hyperlink r:id="rId186" location="Shinjuku_Imperial_Garden" ref="G147"/>
    <hyperlink r:id="rId187" location="Charlotte" ref="W148"/>
    <hyperlink r:id="rId188" location="Archipelago" ref="W150"/>
    <hyperlink r:id="rId189" location="Nippur" ref="G153"/>
    <hyperlink r:id="rId190" location="Sovereign_Castle" ref="W157"/>
    <hyperlink r:id="rId191" location="Holy_City_Districts" ref="G158"/>
    <hyperlink r:id="rId192" location="Tower.27s_Top_Floor" ref="G159"/>
    <hyperlink r:id="rId193" location="Forgotten_Temple" ref="G160"/>
    <hyperlink r:id="rId194" location="Washington" ref="G162"/>
    <hyperlink r:id="rId195" location="Montgomery" ref="W162"/>
    <hyperlink r:id="rId196" location="Campsite" ref="G163"/>
    <hyperlink r:id="rId197" location="Initiate_Point" ref="G164"/>
    <hyperlink r:id="rId198" location="Rebellion_Army.27s_Stronghold" ref="G165"/>
    <hyperlink r:id="rId199" location="Anchor_Point" ref="G166"/>
    <hyperlink r:id="rId200" location="Yaga_Demensk" ref="G167"/>
    <hyperlink r:id="rId201" location="Riverton" ref="W167"/>
    <hyperlink r:id="rId202" location="Shinjuku_2-chome" ref="G168"/>
    <hyperlink r:id="rId203" location="Alexandria" ref="G170"/>
    <hyperlink r:id="rId204" location="Jura" ref="W172"/>
    <hyperlink r:id="rId205" location="Secluded_Grotto" ref="G173"/>
    <hyperlink r:id="rId206" location="Northern_Palisade" ref="G174"/>
    <hyperlink r:id="rId207" location="Northern_Hill" ref="G175"/>
    <hyperlink r:id="rId208" location="Lubbock" ref="G177"/>
    <hyperlink r:id="rId209" location="Westminster_.2F_City_of_Westminster" ref="W177"/>
    <hyperlink r:id="rId210" location="Jail" ref="G178"/>
    <hyperlink r:id="rId211" location="Eastern_Puspavatika" ref="G179"/>
    <hyperlink r:id="rId212" location="Concealed_Village" ref="G180"/>
    <hyperlink r:id="rId213" location="Dunes_of_Daybreak" ref="G181"/>
    <hyperlink r:id="rId214" location="Lyon" ref="W182"/>
    <hyperlink r:id="rId215" location="Great_Temple" ref="G183"/>
    <hyperlink r:id="rId216" location="Desert_Sandstorm" ref="G184"/>
    <hyperlink r:id="rId217" location="Charlotte" ref="W186"/>
    <hyperlink r:id="rId218" location="Blood_Fort_Andromeda" ref="G190"/>
    <hyperlink r:id="rId219" location="67th_Settlement" ref="G191"/>
    <hyperlink r:id="rId220" location="Pathway_Towards_The_Peak" ref="G192"/>
    <hyperlink r:id="rId221" location="Landing_Point" ref="G193"/>
    <hyperlink r:id="rId222" location="Black_Cedar_Forest" ref="G194"/>
    <hyperlink r:id="rId223" location="Mount_Ahv.C4.81z" ref="G195"/>
    <hyperlink r:id="rId224" location="Mount_Ahv.C4.81z" ref="G196"/>
    <hyperlink r:id="rId225" location="Palace_of_the_Dragon_King" ref="G200"/>
    <hyperlink r:id="rId226" location="Great_Valley_Stronghold" ref="G201"/>
    <hyperlink r:id="rId227" location="Great_Valley_Stronghold" ref="G202"/>
    <hyperlink r:id="rId228" location="Tokejou" ref="G203"/>
    <hyperlink r:id="rId229" location="Detention_Centre" ref="G205"/>
    <hyperlink r:id="rId230" location="Shiquan_Gorge" ref="G206"/>
    <hyperlink r:id="rId231" location="Jing_Yangyuan" ref="G207"/>
    <hyperlink r:id="rId232" location="Xianyang" ref="G208"/>
    <hyperlink r:id="rId233" location="Shanyang_Knoll" ref="G209"/>
    <hyperlink r:id="rId234" location="Hill_Behind_The_Hermitage" ref="G210"/>
    <hyperlink r:id="rId235" location="Dewar" ref="G215"/>
    <hyperlink r:id="rId236" location="Infinitude_Territory" ref="G216"/>
    <hyperlink r:id="rId237" location="Northern_Sacred_Mountain" ref="G217"/>
  </hyperlinks>
  <drawing r:id="rId23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</cols>
  <sheetData>
    <row r="1">
      <c r="A1" s="297"/>
      <c r="B1" s="297"/>
      <c r="C1" s="298"/>
      <c r="D1" s="297"/>
      <c r="E1" s="297"/>
      <c r="F1" s="297"/>
      <c r="G1" s="297"/>
      <c r="H1" s="297"/>
      <c r="I1" s="297"/>
      <c r="J1" s="297"/>
      <c r="K1" s="297"/>
    </row>
    <row r="2">
      <c r="A2" s="299" t="s">
        <v>23</v>
      </c>
      <c r="B2" s="300" t="s">
        <v>24</v>
      </c>
      <c r="C2" s="301" t="s">
        <v>25</v>
      </c>
      <c r="D2" s="302"/>
      <c r="E2" s="302"/>
      <c r="F2" s="302"/>
      <c r="G2" s="302"/>
      <c r="H2" s="302"/>
      <c r="I2" s="303"/>
      <c r="J2" s="297"/>
      <c r="K2" s="297"/>
    </row>
    <row r="3">
      <c r="A3" s="297"/>
      <c r="B3" s="300" t="s">
        <v>26</v>
      </c>
      <c r="C3" s="304" t="s">
        <v>27</v>
      </c>
      <c r="D3" s="305"/>
      <c r="E3" s="300" t="s">
        <v>28</v>
      </c>
      <c r="F3" s="302" t="s">
        <v>29</v>
      </c>
      <c r="G3" s="305"/>
      <c r="H3" s="305"/>
      <c r="I3" s="305"/>
      <c r="J3" s="297"/>
      <c r="K3" s="297"/>
    </row>
    <row r="4">
      <c r="A4" s="297"/>
      <c r="B4" s="300" t="s">
        <v>30</v>
      </c>
      <c r="C4" s="304" t="s">
        <v>31</v>
      </c>
      <c r="D4" s="305"/>
      <c r="E4" s="300" t="s">
        <v>32</v>
      </c>
      <c r="F4" s="302" t="s">
        <v>33</v>
      </c>
      <c r="G4" s="305"/>
      <c r="H4" s="305"/>
      <c r="I4" s="305"/>
      <c r="J4" s="297"/>
      <c r="K4" s="297"/>
    </row>
    <row r="5">
      <c r="A5" s="306" t="s">
        <v>34</v>
      </c>
      <c r="B5" s="307" t="s">
        <v>35</v>
      </c>
      <c r="C5" s="308" t="s">
        <v>36</v>
      </c>
      <c r="D5" s="305"/>
      <c r="E5" s="305"/>
      <c r="F5" s="305"/>
      <c r="G5" s="305"/>
      <c r="H5" s="305"/>
      <c r="I5" s="309"/>
      <c r="J5" s="297"/>
      <c r="K5" s="297"/>
    </row>
    <row r="6">
      <c r="A6" s="310"/>
      <c r="B6" s="300" t="s">
        <v>26</v>
      </c>
      <c r="C6" s="304" t="s">
        <v>37</v>
      </c>
      <c r="D6" s="305"/>
      <c r="E6" s="300" t="s">
        <v>28</v>
      </c>
      <c r="F6" s="302" t="s">
        <v>38</v>
      </c>
      <c r="G6" s="305"/>
      <c r="H6" s="305"/>
      <c r="I6" s="305"/>
      <c r="J6" s="297"/>
      <c r="K6" s="297"/>
    </row>
    <row r="7">
      <c r="A7" s="297"/>
      <c r="B7" s="300" t="s">
        <v>30</v>
      </c>
      <c r="C7" s="304" t="s">
        <v>39</v>
      </c>
      <c r="D7" s="305"/>
      <c r="E7" s="300" t="s">
        <v>32</v>
      </c>
      <c r="F7" s="302" t="s">
        <v>38</v>
      </c>
      <c r="G7" s="305"/>
      <c r="H7" s="305"/>
      <c r="I7" s="305"/>
      <c r="J7" s="297"/>
      <c r="K7" s="297"/>
    </row>
    <row r="8">
      <c r="A8" s="297"/>
      <c r="B8" s="300" t="s">
        <v>40</v>
      </c>
      <c r="C8" s="304" t="s">
        <v>41</v>
      </c>
      <c r="D8" s="305"/>
      <c r="E8" s="300" t="s">
        <v>32</v>
      </c>
      <c r="F8" s="302" t="s">
        <v>42</v>
      </c>
      <c r="G8" s="305"/>
      <c r="H8" s="305"/>
      <c r="I8" s="305"/>
      <c r="J8" s="297"/>
      <c r="K8" s="297"/>
    </row>
    <row r="9">
      <c r="A9" s="311" t="s">
        <v>43</v>
      </c>
      <c r="B9" s="307" t="s">
        <v>35</v>
      </c>
      <c r="C9" s="308" t="s">
        <v>44</v>
      </c>
      <c r="D9" s="305"/>
      <c r="E9" s="305"/>
      <c r="F9" s="305"/>
      <c r="G9" s="305"/>
      <c r="H9" s="305"/>
      <c r="I9" s="309"/>
      <c r="J9" s="297"/>
      <c r="K9" s="297"/>
    </row>
    <row r="10">
      <c r="A10" s="297"/>
      <c r="B10" s="300" t="s">
        <v>26</v>
      </c>
      <c r="C10" s="304" t="s">
        <v>45</v>
      </c>
      <c r="D10" s="305"/>
      <c r="E10" s="300" t="s">
        <v>28</v>
      </c>
      <c r="F10" s="302" t="s">
        <v>38</v>
      </c>
      <c r="G10" s="305"/>
      <c r="H10" s="305"/>
      <c r="I10" s="305"/>
      <c r="J10" s="297"/>
      <c r="K10" s="297"/>
    </row>
    <row r="11">
      <c r="A11" s="297"/>
      <c r="B11" s="300" t="s">
        <v>30</v>
      </c>
      <c r="C11" s="304" t="s">
        <v>46</v>
      </c>
      <c r="D11" s="305"/>
      <c r="E11" s="300" t="s">
        <v>32</v>
      </c>
      <c r="F11" s="302" t="s">
        <v>38</v>
      </c>
      <c r="G11" s="305"/>
      <c r="H11" s="305"/>
      <c r="I11" s="305"/>
      <c r="J11" s="297"/>
      <c r="K11" s="297"/>
    </row>
    <row r="12">
      <c r="A12" s="297"/>
      <c r="B12" s="300" t="s">
        <v>40</v>
      </c>
      <c r="C12" s="304"/>
      <c r="D12" s="305"/>
      <c r="E12" s="300" t="s">
        <v>47</v>
      </c>
      <c r="F12" s="302"/>
      <c r="G12" s="305"/>
      <c r="H12" s="305"/>
      <c r="I12" s="305"/>
      <c r="J12" s="297"/>
      <c r="K12" s="297"/>
    </row>
    <row r="13">
      <c r="A13" s="311" t="s">
        <v>48</v>
      </c>
      <c r="B13" s="307" t="s">
        <v>35</v>
      </c>
      <c r="C13" s="308" t="s">
        <v>49</v>
      </c>
      <c r="D13" s="305"/>
      <c r="E13" s="305"/>
      <c r="F13" s="305"/>
      <c r="G13" s="305"/>
      <c r="H13" s="305"/>
      <c r="I13" s="309"/>
      <c r="J13" s="297"/>
      <c r="K13" s="297"/>
    </row>
    <row r="14">
      <c r="A14" s="297"/>
      <c r="B14" s="300" t="s">
        <v>26</v>
      </c>
      <c r="C14" s="304" t="s">
        <v>50</v>
      </c>
      <c r="D14" s="302"/>
      <c r="E14" s="300" t="s">
        <v>28</v>
      </c>
      <c r="F14" s="302" t="s">
        <v>51</v>
      </c>
      <c r="G14" s="305"/>
      <c r="H14" s="305"/>
      <c r="I14" s="305"/>
      <c r="J14" s="297"/>
      <c r="K14" s="297"/>
    </row>
    <row r="15">
      <c r="A15" s="297"/>
      <c r="B15" s="300" t="s">
        <v>30</v>
      </c>
      <c r="C15" s="304" t="s">
        <v>50</v>
      </c>
      <c r="D15" s="305"/>
      <c r="E15" s="300" t="s">
        <v>32</v>
      </c>
      <c r="F15" s="302" t="s">
        <v>52</v>
      </c>
      <c r="G15" s="305"/>
      <c r="H15" s="305"/>
      <c r="I15" s="305"/>
      <c r="J15" s="297"/>
      <c r="K15" s="297"/>
    </row>
    <row r="16">
      <c r="A16" s="297"/>
      <c r="B16" s="297"/>
      <c r="C16" s="297"/>
      <c r="D16" s="297"/>
      <c r="E16" s="297"/>
      <c r="F16" s="297"/>
      <c r="G16" s="297"/>
      <c r="H16" s="297"/>
      <c r="I16" s="297"/>
      <c r="J16" s="297"/>
      <c r="K16" s="297"/>
    </row>
    <row r="17">
      <c r="A17" s="297"/>
      <c r="B17" s="297"/>
      <c r="C17" s="297"/>
      <c r="D17" s="297"/>
      <c r="E17" s="297"/>
      <c r="F17" s="297"/>
      <c r="G17" s="297"/>
      <c r="H17" s="297"/>
      <c r="I17" s="297"/>
      <c r="J17" s="297"/>
      <c r="K17" s="297"/>
    </row>
    <row r="18">
      <c r="A18" s="297"/>
      <c r="B18" s="297"/>
      <c r="C18" s="297"/>
      <c r="D18" s="297"/>
      <c r="E18" s="297"/>
      <c r="F18" s="297"/>
      <c r="G18" s="297"/>
      <c r="H18" s="297"/>
      <c r="I18" s="297"/>
      <c r="J18" s="297"/>
      <c r="K18" s="297"/>
    </row>
    <row r="19">
      <c r="A19" s="297"/>
      <c r="B19" s="297"/>
      <c r="C19" s="297"/>
      <c r="D19" s="297"/>
      <c r="E19" s="297"/>
      <c r="F19" s="297"/>
      <c r="G19" s="297"/>
      <c r="H19" s="297"/>
      <c r="I19" s="297"/>
      <c r="J19" s="297"/>
      <c r="K19" s="297"/>
    </row>
    <row r="20">
      <c r="A20" s="297"/>
      <c r="B20" s="297"/>
      <c r="C20" s="297"/>
      <c r="D20" s="297"/>
      <c r="E20" s="297"/>
      <c r="F20" s="297"/>
      <c r="G20" s="297"/>
      <c r="H20" s="297"/>
      <c r="I20" s="297"/>
      <c r="J20" s="297"/>
      <c r="K20" s="297"/>
    </row>
    <row r="21">
      <c r="A21" s="297"/>
      <c r="B21" s="297"/>
      <c r="C21" s="297"/>
      <c r="D21" s="297"/>
      <c r="E21" s="297"/>
      <c r="F21" s="297"/>
      <c r="G21" s="297"/>
      <c r="H21" s="297"/>
      <c r="I21" s="297"/>
      <c r="J21" s="297"/>
      <c r="K21" s="297"/>
    </row>
    <row r="22">
      <c r="A22" s="297"/>
      <c r="B22" s="297"/>
      <c r="C22" s="297"/>
      <c r="D22" s="297"/>
      <c r="E22" s="297"/>
      <c r="F22" s="297"/>
      <c r="G22" s="297"/>
      <c r="H22" s="297"/>
      <c r="I22" s="297"/>
      <c r="J22" s="297"/>
      <c r="K22" s="297"/>
    </row>
  </sheetData>
  <mergeCells count="22">
    <mergeCell ref="F12:I12"/>
    <mergeCell ref="F11:I11"/>
    <mergeCell ref="C15:D15"/>
    <mergeCell ref="F14:I14"/>
    <mergeCell ref="F15:I15"/>
    <mergeCell ref="C12:D12"/>
    <mergeCell ref="C13:I13"/>
    <mergeCell ref="C8:D8"/>
    <mergeCell ref="F8:I8"/>
    <mergeCell ref="C7:D7"/>
    <mergeCell ref="F7:I7"/>
    <mergeCell ref="C11:D11"/>
    <mergeCell ref="F10:I10"/>
    <mergeCell ref="C9:I9"/>
    <mergeCell ref="C10:D10"/>
    <mergeCell ref="C6:D6"/>
    <mergeCell ref="C3:D3"/>
    <mergeCell ref="C4:D4"/>
    <mergeCell ref="F4:I4"/>
    <mergeCell ref="F3:I3"/>
    <mergeCell ref="C5:I5"/>
    <mergeCell ref="F6:I6"/>
  </mergeCells>
  <hyperlinks>
    <hyperlink r:id="rId1" ref="C2"/>
    <hyperlink r:id="rId2" ref="C5"/>
    <hyperlink r:id="rId3" ref="C9"/>
    <hyperlink r:id="rId4" ref="C13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hidden="1" min="2" max="2" width="7.14"/>
    <col customWidth="1" min="3" max="3" width="5.86"/>
    <col customWidth="1" min="4" max="4" width="27.29"/>
    <col customWidth="1" min="5" max="5" width="5.71"/>
    <col customWidth="1" min="6" max="6" width="5.43"/>
    <col customWidth="1" min="7" max="7" width="6.57"/>
    <col customWidth="1" min="8" max="8" width="4.43"/>
    <col customWidth="1" min="9" max="9" width="8.14"/>
    <col customWidth="1" min="10" max="10" width="2.71"/>
    <col customWidth="1" min="11" max="11" width="8.43"/>
    <col customWidth="1" min="12" max="12" width="2.71"/>
    <col customWidth="1" hidden="1" min="13" max="13" width="3.14"/>
    <col customWidth="1" hidden="1" min="14" max="14" width="8.71"/>
    <col customWidth="1" min="15" max="15" width="4.43"/>
    <col customWidth="1" min="16" max="16" width="8.14"/>
    <col customWidth="1" min="17" max="17" width="2.71"/>
    <col customWidth="1" min="18" max="18" width="8.43"/>
    <col customWidth="1" min="19" max="19" width="2.71"/>
    <col customWidth="1" hidden="1" min="20" max="20" width="3.14"/>
    <col customWidth="1" hidden="1" min="21" max="21" width="8.71"/>
    <col customWidth="1" min="22" max="22" width="4.43"/>
    <col customWidth="1" min="23" max="23" width="8.14"/>
    <col customWidth="1" min="24" max="24" width="2.71"/>
    <col customWidth="1" min="25" max="25" width="8.43"/>
    <col customWidth="1" min="26" max="26" width="2.71"/>
    <col customWidth="1" hidden="1" min="27" max="27" width="3.14"/>
    <col customWidth="1" hidden="1" min="28" max="28" width="8.71"/>
    <col customWidth="1" min="29" max="29" width="4.43"/>
    <col customWidth="1" min="30" max="30" width="8.14"/>
    <col customWidth="1" min="31" max="31" width="2.71"/>
    <col customWidth="1" min="32" max="32" width="8.43"/>
    <col customWidth="1" min="33" max="33" width="2.71"/>
    <col customWidth="1" min="34" max="34" width="5.71"/>
    <col customWidth="1" min="35" max="35" width="5.43"/>
    <col customWidth="1" min="36" max="36" width="21.57"/>
  </cols>
  <sheetData>
    <row r="1" ht="16.5" customHeight="1">
      <c r="A1" s="312">
        <f>IFERROR(__xludf.DUMMYFUNCTION("IMPORTRANGE(Setup!C2,Setup!C4&amp;""!""&amp;Setup!F4)"),1.0)</f>
        <v>1</v>
      </c>
      <c r="B1" s="313" t="str">
        <f>IFERROR(__xludf.DUMMYFUNCTION("""COMPUTED_VALUE"""),"E1905A")</f>
        <v>E1905A</v>
      </c>
      <c r="C1" s="314" t="str">
        <f>IFERROR(__xludf.DUMMYFUNCTION("""COMPUTED_VALUE"""),"")</f>
        <v/>
      </c>
      <c r="D1" s="315" t="str">
        <f>IFERROR(__xludf.DUMMYFUNCTION("""COMPUTED_VALUE"""),"Aerial Drive CE")</f>
        <v>Aerial Drive CE</v>
      </c>
      <c r="E1" s="316" t="str">
        <f>IFERROR(__xludf.DUMMYFUNCTION("""COMPUTED_VALUE"""),"AP")</f>
        <v>AP</v>
      </c>
      <c r="F1" s="316" t="str">
        <f>IFERROR(__xludf.DUMMYFUNCTION("""COMPUTED_VALUE"""),"Runs")</f>
        <v>Runs</v>
      </c>
      <c r="G1" s="316" t="str">
        <f>IFERROR(__xludf.DUMMYFUNCTION("""COMPUTED_VALUE"""),"Status")</f>
        <v>Status</v>
      </c>
      <c r="H1" s="316" t="str">
        <f>IFERROR(__xludf.DUMMYFUNCTION("""COMPUTED_VALUE"""),"Mat")</f>
        <v>Mat</v>
      </c>
      <c r="I1" s="316" t="str">
        <f>IFERROR(__xludf.DUMMYFUNCTION("""COMPUTED_VALUE"""),"AP/Drop")</f>
        <v>AP/Drop</v>
      </c>
      <c r="J1" s="316" t="str">
        <f>IFERROR(__xludf.DUMMYFUNCTION("""COMPUTED_VALUE"""),"")</f>
        <v/>
      </c>
      <c r="K1" s="316" t="str">
        <f>IFERROR(__xludf.DUMMYFUNCTION("""COMPUTED_VALUE"""),"Droprate")</f>
        <v>Droprate</v>
      </c>
      <c r="L1" s="316" t="str">
        <f>IFERROR(__xludf.DUMMYFUNCTION("""COMPUTED_VALUE"""),"")</f>
        <v/>
      </c>
      <c r="M1" s="316" t="str">
        <f>IFERROR(__xludf.DUMMYFUNCTION("""COMPUTED_VALUE"""),"#2")</f>
        <v>#2</v>
      </c>
      <c r="N1" s="316" t="str">
        <f>IFERROR(__xludf.DUMMYFUNCTION("""COMPUTED_VALUE"""),"Item 2 ID")</f>
        <v>Item 2 ID</v>
      </c>
      <c r="O1" s="316" t="str">
        <f>IFERROR(__xludf.DUMMYFUNCTION("""COMPUTED_VALUE"""),"Mat")</f>
        <v>Mat</v>
      </c>
      <c r="P1" s="316" t="str">
        <f>IFERROR(__xludf.DUMMYFUNCTION("""COMPUTED_VALUE"""),"AP/Drop")</f>
        <v>AP/Drop</v>
      </c>
      <c r="Q1" s="316" t="str">
        <f>IFERROR(__xludf.DUMMYFUNCTION("""COMPUTED_VALUE"""),"")</f>
        <v/>
      </c>
      <c r="R1" s="316" t="str">
        <f>IFERROR(__xludf.DUMMYFUNCTION("""COMPUTED_VALUE"""),"Droprate")</f>
        <v>Droprate</v>
      </c>
      <c r="S1" s="316" t="str">
        <f>IFERROR(__xludf.DUMMYFUNCTION("""COMPUTED_VALUE"""),"")</f>
        <v/>
      </c>
      <c r="T1" s="316" t="str">
        <f>IFERROR(__xludf.DUMMYFUNCTION("""COMPUTED_VALUE"""),"#3")</f>
        <v>#3</v>
      </c>
      <c r="U1" s="316" t="str">
        <f>IFERROR(__xludf.DUMMYFUNCTION("""COMPUTED_VALUE"""),"Item 2 ID")</f>
        <v>Item 2 ID</v>
      </c>
      <c r="V1" s="316" t="str">
        <f>IFERROR(__xludf.DUMMYFUNCTION("""COMPUTED_VALUE"""),"Mat")</f>
        <v>Mat</v>
      </c>
      <c r="W1" s="316" t="str">
        <f>IFERROR(__xludf.DUMMYFUNCTION("""COMPUTED_VALUE"""),"AP/Drop")</f>
        <v>AP/Drop</v>
      </c>
      <c r="X1" s="316" t="str">
        <f>IFERROR(__xludf.DUMMYFUNCTION("""COMPUTED_VALUE"""),"")</f>
        <v/>
      </c>
      <c r="Y1" s="316" t="str">
        <f>IFERROR(__xludf.DUMMYFUNCTION("""COMPUTED_VALUE"""),"Droprate")</f>
        <v>Droprate</v>
      </c>
      <c r="Z1" s="316" t="str">
        <f>IFERROR(__xludf.DUMMYFUNCTION("""COMPUTED_VALUE"""),"")</f>
        <v/>
      </c>
      <c r="AA1" s="316" t="str">
        <f>IFERROR(__xludf.DUMMYFUNCTION("""COMPUTED_VALUE"""),"#4")</f>
        <v>#4</v>
      </c>
      <c r="AB1" s="316" t="str">
        <f>IFERROR(__xludf.DUMMYFUNCTION("""COMPUTED_VALUE"""),"Item 3 ID")</f>
        <v>Item 3 ID</v>
      </c>
      <c r="AC1" s="316" t="str">
        <f>IFERROR(__xludf.DUMMYFUNCTION("""COMPUTED_VALUE"""),"Mat")</f>
        <v>Mat</v>
      </c>
      <c r="AD1" s="316" t="str">
        <f>IFERROR(__xludf.DUMMYFUNCTION("""COMPUTED_VALUE"""),"AP/Drop")</f>
        <v>AP/Drop</v>
      </c>
      <c r="AE1" s="316" t="str">
        <f>IFERROR(__xludf.DUMMYFUNCTION("""COMPUTED_VALUE"""),"")</f>
        <v/>
      </c>
      <c r="AF1" s="316" t="str">
        <f>IFERROR(__xludf.DUMMYFUNCTION("""COMPUTED_VALUE"""),"Droprate")</f>
        <v>Droprate</v>
      </c>
      <c r="AG1" s="316" t="str">
        <f>IFERROR(__xludf.DUMMYFUNCTION("""COMPUTED_VALUE"""),"")</f>
        <v/>
      </c>
      <c r="AH1" s="316" t="str">
        <f>IFERROR(__xludf.DUMMYFUNCTION("""COMPUTED_VALUE"""),"AP")</f>
        <v>AP</v>
      </c>
      <c r="AI1" s="316" t="str">
        <f>IFERROR(__xludf.DUMMYFUNCTION("""COMPUTED_VALUE"""),"Runs")</f>
        <v>Runs</v>
      </c>
      <c r="AJ1" s="316" t="str">
        <f>IFERROR(__xludf.DUMMYFUNCTION("""COMPUTED_VALUE"""),"Node Name")</f>
        <v>Node Name</v>
      </c>
    </row>
    <row r="2" ht="16.5" customHeight="1">
      <c r="D2" s="317" t="str">
        <f>IFERROR(__xludf.DUMMYFUNCTION("""COMPUTED_VALUE"""),"Downtime- N/A")</f>
        <v>Downtime- N/A</v>
      </c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318"/>
      <c r="AJ2" s="318"/>
    </row>
    <row r="3" ht="24.75" customHeight="1">
      <c r="A3" s="319">
        <f>IFERROR(__xludf.DUMMYFUNCTION("""COMPUTED_VALUE"""),1.0)</f>
        <v>1</v>
      </c>
      <c r="B3" s="319" t="str">
        <f>IFERROR(__xludf.DUMMYFUNCTION("""COMPUTED_VALUE"""),"E1905A")</f>
        <v>E1905A</v>
      </c>
      <c r="C3" s="319">
        <f>IFERROR(__xludf.DUMMYFUNCTION("""COMPUTED_VALUE"""),3.0)</f>
        <v>3</v>
      </c>
      <c r="D3" s="320" t="str">
        <f>IFERROR(__xludf.DUMMYFUNCTION("""COMPUTED_VALUE"""),"Old Well")</f>
        <v>Old Well</v>
      </c>
      <c r="E3" s="321">
        <f>IFERROR(__xludf.DUMMYFUNCTION("""COMPUTED_VALUE"""),40.0)</f>
        <v>40</v>
      </c>
      <c r="F3" s="322">
        <f>IFERROR(__xludf.DUMMYFUNCTION("""COMPUTED_VALUE"""),128.0)</f>
        <v>128</v>
      </c>
      <c r="G3" s="322" t="str">
        <f>IFERROR(__xludf.DUMMYFUNCTION("""COMPUTED_VALUE"""),"Open")</f>
        <v>Open</v>
      </c>
      <c r="H3" s="323" t="str">
        <f>IFERROR(__xludf.DUMMYFUNCTION("""COMPUTED_VALUE"""),"")</f>
        <v/>
      </c>
      <c r="I3" s="324">
        <f>IFERROR(__xludf.DUMMYFUNCTION("""COMPUTED_VALUE"""),2560.0)</f>
        <v>2560</v>
      </c>
      <c r="J3" s="325" t="str">
        <f>IFERROR(__xludf.DUMMYFUNCTION("""COMPUTED_VALUE"""),"AP")</f>
        <v>AP</v>
      </c>
      <c r="K3" s="324">
        <f>IFERROR(__xludf.DUMMYFUNCTION("""COMPUTED_VALUE"""),1.5625)</f>
        <v>1.5625</v>
      </c>
      <c r="L3" s="325" t="str">
        <f>IFERROR(__xludf.DUMMYFUNCTION("""COMPUTED_VALUE"""),"%")</f>
        <v>%</v>
      </c>
      <c r="M3" s="326">
        <f>IFERROR(__xludf.DUMMYFUNCTION("""COMPUTED_VALUE"""),1.0)</f>
        <v>1</v>
      </c>
      <c r="N3" s="324" t="str">
        <f>IFERROR(__xludf.DUMMYFUNCTION("""COMPUTED_VALUE"""),"A112")</f>
        <v>A112</v>
      </c>
      <c r="O3" s="327" t="str">
        <f>IFERROR(__xludf.DUMMYFUNCTION("""COMPUTED_VALUE"""),"")</f>
        <v/>
      </c>
      <c r="P3" s="324">
        <f>IFERROR(__xludf.DUMMYFUNCTION("""COMPUTED_VALUE"""),182.85714285714286)</f>
        <v>182.8571429</v>
      </c>
      <c r="Q3" s="325" t="str">
        <f>IFERROR(__xludf.DUMMYFUNCTION("""COMPUTED_VALUE"""),"AP")</f>
        <v>AP</v>
      </c>
      <c r="R3" s="324">
        <f>IFERROR(__xludf.DUMMYFUNCTION("""COMPUTED_VALUE"""),21.875)</f>
        <v>21.875</v>
      </c>
      <c r="S3" s="325" t="str">
        <f>IFERROR(__xludf.DUMMYFUNCTION("""COMPUTED_VALUE"""),"%")</f>
        <v>%</v>
      </c>
      <c r="T3" s="326">
        <f>IFERROR(__xludf.DUMMYFUNCTION("""COMPUTED_VALUE"""),2.0)</f>
        <v>2</v>
      </c>
      <c r="U3" s="324" t="str">
        <f>IFERROR(__xludf.DUMMYFUNCTION("""COMPUTED_VALUE"""),"A203")</f>
        <v>A203</v>
      </c>
      <c r="V3" s="327" t="str">
        <f>IFERROR(__xludf.DUMMYFUNCTION("""COMPUTED_VALUE"""),"")</f>
        <v/>
      </c>
      <c r="W3" s="324">
        <f>IFERROR(__xludf.DUMMYFUNCTION("""COMPUTED_VALUE"""),65.64102564102564)</f>
        <v>65.64102564</v>
      </c>
      <c r="X3" s="325" t="str">
        <f>IFERROR(__xludf.DUMMYFUNCTION("""COMPUTED_VALUE"""),"AP")</f>
        <v>AP</v>
      </c>
      <c r="Y3" s="324">
        <f>IFERROR(__xludf.DUMMYFUNCTION("""COMPUTED_VALUE"""),60.9375)</f>
        <v>60.9375</v>
      </c>
      <c r="Z3" s="325" t="str">
        <f>IFERROR(__xludf.DUMMYFUNCTION("""COMPUTED_VALUE"""),"%")</f>
        <v>%</v>
      </c>
      <c r="AA3" s="326">
        <f>IFERROR(__xludf.DUMMYFUNCTION("""COMPUTED_VALUE"""),3.0)</f>
        <v>3</v>
      </c>
      <c r="AB3" s="324" t="str">
        <f>IFERROR(__xludf.DUMMYFUNCTION("""COMPUTED_VALUE"""),"B102")</f>
        <v>B102</v>
      </c>
      <c r="AC3" s="327" t="str">
        <f>IFERROR(__xludf.DUMMYFUNCTION("""COMPUTED_VALUE"""),"")</f>
        <v/>
      </c>
      <c r="AD3" s="324">
        <f>IFERROR(__xludf.DUMMYFUNCTION("""COMPUTED_VALUE"""),182.85714285714286)</f>
        <v>182.8571429</v>
      </c>
      <c r="AE3" s="325" t="str">
        <f>IFERROR(__xludf.DUMMYFUNCTION("""COMPUTED_VALUE"""),"AP")</f>
        <v>AP</v>
      </c>
      <c r="AF3" s="324">
        <f>IFERROR(__xludf.DUMMYFUNCTION("""COMPUTED_VALUE"""),21.875)</f>
        <v>21.875</v>
      </c>
      <c r="AG3" s="325" t="str">
        <f>IFERROR(__xludf.DUMMYFUNCTION("""COMPUTED_VALUE"""),"%")</f>
        <v>%</v>
      </c>
      <c r="AH3" s="321">
        <f>IFERROR(__xludf.DUMMYFUNCTION("""COMPUTED_VALUE"""),40.0)</f>
        <v>40</v>
      </c>
      <c r="AI3" s="322">
        <f>IFERROR(__xludf.DUMMYFUNCTION("""COMPUTED_VALUE"""),128.0)</f>
        <v>128</v>
      </c>
      <c r="AJ3" s="320" t="str">
        <f>IFERROR(__xludf.DUMMYFUNCTION("""COMPUTED_VALUE"""),"Old Well")</f>
        <v>Old Well</v>
      </c>
    </row>
    <row r="4" ht="24.75" customHeight="1">
      <c r="A4" s="328">
        <f>IFERROR(__xludf.DUMMYFUNCTION("""COMPUTED_VALUE"""),2.0)</f>
        <v>2</v>
      </c>
      <c r="B4" s="328" t="str">
        <f>IFERROR(__xludf.DUMMYFUNCTION("""COMPUTED_VALUE"""),"E1905A")</f>
        <v>E1905A</v>
      </c>
      <c r="C4" s="328">
        <f>IFERROR(__xludf.DUMMYFUNCTION("""COMPUTED_VALUE"""),2.0)</f>
        <v>2</v>
      </c>
      <c r="D4" s="329" t="str">
        <f>IFERROR(__xludf.DUMMYFUNCTION("""COMPUTED_VALUE"""),"Underground Factory")</f>
        <v>Underground Factory</v>
      </c>
      <c r="E4" s="330">
        <f>IFERROR(__xludf.DUMMYFUNCTION("""COMPUTED_VALUE"""),40.0)</f>
        <v>40</v>
      </c>
      <c r="F4" s="331">
        <f>IFERROR(__xludf.DUMMYFUNCTION("""COMPUTED_VALUE"""),65.0)</f>
        <v>65</v>
      </c>
      <c r="G4" s="331" t="str">
        <f>IFERROR(__xludf.DUMMYFUNCTION("""COMPUTED_VALUE"""),"Open")</f>
        <v>Open</v>
      </c>
      <c r="H4" s="323" t="str">
        <f>IFERROR(__xludf.DUMMYFUNCTION("""COMPUTED_VALUE"""),"")</f>
        <v/>
      </c>
      <c r="I4" s="332">
        <f>IFERROR(__xludf.DUMMYFUNCTION("""COMPUTED_VALUE"""),2600.0)</f>
        <v>2600</v>
      </c>
      <c r="J4" s="333" t="str">
        <f>IFERROR(__xludf.DUMMYFUNCTION("""COMPUTED_VALUE"""),"AP")</f>
        <v>AP</v>
      </c>
      <c r="K4" s="332">
        <f>IFERROR(__xludf.DUMMYFUNCTION("""COMPUTED_VALUE"""),1.5384615384615385)</f>
        <v>1.538461538</v>
      </c>
      <c r="L4" s="334" t="str">
        <f>IFERROR(__xludf.DUMMYFUNCTION("""COMPUTED_VALUE"""),"%")</f>
        <v>%</v>
      </c>
      <c r="M4" s="335">
        <f>IFERROR(__xludf.DUMMYFUNCTION("""COMPUTED_VALUE"""),1.0)</f>
        <v>1</v>
      </c>
      <c r="N4" s="332" t="str">
        <f>IFERROR(__xludf.DUMMYFUNCTION("""COMPUTED_VALUE"""),"A301")</f>
        <v>A301</v>
      </c>
      <c r="O4" s="327" t="str">
        <f>IFERROR(__xludf.DUMMYFUNCTION("""COMPUTED_VALUE"""),"")</f>
        <v/>
      </c>
      <c r="P4" s="332">
        <f>IFERROR(__xludf.DUMMYFUNCTION("""COMPUTED_VALUE"""),50.98039215686275)</f>
        <v>50.98039216</v>
      </c>
      <c r="Q4" s="333" t="str">
        <f>IFERROR(__xludf.DUMMYFUNCTION("""COMPUTED_VALUE"""),"AP")</f>
        <v>AP</v>
      </c>
      <c r="R4" s="332">
        <f>IFERROR(__xludf.DUMMYFUNCTION("""COMPUTED_VALUE"""),78.46153846153847)</f>
        <v>78.46153846</v>
      </c>
      <c r="S4" s="334" t="str">
        <f>IFERROR(__xludf.DUMMYFUNCTION("""COMPUTED_VALUE"""),"%")</f>
        <v>%</v>
      </c>
      <c r="T4" s="335">
        <f>IFERROR(__xludf.DUMMYFUNCTION("""COMPUTED_VALUE"""),2.0)</f>
        <v>2</v>
      </c>
      <c r="U4" s="332" t="str">
        <f>IFERROR(__xludf.DUMMYFUNCTION("""COMPUTED_VALUE"""),"B114")</f>
        <v>B114</v>
      </c>
      <c r="V4" s="327" t="str">
        <f>IFERROR(__xludf.DUMMYFUNCTION("""COMPUTED_VALUE"""),"")</f>
        <v/>
      </c>
      <c r="W4" s="332">
        <f>IFERROR(__xludf.DUMMYFUNCTION("""COMPUTED_VALUE"""),83.87096774193547)</f>
        <v>83.87096774</v>
      </c>
      <c r="X4" s="333" t="str">
        <f>IFERROR(__xludf.DUMMYFUNCTION("""COMPUTED_VALUE"""),"AP")</f>
        <v>AP</v>
      </c>
      <c r="Y4" s="332">
        <f>IFERROR(__xludf.DUMMYFUNCTION("""COMPUTED_VALUE"""),47.69230769230769)</f>
        <v>47.69230769</v>
      </c>
      <c r="Z4" s="334" t="str">
        <f>IFERROR(__xludf.DUMMYFUNCTION("""COMPUTED_VALUE"""),"%")</f>
        <v>%</v>
      </c>
      <c r="AA4" s="335">
        <f>IFERROR(__xludf.DUMMYFUNCTION("""COMPUTED_VALUE"""),3.0)</f>
        <v>3</v>
      </c>
      <c r="AB4" s="332" t="str">
        <f>IFERROR(__xludf.DUMMYFUNCTION("""COMPUTED_VALUE"""),"B116")</f>
        <v>B116</v>
      </c>
      <c r="AC4" s="327" t="str">
        <f>IFERROR(__xludf.DUMMYFUNCTION("""COMPUTED_VALUE"""),"")</f>
        <v/>
      </c>
      <c r="AD4" s="332">
        <f>IFERROR(__xludf.DUMMYFUNCTION("""COMPUTED_VALUE"""),65.0)</f>
        <v>65</v>
      </c>
      <c r="AE4" s="333" t="str">
        <f>IFERROR(__xludf.DUMMYFUNCTION("""COMPUTED_VALUE"""),"AP")</f>
        <v>AP</v>
      </c>
      <c r="AF4" s="332">
        <f>IFERROR(__xludf.DUMMYFUNCTION("""COMPUTED_VALUE"""),61.53846153846154)</f>
        <v>61.53846154</v>
      </c>
      <c r="AG4" s="334" t="str">
        <f>IFERROR(__xludf.DUMMYFUNCTION("""COMPUTED_VALUE"""),"%")</f>
        <v>%</v>
      </c>
      <c r="AH4" s="330">
        <f>IFERROR(__xludf.DUMMYFUNCTION("""COMPUTED_VALUE"""),40.0)</f>
        <v>40</v>
      </c>
      <c r="AI4" s="331">
        <f>IFERROR(__xludf.DUMMYFUNCTION("""COMPUTED_VALUE"""),65.0)</f>
        <v>65</v>
      </c>
      <c r="AJ4" s="329" t="str">
        <f>IFERROR(__xludf.DUMMYFUNCTION("""COMPUTED_VALUE"""),"Underground Factory")</f>
        <v>Underground Factory</v>
      </c>
    </row>
    <row r="5" ht="24.75" customHeight="1">
      <c r="A5" s="319">
        <f>IFERROR(__xludf.DUMMYFUNCTION("""COMPUTED_VALUE"""),3.0)</f>
        <v>3</v>
      </c>
      <c r="B5" s="319" t="str">
        <f>IFERROR(__xludf.DUMMYFUNCTION("""COMPUTED_VALUE"""),"E1905A")</f>
        <v>E1905A</v>
      </c>
      <c r="C5" s="319">
        <f>IFERROR(__xludf.DUMMYFUNCTION("""COMPUTED_VALUE"""),11.0)</f>
        <v>11</v>
      </c>
      <c r="D5" s="320" t="str">
        <f>IFERROR(__xludf.DUMMYFUNCTION("""COMPUTED_VALUE"""),"Ventilation Shaft")</f>
        <v>Ventilation Shaft</v>
      </c>
      <c r="E5" s="321">
        <f>IFERROR(__xludf.DUMMYFUNCTION("""COMPUTED_VALUE"""),30.0)</f>
        <v>30</v>
      </c>
      <c r="F5" s="322">
        <f>IFERROR(__xludf.DUMMYFUNCTION("""COMPUTED_VALUE"""),92.0)</f>
        <v>92</v>
      </c>
      <c r="G5" s="322" t="str">
        <f>IFERROR(__xludf.DUMMYFUNCTION("""COMPUTED_VALUE"""),"Open")</f>
        <v>Open</v>
      </c>
      <c r="H5" s="323" t="str">
        <f>IFERROR(__xludf.DUMMYFUNCTION("""COMPUTED_VALUE"""),"")</f>
        <v/>
      </c>
      <c r="I5" s="324">
        <f>IFERROR(__xludf.DUMMYFUNCTION("""COMPUTED_VALUE"""),2760.0)</f>
        <v>2760</v>
      </c>
      <c r="J5" s="325" t="str">
        <f>IFERROR(__xludf.DUMMYFUNCTION("""COMPUTED_VALUE"""),"AP")</f>
        <v>AP</v>
      </c>
      <c r="K5" s="324">
        <f>IFERROR(__xludf.DUMMYFUNCTION("""COMPUTED_VALUE"""),1.0869565217391304)</f>
        <v>1.086956522</v>
      </c>
      <c r="L5" s="325" t="str">
        <f>IFERROR(__xludf.DUMMYFUNCTION("""COMPUTED_VALUE"""),"%")</f>
        <v>%</v>
      </c>
      <c r="M5" s="326">
        <f>IFERROR(__xludf.DUMMYFUNCTION("""COMPUTED_VALUE"""),1.0)</f>
        <v>1</v>
      </c>
      <c r="N5" s="324" t="str">
        <f>IFERROR(__xludf.DUMMYFUNCTION("""COMPUTED_VALUE"""),"A203")</f>
        <v>A203</v>
      </c>
      <c r="O5" s="327" t="str">
        <f>IFERROR(__xludf.DUMMYFUNCTION("""COMPUTED_VALUE"""),"")</f>
        <v/>
      </c>
      <c r="P5" s="324">
        <f>IFERROR(__xludf.DUMMYFUNCTION("""COMPUTED_VALUE"""),230.0)</f>
        <v>230</v>
      </c>
      <c r="Q5" s="325" t="str">
        <f>IFERROR(__xludf.DUMMYFUNCTION("""COMPUTED_VALUE"""),"AP")</f>
        <v>AP</v>
      </c>
      <c r="R5" s="324">
        <f>IFERROR(__xludf.DUMMYFUNCTION("""COMPUTED_VALUE"""),13.043478260869565)</f>
        <v>13.04347826</v>
      </c>
      <c r="S5" s="325" t="str">
        <f>IFERROR(__xludf.DUMMYFUNCTION("""COMPUTED_VALUE"""),"%")</f>
        <v>%</v>
      </c>
      <c r="T5" s="326">
        <f>IFERROR(__xludf.DUMMYFUNCTION("""COMPUTED_VALUE"""),2.0)</f>
        <v>2</v>
      </c>
      <c r="U5" s="324" t="str">
        <f>IFERROR(__xludf.DUMMYFUNCTION("""COMPUTED_VALUE"""),"A305")</f>
        <v>A305</v>
      </c>
      <c r="V5" s="327" t="str">
        <f>IFERROR(__xludf.DUMMYFUNCTION("""COMPUTED_VALUE"""),"")</f>
        <v/>
      </c>
      <c r="W5" s="324">
        <f>IFERROR(__xludf.DUMMYFUNCTION("""COMPUTED_VALUE"""),125.45454545454545)</f>
        <v>125.4545455</v>
      </c>
      <c r="X5" s="325" t="str">
        <f>IFERROR(__xludf.DUMMYFUNCTION("""COMPUTED_VALUE"""),"AP")</f>
        <v>AP</v>
      </c>
      <c r="Y5" s="324">
        <f>IFERROR(__xludf.DUMMYFUNCTION("""COMPUTED_VALUE"""),23.91304347826087)</f>
        <v>23.91304348</v>
      </c>
      <c r="Z5" s="325" t="str">
        <f>IFERROR(__xludf.DUMMYFUNCTION("""COMPUTED_VALUE"""),"%")</f>
        <v>%</v>
      </c>
      <c r="AA5" s="326">
        <f>IFERROR(__xludf.DUMMYFUNCTION("""COMPUTED_VALUE"""),3.0)</f>
        <v>3</v>
      </c>
      <c r="AB5" s="324" t="str">
        <f>IFERROR(__xludf.DUMMYFUNCTION("""COMPUTED_VALUE"""),"B111")</f>
        <v>B111</v>
      </c>
      <c r="AC5" s="327" t="str">
        <f>IFERROR(__xludf.DUMMYFUNCTION("""COMPUTED_VALUE"""),"")</f>
        <v/>
      </c>
      <c r="AD5" s="324">
        <f>IFERROR(__xludf.DUMMYFUNCTION("""COMPUTED_VALUE"""),153.33333333333331)</f>
        <v>153.3333333</v>
      </c>
      <c r="AE5" s="325" t="str">
        <f>IFERROR(__xludf.DUMMYFUNCTION("""COMPUTED_VALUE"""),"AP")</f>
        <v>AP</v>
      </c>
      <c r="AF5" s="324">
        <f>IFERROR(__xludf.DUMMYFUNCTION("""COMPUTED_VALUE"""),19.565217391304348)</f>
        <v>19.56521739</v>
      </c>
      <c r="AG5" s="325" t="str">
        <f>IFERROR(__xludf.DUMMYFUNCTION("""COMPUTED_VALUE"""),"%")</f>
        <v>%</v>
      </c>
      <c r="AH5" s="321">
        <f>IFERROR(__xludf.DUMMYFUNCTION("""COMPUTED_VALUE"""),30.0)</f>
        <v>30</v>
      </c>
      <c r="AI5" s="322">
        <f>IFERROR(__xludf.DUMMYFUNCTION("""COMPUTED_VALUE"""),92.0)</f>
        <v>92</v>
      </c>
      <c r="AJ5" s="320" t="str">
        <f>IFERROR(__xludf.DUMMYFUNCTION("""COMPUTED_VALUE"""),"Ventilation Shaft")</f>
        <v>Ventilation Shaft</v>
      </c>
    </row>
    <row r="6" ht="24.75" customHeight="1">
      <c r="A6" s="328">
        <f>IFERROR(__xludf.DUMMYFUNCTION("""COMPUTED_VALUE"""),4.0)</f>
        <v>4</v>
      </c>
      <c r="B6" s="328" t="str">
        <f>IFERROR(__xludf.DUMMYFUNCTION("""COMPUTED_VALUE"""),"E1905A")</f>
        <v>E1905A</v>
      </c>
      <c r="C6" s="328" t="str">
        <f>IFERROR(__xludf.DUMMYFUNCTION("""COMPUTED_VALUE"""),"")</f>
        <v/>
      </c>
      <c r="D6" s="329" t="str">
        <f>IFERROR(__xludf.DUMMYFUNCTION("""COMPUTED_VALUE"""),"")</f>
        <v/>
      </c>
      <c r="E6" s="330" t="str">
        <f>IFERROR(__xludf.DUMMYFUNCTION("""COMPUTED_VALUE"""),"")</f>
        <v/>
      </c>
      <c r="F6" s="331" t="str">
        <f>IFERROR(__xludf.DUMMYFUNCTION("""COMPUTED_VALUE"""),"")</f>
        <v/>
      </c>
      <c r="G6" s="331" t="str">
        <f>IFERROR(__xludf.DUMMYFUNCTION("""COMPUTED_VALUE"""),"")</f>
        <v/>
      </c>
      <c r="H6" s="323" t="str">
        <f>IFERROR(__xludf.DUMMYFUNCTION("""COMPUTED_VALUE""")," ")</f>
        <v> </v>
      </c>
      <c r="I6" s="332" t="str">
        <f>IFERROR(__xludf.DUMMYFUNCTION("""COMPUTED_VALUE"""),"")</f>
        <v/>
      </c>
      <c r="J6" s="333" t="str">
        <f>IFERROR(__xludf.DUMMYFUNCTION("""COMPUTED_VALUE"""),"AP")</f>
        <v>AP</v>
      </c>
      <c r="K6" s="332">
        <f>IFERROR(__xludf.DUMMYFUNCTION("""COMPUTED_VALUE"""),0.0)</f>
        <v>0</v>
      </c>
      <c r="L6" s="334" t="str">
        <f>IFERROR(__xludf.DUMMYFUNCTION("""COMPUTED_VALUE"""),"%")</f>
        <v>%</v>
      </c>
      <c r="M6" s="335">
        <f>IFERROR(__xludf.DUMMYFUNCTION("""COMPUTED_VALUE"""),1.0)</f>
        <v>1</v>
      </c>
      <c r="N6" s="332" t="str">
        <f>IFERROR(__xludf.DUMMYFUNCTION("""COMPUTED_VALUE"""),"")</f>
        <v/>
      </c>
      <c r="O6" s="327" t="str">
        <f>IFERROR(__xludf.DUMMYFUNCTION("""COMPUTED_VALUE"""),"")</f>
        <v/>
      </c>
      <c r="P6" s="332" t="str">
        <f>IFERROR(__xludf.DUMMYFUNCTION("""COMPUTED_VALUE"""),"")</f>
        <v/>
      </c>
      <c r="Q6" s="333" t="str">
        <f>IFERROR(__xludf.DUMMYFUNCTION("""COMPUTED_VALUE"""),"AP")</f>
        <v>AP</v>
      </c>
      <c r="R6" s="332">
        <f>IFERROR(__xludf.DUMMYFUNCTION("""COMPUTED_VALUE"""),0.0)</f>
        <v>0</v>
      </c>
      <c r="S6" s="334" t="str">
        <f>IFERROR(__xludf.DUMMYFUNCTION("""COMPUTED_VALUE"""),"%")</f>
        <v>%</v>
      </c>
      <c r="T6" s="335">
        <f>IFERROR(__xludf.DUMMYFUNCTION("""COMPUTED_VALUE"""),2.0)</f>
        <v>2</v>
      </c>
      <c r="U6" s="332" t="str">
        <f>IFERROR(__xludf.DUMMYFUNCTION("""COMPUTED_VALUE"""),"")</f>
        <v/>
      </c>
      <c r="V6" s="327" t="str">
        <f>IFERROR(__xludf.DUMMYFUNCTION("""COMPUTED_VALUE"""),"")</f>
        <v/>
      </c>
      <c r="W6" s="332" t="str">
        <f>IFERROR(__xludf.DUMMYFUNCTION("""COMPUTED_VALUE"""),"")</f>
        <v/>
      </c>
      <c r="X6" s="333" t="str">
        <f>IFERROR(__xludf.DUMMYFUNCTION("""COMPUTED_VALUE"""),"AP")</f>
        <v>AP</v>
      </c>
      <c r="Y6" s="332">
        <f>IFERROR(__xludf.DUMMYFUNCTION("""COMPUTED_VALUE"""),0.0)</f>
        <v>0</v>
      </c>
      <c r="Z6" s="334" t="str">
        <f>IFERROR(__xludf.DUMMYFUNCTION("""COMPUTED_VALUE"""),"%")</f>
        <v>%</v>
      </c>
      <c r="AA6" s="335">
        <f>IFERROR(__xludf.DUMMYFUNCTION("""COMPUTED_VALUE"""),3.0)</f>
        <v>3</v>
      </c>
      <c r="AB6" s="332" t="str">
        <f>IFERROR(__xludf.DUMMYFUNCTION("""COMPUTED_VALUE"""),"")</f>
        <v/>
      </c>
      <c r="AC6" s="327" t="str">
        <f>IFERROR(__xludf.DUMMYFUNCTION("""COMPUTED_VALUE"""),"")</f>
        <v/>
      </c>
      <c r="AD6" s="332" t="str">
        <f>IFERROR(__xludf.DUMMYFUNCTION("""COMPUTED_VALUE"""),"")</f>
        <v/>
      </c>
      <c r="AE6" s="333" t="str">
        <f>IFERROR(__xludf.DUMMYFUNCTION("""COMPUTED_VALUE"""),"AP")</f>
        <v>AP</v>
      </c>
      <c r="AF6" s="332">
        <f>IFERROR(__xludf.DUMMYFUNCTION("""COMPUTED_VALUE"""),0.0)</f>
        <v>0</v>
      </c>
      <c r="AG6" s="334" t="str">
        <f>IFERROR(__xludf.DUMMYFUNCTION("""COMPUTED_VALUE"""),"%")</f>
        <v>%</v>
      </c>
      <c r="AH6" s="330" t="str">
        <f>IFERROR(__xludf.DUMMYFUNCTION("""COMPUTED_VALUE"""),"")</f>
        <v/>
      </c>
      <c r="AI6" s="331" t="str">
        <f>IFERROR(__xludf.DUMMYFUNCTION("""COMPUTED_VALUE"""),"")</f>
        <v/>
      </c>
      <c r="AJ6" s="329" t="str">
        <f>IFERROR(__xludf.DUMMYFUNCTION("""COMPUTED_VALUE"""),"")</f>
        <v/>
      </c>
    </row>
    <row r="7" ht="24.75" customHeight="1">
      <c r="A7" s="319">
        <f>IFERROR(__xludf.DUMMYFUNCTION("""COMPUTED_VALUE"""),5.0)</f>
        <v>5</v>
      </c>
      <c r="B7" s="319" t="str">
        <f>IFERROR(__xludf.DUMMYFUNCTION("""COMPUTED_VALUE"""),"E1905A")</f>
        <v>E1905A</v>
      </c>
      <c r="C7" s="319" t="str">
        <f>IFERROR(__xludf.DUMMYFUNCTION("""COMPUTED_VALUE"""),"")</f>
        <v/>
      </c>
      <c r="D7" s="320" t="str">
        <f>IFERROR(__xludf.DUMMYFUNCTION("""COMPUTED_VALUE"""),"")</f>
        <v/>
      </c>
      <c r="E7" s="321" t="str">
        <f>IFERROR(__xludf.DUMMYFUNCTION("""COMPUTED_VALUE"""),"")</f>
        <v/>
      </c>
      <c r="F7" s="322" t="str">
        <f>IFERROR(__xludf.DUMMYFUNCTION("""COMPUTED_VALUE"""),"")</f>
        <v/>
      </c>
      <c r="G7" s="322" t="str">
        <f>IFERROR(__xludf.DUMMYFUNCTION("""COMPUTED_VALUE"""),"")</f>
        <v/>
      </c>
      <c r="H7" s="323" t="str">
        <f>IFERROR(__xludf.DUMMYFUNCTION("""COMPUTED_VALUE""")," ")</f>
        <v> </v>
      </c>
      <c r="I7" s="324" t="str">
        <f>IFERROR(__xludf.DUMMYFUNCTION("""COMPUTED_VALUE"""),"")</f>
        <v/>
      </c>
      <c r="J7" s="325" t="str">
        <f>IFERROR(__xludf.DUMMYFUNCTION("""COMPUTED_VALUE"""),"AP")</f>
        <v>AP</v>
      </c>
      <c r="K7" s="324">
        <f>IFERROR(__xludf.DUMMYFUNCTION("""COMPUTED_VALUE"""),0.0)</f>
        <v>0</v>
      </c>
      <c r="L7" s="325" t="str">
        <f>IFERROR(__xludf.DUMMYFUNCTION("""COMPUTED_VALUE"""),"%")</f>
        <v>%</v>
      </c>
      <c r="M7" s="326">
        <f>IFERROR(__xludf.DUMMYFUNCTION("""COMPUTED_VALUE"""),1.0)</f>
        <v>1</v>
      </c>
      <c r="N7" s="324" t="str">
        <f>IFERROR(__xludf.DUMMYFUNCTION("""COMPUTED_VALUE"""),"")</f>
        <v/>
      </c>
      <c r="O7" s="327" t="str">
        <f>IFERROR(__xludf.DUMMYFUNCTION("""COMPUTED_VALUE"""),"")</f>
        <v/>
      </c>
      <c r="P7" s="324" t="str">
        <f>IFERROR(__xludf.DUMMYFUNCTION("""COMPUTED_VALUE"""),"")</f>
        <v/>
      </c>
      <c r="Q7" s="325" t="str">
        <f>IFERROR(__xludf.DUMMYFUNCTION("""COMPUTED_VALUE"""),"AP")</f>
        <v>AP</v>
      </c>
      <c r="R7" s="324">
        <f>IFERROR(__xludf.DUMMYFUNCTION("""COMPUTED_VALUE"""),0.0)</f>
        <v>0</v>
      </c>
      <c r="S7" s="325" t="str">
        <f>IFERROR(__xludf.DUMMYFUNCTION("""COMPUTED_VALUE"""),"%")</f>
        <v>%</v>
      </c>
      <c r="T7" s="326">
        <f>IFERROR(__xludf.DUMMYFUNCTION("""COMPUTED_VALUE"""),2.0)</f>
        <v>2</v>
      </c>
      <c r="U7" s="324" t="str">
        <f>IFERROR(__xludf.DUMMYFUNCTION("""COMPUTED_VALUE"""),"")</f>
        <v/>
      </c>
      <c r="V7" s="327" t="str">
        <f>IFERROR(__xludf.DUMMYFUNCTION("""COMPUTED_VALUE"""),"")</f>
        <v/>
      </c>
      <c r="W7" s="324" t="str">
        <f>IFERROR(__xludf.DUMMYFUNCTION("""COMPUTED_VALUE"""),"")</f>
        <v/>
      </c>
      <c r="X7" s="325" t="str">
        <f>IFERROR(__xludf.DUMMYFUNCTION("""COMPUTED_VALUE"""),"AP")</f>
        <v>AP</v>
      </c>
      <c r="Y7" s="324">
        <f>IFERROR(__xludf.DUMMYFUNCTION("""COMPUTED_VALUE"""),0.0)</f>
        <v>0</v>
      </c>
      <c r="Z7" s="325" t="str">
        <f>IFERROR(__xludf.DUMMYFUNCTION("""COMPUTED_VALUE"""),"%")</f>
        <v>%</v>
      </c>
      <c r="AA7" s="326">
        <f>IFERROR(__xludf.DUMMYFUNCTION("""COMPUTED_VALUE"""),3.0)</f>
        <v>3</v>
      </c>
      <c r="AB7" s="324" t="str">
        <f>IFERROR(__xludf.DUMMYFUNCTION("""COMPUTED_VALUE"""),"")</f>
        <v/>
      </c>
      <c r="AC7" s="327" t="str">
        <f>IFERROR(__xludf.DUMMYFUNCTION("""COMPUTED_VALUE"""),"")</f>
        <v/>
      </c>
      <c r="AD7" s="324" t="str">
        <f>IFERROR(__xludf.DUMMYFUNCTION("""COMPUTED_VALUE"""),"")</f>
        <v/>
      </c>
      <c r="AE7" s="325" t="str">
        <f>IFERROR(__xludf.DUMMYFUNCTION("""COMPUTED_VALUE"""),"AP")</f>
        <v>AP</v>
      </c>
      <c r="AF7" s="324">
        <f>IFERROR(__xludf.DUMMYFUNCTION("""COMPUTED_VALUE"""),0.0)</f>
        <v>0</v>
      </c>
      <c r="AG7" s="325" t="str">
        <f>IFERROR(__xludf.DUMMYFUNCTION("""COMPUTED_VALUE"""),"%")</f>
        <v>%</v>
      </c>
      <c r="AH7" s="321" t="str">
        <f>IFERROR(__xludf.DUMMYFUNCTION("""COMPUTED_VALUE"""),"")</f>
        <v/>
      </c>
      <c r="AI7" s="322" t="str">
        <f>IFERROR(__xludf.DUMMYFUNCTION("""COMPUTED_VALUE"""),"")</f>
        <v/>
      </c>
      <c r="AJ7" s="320" t="str">
        <f>IFERROR(__xludf.DUMMYFUNCTION("""COMPUTED_VALUE"""),"")</f>
        <v/>
      </c>
    </row>
    <row r="8">
      <c r="A8" s="336" t="str">
        <f>IFERROR(__xludf.DUMMYFUNCTION("""COMPUTED_VALUE"""),"")</f>
        <v/>
      </c>
      <c r="B8" s="337" t="str">
        <f>IFERROR(__xludf.DUMMYFUNCTION("""COMPUTED_VALUE"""),"")</f>
        <v/>
      </c>
      <c r="C8" s="338" t="str">
        <f>IFERROR(__xludf.DUMMYFUNCTION("""COMPUTED_VALUE"""),"")</f>
        <v/>
      </c>
      <c r="D8" s="339" t="str">
        <f>IFERROR(__xludf.DUMMYFUNCTION("""COMPUTED_VALUE"""),"")</f>
        <v/>
      </c>
      <c r="E8" s="337" t="str">
        <f>IFERROR(__xludf.DUMMYFUNCTION("""COMPUTED_VALUE"""),"")</f>
        <v/>
      </c>
      <c r="F8" s="337" t="str">
        <f>IFERROR(__xludf.DUMMYFUNCTION("""COMPUTED_VALUE"""),"")</f>
        <v/>
      </c>
      <c r="G8" s="337" t="str">
        <f>IFERROR(__xludf.DUMMYFUNCTION("""COMPUTED_VALUE"""),"")</f>
        <v/>
      </c>
      <c r="H8" s="337" t="str">
        <f>IFERROR(__xludf.DUMMYFUNCTION("""COMPUTED_VALUE"""),"")</f>
        <v/>
      </c>
      <c r="I8" s="337" t="str">
        <f>IFERROR(__xludf.DUMMYFUNCTION("""COMPUTED_VALUE"""),"")</f>
        <v/>
      </c>
      <c r="J8" s="341" t="str">
        <f>IFERROR(__xludf.DUMMYFUNCTION("""COMPUTED_VALUE"""),"")</f>
        <v/>
      </c>
      <c r="K8" s="337" t="str">
        <f>IFERROR(__xludf.DUMMYFUNCTION("""COMPUTED_VALUE"""),"")</f>
        <v/>
      </c>
      <c r="L8" s="341" t="str">
        <f>IFERROR(__xludf.DUMMYFUNCTION("""COMPUTED_VALUE"""),"")</f>
        <v/>
      </c>
      <c r="M8" s="337" t="str">
        <f>IFERROR(__xludf.DUMMYFUNCTION("""COMPUTED_VALUE"""),"")</f>
        <v/>
      </c>
      <c r="N8" s="337" t="str">
        <f>IFERROR(__xludf.DUMMYFUNCTION("""COMPUTED_VALUE"""),"")</f>
        <v/>
      </c>
      <c r="O8" s="337" t="str">
        <f>IFERROR(__xludf.DUMMYFUNCTION("""COMPUTED_VALUE"""),"")</f>
        <v/>
      </c>
      <c r="P8" s="337" t="str">
        <f>IFERROR(__xludf.DUMMYFUNCTION("""COMPUTED_VALUE"""),"")</f>
        <v/>
      </c>
      <c r="Q8" s="341" t="str">
        <f>IFERROR(__xludf.DUMMYFUNCTION("""COMPUTED_VALUE"""),"")</f>
        <v/>
      </c>
      <c r="R8" s="337" t="str">
        <f>IFERROR(__xludf.DUMMYFUNCTION("""COMPUTED_VALUE"""),"")</f>
        <v/>
      </c>
      <c r="S8" s="341" t="str">
        <f>IFERROR(__xludf.DUMMYFUNCTION("""COMPUTED_VALUE"""),"")</f>
        <v/>
      </c>
      <c r="T8" s="337" t="str">
        <f>IFERROR(__xludf.DUMMYFUNCTION("""COMPUTED_VALUE"""),"")</f>
        <v/>
      </c>
      <c r="U8" s="337" t="str">
        <f>IFERROR(__xludf.DUMMYFUNCTION("""COMPUTED_VALUE"""),"")</f>
        <v/>
      </c>
      <c r="V8" s="337" t="str">
        <f>IFERROR(__xludf.DUMMYFUNCTION("""COMPUTED_VALUE"""),"")</f>
        <v/>
      </c>
      <c r="W8" s="337" t="str">
        <f>IFERROR(__xludf.DUMMYFUNCTION("""COMPUTED_VALUE"""),"")</f>
        <v/>
      </c>
      <c r="X8" s="341" t="str">
        <f>IFERROR(__xludf.DUMMYFUNCTION("""COMPUTED_VALUE"""),"")</f>
        <v/>
      </c>
      <c r="Y8" s="337" t="str">
        <f>IFERROR(__xludf.DUMMYFUNCTION("""COMPUTED_VALUE"""),"")</f>
        <v/>
      </c>
      <c r="Z8" s="341" t="str">
        <f>IFERROR(__xludf.DUMMYFUNCTION("""COMPUTED_VALUE"""),"")</f>
        <v/>
      </c>
      <c r="AA8" s="337" t="str">
        <f>IFERROR(__xludf.DUMMYFUNCTION("""COMPUTED_VALUE"""),"")</f>
        <v/>
      </c>
      <c r="AB8" s="337" t="str">
        <f>IFERROR(__xludf.DUMMYFUNCTION("""COMPUTED_VALUE"""),"")</f>
        <v/>
      </c>
      <c r="AC8" s="337" t="str">
        <f>IFERROR(__xludf.DUMMYFUNCTION("""COMPUTED_VALUE"""),"")</f>
        <v/>
      </c>
      <c r="AD8" s="337" t="str">
        <f>IFERROR(__xludf.DUMMYFUNCTION("""COMPUTED_VALUE"""),"")</f>
        <v/>
      </c>
      <c r="AE8" s="341" t="str">
        <f>IFERROR(__xludf.DUMMYFUNCTION("""COMPUTED_VALUE"""),"")</f>
        <v/>
      </c>
      <c r="AF8" s="337" t="str">
        <f>IFERROR(__xludf.DUMMYFUNCTION("""COMPUTED_VALUE"""),"")</f>
        <v/>
      </c>
      <c r="AG8" s="341" t="str">
        <f>IFERROR(__xludf.DUMMYFUNCTION("""COMPUTED_VALUE"""),"")</f>
        <v/>
      </c>
      <c r="AH8" s="337" t="str">
        <f>IFERROR(__xludf.DUMMYFUNCTION("""COMPUTED_VALUE"""),"")</f>
        <v/>
      </c>
      <c r="AI8" s="337" t="str">
        <f>IFERROR(__xludf.DUMMYFUNCTION("""COMPUTED_VALUE"""),"")</f>
        <v/>
      </c>
      <c r="AJ8" s="342" t="str">
        <f>IFERROR(__xludf.DUMMYFUNCTION("""COMPUTED_VALUE"""),"")</f>
        <v/>
      </c>
    </row>
    <row r="9">
      <c r="A9" s="343" t="str">
        <f>IFERROR(__xludf.DUMMYFUNCTION("""COMPUTED_VALUE"""),"")</f>
        <v/>
      </c>
      <c r="B9" s="344" t="str">
        <f>IFERROR(__xludf.DUMMYFUNCTION("""COMPUTED_VALUE"""),"")</f>
        <v/>
      </c>
      <c r="C9" s="345" t="str">
        <f>IFERROR(__xludf.DUMMYFUNCTION("""COMPUTED_VALUE"""),"")</f>
        <v/>
      </c>
      <c r="D9" s="346" t="str">
        <f>IFERROR(__xludf.DUMMYFUNCTION("""COMPUTED_VALUE"""),"")</f>
        <v/>
      </c>
      <c r="E9" s="344" t="str">
        <f>IFERROR(__xludf.DUMMYFUNCTION("""COMPUTED_VALUE"""),"")</f>
        <v/>
      </c>
      <c r="F9" s="344" t="str">
        <f>IFERROR(__xludf.DUMMYFUNCTION("""COMPUTED_VALUE"""),"")</f>
        <v/>
      </c>
      <c r="G9" s="344" t="str">
        <f>IFERROR(__xludf.DUMMYFUNCTION("""COMPUTED_VALUE"""),"")</f>
        <v/>
      </c>
      <c r="H9" s="344" t="str">
        <f>IFERROR(__xludf.DUMMYFUNCTION("""COMPUTED_VALUE"""),"")</f>
        <v/>
      </c>
      <c r="I9" s="344" t="str">
        <f>IFERROR(__xludf.DUMMYFUNCTION("""COMPUTED_VALUE"""),"")</f>
        <v/>
      </c>
      <c r="J9" s="347" t="str">
        <f>IFERROR(__xludf.DUMMYFUNCTION("""COMPUTED_VALUE"""),"")</f>
        <v/>
      </c>
      <c r="K9" s="344" t="str">
        <f>IFERROR(__xludf.DUMMYFUNCTION("""COMPUTED_VALUE"""),"")</f>
        <v/>
      </c>
      <c r="L9" s="347" t="str">
        <f>IFERROR(__xludf.DUMMYFUNCTION("""COMPUTED_VALUE"""),"")</f>
        <v/>
      </c>
      <c r="M9" s="344" t="str">
        <f>IFERROR(__xludf.DUMMYFUNCTION("""COMPUTED_VALUE"""),"")</f>
        <v/>
      </c>
      <c r="N9" s="344" t="str">
        <f>IFERROR(__xludf.DUMMYFUNCTION("""COMPUTED_VALUE"""),"")</f>
        <v/>
      </c>
      <c r="O9" s="344" t="str">
        <f>IFERROR(__xludf.DUMMYFUNCTION("""COMPUTED_VALUE"""),"")</f>
        <v/>
      </c>
      <c r="P9" s="344" t="str">
        <f>IFERROR(__xludf.DUMMYFUNCTION("""COMPUTED_VALUE"""),"")</f>
        <v/>
      </c>
      <c r="Q9" s="347" t="str">
        <f>IFERROR(__xludf.DUMMYFUNCTION("""COMPUTED_VALUE"""),"")</f>
        <v/>
      </c>
      <c r="R9" s="344" t="str">
        <f>IFERROR(__xludf.DUMMYFUNCTION("""COMPUTED_VALUE"""),"")</f>
        <v/>
      </c>
      <c r="S9" s="347" t="str">
        <f>IFERROR(__xludf.DUMMYFUNCTION("""COMPUTED_VALUE"""),"")</f>
        <v/>
      </c>
      <c r="T9" s="344" t="str">
        <f>IFERROR(__xludf.DUMMYFUNCTION("""COMPUTED_VALUE"""),"")</f>
        <v/>
      </c>
      <c r="U9" s="344" t="str">
        <f>IFERROR(__xludf.DUMMYFUNCTION("""COMPUTED_VALUE"""),"")</f>
        <v/>
      </c>
      <c r="V9" s="344" t="str">
        <f>IFERROR(__xludf.DUMMYFUNCTION("""COMPUTED_VALUE"""),"")</f>
        <v/>
      </c>
      <c r="W9" s="344" t="str">
        <f>IFERROR(__xludf.DUMMYFUNCTION("""COMPUTED_VALUE"""),"")</f>
        <v/>
      </c>
      <c r="X9" s="347" t="str">
        <f>IFERROR(__xludf.DUMMYFUNCTION("""COMPUTED_VALUE"""),"")</f>
        <v/>
      </c>
      <c r="Y9" s="344" t="str">
        <f>IFERROR(__xludf.DUMMYFUNCTION("""COMPUTED_VALUE"""),"")</f>
        <v/>
      </c>
      <c r="Z9" s="347" t="str">
        <f>IFERROR(__xludf.DUMMYFUNCTION("""COMPUTED_VALUE"""),"")</f>
        <v/>
      </c>
      <c r="AA9" s="344" t="str">
        <f>IFERROR(__xludf.DUMMYFUNCTION("""COMPUTED_VALUE"""),"")</f>
        <v/>
      </c>
      <c r="AB9" s="344" t="str">
        <f>IFERROR(__xludf.DUMMYFUNCTION("""COMPUTED_VALUE"""),"")</f>
        <v/>
      </c>
      <c r="AC9" s="344" t="str">
        <f>IFERROR(__xludf.DUMMYFUNCTION("""COMPUTED_VALUE"""),"")</f>
        <v/>
      </c>
      <c r="AD9" s="344" t="str">
        <f>IFERROR(__xludf.DUMMYFUNCTION("""COMPUTED_VALUE"""),"")</f>
        <v/>
      </c>
      <c r="AE9" s="347" t="str">
        <f>IFERROR(__xludf.DUMMYFUNCTION("""COMPUTED_VALUE"""),"")</f>
        <v/>
      </c>
      <c r="AF9" s="344" t="str">
        <f>IFERROR(__xludf.DUMMYFUNCTION("""COMPUTED_VALUE"""),"")</f>
        <v/>
      </c>
      <c r="AG9" s="347" t="str">
        <f>IFERROR(__xludf.DUMMYFUNCTION("""COMPUTED_VALUE"""),"")</f>
        <v/>
      </c>
      <c r="AH9" s="344" t="str">
        <f>IFERROR(__xludf.DUMMYFUNCTION("""COMPUTED_VALUE"""),"")</f>
        <v/>
      </c>
      <c r="AI9" s="344" t="str">
        <f>IFERROR(__xludf.DUMMYFUNCTION("""COMPUTED_VALUE"""),"")</f>
        <v/>
      </c>
      <c r="AJ9" s="348" t="str">
        <f>IFERROR(__xludf.DUMMYFUNCTION("""COMPUTED_VALUE"""),"")</f>
        <v/>
      </c>
    </row>
    <row r="10" ht="16.5" customHeight="1">
      <c r="A10" s="349">
        <f>IFERROR(__xludf.DUMMYFUNCTION("""COMPUTED_VALUE"""),2.0)</f>
        <v>2</v>
      </c>
      <c r="B10" s="313" t="str">
        <f>IFERROR(__xludf.DUMMYFUNCTION("""COMPUTED_VALUE"""),"E1905B")</f>
        <v>E1905B</v>
      </c>
      <c r="C10" s="314" t="str">
        <f>IFERROR(__xludf.DUMMYFUNCTION("""COMPUTED_VALUE"""),"")</f>
        <v/>
      </c>
      <c r="D10" s="350" t="str">
        <f>IFERROR(__xludf.DUMMYFUNCTION("""COMPUTED_VALUE"""),"Golden Wings CE")</f>
        <v>Golden Wings CE</v>
      </c>
      <c r="E10" s="351" t="str">
        <f>IFERROR(__xludf.DUMMYFUNCTION("""COMPUTED_VALUE"""),"AP")</f>
        <v>AP</v>
      </c>
      <c r="F10" s="351" t="str">
        <f>IFERROR(__xludf.DUMMYFUNCTION("""COMPUTED_VALUE"""),"Runs")</f>
        <v>Runs</v>
      </c>
      <c r="G10" s="316" t="str">
        <f>IFERROR(__xludf.DUMMYFUNCTION("""COMPUTED_VALUE"""),"Status")</f>
        <v>Status</v>
      </c>
      <c r="H10" s="351" t="str">
        <f>IFERROR(__xludf.DUMMYFUNCTION("""COMPUTED_VALUE"""),"Mat")</f>
        <v>Mat</v>
      </c>
      <c r="I10" s="351" t="str">
        <f>IFERROR(__xludf.DUMMYFUNCTION("""COMPUTED_VALUE"""),"AP/Drop")</f>
        <v>AP/Drop</v>
      </c>
      <c r="J10" s="351" t="str">
        <f>IFERROR(__xludf.DUMMYFUNCTION("""COMPUTED_VALUE"""),"")</f>
        <v/>
      </c>
      <c r="K10" s="351" t="str">
        <f>IFERROR(__xludf.DUMMYFUNCTION("""COMPUTED_VALUE"""),"Droprate")</f>
        <v>Droprate</v>
      </c>
      <c r="L10" s="351" t="str">
        <f>IFERROR(__xludf.DUMMYFUNCTION("""COMPUTED_VALUE"""),"")</f>
        <v/>
      </c>
      <c r="M10" s="351" t="str">
        <f>IFERROR(__xludf.DUMMYFUNCTION("""COMPUTED_VALUE"""),"#2")</f>
        <v>#2</v>
      </c>
      <c r="N10" s="351" t="str">
        <f>IFERROR(__xludf.DUMMYFUNCTION("""COMPUTED_VALUE"""),"Item 2 ID")</f>
        <v>Item 2 ID</v>
      </c>
      <c r="O10" s="351" t="str">
        <f>IFERROR(__xludf.DUMMYFUNCTION("""COMPUTED_VALUE"""),"Mat")</f>
        <v>Mat</v>
      </c>
      <c r="P10" s="351" t="str">
        <f>IFERROR(__xludf.DUMMYFUNCTION("""COMPUTED_VALUE"""),"AP/Drop")</f>
        <v>AP/Drop</v>
      </c>
      <c r="Q10" s="351" t="str">
        <f>IFERROR(__xludf.DUMMYFUNCTION("""COMPUTED_VALUE"""),"")</f>
        <v/>
      </c>
      <c r="R10" s="351" t="str">
        <f>IFERROR(__xludf.DUMMYFUNCTION("""COMPUTED_VALUE"""),"Droprate")</f>
        <v>Droprate</v>
      </c>
      <c r="S10" s="351" t="str">
        <f>IFERROR(__xludf.DUMMYFUNCTION("""COMPUTED_VALUE"""),"")</f>
        <v/>
      </c>
      <c r="T10" s="351" t="str">
        <f>IFERROR(__xludf.DUMMYFUNCTION("""COMPUTED_VALUE"""),"#3")</f>
        <v>#3</v>
      </c>
      <c r="U10" s="351" t="str">
        <f>IFERROR(__xludf.DUMMYFUNCTION("""COMPUTED_VALUE"""),"Item 2 ID")</f>
        <v>Item 2 ID</v>
      </c>
      <c r="V10" s="351" t="str">
        <f>IFERROR(__xludf.DUMMYFUNCTION("""COMPUTED_VALUE"""),"Mat")</f>
        <v>Mat</v>
      </c>
      <c r="W10" s="351" t="str">
        <f>IFERROR(__xludf.DUMMYFUNCTION("""COMPUTED_VALUE"""),"AP/Drop")</f>
        <v>AP/Drop</v>
      </c>
      <c r="X10" s="351" t="str">
        <f>IFERROR(__xludf.DUMMYFUNCTION("""COMPUTED_VALUE"""),"")</f>
        <v/>
      </c>
      <c r="Y10" s="351" t="str">
        <f>IFERROR(__xludf.DUMMYFUNCTION("""COMPUTED_VALUE"""),"Droprate")</f>
        <v>Droprate</v>
      </c>
      <c r="Z10" s="351" t="str">
        <f>IFERROR(__xludf.DUMMYFUNCTION("""COMPUTED_VALUE"""),"")</f>
        <v/>
      </c>
      <c r="AA10" s="351" t="str">
        <f>IFERROR(__xludf.DUMMYFUNCTION("""COMPUTED_VALUE"""),"#4")</f>
        <v>#4</v>
      </c>
      <c r="AB10" s="351" t="str">
        <f>IFERROR(__xludf.DUMMYFUNCTION("""COMPUTED_VALUE"""),"Item 3 ID")</f>
        <v>Item 3 ID</v>
      </c>
      <c r="AC10" s="351" t="str">
        <f>IFERROR(__xludf.DUMMYFUNCTION("""COMPUTED_VALUE"""),"Mat")</f>
        <v>Mat</v>
      </c>
      <c r="AD10" s="351" t="str">
        <f>IFERROR(__xludf.DUMMYFUNCTION("""COMPUTED_VALUE"""),"AP/Drop")</f>
        <v>AP/Drop</v>
      </c>
      <c r="AE10" s="351" t="str">
        <f>IFERROR(__xludf.DUMMYFUNCTION("""COMPUTED_VALUE"""),"")</f>
        <v/>
      </c>
      <c r="AF10" s="351" t="str">
        <f>IFERROR(__xludf.DUMMYFUNCTION("""COMPUTED_VALUE"""),"Droprate")</f>
        <v>Droprate</v>
      </c>
      <c r="AG10" s="351" t="str">
        <f>IFERROR(__xludf.DUMMYFUNCTION("""COMPUTED_VALUE"""),"")</f>
        <v/>
      </c>
      <c r="AH10" s="351" t="str">
        <f>IFERROR(__xludf.DUMMYFUNCTION("""COMPUTED_VALUE"""),"AP")</f>
        <v>AP</v>
      </c>
      <c r="AI10" s="351" t="str">
        <f>IFERROR(__xludf.DUMMYFUNCTION("""COMPUTED_VALUE"""),"Runs")</f>
        <v>Runs</v>
      </c>
      <c r="AJ10" s="351" t="str">
        <f>IFERROR(__xludf.DUMMYFUNCTION("""COMPUTED_VALUE"""),"Node Name")</f>
        <v>Node Name</v>
      </c>
    </row>
    <row r="11" ht="16.5" customHeight="1">
      <c r="D11" s="317" t="str">
        <f>IFERROR(__xludf.DUMMYFUNCTION("""COMPUTED_VALUE"""),"Downtime- N/A")</f>
        <v>Downtime- N/A</v>
      </c>
      <c r="E11" s="318"/>
      <c r="F11" s="318"/>
      <c r="G11" s="318"/>
      <c r="H11" s="318"/>
      <c r="I11" s="318"/>
      <c r="J11" s="318"/>
      <c r="K11" s="318"/>
      <c r="L11" s="318"/>
      <c r="M11" s="318"/>
      <c r="N11" s="318"/>
      <c r="O11" s="318"/>
      <c r="P11" s="318"/>
      <c r="Q11" s="318"/>
      <c r="R11" s="318"/>
      <c r="S11" s="318"/>
      <c r="T11" s="318"/>
      <c r="U11" s="318"/>
      <c r="V11" s="318"/>
      <c r="W11" s="318"/>
      <c r="X11" s="318"/>
      <c r="Y11" s="318"/>
      <c r="Z11" s="318"/>
      <c r="AA11" s="318"/>
      <c r="AB11" s="318"/>
      <c r="AC11" s="318"/>
      <c r="AD11" s="318"/>
      <c r="AE11" s="318"/>
      <c r="AF11" s="318"/>
      <c r="AG11" s="318"/>
      <c r="AH11" s="318"/>
      <c r="AI11" s="318"/>
      <c r="AJ11" s="318"/>
    </row>
    <row r="12" ht="24.75" customHeight="1">
      <c r="A12" s="319">
        <f>IFERROR(__xludf.DUMMYFUNCTION("""COMPUTED_VALUE"""),1.0)</f>
        <v>1</v>
      </c>
      <c r="B12" s="319" t="str">
        <f>IFERROR(__xludf.DUMMYFUNCTION("""COMPUTED_VALUE"""),"E1905B")</f>
        <v>E1905B</v>
      </c>
      <c r="C12" s="319">
        <f>IFERROR(__xludf.DUMMYFUNCTION("""COMPUTED_VALUE"""),27.0)</f>
        <v>27</v>
      </c>
      <c r="D12" s="320" t="str">
        <f>IFERROR(__xludf.DUMMYFUNCTION("""COMPUTED_VALUE"""),"Right Shachi")</f>
        <v>Right Shachi</v>
      </c>
      <c r="E12" s="321">
        <f>IFERROR(__xludf.DUMMYFUNCTION("""COMPUTED_VALUE"""),40.0)</f>
        <v>40</v>
      </c>
      <c r="F12" s="322">
        <f>IFERROR(__xludf.DUMMYFUNCTION("""COMPUTED_VALUE"""),64.0)</f>
        <v>64</v>
      </c>
      <c r="G12" s="322" t="str">
        <f>IFERROR(__xludf.DUMMYFUNCTION("""COMPUTED_VALUE"""),"Open")</f>
        <v>Open</v>
      </c>
      <c r="H12" s="323" t="str">
        <f>IFERROR(__xludf.DUMMYFUNCTION("""COMPUTED_VALUE"""),"")</f>
        <v/>
      </c>
      <c r="I12" s="324">
        <f>IFERROR(__xludf.DUMMYFUNCTION("""COMPUTED_VALUE"""),1280.0)</f>
        <v>1280</v>
      </c>
      <c r="J12" s="325" t="str">
        <f>IFERROR(__xludf.DUMMYFUNCTION("""COMPUTED_VALUE"""),"AP")</f>
        <v>AP</v>
      </c>
      <c r="K12" s="324">
        <f>IFERROR(__xludf.DUMMYFUNCTION("""COMPUTED_VALUE"""),3.125)</f>
        <v>3.125</v>
      </c>
      <c r="L12" s="325" t="str">
        <f>IFERROR(__xludf.DUMMYFUNCTION("""COMPUTED_VALUE"""),"%")</f>
        <v>%</v>
      </c>
      <c r="M12" s="326">
        <f>IFERROR(__xludf.DUMMYFUNCTION("""COMPUTED_VALUE"""),1.0)</f>
        <v>1</v>
      </c>
      <c r="N12" s="324" t="str">
        <f>IFERROR(__xludf.DUMMYFUNCTION("""COMPUTED_VALUE"""),"A103")</f>
        <v>A103</v>
      </c>
      <c r="O12" s="327" t="str">
        <f>IFERROR(__xludf.DUMMYFUNCTION("""COMPUTED_VALUE"""),"")</f>
        <v/>
      </c>
      <c r="P12" s="324">
        <f>IFERROR(__xludf.DUMMYFUNCTION("""COMPUTED_VALUE"""),365.7142857142857)</f>
        <v>365.7142857</v>
      </c>
      <c r="Q12" s="325" t="str">
        <f>IFERROR(__xludf.DUMMYFUNCTION("""COMPUTED_VALUE"""),"AP")</f>
        <v>AP</v>
      </c>
      <c r="R12" s="324">
        <f>IFERROR(__xludf.DUMMYFUNCTION("""COMPUTED_VALUE"""),10.9375)</f>
        <v>10.9375</v>
      </c>
      <c r="S12" s="325" t="str">
        <f>IFERROR(__xludf.DUMMYFUNCTION("""COMPUTED_VALUE"""),"%")</f>
        <v>%</v>
      </c>
      <c r="T12" s="326">
        <f>IFERROR(__xludf.DUMMYFUNCTION("""COMPUTED_VALUE"""),2.0)</f>
        <v>2</v>
      </c>
      <c r="U12" s="324" t="str">
        <f>IFERROR(__xludf.DUMMYFUNCTION("""COMPUTED_VALUE"""),"A304")</f>
        <v>A304</v>
      </c>
      <c r="V12" s="327" t="str">
        <f>IFERROR(__xludf.DUMMYFUNCTION("""COMPUTED_VALUE"""),"")</f>
        <v/>
      </c>
      <c r="W12" s="324">
        <f>IFERROR(__xludf.DUMMYFUNCTION("""COMPUTED_VALUE"""),59.53488372093023)</f>
        <v>59.53488372</v>
      </c>
      <c r="X12" s="325" t="str">
        <f>IFERROR(__xludf.DUMMYFUNCTION("""COMPUTED_VALUE"""),"AP")</f>
        <v>AP</v>
      </c>
      <c r="Y12" s="324">
        <f>IFERROR(__xludf.DUMMYFUNCTION("""COMPUTED_VALUE"""),67.1875)</f>
        <v>67.1875</v>
      </c>
      <c r="Z12" s="325" t="str">
        <f>IFERROR(__xludf.DUMMYFUNCTION("""COMPUTED_VALUE"""),"%")</f>
        <v>%</v>
      </c>
      <c r="AA12" s="326">
        <f>IFERROR(__xludf.DUMMYFUNCTION("""COMPUTED_VALUE"""),3.0)</f>
        <v>3</v>
      </c>
      <c r="AB12" s="324" t="str">
        <f>IFERROR(__xludf.DUMMYFUNCTION("""COMPUTED_VALUE"""),"B104")</f>
        <v>B104</v>
      </c>
      <c r="AC12" s="327" t="str">
        <f>IFERROR(__xludf.DUMMYFUNCTION("""COMPUTED_VALUE"""),"")</f>
        <v/>
      </c>
      <c r="AD12" s="324">
        <f>IFERROR(__xludf.DUMMYFUNCTION("""COMPUTED_VALUE"""),320.0)</f>
        <v>320</v>
      </c>
      <c r="AE12" s="325" t="str">
        <f>IFERROR(__xludf.DUMMYFUNCTION("""COMPUTED_VALUE"""),"AP")</f>
        <v>AP</v>
      </c>
      <c r="AF12" s="324">
        <f>IFERROR(__xludf.DUMMYFUNCTION("""COMPUTED_VALUE"""),12.5)</f>
        <v>12.5</v>
      </c>
      <c r="AG12" s="325" t="str">
        <f>IFERROR(__xludf.DUMMYFUNCTION("""COMPUTED_VALUE"""),"%")</f>
        <v>%</v>
      </c>
      <c r="AH12" s="321">
        <f>IFERROR(__xludf.DUMMYFUNCTION("""COMPUTED_VALUE"""),40.0)</f>
        <v>40</v>
      </c>
      <c r="AI12" s="322">
        <f>IFERROR(__xludf.DUMMYFUNCTION("""COMPUTED_VALUE"""),64.0)</f>
        <v>64</v>
      </c>
      <c r="AJ12" s="320" t="str">
        <f>IFERROR(__xludf.DUMMYFUNCTION("""COMPUTED_VALUE"""),"Right Shachi")</f>
        <v>Right Shachi</v>
      </c>
    </row>
    <row r="13" ht="24.75" customHeight="1">
      <c r="A13" s="328">
        <f>IFERROR(__xludf.DUMMYFUNCTION("""COMPUTED_VALUE"""),2.0)</f>
        <v>2</v>
      </c>
      <c r="B13" s="328" t="str">
        <f>IFERROR(__xludf.DUMMYFUNCTION("""COMPUTED_VALUE"""),"E1905B")</f>
        <v>E1905B</v>
      </c>
      <c r="C13" s="328">
        <f>IFERROR(__xludf.DUMMYFUNCTION("""COMPUTED_VALUE"""),9.0)</f>
        <v>9</v>
      </c>
      <c r="D13" s="329" t="str">
        <f>IFERROR(__xludf.DUMMYFUNCTION("""COMPUTED_VALUE"""),"Burial Chamber")</f>
        <v>Burial Chamber</v>
      </c>
      <c r="E13" s="330">
        <f>IFERROR(__xludf.DUMMYFUNCTION("""COMPUTED_VALUE"""),40.0)</f>
        <v>40</v>
      </c>
      <c r="F13" s="331">
        <f>IFERROR(__xludf.DUMMYFUNCTION("""COMPUTED_VALUE"""),108.0)</f>
        <v>108</v>
      </c>
      <c r="G13" s="331" t="str">
        <f>IFERROR(__xludf.DUMMYFUNCTION("""COMPUTED_VALUE"""),"Open")</f>
        <v>Open</v>
      </c>
      <c r="H13" s="323" t="str">
        <f>IFERROR(__xludf.DUMMYFUNCTION("""COMPUTED_VALUE"""),"")</f>
        <v/>
      </c>
      <c r="I13" s="332">
        <f>IFERROR(__xludf.DUMMYFUNCTION("""COMPUTED_VALUE"""),4320.0)</f>
        <v>4320</v>
      </c>
      <c r="J13" s="333" t="str">
        <f>IFERROR(__xludf.DUMMYFUNCTION("""COMPUTED_VALUE"""),"AP")</f>
        <v>AP</v>
      </c>
      <c r="K13" s="332">
        <f>IFERROR(__xludf.DUMMYFUNCTION("""COMPUTED_VALUE"""),0.9259259259259258)</f>
        <v>0.9259259259</v>
      </c>
      <c r="L13" s="334" t="str">
        <f>IFERROR(__xludf.DUMMYFUNCTION("""COMPUTED_VALUE"""),"%")</f>
        <v>%</v>
      </c>
      <c r="M13" s="335">
        <f>IFERROR(__xludf.DUMMYFUNCTION("""COMPUTED_VALUE"""),1.0)</f>
        <v>1</v>
      </c>
      <c r="N13" s="332" t="str">
        <f>IFERROR(__xludf.DUMMYFUNCTION("""COMPUTED_VALUE"""),"A110")</f>
        <v>A110</v>
      </c>
      <c r="O13" s="327" t="str">
        <f>IFERROR(__xludf.DUMMYFUNCTION("""COMPUTED_VALUE"""),"")</f>
        <v/>
      </c>
      <c r="P13" s="332">
        <f>IFERROR(__xludf.DUMMYFUNCTION("""COMPUTED_VALUE"""),196.36363636363637)</f>
        <v>196.3636364</v>
      </c>
      <c r="Q13" s="333" t="str">
        <f>IFERROR(__xludf.DUMMYFUNCTION("""COMPUTED_VALUE"""),"AP")</f>
        <v>AP</v>
      </c>
      <c r="R13" s="332">
        <f>IFERROR(__xludf.DUMMYFUNCTION("""COMPUTED_VALUE"""),20.37037037037037)</f>
        <v>20.37037037</v>
      </c>
      <c r="S13" s="334" t="str">
        <f>IFERROR(__xludf.DUMMYFUNCTION("""COMPUTED_VALUE"""),"%")</f>
        <v>%</v>
      </c>
      <c r="T13" s="335">
        <f>IFERROR(__xludf.DUMMYFUNCTION("""COMPUTED_VALUE"""),2.0)</f>
        <v>2</v>
      </c>
      <c r="U13" s="332" t="str">
        <f>IFERROR(__xludf.DUMMYFUNCTION("""COMPUTED_VALUE"""),"A303")</f>
        <v>A303</v>
      </c>
      <c r="V13" s="327" t="str">
        <f>IFERROR(__xludf.DUMMYFUNCTION("""COMPUTED_VALUE"""),"")</f>
        <v/>
      </c>
      <c r="W13" s="332">
        <f>IFERROR(__xludf.DUMMYFUNCTION("""COMPUTED_VALUE"""),46.4516129032258)</f>
        <v>46.4516129</v>
      </c>
      <c r="X13" s="333" t="str">
        <f>IFERROR(__xludf.DUMMYFUNCTION("""COMPUTED_VALUE"""),"AP")</f>
        <v>AP</v>
      </c>
      <c r="Y13" s="332">
        <f>IFERROR(__xludf.DUMMYFUNCTION("""COMPUTED_VALUE"""),86.11111111111111)</f>
        <v>86.11111111</v>
      </c>
      <c r="Z13" s="334" t="str">
        <f>IFERROR(__xludf.DUMMYFUNCTION("""COMPUTED_VALUE"""),"%")</f>
        <v>%</v>
      </c>
      <c r="AA13" s="335">
        <f>IFERROR(__xludf.DUMMYFUNCTION("""COMPUTED_VALUE"""),3.0)</f>
        <v>3</v>
      </c>
      <c r="AB13" s="332" t="str">
        <f>IFERROR(__xludf.DUMMYFUNCTION("""COMPUTED_VALUE"""),"B104")</f>
        <v>B104</v>
      </c>
      <c r="AC13" s="327" t="str">
        <f>IFERROR(__xludf.DUMMYFUNCTION("""COMPUTED_VALUE"""),"")</f>
        <v/>
      </c>
      <c r="AD13" s="332">
        <f>IFERROR(__xludf.DUMMYFUNCTION("""COMPUTED_VALUE"""),254.1176470588235)</f>
        <v>254.1176471</v>
      </c>
      <c r="AE13" s="333" t="str">
        <f>IFERROR(__xludf.DUMMYFUNCTION("""COMPUTED_VALUE"""),"AP")</f>
        <v>AP</v>
      </c>
      <c r="AF13" s="332">
        <f>IFERROR(__xludf.DUMMYFUNCTION("""COMPUTED_VALUE"""),15.74074074074074)</f>
        <v>15.74074074</v>
      </c>
      <c r="AG13" s="334" t="str">
        <f>IFERROR(__xludf.DUMMYFUNCTION("""COMPUTED_VALUE"""),"%")</f>
        <v>%</v>
      </c>
      <c r="AH13" s="330">
        <f>IFERROR(__xludf.DUMMYFUNCTION("""COMPUTED_VALUE"""),40.0)</f>
        <v>40</v>
      </c>
      <c r="AI13" s="331">
        <f>IFERROR(__xludf.DUMMYFUNCTION("""COMPUTED_VALUE"""),108.0)</f>
        <v>108</v>
      </c>
      <c r="AJ13" s="329" t="str">
        <f>IFERROR(__xludf.DUMMYFUNCTION("""COMPUTED_VALUE"""),"Burial Chamber")</f>
        <v>Burial Chamber</v>
      </c>
    </row>
    <row r="14" ht="24.75" customHeight="1">
      <c r="A14" s="319">
        <f>IFERROR(__xludf.DUMMYFUNCTION("""COMPUTED_VALUE"""),3.0)</f>
        <v>3</v>
      </c>
      <c r="B14" s="319" t="str">
        <f>IFERROR(__xludf.DUMMYFUNCTION("""COMPUTED_VALUE"""),"E1905B")</f>
        <v>E1905B</v>
      </c>
      <c r="C14" s="319" t="str">
        <f>IFERROR(__xludf.DUMMYFUNCTION("""COMPUTED_VALUE"""),"")</f>
        <v/>
      </c>
      <c r="D14" s="320" t="str">
        <f>IFERROR(__xludf.DUMMYFUNCTION("""COMPUTED_VALUE"""),"")</f>
        <v/>
      </c>
      <c r="E14" s="321" t="str">
        <f>IFERROR(__xludf.DUMMYFUNCTION("""COMPUTED_VALUE"""),"")</f>
        <v/>
      </c>
      <c r="F14" s="322" t="str">
        <f>IFERROR(__xludf.DUMMYFUNCTION("""COMPUTED_VALUE"""),"")</f>
        <v/>
      </c>
      <c r="G14" s="322" t="str">
        <f>IFERROR(__xludf.DUMMYFUNCTION("""COMPUTED_VALUE"""),"")</f>
        <v/>
      </c>
      <c r="H14" s="323" t="str">
        <f>IFERROR(__xludf.DUMMYFUNCTION("""COMPUTED_VALUE""")," ")</f>
        <v> </v>
      </c>
      <c r="I14" s="324" t="str">
        <f>IFERROR(__xludf.DUMMYFUNCTION("""COMPUTED_VALUE"""),"")</f>
        <v/>
      </c>
      <c r="J14" s="325" t="str">
        <f>IFERROR(__xludf.DUMMYFUNCTION("""COMPUTED_VALUE"""),"AP")</f>
        <v>AP</v>
      </c>
      <c r="K14" s="324">
        <f>IFERROR(__xludf.DUMMYFUNCTION("""COMPUTED_VALUE"""),0.0)</f>
        <v>0</v>
      </c>
      <c r="L14" s="325" t="str">
        <f>IFERROR(__xludf.DUMMYFUNCTION("""COMPUTED_VALUE"""),"%")</f>
        <v>%</v>
      </c>
      <c r="M14" s="326">
        <f>IFERROR(__xludf.DUMMYFUNCTION("""COMPUTED_VALUE"""),1.0)</f>
        <v>1</v>
      </c>
      <c r="N14" s="324" t="str">
        <f>IFERROR(__xludf.DUMMYFUNCTION("""COMPUTED_VALUE"""),"")</f>
        <v/>
      </c>
      <c r="O14" s="327" t="str">
        <f>IFERROR(__xludf.DUMMYFUNCTION("""COMPUTED_VALUE"""),"")</f>
        <v/>
      </c>
      <c r="P14" s="324" t="str">
        <f>IFERROR(__xludf.DUMMYFUNCTION("""COMPUTED_VALUE"""),"")</f>
        <v/>
      </c>
      <c r="Q14" s="325" t="str">
        <f>IFERROR(__xludf.DUMMYFUNCTION("""COMPUTED_VALUE"""),"AP")</f>
        <v>AP</v>
      </c>
      <c r="R14" s="324">
        <f>IFERROR(__xludf.DUMMYFUNCTION("""COMPUTED_VALUE"""),0.0)</f>
        <v>0</v>
      </c>
      <c r="S14" s="325" t="str">
        <f>IFERROR(__xludf.DUMMYFUNCTION("""COMPUTED_VALUE"""),"%")</f>
        <v>%</v>
      </c>
      <c r="T14" s="326">
        <f>IFERROR(__xludf.DUMMYFUNCTION("""COMPUTED_VALUE"""),2.0)</f>
        <v>2</v>
      </c>
      <c r="U14" s="324" t="str">
        <f>IFERROR(__xludf.DUMMYFUNCTION("""COMPUTED_VALUE"""),"")</f>
        <v/>
      </c>
      <c r="V14" s="327" t="str">
        <f>IFERROR(__xludf.DUMMYFUNCTION("""COMPUTED_VALUE"""),"")</f>
        <v/>
      </c>
      <c r="W14" s="324" t="str">
        <f>IFERROR(__xludf.DUMMYFUNCTION("""COMPUTED_VALUE"""),"")</f>
        <v/>
      </c>
      <c r="X14" s="325" t="str">
        <f>IFERROR(__xludf.DUMMYFUNCTION("""COMPUTED_VALUE"""),"AP")</f>
        <v>AP</v>
      </c>
      <c r="Y14" s="324">
        <f>IFERROR(__xludf.DUMMYFUNCTION("""COMPUTED_VALUE"""),0.0)</f>
        <v>0</v>
      </c>
      <c r="Z14" s="325" t="str">
        <f>IFERROR(__xludf.DUMMYFUNCTION("""COMPUTED_VALUE"""),"%")</f>
        <v>%</v>
      </c>
      <c r="AA14" s="326">
        <f>IFERROR(__xludf.DUMMYFUNCTION("""COMPUTED_VALUE"""),3.0)</f>
        <v>3</v>
      </c>
      <c r="AB14" s="324" t="str">
        <f>IFERROR(__xludf.DUMMYFUNCTION("""COMPUTED_VALUE"""),"")</f>
        <v/>
      </c>
      <c r="AC14" s="327" t="str">
        <f>IFERROR(__xludf.DUMMYFUNCTION("""COMPUTED_VALUE"""),"")</f>
        <v/>
      </c>
      <c r="AD14" s="324" t="str">
        <f>IFERROR(__xludf.DUMMYFUNCTION("""COMPUTED_VALUE"""),"")</f>
        <v/>
      </c>
      <c r="AE14" s="325" t="str">
        <f>IFERROR(__xludf.DUMMYFUNCTION("""COMPUTED_VALUE"""),"AP")</f>
        <v>AP</v>
      </c>
      <c r="AF14" s="324">
        <f>IFERROR(__xludf.DUMMYFUNCTION("""COMPUTED_VALUE"""),0.0)</f>
        <v>0</v>
      </c>
      <c r="AG14" s="325" t="str">
        <f>IFERROR(__xludf.DUMMYFUNCTION("""COMPUTED_VALUE"""),"%")</f>
        <v>%</v>
      </c>
      <c r="AH14" s="321" t="str">
        <f>IFERROR(__xludf.DUMMYFUNCTION("""COMPUTED_VALUE"""),"")</f>
        <v/>
      </c>
      <c r="AI14" s="322" t="str">
        <f>IFERROR(__xludf.DUMMYFUNCTION("""COMPUTED_VALUE"""),"")</f>
        <v/>
      </c>
      <c r="AJ14" s="320" t="str">
        <f>IFERROR(__xludf.DUMMYFUNCTION("""COMPUTED_VALUE"""),"")</f>
        <v/>
      </c>
    </row>
    <row r="15" ht="24.75" customHeight="1">
      <c r="A15" s="328">
        <f>IFERROR(__xludf.DUMMYFUNCTION("""COMPUTED_VALUE"""),4.0)</f>
        <v>4</v>
      </c>
      <c r="B15" s="328" t="str">
        <f>IFERROR(__xludf.DUMMYFUNCTION("""COMPUTED_VALUE"""),"E1905B")</f>
        <v>E1905B</v>
      </c>
      <c r="C15" s="328" t="str">
        <f>IFERROR(__xludf.DUMMYFUNCTION("""COMPUTED_VALUE"""),"")</f>
        <v/>
      </c>
      <c r="D15" s="329" t="str">
        <f>IFERROR(__xludf.DUMMYFUNCTION("""COMPUTED_VALUE"""),"")</f>
        <v/>
      </c>
      <c r="E15" s="330" t="str">
        <f>IFERROR(__xludf.DUMMYFUNCTION("""COMPUTED_VALUE"""),"")</f>
        <v/>
      </c>
      <c r="F15" s="331" t="str">
        <f>IFERROR(__xludf.DUMMYFUNCTION("""COMPUTED_VALUE"""),"")</f>
        <v/>
      </c>
      <c r="G15" s="331" t="str">
        <f>IFERROR(__xludf.DUMMYFUNCTION("""COMPUTED_VALUE"""),"")</f>
        <v/>
      </c>
      <c r="H15" s="323" t="str">
        <f>IFERROR(__xludf.DUMMYFUNCTION("""COMPUTED_VALUE""")," ")</f>
        <v> </v>
      </c>
      <c r="I15" s="332" t="str">
        <f>IFERROR(__xludf.DUMMYFUNCTION("""COMPUTED_VALUE"""),"")</f>
        <v/>
      </c>
      <c r="J15" s="333" t="str">
        <f>IFERROR(__xludf.DUMMYFUNCTION("""COMPUTED_VALUE"""),"AP")</f>
        <v>AP</v>
      </c>
      <c r="K15" s="332">
        <f>IFERROR(__xludf.DUMMYFUNCTION("""COMPUTED_VALUE"""),0.0)</f>
        <v>0</v>
      </c>
      <c r="L15" s="334" t="str">
        <f>IFERROR(__xludf.DUMMYFUNCTION("""COMPUTED_VALUE"""),"%")</f>
        <v>%</v>
      </c>
      <c r="M15" s="335">
        <f>IFERROR(__xludf.DUMMYFUNCTION("""COMPUTED_VALUE"""),1.0)</f>
        <v>1</v>
      </c>
      <c r="N15" s="332" t="str">
        <f>IFERROR(__xludf.DUMMYFUNCTION("""COMPUTED_VALUE"""),"")</f>
        <v/>
      </c>
      <c r="O15" s="327" t="str">
        <f>IFERROR(__xludf.DUMMYFUNCTION("""COMPUTED_VALUE"""),"")</f>
        <v/>
      </c>
      <c r="P15" s="332" t="str">
        <f>IFERROR(__xludf.DUMMYFUNCTION("""COMPUTED_VALUE"""),"")</f>
        <v/>
      </c>
      <c r="Q15" s="333" t="str">
        <f>IFERROR(__xludf.DUMMYFUNCTION("""COMPUTED_VALUE"""),"AP")</f>
        <v>AP</v>
      </c>
      <c r="R15" s="332">
        <f>IFERROR(__xludf.DUMMYFUNCTION("""COMPUTED_VALUE"""),0.0)</f>
        <v>0</v>
      </c>
      <c r="S15" s="334" t="str">
        <f>IFERROR(__xludf.DUMMYFUNCTION("""COMPUTED_VALUE"""),"%")</f>
        <v>%</v>
      </c>
      <c r="T15" s="335">
        <f>IFERROR(__xludf.DUMMYFUNCTION("""COMPUTED_VALUE"""),2.0)</f>
        <v>2</v>
      </c>
      <c r="U15" s="332" t="str">
        <f>IFERROR(__xludf.DUMMYFUNCTION("""COMPUTED_VALUE"""),"")</f>
        <v/>
      </c>
      <c r="V15" s="327" t="str">
        <f>IFERROR(__xludf.DUMMYFUNCTION("""COMPUTED_VALUE"""),"")</f>
        <v/>
      </c>
      <c r="W15" s="332" t="str">
        <f>IFERROR(__xludf.DUMMYFUNCTION("""COMPUTED_VALUE"""),"")</f>
        <v/>
      </c>
      <c r="X15" s="333" t="str">
        <f>IFERROR(__xludf.DUMMYFUNCTION("""COMPUTED_VALUE"""),"AP")</f>
        <v>AP</v>
      </c>
      <c r="Y15" s="332">
        <f>IFERROR(__xludf.DUMMYFUNCTION("""COMPUTED_VALUE"""),0.0)</f>
        <v>0</v>
      </c>
      <c r="Z15" s="334" t="str">
        <f>IFERROR(__xludf.DUMMYFUNCTION("""COMPUTED_VALUE"""),"%")</f>
        <v>%</v>
      </c>
      <c r="AA15" s="335">
        <f>IFERROR(__xludf.DUMMYFUNCTION("""COMPUTED_VALUE"""),3.0)</f>
        <v>3</v>
      </c>
      <c r="AB15" s="332" t="str">
        <f>IFERROR(__xludf.DUMMYFUNCTION("""COMPUTED_VALUE"""),"")</f>
        <v/>
      </c>
      <c r="AC15" s="327" t="str">
        <f>IFERROR(__xludf.DUMMYFUNCTION("""COMPUTED_VALUE"""),"")</f>
        <v/>
      </c>
      <c r="AD15" s="332" t="str">
        <f>IFERROR(__xludf.DUMMYFUNCTION("""COMPUTED_VALUE"""),"")</f>
        <v/>
      </c>
      <c r="AE15" s="333" t="str">
        <f>IFERROR(__xludf.DUMMYFUNCTION("""COMPUTED_VALUE"""),"AP")</f>
        <v>AP</v>
      </c>
      <c r="AF15" s="332">
        <f>IFERROR(__xludf.DUMMYFUNCTION("""COMPUTED_VALUE"""),0.0)</f>
        <v>0</v>
      </c>
      <c r="AG15" s="334" t="str">
        <f>IFERROR(__xludf.DUMMYFUNCTION("""COMPUTED_VALUE"""),"%")</f>
        <v>%</v>
      </c>
      <c r="AH15" s="330" t="str">
        <f>IFERROR(__xludf.DUMMYFUNCTION("""COMPUTED_VALUE"""),"")</f>
        <v/>
      </c>
      <c r="AI15" s="331" t="str">
        <f>IFERROR(__xludf.DUMMYFUNCTION("""COMPUTED_VALUE"""),"")</f>
        <v/>
      </c>
      <c r="AJ15" s="329" t="str">
        <f>IFERROR(__xludf.DUMMYFUNCTION("""COMPUTED_VALUE"""),"")</f>
        <v/>
      </c>
    </row>
    <row r="16" ht="24.75" customHeight="1">
      <c r="A16" s="319">
        <f>IFERROR(__xludf.DUMMYFUNCTION("""COMPUTED_VALUE"""),5.0)</f>
        <v>5</v>
      </c>
      <c r="B16" s="319" t="str">
        <f>IFERROR(__xludf.DUMMYFUNCTION("""COMPUTED_VALUE"""),"E1905B")</f>
        <v>E1905B</v>
      </c>
      <c r="C16" s="319" t="str">
        <f>IFERROR(__xludf.DUMMYFUNCTION("""COMPUTED_VALUE"""),"")</f>
        <v/>
      </c>
      <c r="D16" s="320" t="str">
        <f>IFERROR(__xludf.DUMMYFUNCTION("""COMPUTED_VALUE"""),"")</f>
        <v/>
      </c>
      <c r="E16" s="321" t="str">
        <f>IFERROR(__xludf.DUMMYFUNCTION("""COMPUTED_VALUE"""),"")</f>
        <v/>
      </c>
      <c r="F16" s="322" t="str">
        <f>IFERROR(__xludf.DUMMYFUNCTION("""COMPUTED_VALUE"""),"")</f>
        <v/>
      </c>
      <c r="G16" s="322" t="str">
        <f>IFERROR(__xludf.DUMMYFUNCTION("""COMPUTED_VALUE"""),"")</f>
        <v/>
      </c>
      <c r="H16" s="323" t="str">
        <f>IFERROR(__xludf.DUMMYFUNCTION("""COMPUTED_VALUE""")," ")</f>
        <v> </v>
      </c>
      <c r="I16" s="324" t="str">
        <f>IFERROR(__xludf.DUMMYFUNCTION("""COMPUTED_VALUE"""),"")</f>
        <v/>
      </c>
      <c r="J16" s="325" t="str">
        <f>IFERROR(__xludf.DUMMYFUNCTION("""COMPUTED_VALUE"""),"AP")</f>
        <v>AP</v>
      </c>
      <c r="K16" s="324">
        <f>IFERROR(__xludf.DUMMYFUNCTION("""COMPUTED_VALUE"""),0.0)</f>
        <v>0</v>
      </c>
      <c r="L16" s="325" t="str">
        <f>IFERROR(__xludf.DUMMYFUNCTION("""COMPUTED_VALUE"""),"%")</f>
        <v>%</v>
      </c>
      <c r="M16" s="326">
        <f>IFERROR(__xludf.DUMMYFUNCTION("""COMPUTED_VALUE"""),1.0)</f>
        <v>1</v>
      </c>
      <c r="N16" s="324" t="str">
        <f>IFERROR(__xludf.DUMMYFUNCTION("""COMPUTED_VALUE"""),"")</f>
        <v/>
      </c>
      <c r="O16" s="327" t="str">
        <f>IFERROR(__xludf.DUMMYFUNCTION("""COMPUTED_VALUE"""),"")</f>
        <v/>
      </c>
      <c r="P16" s="324" t="str">
        <f>IFERROR(__xludf.DUMMYFUNCTION("""COMPUTED_VALUE"""),"")</f>
        <v/>
      </c>
      <c r="Q16" s="325" t="str">
        <f>IFERROR(__xludf.DUMMYFUNCTION("""COMPUTED_VALUE"""),"AP")</f>
        <v>AP</v>
      </c>
      <c r="R16" s="324">
        <f>IFERROR(__xludf.DUMMYFUNCTION("""COMPUTED_VALUE"""),0.0)</f>
        <v>0</v>
      </c>
      <c r="S16" s="325" t="str">
        <f>IFERROR(__xludf.DUMMYFUNCTION("""COMPUTED_VALUE"""),"%")</f>
        <v>%</v>
      </c>
      <c r="T16" s="326">
        <f>IFERROR(__xludf.DUMMYFUNCTION("""COMPUTED_VALUE"""),2.0)</f>
        <v>2</v>
      </c>
      <c r="U16" s="324" t="str">
        <f>IFERROR(__xludf.DUMMYFUNCTION("""COMPUTED_VALUE"""),"")</f>
        <v/>
      </c>
      <c r="V16" s="327" t="str">
        <f>IFERROR(__xludf.DUMMYFUNCTION("""COMPUTED_VALUE"""),"")</f>
        <v/>
      </c>
      <c r="W16" s="324" t="str">
        <f>IFERROR(__xludf.DUMMYFUNCTION("""COMPUTED_VALUE"""),"")</f>
        <v/>
      </c>
      <c r="X16" s="325" t="str">
        <f>IFERROR(__xludf.DUMMYFUNCTION("""COMPUTED_VALUE"""),"AP")</f>
        <v>AP</v>
      </c>
      <c r="Y16" s="324">
        <f>IFERROR(__xludf.DUMMYFUNCTION("""COMPUTED_VALUE"""),0.0)</f>
        <v>0</v>
      </c>
      <c r="Z16" s="325" t="str">
        <f>IFERROR(__xludf.DUMMYFUNCTION("""COMPUTED_VALUE"""),"%")</f>
        <v>%</v>
      </c>
      <c r="AA16" s="326">
        <f>IFERROR(__xludf.DUMMYFUNCTION("""COMPUTED_VALUE"""),3.0)</f>
        <v>3</v>
      </c>
      <c r="AB16" s="324" t="str">
        <f>IFERROR(__xludf.DUMMYFUNCTION("""COMPUTED_VALUE"""),"")</f>
        <v/>
      </c>
      <c r="AC16" s="327" t="str">
        <f>IFERROR(__xludf.DUMMYFUNCTION("""COMPUTED_VALUE"""),"")</f>
        <v/>
      </c>
      <c r="AD16" s="324" t="str">
        <f>IFERROR(__xludf.DUMMYFUNCTION("""COMPUTED_VALUE"""),"")</f>
        <v/>
      </c>
      <c r="AE16" s="325" t="str">
        <f>IFERROR(__xludf.DUMMYFUNCTION("""COMPUTED_VALUE"""),"AP")</f>
        <v>AP</v>
      </c>
      <c r="AF16" s="324">
        <f>IFERROR(__xludf.DUMMYFUNCTION("""COMPUTED_VALUE"""),0.0)</f>
        <v>0</v>
      </c>
      <c r="AG16" s="325" t="str">
        <f>IFERROR(__xludf.DUMMYFUNCTION("""COMPUTED_VALUE"""),"%")</f>
        <v>%</v>
      </c>
      <c r="AH16" s="321" t="str">
        <f>IFERROR(__xludf.DUMMYFUNCTION("""COMPUTED_VALUE"""),"")</f>
        <v/>
      </c>
      <c r="AI16" s="322" t="str">
        <f>IFERROR(__xludf.DUMMYFUNCTION("""COMPUTED_VALUE"""),"")</f>
        <v/>
      </c>
      <c r="AJ16" s="320" t="str">
        <f>IFERROR(__xludf.DUMMYFUNCTION("""COMPUTED_VALUE"""),"")</f>
        <v/>
      </c>
    </row>
    <row r="17">
      <c r="A17" s="336" t="str">
        <f>IFERROR(__xludf.DUMMYFUNCTION("""COMPUTED_VALUE"""),"")</f>
        <v/>
      </c>
      <c r="B17" s="337" t="str">
        <f>IFERROR(__xludf.DUMMYFUNCTION("""COMPUTED_VALUE"""),"")</f>
        <v/>
      </c>
      <c r="C17" s="338" t="str">
        <f>IFERROR(__xludf.DUMMYFUNCTION("""COMPUTED_VALUE"""),"")</f>
        <v/>
      </c>
      <c r="D17" s="339" t="str">
        <f>IFERROR(__xludf.DUMMYFUNCTION("""COMPUTED_VALUE"""),"")</f>
        <v/>
      </c>
      <c r="E17" s="337" t="str">
        <f>IFERROR(__xludf.DUMMYFUNCTION("""COMPUTED_VALUE"""),"")</f>
        <v/>
      </c>
      <c r="F17" s="337" t="str">
        <f>IFERROR(__xludf.DUMMYFUNCTION("""COMPUTED_VALUE"""),"")</f>
        <v/>
      </c>
      <c r="G17" s="337" t="str">
        <f>IFERROR(__xludf.DUMMYFUNCTION("""COMPUTED_VALUE"""),"")</f>
        <v/>
      </c>
      <c r="H17" s="337" t="str">
        <f>IFERROR(__xludf.DUMMYFUNCTION("""COMPUTED_VALUE"""),"")</f>
        <v/>
      </c>
      <c r="I17" s="337" t="str">
        <f>IFERROR(__xludf.DUMMYFUNCTION("""COMPUTED_VALUE"""),"")</f>
        <v/>
      </c>
      <c r="J17" s="341" t="str">
        <f>IFERROR(__xludf.DUMMYFUNCTION("""COMPUTED_VALUE"""),"")</f>
        <v/>
      </c>
      <c r="K17" s="337" t="str">
        <f>IFERROR(__xludf.DUMMYFUNCTION("""COMPUTED_VALUE"""),"")</f>
        <v/>
      </c>
      <c r="L17" s="341" t="str">
        <f>IFERROR(__xludf.DUMMYFUNCTION("""COMPUTED_VALUE"""),"")</f>
        <v/>
      </c>
      <c r="M17" s="337" t="str">
        <f>IFERROR(__xludf.DUMMYFUNCTION("""COMPUTED_VALUE"""),"")</f>
        <v/>
      </c>
      <c r="N17" s="337" t="str">
        <f>IFERROR(__xludf.DUMMYFUNCTION("""COMPUTED_VALUE"""),"")</f>
        <v/>
      </c>
      <c r="O17" s="337" t="str">
        <f>IFERROR(__xludf.DUMMYFUNCTION("""COMPUTED_VALUE"""),"")</f>
        <v/>
      </c>
      <c r="P17" s="337" t="str">
        <f>IFERROR(__xludf.DUMMYFUNCTION("""COMPUTED_VALUE"""),"")</f>
        <v/>
      </c>
      <c r="Q17" s="341" t="str">
        <f>IFERROR(__xludf.DUMMYFUNCTION("""COMPUTED_VALUE"""),"")</f>
        <v/>
      </c>
      <c r="R17" s="337" t="str">
        <f>IFERROR(__xludf.DUMMYFUNCTION("""COMPUTED_VALUE"""),"")</f>
        <v/>
      </c>
      <c r="S17" s="341" t="str">
        <f>IFERROR(__xludf.DUMMYFUNCTION("""COMPUTED_VALUE"""),"")</f>
        <v/>
      </c>
      <c r="T17" s="337" t="str">
        <f>IFERROR(__xludf.DUMMYFUNCTION("""COMPUTED_VALUE"""),"")</f>
        <v/>
      </c>
      <c r="U17" s="337" t="str">
        <f>IFERROR(__xludf.DUMMYFUNCTION("""COMPUTED_VALUE"""),"")</f>
        <v/>
      </c>
      <c r="V17" s="337" t="str">
        <f>IFERROR(__xludf.DUMMYFUNCTION("""COMPUTED_VALUE"""),"")</f>
        <v/>
      </c>
      <c r="W17" s="337" t="str">
        <f>IFERROR(__xludf.DUMMYFUNCTION("""COMPUTED_VALUE"""),"")</f>
        <v/>
      </c>
      <c r="X17" s="341" t="str">
        <f>IFERROR(__xludf.DUMMYFUNCTION("""COMPUTED_VALUE"""),"")</f>
        <v/>
      </c>
      <c r="Y17" s="337" t="str">
        <f>IFERROR(__xludf.DUMMYFUNCTION("""COMPUTED_VALUE"""),"")</f>
        <v/>
      </c>
      <c r="Z17" s="341" t="str">
        <f>IFERROR(__xludf.DUMMYFUNCTION("""COMPUTED_VALUE"""),"")</f>
        <v/>
      </c>
      <c r="AA17" s="337" t="str">
        <f>IFERROR(__xludf.DUMMYFUNCTION("""COMPUTED_VALUE"""),"")</f>
        <v/>
      </c>
      <c r="AB17" s="337" t="str">
        <f>IFERROR(__xludf.DUMMYFUNCTION("""COMPUTED_VALUE"""),"")</f>
        <v/>
      </c>
      <c r="AC17" s="337" t="str">
        <f>IFERROR(__xludf.DUMMYFUNCTION("""COMPUTED_VALUE"""),"")</f>
        <v/>
      </c>
      <c r="AD17" s="337" t="str">
        <f>IFERROR(__xludf.DUMMYFUNCTION("""COMPUTED_VALUE"""),"")</f>
        <v/>
      </c>
      <c r="AE17" s="341" t="str">
        <f>IFERROR(__xludf.DUMMYFUNCTION("""COMPUTED_VALUE"""),"")</f>
        <v/>
      </c>
      <c r="AF17" s="337" t="str">
        <f>IFERROR(__xludf.DUMMYFUNCTION("""COMPUTED_VALUE"""),"")</f>
        <v/>
      </c>
      <c r="AG17" s="341" t="str">
        <f>IFERROR(__xludf.DUMMYFUNCTION("""COMPUTED_VALUE"""),"")</f>
        <v/>
      </c>
      <c r="AH17" s="337" t="str">
        <f>IFERROR(__xludf.DUMMYFUNCTION("""COMPUTED_VALUE"""),"")</f>
        <v/>
      </c>
      <c r="AI17" s="337" t="str">
        <f>IFERROR(__xludf.DUMMYFUNCTION("""COMPUTED_VALUE"""),"")</f>
        <v/>
      </c>
      <c r="AJ17" s="342" t="str">
        <f>IFERROR(__xludf.DUMMYFUNCTION("""COMPUTED_VALUE"""),"")</f>
        <v/>
      </c>
    </row>
    <row r="18">
      <c r="A18" s="343" t="str">
        <f>IFERROR(__xludf.DUMMYFUNCTION("""COMPUTED_VALUE"""),"")</f>
        <v/>
      </c>
      <c r="B18" s="344" t="str">
        <f>IFERROR(__xludf.DUMMYFUNCTION("""COMPUTED_VALUE"""),"")</f>
        <v/>
      </c>
      <c r="C18" s="345" t="str">
        <f>IFERROR(__xludf.DUMMYFUNCTION("""COMPUTED_VALUE"""),"")</f>
        <v/>
      </c>
      <c r="D18" s="346" t="str">
        <f>IFERROR(__xludf.DUMMYFUNCTION("""COMPUTED_VALUE"""),"")</f>
        <v/>
      </c>
      <c r="E18" s="344" t="str">
        <f>IFERROR(__xludf.DUMMYFUNCTION("""COMPUTED_VALUE"""),"")</f>
        <v/>
      </c>
      <c r="F18" s="344" t="str">
        <f>IFERROR(__xludf.DUMMYFUNCTION("""COMPUTED_VALUE"""),"")</f>
        <v/>
      </c>
      <c r="G18" s="344" t="str">
        <f>IFERROR(__xludf.DUMMYFUNCTION("""COMPUTED_VALUE"""),"")</f>
        <v/>
      </c>
      <c r="H18" s="344" t="str">
        <f>IFERROR(__xludf.DUMMYFUNCTION("""COMPUTED_VALUE"""),"")</f>
        <v/>
      </c>
      <c r="I18" s="344" t="str">
        <f>IFERROR(__xludf.DUMMYFUNCTION("""COMPUTED_VALUE"""),"")</f>
        <v/>
      </c>
      <c r="J18" s="347" t="str">
        <f>IFERROR(__xludf.DUMMYFUNCTION("""COMPUTED_VALUE"""),"")</f>
        <v/>
      </c>
      <c r="K18" s="344" t="str">
        <f>IFERROR(__xludf.DUMMYFUNCTION("""COMPUTED_VALUE"""),"")</f>
        <v/>
      </c>
      <c r="L18" s="347" t="str">
        <f>IFERROR(__xludf.DUMMYFUNCTION("""COMPUTED_VALUE"""),"")</f>
        <v/>
      </c>
      <c r="M18" s="344" t="str">
        <f>IFERROR(__xludf.DUMMYFUNCTION("""COMPUTED_VALUE"""),"")</f>
        <v/>
      </c>
      <c r="N18" s="344" t="str">
        <f>IFERROR(__xludf.DUMMYFUNCTION("""COMPUTED_VALUE"""),"")</f>
        <v/>
      </c>
      <c r="O18" s="344" t="str">
        <f>IFERROR(__xludf.DUMMYFUNCTION("""COMPUTED_VALUE"""),"")</f>
        <v/>
      </c>
      <c r="P18" s="344" t="str">
        <f>IFERROR(__xludf.DUMMYFUNCTION("""COMPUTED_VALUE"""),"")</f>
        <v/>
      </c>
      <c r="Q18" s="347" t="str">
        <f>IFERROR(__xludf.DUMMYFUNCTION("""COMPUTED_VALUE"""),"")</f>
        <v/>
      </c>
      <c r="R18" s="344" t="str">
        <f>IFERROR(__xludf.DUMMYFUNCTION("""COMPUTED_VALUE"""),"")</f>
        <v/>
      </c>
      <c r="S18" s="347" t="str">
        <f>IFERROR(__xludf.DUMMYFUNCTION("""COMPUTED_VALUE"""),"")</f>
        <v/>
      </c>
      <c r="T18" s="344" t="str">
        <f>IFERROR(__xludf.DUMMYFUNCTION("""COMPUTED_VALUE"""),"")</f>
        <v/>
      </c>
      <c r="U18" s="344" t="str">
        <f>IFERROR(__xludf.DUMMYFUNCTION("""COMPUTED_VALUE"""),"")</f>
        <v/>
      </c>
      <c r="V18" s="344" t="str">
        <f>IFERROR(__xludf.DUMMYFUNCTION("""COMPUTED_VALUE"""),"")</f>
        <v/>
      </c>
      <c r="W18" s="344" t="str">
        <f>IFERROR(__xludf.DUMMYFUNCTION("""COMPUTED_VALUE"""),"")</f>
        <v/>
      </c>
      <c r="X18" s="347" t="str">
        <f>IFERROR(__xludf.DUMMYFUNCTION("""COMPUTED_VALUE"""),"")</f>
        <v/>
      </c>
      <c r="Y18" s="344" t="str">
        <f>IFERROR(__xludf.DUMMYFUNCTION("""COMPUTED_VALUE"""),"")</f>
        <v/>
      </c>
      <c r="Z18" s="347" t="str">
        <f>IFERROR(__xludf.DUMMYFUNCTION("""COMPUTED_VALUE"""),"")</f>
        <v/>
      </c>
      <c r="AA18" s="344" t="str">
        <f>IFERROR(__xludf.DUMMYFUNCTION("""COMPUTED_VALUE"""),"")</f>
        <v/>
      </c>
      <c r="AB18" s="344" t="str">
        <f>IFERROR(__xludf.DUMMYFUNCTION("""COMPUTED_VALUE"""),"")</f>
        <v/>
      </c>
      <c r="AC18" s="344" t="str">
        <f>IFERROR(__xludf.DUMMYFUNCTION("""COMPUTED_VALUE"""),"")</f>
        <v/>
      </c>
      <c r="AD18" s="344" t="str">
        <f>IFERROR(__xludf.DUMMYFUNCTION("""COMPUTED_VALUE"""),"")</f>
        <v/>
      </c>
      <c r="AE18" s="347" t="str">
        <f>IFERROR(__xludf.DUMMYFUNCTION("""COMPUTED_VALUE"""),"")</f>
        <v/>
      </c>
      <c r="AF18" s="344" t="str">
        <f>IFERROR(__xludf.DUMMYFUNCTION("""COMPUTED_VALUE"""),"")</f>
        <v/>
      </c>
      <c r="AG18" s="347" t="str">
        <f>IFERROR(__xludf.DUMMYFUNCTION("""COMPUTED_VALUE"""),"")</f>
        <v/>
      </c>
      <c r="AH18" s="344" t="str">
        <f>IFERROR(__xludf.DUMMYFUNCTION("""COMPUTED_VALUE"""),"")</f>
        <v/>
      </c>
      <c r="AI18" s="344" t="str">
        <f>IFERROR(__xludf.DUMMYFUNCTION("""COMPUTED_VALUE"""),"")</f>
        <v/>
      </c>
      <c r="AJ18" s="348" t="str">
        <f>IFERROR(__xludf.DUMMYFUNCTION("""COMPUTED_VALUE"""),"")</f>
        <v/>
      </c>
    </row>
    <row r="19" ht="16.5" customHeight="1">
      <c r="A19" s="349">
        <f>IFERROR(__xludf.DUMMYFUNCTION("""COMPUTED_VALUE"""),3.0)</f>
        <v>3</v>
      </c>
      <c r="B19" s="313" t="str">
        <f>IFERROR(__xludf.DUMMYFUNCTION("""COMPUTED_VALUE"""),"E1905C")</f>
        <v>E1905C</v>
      </c>
      <c r="C19" s="314" t="str">
        <f>IFERROR(__xludf.DUMMYFUNCTION("""COMPUTED_VALUE"""),"")</f>
        <v/>
      </c>
      <c r="D19" s="350" t="str">
        <f>IFERROR(__xludf.DUMMYFUNCTION("""COMPUTED_VALUE"""),"Nostalgic Form CE")</f>
        <v>Nostalgic Form CE</v>
      </c>
      <c r="E19" s="351" t="str">
        <f>IFERROR(__xludf.DUMMYFUNCTION("""COMPUTED_VALUE"""),"AP")</f>
        <v>AP</v>
      </c>
      <c r="F19" s="351" t="str">
        <f>IFERROR(__xludf.DUMMYFUNCTION("""COMPUTED_VALUE"""),"Runs")</f>
        <v>Runs</v>
      </c>
      <c r="G19" s="351" t="str">
        <f>IFERROR(__xludf.DUMMYFUNCTION("""COMPUTED_VALUE"""),"Status")</f>
        <v>Status</v>
      </c>
      <c r="H19" s="351" t="str">
        <f>IFERROR(__xludf.DUMMYFUNCTION("""COMPUTED_VALUE"""),"Mat")</f>
        <v>Mat</v>
      </c>
      <c r="I19" s="351" t="str">
        <f>IFERROR(__xludf.DUMMYFUNCTION("""COMPUTED_VALUE"""),"AP/Drop")</f>
        <v>AP/Drop</v>
      </c>
      <c r="J19" s="351" t="str">
        <f>IFERROR(__xludf.DUMMYFUNCTION("""COMPUTED_VALUE"""),"")</f>
        <v/>
      </c>
      <c r="K19" s="351" t="str">
        <f>IFERROR(__xludf.DUMMYFUNCTION("""COMPUTED_VALUE"""),"Droprate")</f>
        <v>Droprate</v>
      </c>
      <c r="L19" s="351" t="str">
        <f>IFERROR(__xludf.DUMMYFUNCTION("""COMPUTED_VALUE"""),"")</f>
        <v/>
      </c>
      <c r="M19" s="351" t="str">
        <f>IFERROR(__xludf.DUMMYFUNCTION("""COMPUTED_VALUE"""),"#2")</f>
        <v>#2</v>
      </c>
      <c r="N19" s="351" t="str">
        <f>IFERROR(__xludf.DUMMYFUNCTION("""COMPUTED_VALUE"""),"Item 2 ID")</f>
        <v>Item 2 ID</v>
      </c>
      <c r="O19" s="351" t="str">
        <f>IFERROR(__xludf.DUMMYFUNCTION("""COMPUTED_VALUE"""),"Mat")</f>
        <v>Mat</v>
      </c>
      <c r="P19" s="351" t="str">
        <f>IFERROR(__xludf.DUMMYFUNCTION("""COMPUTED_VALUE"""),"AP/Drop")</f>
        <v>AP/Drop</v>
      </c>
      <c r="Q19" s="351" t="str">
        <f>IFERROR(__xludf.DUMMYFUNCTION("""COMPUTED_VALUE"""),"")</f>
        <v/>
      </c>
      <c r="R19" s="351" t="str">
        <f>IFERROR(__xludf.DUMMYFUNCTION("""COMPUTED_VALUE"""),"Droprate")</f>
        <v>Droprate</v>
      </c>
      <c r="S19" s="351" t="str">
        <f>IFERROR(__xludf.DUMMYFUNCTION("""COMPUTED_VALUE"""),"")</f>
        <v/>
      </c>
      <c r="T19" s="351" t="str">
        <f>IFERROR(__xludf.DUMMYFUNCTION("""COMPUTED_VALUE"""),"#3")</f>
        <v>#3</v>
      </c>
      <c r="U19" s="351" t="str">
        <f>IFERROR(__xludf.DUMMYFUNCTION("""COMPUTED_VALUE"""),"Item 2 ID")</f>
        <v>Item 2 ID</v>
      </c>
      <c r="V19" s="351" t="str">
        <f>IFERROR(__xludf.DUMMYFUNCTION("""COMPUTED_VALUE"""),"Mat")</f>
        <v>Mat</v>
      </c>
      <c r="W19" s="351" t="str">
        <f>IFERROR(__xludf.DUMMYFUNCTION("""COMPUTED_VALUE"""),"AP/Drop")</f>
        <v>AP/Drop</v>
      </c>
      <c r="X19" s="351" t="str">
        <f>IFERROR(__xludf.DUMMYFUNCTION("""COMPUTED_VALUE"""),"")</f>
        <v/>
      </c>
      <c r="Y19" s="351" t="str">
        <f>IFERROR(__xludf.DUMMYFUNCTION("""COMPUTED_VALUE"""),"Droprate")</f>
        <v>Droprate</v>
      </c>
      <c r="Z19" s="351" t="str">
        <f>IFERROR(__xludf.DUMMYFUNCTION("""COMPUTED_VALUE"""),"")</f>
        <v/>
      </c>
      <c r="AA19" s="351" t="str">
        <f>IFERROR(__xludf.DUMMYFUNCTION("""COMPUTED_VALUE"""),"#4")</f>
        <v>#4</v>
      </c>
      <c r="AB19" s="351" t="str">
        <f>IFERROR(__xludf.DUMMYFUNCTION("""COMPUTED_VALUE"""),"Item 3 ID")</f>
        <v>Item 3 ID</v>
      </c>
      <c r="AC19" s="351" t="str">
        <f>IFERROR(__xludf.DUMMYFUNCTION("""COMPUTED_VALUE"""),"Mat")</f>
        <v>Mat</v>
      </c>
      <c r="AD19" s="351" t="str">
        <f>IFERROR(__xludf.DUMMYFUNCTION("""COMPUTED_VALUE"""),"AP/Drop")</f>
        <v>AP/Drop</v>
      </c>
      <c r="AE19" s="351" t="str">
        <f>IFERROR(__xludf.DUMMYFUNCTION("""COMPUTED_VALUE"""),"")</f>
        <v/>
      </c>
      <c r="AF19" s="351" t="str">
        <f>IFERROR(__xludf.DUMMYFUNCTION("""COMPUTED_VALUE"""),"Droprate")</f>
        <v>Droprate</v>
      </c>
      <c r="AG19" s="351" t="str">
        <f>IFERROR(__xludf.DUMMYFUNCTION("""COMPUTED_VALUE"""),"")</f>
        <v/>
      </c>
      <c r="AH19" s="351" t="str">
        <f>IFERROR(__xludf.DUMMYFUNCTION("""COMPUTED_VALUE"""),"AP")</f>
        <v>AP</v>
      </c>
      <c r="AI19" s="351" t="str">
        <f>IFERROR(__xludf.DUMMYFUNCTION("""COMPUTED_VALUE"""),"Runs")</f>
        <v>Runs</v>
      </c>
      <c r="AJ19" s="351" t="str">
        <f>IFERROR(__xludf.DUMMYFUNCTION("""COMPUTED_VALUE"""),"Node Name")</f>
        <v>Node Name</v>
      </c>
    </row>
    <row r="20" ht="16.5" customHeight="1">
      <c r="D20" s="317" t="str">
        <f>IFERROR(__xludf.DUMMYFUNCTION("""COMPUTED_VALUE"""),"Downtime- N/A")</f>
        <v>Downtime- N/A</v>
      </c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18"/>
      <c r="Z20" s="318"/>
      <c r="AA20" s="318"/>
      <c r="AB20" s="318"/>
      <c r="AC20" s="318"/>
      <c r="AD20" s="318"/>
      <c r="AE20" s="318"/>
      <c r="AF20" s="318"/>
      <c r="AG20" s="318"/>
      <c r="AH20" s="318"/>
      <c r="AI20" s="318"/>
      <c r="AJ20" s="318"/>
    </row>
    <row r="21" ht="24.75" customHeight="1">
      <c r="A21" s="319">
        <f>IFERROR(__xludf.DUMMYFUNCTION("""COMPUTED_VALUE"""),1.0)</f>
        <v>1</v>
      </c>
      <c r="B21" s="319" t="str">
        <f>IFERROR(__xludf.DUMMYFUNCTION("""COMPUTED_VALUE"""),"E1905C")</f>
        <v>E1905C</v>
      </c>
      <c r="C21" s="319">
        <f>IFERROR(__xludf.DUMMYFUNCTION("""COMPUTED_VALUE"""),8.0)</f>
        <v>8</v>
      </c>
      <c r="D21" s="320" t="str">
        <f>IFERROR(__xludf.DUMMYFUNCTION("""COMPUTED_VALUE"""),"Attendants’ Room")</f>
        <v>Attendants’ Room</v>
      </c>
      <c r="E21" s="321">
        <f>IFERROR(__xludf.DUMMYFUNCTION("""COMPUTED_VALUE"""),20.0)</f>
        <v>20</v>
      </c>
      <c r="F21" s="322">
        <f>IFERROR(__xludf.DUMMYFUNCTION("""COMPUTED_VALUE"""),58.0)</f>
        <v>58</v>
      </c>
      <c r="G21" s="322" t="str">
        <f>IFERROR(__xludf.DUMMYFUNCTION("""COMPUTED_VALUE"""),"Open")</f>
        <v>Open</v>
      </c>
      <c r="H21" s="323" t="str">
        <f>IFERROR(__xludf.DUMMYFUNCTION("""COMPUTED_VALUE"""),"")</f>
        <v/>
      </c>
      <c r="I21" s="324">
        <f>IFERROR(__xludf.DUMMYFUNCTION("""COMPUTED_VALUE"""),1160.0)</f>
        <v>1160</v>
      </c>
      <c r="J21" s="325" t="str">
        <f>IFERROR(__xludf.DUMMYFUNCTION("""COMPUTED_VALUE"""),"AP")</f>
        <v>AP</v>
      </c>
      <c r="K21" s="324">
        <f>IFERROR(__xludf.DUMMYFUNCTION("""COMPUTED_VALUE"""),1.7241379310344827)</f>
        <v>1.724137931</v>
      </c>
      <c r="L21" s="325" t="str">
        <f>IFERROR(__xludf.DUMMYFUNCTION("""COMPUTED_VALUE"""),"%")</f>
        <v>%</v>
      </c>
      <c r="M21" s="326">
        <f>IFERROR(__xludf.DUMMYFUNCTION("""COMPUTED_VALUE"""),1.0)</f>
        <v>1</v>
      </c>
      <c r="N21" s="324" t="str">
        <f>IFERROR(__xludf.DUMMYFUNCTION("""COMPUTED_VALUE"""),"A202")</f>
        <v>A202</v>
      </c>
      <c r="O21" s="327" t="str">
        <f>IFERROR(__xludf.DUMMYFUNCTION("""COMPUTED_VALUE"""),"")</f>
        <v/>
      </c>
      <c r="P21" s="324">
        <f>IFERROR(__xludf.DUMMYFUNCTION("""COMPUTED_VALUE"""),290.0)</f>
        <v>290</v>
      </c>
      <c r="Q21" s="325" t="str">
        <f>IFERROR(__xludf.DUMMYFUNCTION("""COMPUTED_VALUE"""),"AP")</f>
        <v>AP</v>
      </c>
      <c r="R21" s="324">
        <f>IFERROR(__xludf.DUMMYFUNCTION("""COMPUTED_VALUE"""),6.896551724137931)</f>
        <v>6.896551724</v>
      </c>
      <c r="S21" s="325" t="str">
        <f>IFERROR(__xludf.DUMMYFUNCTION("""COMPUTED_VALUE"""),"%")</f>
        <v>%</v>
      </c>
      <c r="T21" s="326">
        <f>IFERROR(__xludf.DUMMYFUNCTION("""COMPUTED_VALUE"""),2.0)</f>
        <v>2</v>
      </c>
      <c r="U21" s="324" t="str">
        <f>IFERROR(__xludf.DUMMYFUNCTION("""COMPUTED_VALUE"""),"A208")</f>
        <v>A208</v>
      </c>
      <c r="V21" s="327" t="str">
        <f>IFERROR(__xludf.DUMMYFUNCTION("""COMPUTED_VALUE"""),"")</f>
        <v/>
      </c>
      <c r="W21" s="324">
        <f>IFERROR(__xludf.DUMMYFUNCTION("""COMPUTED_VALUE"""),580.0)</f>
        <v>580</v>
      </c>
      <c r="X21" s="325" t="str">
        <f>IFERROR(__xludf.DUMMYFUNCTION("""COMPUTED_VALUE"""),"AP")</f>
        <v>AP</v>
      </c>
      <c r="Y21" s="324">
        <f>IFERROR(__xludf.DUMMYFUNCTION("""COMPUTED_VALUE"""),3.4482758620689653)</f>
        <v>3.448275862</v>
      </c>
      <c r="Z21" s="325" t="str">
        <f>IFERROR(__xludf.DUMMYFUNCTION("""COMPUTED_VALUE"""),"%")</f>
        <v>%</v>
      </c>
      <c r="AA21" s="326">
        <f>IFERROR(__xludf.DUMMYFUNCTION("""COMPUTED_VALUE"""),3.0)</f>
        <v>3</v>
      </c>
      <c r="AB21" s="324" t="str">
        <f>IFERROR(__xludf.DUMMYFUNCTION("""COMPUTED_VALUE"""),"")</f>
        <v/>
      </c>
      <c r="AC21" s="327" t="str">
        <f>IFERROR(__xludf.DUMMYFUNCTION("""COMPUTED_VALUE"""),"")</f>
        <v/>
      </c>
      <c r="AD21" s="324" t="str">
        <f>IFERROR(__xludf.DUMMYFUNCTION("""COMPUTED_VALUE"""),"")</f>
        <v/>
      </c>
      <c r="AE21" s="325" t="str">
        <f>IFERROR(__xludf.DUMMYFUNCTION("""COMPUTED_VALUE"""),"AP")</f>
        <v>AP</v>
      </c>
      <c r="AF21" s="324">
        <f>IFERROR(__xludf.DUMMYFUNCTION("""COMPUTED_VALUE"""),0.0)</f>
        <v>0</v>
      </c>
      <c r="AG21" s="325" t="str">
        <f>IFERROR(__xludf.DUMMYFUNCTION("""COMPUTED_VALUE"""),"%")</f>
        <v>%</v>
      </c>
      <c r="AH21" s="321">
        <f>IFERROR(__xludf.DUMMYFUNCTION("""COMPUTED_VALUE"""),20.0)</f>
        <v>20</v>
      </c>
      <c r="AI21" s="322">
        <f>IFERROR(__xludf.DUMMYFUNCTION("""COMPUTED_VALUE"""),58.0)</f>
        <v>58</v>
      </c>
      <c r="AJ21" s="320" t="str">
        <f>IFERROR(__xludf.DUMMYFUNCTION("""COMPUTED_VALUE"""),"Attendants’ Room")</f>
        <v>Attendants’ Room</v>
      </c>
    </row>
    <row r="22" ht="24.75" customHeight="1">
      <c r="A22" s="328">
        <f>IFERROR(__xludf.DUMMYFUNCTION("""COMPUTED_VALUE"""),2.0)</f>
        <v>2</v>
      </c>
      <c r="B22" s="328" t="str">
        <f>IFERROR(__xludf.DUMMYFUNCTION("""COMPUTED_VALUE"""),"E1905C")</f>
        <v>E1905C</v>
      </c>
      <c r="C22" s="328">
        <f>IFERROR(__xludf.DUMMYFUNCTION("""COMPUTED_VALUE"""),19.0)</f>
        <v>19</v>
      </c>
      <c r="D22" s="329" t="str">
        <f>IFERROR(__xludf.DUMMYFUNCTION("""COMPUTED_VALUE"""),"Stone Drop Window")</f>
        <v>Stone Drop Window</v>
      </c>
      <c r="E22" s="330">
        <f>IFERROR(__xludf.DUMMYFUNCTION("""COMPUTED_VALUE"""),30.0)</f>
        <v>30</v>
      </c>
      <c r="F22" s="331">
        <f>IFERROR(__xludf.DUMMYFUNCTION("""COMPUTED_VALUE"""),58.0)</f>
        <v>58</v>
      </c>
      <c r="G22" s="331" t="str">
        <f>IFERROR(__xludf.DUMMYFUNCTION("""COMPUTED_VALUE"""),"Open")</f>
        <v>Open</v>
      </c>
      <c r="H22" s="323" t="str">
        <f>IFERROR(__xludf.DUMMYFUNCTION("""COMPUTED_VALUE"""),"")</f>
        <v/>
      </c>
      <c r="I22" s="332">
        <f>IFERROR(__xludf.DUMMYFUNCTION("""COMPUTED_VALUE"""),1740.0)</f>
        <v>1740</v>
      </c>
      <c r="J22" s="333" t="str">
        <f>IFERROR(__xludf.DUMMYFUNCTION("""COMPUTED_VALUE"""),"AP")</f>
        <v>AP</v>
      </c>
      <c r="K22" s="332">
        <f>IFERROR(__xludf.DUMMYFUNCTION("""COMPUTED_VALUE"""),1.7241379310344827)</f>
        <v>1.724137931</v>
      </c>
      <c r="L22" s="334" t="str">
        <f>IFERROR(__xludf.DUMMYFUNCTION("""COMPUTED_VALUE"""),"%")</f>
        <v>%</v>
      </c>
      <c r="M22" s="335">
        <f>IFERROR(__xludf.DUMMYFUNCTION("""COMPUTED_VALUE"""),1.0)</f>
        <v>1</v>
      </c>
      <c r="N22" s="332" t="str">
        <f>IFERROR(__xludf.DUMMYFUNCTION("""COMPUTED_VALUE"""),"A107")</f>
        <v>A107</v>
      </c>
      <c r="O22" s="327" t="str">
        <f>IFERROR(__xludf.DUMMYFUNCTION("""COMPUTED_VALUE"""),"")</f>
        <v/>
      </c>
      <c r="P22" s="332">
        <f>IFERROR(__xludf.DUMMYFUNCTION("""COMPUTED_VALUE"""),174.0)</f>
        <v>174</v>
      </c>
      <c r="Q22" s="333" t="str">
        <f>IFERROR(__xludf.DUMMYFUNCTION("""COMPUTED_VALUE"""),"AP")</f>
        <v>AP</v>
      </c>
      <c r="R22" s="332">
        <f>IFERROR(__xludf.DUMMYFUNCTION("""COMPUTED_VALUE"""),17.24137931034483)</f>
        <v>17.24137931</v>
      </c>
      <c r="S22" s="334" t="str">
        <f>IFERROR(__xludf.DUMMYFUNCTION("""COMPUTED_VALUE"""),"%")</f>
        <v>%</v>
      </c>
      <c r="T22" s="335">
        <f>IFERROR(__xludf.DUMMYFUNCTION("""COMPUTED_VALUE"""),2.0)</f>
        <v>2</v>
      </c>
      <c r="U22" s="332" t="str">
        <f>IFERROR(__xludf.DUMMYFUNCTION("""COMPUTED_VALUE"""),"A209")</f>
        <v>A209</v>
      </c>
      <c r="V22" s="327" t="str">
        <f>IFERROR(__xludf.DUMMYFUNCTION("""COMPUTED_VALUE"""),"")</f>
        <v/>
      </c>
      <c r="W22" s="332">
        <f>IFERROR(__xludf.DUMMYFUNCTION("""COMPUTED_VALUE"""),102.3529411764706)</f>
        <v>102.3529412</v>
      </c>
      <c r="X22" s="333" t="str">
        <f>IFERROR(__xludf.DUMMYFUNCTION("""COMPUTED_VALUE"""),"AP")</f>
        <v>AP</v>
      </c>
      <c r="Y22" s="332">
        <f>IFERROR(__xludf.DUMMYFUNCTION("""COMPUTED_VALUE"""),29.310344827586203)</f>
        <v>29.31034483</v>
      </c>
      <c r="Z22" s="334" t="str">
        <f>IFERROR(__xludf.DUMMYFUNCTION("""COMPUTED_VALUE"""),"%")</f>
        <v>%</v>
      </c>
      <c r="AA22" s="335">
        <f>IFERROR(__xludf.DUMMYFUNCTION("""COMPUTED_VALUE"""),3.0)</f>
        <v>3</v>
      </c>
      <c r="AB22" s="332" t="str">
        <f>IFERROR(__xludf.DUMMYFUNCTION("""COMPUTED_VALUE"""),"B116")</f>
        <v>B116</v>
      </c>
      <c r="AC22" s="327" t="str">
        <f>IFERROR(__xludf.DUMMYFUNCTION("""COMPUTED_VALUE"""),"")</f>
        <v/>
      </c>
      <c r="AD22" s="332">
        <f>IFERROR(__xludf.DUMMYFUNCTION("""COMPUTED_VALUE"""),124.28571428571428)</f>
        <v>124.2857143</v>
      </c>
      <c r="AE22" s="333" t="str">
        <f>IFERROR(__xludf.DUMMYFUNCTION("""COMPUTED_VALUE"""),"AP")</f>
        <v>AP</v>
      </c>
      <c r="AF22" s="332">
        <f>IFERROR(__xludf.DUMMYFUNCTION("""COMPUTED_VALUE"""),24.137931034482758)</f>
        <v>24.13793103</v>
      </c>
      <c r="AG22" s="334" t="str">
        <f>IFERROR(__xludf.DUMMYFUNCTION("""COMPUTED_VALUE"""),"%")</f>
        <v>%</v>
      </c>
      <c r="AH22" s="330">
        <f>IFERROR(__xludf.DUMMYFUNCTION("""COMPUTED_VALUE"""),30.0)</f>
        <v>30</v>
      </c>
      <c r="AI22" s="331">
        <f>IFERROR(__xludf.DUMMYFUNCTION("""COMPUTED_VALUE"""),58.0)</f>
        <v>58</v>
      </c>
      <c r="AJ22" s="329" t="str">
        <f>IFERROR(__xludf.DUMMYFUNCTION("""COMPUTED_VALUE"""),"Stone Drop Window")</f>
        <v>Stone Drop Window</v>
      </c>
    </row>
    <row r="23" ht="24.75" customHeight="1">
      <c r="A23" s="319">
        <f>IFERROR(__xludf.DUMMYFUNCTION("""COMPUTED_VALUE"""),3.0)</f>
        <v>3</v>
      </c>
      <c r="B23" s="319" t="str">
        <f>IFERROR(__xludf.DUMMYFUNCTION("""COMPUTED_VALUE"""),"E1905C")</f>
        <v>E1905C</v>
      </c>
      <c r="C23" s="319">
        <f>IFERROR(__xludf.DUMMYFUNCTION("""COMPUTED_VALUE"""),3.0)</f>
        <v>3</v>
      </c>
      <c r="D23" s="320" t="str">
        <f>IFERROR(__xludf.DUMMYFUNCTION("""COMPUTED_VALUE"""),"Old Well")</f>
        <v>Old Well</v>
      </c>
      <c r="E23" s="321">
        <f>IFERROR(__xludf.DUMMYFUNCTION("""COMPUTED_VALUE"""),40.0)</f>
        <v>40</v>
      </c>
      <c r="F23" s="322">
        <f>IFERROR(__xludf.DUMMYFUNCTION("""COMPUTED_VALUE"""),128.0)</f>
        <v>128</v>
      </c>
      <c r="G23" s="322" t="str">
        <f>IFERROR(__xludf.DUMMYFUNCTION("""COMPUTED_VALUE"""),"Open")</f>
        <v>Open</v>
      </c>
      <c r="H23" s="323" t="str">
        <f>IFERROR(__xludf.DUMMYFUNCTION("""COMPUTED_VALUE"""),"")</f>
        <v/>
      </c>
      <c r="I23" s="324">
        <f>IFERROR(__xludf.DUMMYFUNCTION("""COMPUTED_VALUE"""),2560.0)</f>
        <v>2560</v>
      </c>
      <c r="J23" s="325" t="str">
        <f>IFERROR(__xludf.DUMMYFUNCTION("""COMPUTED_VALUE"""),"AP")</f>
        <v>AP</v>
      </c>
      <c r="K23" s="324">
        <f>IFERROR(__xludf.DUMMYFUNCTION("""COMPUTED_VALUE"""),1.5625)</f>
        <v>1.5625</v>
      </c>
      <c r="L23" s="325" t="str">
        <f>IFERROR(__xludf.DUMMYFUNCTION("""COMPUTED_VALUE"""),"%")</f>
        <v>%</v>
      </c>
      <c r="M23" s="326">
        <f>IFERROR(__xludf.DUMMYFUNCTION("""COMPUTED_VALUE"""),1.0)</f>
        <v>1</v>
      </c>
      <c r="N23" s="324" t="str">
        <f>IFERROR(__xludf.DUMMYFUNCTION("""COMPUTED_VALUE"""),"A112")</f>
        <v>A112</v>
      </c>
      <c r="O23" s="327" t="str">
        <f>IFERROR(__xludf.DUMMYFUNCTION("""COMPUTED_VALUE"""),"")</f>
        <v/>
      </c>
      <c r="P23" s="324">
        <f>IFERROR(__xludf.DUMMYFUNCTION("""COMPUTED_VALUE"""),182.85714285714286)</f>
        <v>182.8571429</v>
      </c>
      <c r="Q23" s="325" t="str">
        <f>IFERROR(__xludf.DUMMYFUNCTION("""COMPUTED_VALUE"""),"AP")</f>
        <v>AP</v>
      </c>
      <c r="R23" s="324">
        <f>IFERROR(__xludf.DUMMYFUNCTION("""COMPUTED_VALUE"""),21.875)</f>
        <v>21.875</v>
      </c>
      <c r="S23" s="325" t="str">
        <f>IFERROR(__xludf.DUMMYFUNCTION("""COMPUTED_VALUE"""),"%")</f>
        <v>%</v>
      </c>
      <c r="T23" s="326">
        <f>IFERROR(__xludf.DUMMYFUNCTION("""COMPUTED_VALUE"""),2.0)</f>
        <v>2</v>
      </c>
      <c r="U23" s="324" t="str">
        <f>IFERROR(__xludf.DUMMYFUNCTION("""COMPUTED_VALUE"""),"A203")</f>
        <v>A203</v>
      </c>
      <c r="V23" s="327" t="str">
        <f>IFERROR(__xludf.DUMMYFUNCTION("""COMPUTED_VALUE"""),"")</f>
        <v/>
      </c>
      <c r="W23" s="324">
        <f>IFERROR(__xludf.DUMMYFUNCTION("""COMPUTED_VALUE"""),65.64102564102564)</f>
        <v>65.64102564</v>
      </c>
      <c r="X23" s="325" t="str">
        <f>IFERROR(__xludf.DUMMYFUNCTION("""COMPUTED_VALUE"""),"AP")</f>
        <v>AP</v>
      </c>
      <c r="Y23" s="324">
        <f>IFERROR(__xludf.DUMMYFUNCTION("""COMPUTED_VALUE"""),60.9375)</f>
        <v>60.9375</v>
      </c>
      <c r="Z23" s="325" t="str">
        <f>IFERROR(__xludf.DUMMYFUNCTION("""COMPUTED_VALUE"""),"%")</f>
        <v>%</v>
      </c>
      <c r="AA23" s="326">
        <f>IFERROR(__xludf.DUMMYFUNCTION("""COMPUTED_VALUE"""),3.0)</f>
        <v>3</v>
      </c>
      <c r="AB23" s="324" t="str">
        <f>IFERROR(__xludf.DUMMYFUNCTION("""COMPUTED_VALUE"""),"B102")</f>
        <v>B102</v>
      </c>
      <c r="AC23" s="327" t="str">
        <f>IFERROR(__xludf.DUMMYFUNCTION("""COMPUTED_VALUE"""),"")</f>
        <v/>
      </c>
      <c r="AD23" s="324">
        <f>IFERROR(__xludf.DUMMYFUNCTION("""COMPUTED_VALUE"""),182.85714285714286)</f>
        <v>182.8571429</v>
      </c>
      <c r="AE23" s="325" t="str">
        <f>IFERROR(__xludf.DUMMYFUNCTION("""COMPUTED_VALUE"""),"AP")</f>
        <v>AP</v>
      </c>
      <c r="AF23" s="324">
        <f>IFERROR(__xludf.DUMMYFUNCTION("""COMPUTED_VALUE"""),21.875)</f>
        <v>21.875</v>
      </c>
      <c r="AG23" s="325" t="str">
        <f>IFERROR(__xludf.DUMMYFUNCTION("""COMPUTED_VALUE"""),"%")</f>
        <v>%</v>
      </c>
      <c r="AH23" s="321">
        <f>IFERROR(__xludf.DUMMYFUNCTION("""COMPUTED_VALUE"""),40.0)</f>
        <v>40</v>
      </c>
      <c r="AI23" s="322">
        <f>IFERROR(__xludf.DUMMYFUNCTION("""COMPUTED_VALUE"""),128.0)</f>
        <v>128</v>
      </c>
      <c r="AJ23" s="320" t="str">
        <f>IFERROR(__xludf.DUMMYFUNCTION("""COMPUTED_VALUE"""),"Old Well")</f>
        <v>Old Well</v>
      </c>
    </row>
    <row r="24" ht="24.75" customHeight="1">
      <c r="A24" s="328">
        <f>IFERROR(__xludf.DUMMYFUNCTION("""COMPUTED_VALUE"""),4.0)</f>
        <v>4</v>
      </c>
      <c r="B24" s="328" t="str">
        <f>IFERROR(__xludf.DUMMYFUNCTION("""COMPUTED_VALUE"""),"E1905C")</f>
        <v>E1905C</v>
      </c>
      <c r="C24" s="328">
        <f>IFERROR(__xludf.DUMMYFUNCTION("""COMPUTED_VALUE"""),9.0)</f>
        <v>9</v>
      </c>
      <c r="D24" s="329" t="str">
        <f>IFERROR(__xludf.DUMMYFUNCTION("""COMPUTED_VALUE"""),"Burial Chamber")</f>
        <v>Burial Chamber</v>
      </c>
      <c r="E24" s="330">
        <f>IFERROR(__xludf.DUMMYFUNCTION("""COMPUTED_VALUE"""),40.0)</f>
        <v>40</v>
      </c>
      <c r="F24" s="331">
        <f>IFERROR(__xludf.DUMMYFUNCTION("""COMPUTED_VALUE"""),108.0)</f>
        <v>108</v>
      </c>
      <c r="G24" s="331" t="str">
        <f>IFERROR(__xludf.DUMMYFUNCTION("""COMPUTED_VALUE"""),"Open")</f>
        <v>Open</v>
      </c>
      <c r="H24" s="323" t="str">
        <f>IFERROR(__xludf.DUMMYFUNCTION("""COMPUTED_VALUE"""),"")</f>
        <v/>
      </c>
      <c r="I24" s="332">
        <f>IFERROR(__xludf.DUMMYFUNCTION("""COMPUTED_VALUE"""),4320.0)</f>
        <v>4320</v>
      </c>
      <c r="J24" s="333" t="str">
        <f>IFERROR(__xludf.DUMMYFUNCTION("""COMPUTED_VALUE"""),"AP")</f>
        <v>AP</v>
      </c>
      <c r="K24" s="332">
        <f>IFERROR(__xludf.DUMMYFUNCTION("""COMPUTED_VALUE"""),0.9259259259259258)</f>
        <v>0.9259259259</v>
      </c>
      <c r="L24" s="334" t="str">
        <f>IFERROR(__xludf.DUMMYFUNCTION("""COMPUTED_VALUE"""),"%")</f>
        <v>%</v>
      </c>
      <c r="M24" s="335">
        <f>IFERROR(__xludf.DUMMYFUNCTION("""COMPUTED_VALUE"""),1.0)</f>
        <v>1</v>
      </c>
      <c r="N24" s="332" t="str">
        <f>IFERROR(__xludf.DUMMYFUNCTION("""COMPUTED_VALUE"""),"A110")</f>
        <v>A110</v>
      </c>
      <c r="O24" s="327" t="str">
        <f>IFERROR(__xludf.DUMMYFUNCTION("""COMPUTED_VALUE"""),"")</f>
        <v/>
      </c>
      <c r="P24" s="332">
        <f>IFERROR(__xludf.DUMMYFUNCTION("""COMPUTED_VALUE"""),196.36363636363637)</f>
        <v>196.3636364</v>
      </c>
      <c r="Q24" s="333" t="str">
        <f>IFERROR(__xludf.DUMMYFUNCTION("""COMPUTED_VALUE"""),"AP")</f>
        <v>AP</v>
      </c>
      <c r="R24" s="332">
        <f>IFERROR(__xludf.DUMMYFUNCTION("""COMPUTED_VALUE"""),20.37037037037037)</f>
        <v>20.37037037</v>
      </c>
      <c r="S24" s="334" t="str">
        <f>IFERROR(__xludf.DUMMYFUNCTION("""COMPUTED_VALUE"""),"%")</f>
        <v>%</v>
      </c>
      <c r="T24" s="335">
        <f>IFERROR(__xludf.DUMMYFUNCTION("""COMPUTED_VALUE"""),2.0)</f>
        <v>2</v>
      </c>
      <c r="U24" s="332" t="str">
        <f>IFERROR(__xludf.DUMMYFUNCTION("""COMPUTED_VALUE"""),"A303")</f>
        <v>A303</v>
      </c>
      <c r="V24" s="327" t="str">
        <f>IFERROR(__xludf.DUMMYFUNCTION("""COMPUTED_VALUE"""),"")</f>
        <v/>
      </c>
      <c r="W24" s="332">
        <f>IFERROR(__xludf.DUMMYFUNCTION("""COMPUTED_VALUE"""),46.4516129032258)</f>
        <v>46.4516129</v>
      </c>
      <c r="X24" s="333" t="str">
        <f>IFERROR(__xludf.DUMMYFUNCTION("""COMPUTED_VALUE"""),"AP")</f>
        <v>AP</v>
      </c>
      <c r="Y24" s="332">
        <f>IFERROR(__xludf.DUMMYFUNCTION("""COMPUTED_VALUE"""),86.11111111111111)</f>
        <v>86.11111111</v>
      </c>
      <c r="Z24" s="334" t="str">
        <f>IFERROR(__xludf.DUMMYFUNCTION("""COMPUTED_VALUE"""),"%")</f>
        <v>%</v>
      </c>
      <c r="AA24" s="335">
        <f>IFERROR(__xludf.DUMMYFUNCTION("""COMPUTED_VALUE"""),3.0)</f>
        <v>3</v>
      </c>
      <c r="AB24" s="332" t="str">
        <f>IFERROR(__xludf.DUMMYFUNCTION("""COMPUTED_VALUE"""),"B104")</f>
        <v>B104</v>
      </c>
      <c r="AC24" s="327" t="str">
        <f>IFERROR(__xludf.DUMMYFUNCTION("""COMPUTED_VALUE"""),"")</f>
        <v/>
      </c>
      <c r="AD24" s="332">
        <f>IFERROR(__xludf.DUMMYFUNCTION("""COMPUTED_VALUE"""),254.1176470588235)</f>
        <v>254.1176471</v>
      </c>
      <c r="AE24" s="333" t="str">
        <f>IFERROR(__xludf.DUMMYFUNCTION("""COMPUTED_VALUE"""),"AP")</f>
        <v>AP</v>
      </c>
      <c r="AF24" s="332">
        <f>IFERROR(__xludf.DUMMYFUNCTION("""COMPUTED_VALUE"""),15.74074074074074)</f>
        <v>15.74074074</v>
      </c>
      <c r="AG24" s="334" t="str">
        <f>IFERROR(__xludf.DUMMYFUNCTION("""COMPUTED_VALUE"""),"%")</f>
        <v>%</v>
      </c>
      <c r="AH24" s="330">
        <f>IFERROR(__xludf.DUMMYFUNCTION("""COMPUTED_VALUE"""),40.0)</f>
        <v>40</v>
      </c>
      <c r="AI24" s="331">
        <f>IFERROR(__xludf.DUMMYFUNCTION("""COMPUTED_VALUE"""),108.0)</f>
        <v>108</v>
      </c>
      <c r="AJ24" s="329" t="str">
        <f>IFERROR(__xludf.DUMMYFUNCTION("""COMPUTED_VALUE"""),"Burial Chamber")</f>
        <v>Burial Chamber</v>
      </c>
    </row>
    <row r="25" ht="24.75" customHeight="1">
      <c r="A25" s="319">
        <f>IFERROR(__xludf.DUMMYFUNCTION("""COMPUTED_VALUE"""),5.0)</f>
        <v>5</v>
      </c>
      <c r="B25" s="319" t="str">
        <f>IFERROR(__xludf.DUMMYFUNCTION("""COMPUTED_VALUE"""),"E1905C")</f>
        <v>E1905C</v>
      </c>
      <c r="C25" s="319" t="str">
        <f>IFERROR(__xludf.DUMMYFUNCTION("""COMPUTED_VALUE"""),"")</f>
        <v/>
      </c>
      <c r="D25" s="320" t="str">
        <f>IFERROR(__xludf.DUMMYFUNCTION("""COMPUTED_VALUE"""),"")</f>
        <v/>
      </c>
      <c r="E25" s="321" t="str">
        <f>IFERROR(__xludf.DUMMYFUNCTION("""COMPUTED_VALUE"""),"")</f>
        <v/>
      </c>
      <c r="F25" s="322" t="str">
        <f>IFERROR(__xludf.DUMMYFUNCTION("""COMPUTED_VALUE"""),"")</f>
        <v/>
      </c>
      <c r="G25" s="322" t="str">
        <f>IFERROR(__xludf.DUMMYFUNCTION("""COMPUTED_VALUE"""),"")</f>
        <v/>
      </c>
      <c r="H25" s="323" t="str">
        <f>IFERROR(__xludf.DUMMYFUNCTION("""COMPUTED_VALUE""")," ")</f>
        <v> </v>
      </c>
      <c r="I25" s="324" t="str">
        <f>IFERROR(__xludf.DUMMYFUNCTION("""COMPUTED_VALUE"""),"")</f>
        <v/>
      </c>
      <c r="J25" s="325" t="str">
        <f>IFERROR(__xludf.DUMMYFUNCTION("""COMPUTED_VALUE"""),"AP")</f>
        <v>AP</v>
      </c>
      <c r="K25" s="324">
        <f>IFERROR(__xludf.DUMMYFUNCTION("""COMPUTED_VALUE"""),0.0)</f>
        <v>0</v>
      </c>
      <c r="L25" s="325" t="str">
        <f>IFERROR(__xludf.DUMMYFUNCTION("""COMPUTED_VALUE"""),"%")</f>
        <v>%</v>
      </c>
      <c r="M25" s="326">
        <f>IFERROR(__xludf.DUMMYFUNCTION("""COMPUTED_VALUE"""),1.0)</f>
        <v>1</v>
      </c>
      <c r="N25" s="324" t="str">
        <f>IFERROR(__xludf.DUMMYFUNCTION("""COMPUTED_VALUE"""),"")</f>
        <v/>
      </c>
      <c r="O25" s="327" t="str">
        <f>IFERROR(__xludf.DUMMYFUNCTION("""COMPUTED_VALUE"""),"")</f>
        <v/>
      </c>
      <c r="P25" s="324" t="str">
        <f>IFERROR(__xludf.DUMMYFUNCTION("""COMPUTED_VALUE"""),"")</f>
        <v/>
      </c>
      <c r="Q25" s="325" t="str">
        <f>IFERROR(__xludf.DUMMYFUNCTION("""COMPUTED_VALUE"""),"AP")</f>
        <v>AP</v>
      </c>
      <c r="R25" s="324">
        <f>IFERROR(__xludf.DUMMYFUNCTION("""COMPUTED_VALUE"""),0.0)</f>
        <v>0</v>
      </c>
      <c r="S25" s="325" t="str">
        <f>IFERROR(__xludf.DUMMYFUNCTION("""COMPUTED_VALUE"""),"%")</f>
        <v>%</v>
      </c>
      <c r="T25" s="326">
        <f>IFERROR(__xludf.DUMMYFUNCTION("""COMPUTED_VALUE"""),2.0)</f>
        <v>2</v>
      </c>
      <c r="U25" s="324" t="str">
        <f>IFERROR(__xludf.DUMMYFUNCTION("""COMPUTED_VALUE"""),"")</f>
        <v/>
      </c>
      <c r="V25" s="327" t="str">
        <f>IFERROR(__xludf.DUMMYFUNCTION("""COMPUTED_VALUE"""),"")</f>
        <v/>
      </c>
      <c r="W25" s="324" t="str">
        <f>IFERROR(__xludf.DUMMYFUNCTION("""COMPUTED_VALUE"""),"")</f>
        <v/>
      </c>
      <c r="X25" s="325" t="str">
        <f>IFERROR(__xludf.DUMMYFUNCTION("""COMPUTED_VALUE"""),"AP")</f>
        <v>AP</v>
      </c>
      <c r="Y25" s="324">
        <f>IFERROR(__xludf.DUMMYFUNCTION("""COMPUTED_VALUE"""),0.0)</f>
        <v>0</v>
      </c>
      <c r="Z25" s="325" t="str">
        <f>IFERROR(__xludf.DUMMYFUNCTION("""COMPUTED_VALUE"""),"%")</f>
        <v>%</v>
      </c>
      <c r="AA25" s="326">
        <f>IFERROR(__xludf.DUMMYFUNCTION("""COMPUTED_VALUE"""),3.0)</f>
        <v>3</v>
      </c>
      <c r="AB25" s="324" t="str">
        <f>IFERROR(__xludf.DUMMYFUNCTION("""COMPUTED_VALUE"""),"")</f>
        <v/>
      </c>
      <c r="AC25" s="327" t="str">
        <f>IFERROR(__xludf.DUMMYFUNCTION("""COMPUTED_VALUE"""),"")</f>
        <v/>
      </c>
      <c r="AD25" s="324" t="str">
        <f>IFERROR(__xludf.DUMMYFUNCTION("""COMPUTED_VALUE"""),"")</f>
        <v/>
      </c>
      <c r="AE25" s="325" t="str">
        <f>IFERROR(__xludf.DUMMYFUNCTION("""COMPUTED_VALUE"""),"AP")</f>
        <v>AP</v>
      </c>
      <c r="AF25" s="324">
        <f>IFERROR(__xludf.DUMMYFUNCTION("""COMPUTED_VALUE"""),0.0)</f>
        <v>0</v>
      </c>
      <c r="AG25" s="325" t="str">
        <f>IFERROR(__xludf.DUMMYFUNCTION("""COMPUTED_VALUE"""),"%")</f>
        <v>%</v>
      </c>
      <c r="AH25" s="321" t="str">
        <f>IFERROR(__xludf.DUMMYFUNCTION("""COMPUTED_VALUE"""),"")</f>
        <v/>
      </c>
      <c r="AI25" s="322" t="str">
        <f>IFERROR(__xludf.DUMMYFUNCTION("""COMPUTED_VALUE"""),"")</f>
        <v/>
      </c>
      <c r="AJ25" s="320" t="str">
        <f>IFERROR(__xludf.DUMMYFUNCTION("""COMPUTED_VALUE"""),"")</f>
        <v/>
      </c>
    </row>
    <row r="26">
      <c r="A26" s="336" t="str">
        <f>IFERROR(__xludf.DUMMYFUNCTION("""COMPUTED_VALUE"""),"")</f>
        <v/>
      </c>
      <c r="B26" s="337" t="str">
        <f>IFERROR(__xludf.DUMMYFUNCTION("""COMPUTED_VALUE"""),"")</f>
        <v/>
      </c>
      <c r="C26" s="338" t="str">
        <f>IFERROR(__xludf.DUMMYFUNCTION("""COMPUTED_VALUE"""),"")</f>
        <v/>
      </c>
      <c r="D26" s="339" t="str">
        <f>IFERROR(__xludf.DUMMYFUNCTION("""COMPUTED_VALUE"""),"")</f>
        <v/>
      </c>
      <c r="E26" s="337" t="str">
        <f>IFERROR(__xludf.DUMMYFUNCTION("""COMPUTED_VALUE"""),"")</f>
        <v/>
      </c>
      <c r="F26" s="337" t="str">
        <f>IFERROR(__xludf.DUMMYFUNCTION("""COMPUTED_VALUE"""),"")</f>
        <v/>
      </c>
      <c r="G26" s="337" t="str">
        <f>IFERROR(__xludf.DUMMYFUNCTION("""COMPUTED_VALUE"""),"")</f>
        <v/>
      </c>
      <c r="H26" s="337" t="str">
        <f>IFERROR(__xludf.DUMMYFUNCTION("""COMPUTED_VALUE"""),"")</f>
        <v/>
      </c>
      <c r="I26" s="337" t="str">
        <f>IFERROR(__xludf.DUMMYFUNCTION("""COMPUTED_VALUE"""),"")</f>
        <v/>
      </c>
      <c r="J26" s="341" t="str">
        <f>IFERROR(__xludf.DUMMYFUNCTION("""COMPUTED_VALUE"""),"")</f>
        <v/>
      </c>
      <c r="K26" s="337" t="str">
        <f>IFERROR(__xludf.DUMMYFUNCTION("""COMPUTED_VALUE"""),"")</f>
        <v/>
      </c>
      <c r="L26" s="341" t="str">
        <f>IFERROR(__xludf.DUMMYFUNCTION("""COMPUTED_VALUE"""),"")</f>
        <v/>
      </c>
      <c r="M26" s="337" t="str">
        <f>IFERROR(__xludf.DUMMYFUNCTION("""COMPUTED_VALUE"""),"")</f>
        <v/>
      </c>
      <c r="N26" s="337" t="str">
        <f>IFERROR(__xludf.DUMMYFUNCTION("""COMPUTED_VALUE"""),"")</f>
        <v/>
      </c>
      <c r="O26" s="337" t="str">
        <f>IFERROR(__xludf.DUMMYFUNCTION("""COMPUTED_VALUE"""),"")</f>
        <v/>
      </c>
      <c r="P26" s="337" t="str">
        <f>IFERROR(__xludf.DUMMYFUNCTION("""COMPUTED_VALUE"""),"")</f>
        <v/>
      </c>
      <c r="Q26" s="341" t="str">
        <f>IFERROR(__xludf.DUMMYFUNCTION("""COMPUTED_VALUE"""),"")</f>
        <v/>
      </c>
      <c r="R26" s="337" t="str">
        <f>IFERROR(__xludf.DUMMYFUNCTION("""COMPUTED_VALUE"""),"")</f>
        <v/>
      </c>
      <c r="S26" s="341" t="str">
        <f>IFERROR(__xludf.DUMMYFUNCTION("""COMPUTED_VALUE"""),"")</f>
        <v/>
      </c>
      <c r="T26" s="337" t="str">
        <f>IFERROR(__xludf.DUMMYFUNCTION("""COMPUTED_VALUE"""),"")</f>
        <v/>
      </c>
      <c r="U26" s="337" t="str">
        <f>IFERROR(__xludf.DUMMYFUNCTION("""COMPUTED_VALUE"""),"")</f>
        <v/>
      </c>
      <c r="V26" s="337" t="str">
        <f>IFERROR(__xludf.DUMMYFUNCTION("""COMPUTED_VALUE"""),"")</f>
        <v/>
      </c>
      <c r="W26" s="337" t="str">
        <f>IFERROR(__xludf.DUMMYFUNCTION("""COMPUTED_VALUE"""),"")</f>
        <v/>
      </c>
      <c r="X26" s="341" t="str">
        <f>IFERROR(__xludf.DUMMYFUNCTION("""COMPUTED_VALUE"""),"")</f>
        <v/>
      </c>
      <c r="Y26" s="337" t="str">
        <f>IFERROR(__xludf.DUMMYFUNCTION("""COMPUTED_VALUE"""),"")</f>
        <v/>
      </c>
      <c r="Z26" s="341" t="str">
        <f>IFERROR(__xludf.DUMMYFUNCTION("""COMPUTED_VALUE"""),"")</f>
        <v/>
      </c>
      <c r="AA26" s="337" t="str">
        <f>IFERROR(__xludf.DUMMYFUNCTION("""COMPUTED_VALUE"""),"")</f>
        <v/>
      </c>
      <c r="AB26" s="337" t="str">
        <f>IFERROR(__xludf.DUMMYFUNCTION("""COMPUTED_VALUE"""),"")</f>
        <v/>
      </c>
      <c r="AC26" s="337" t="str">
        <f>IFERROR(__xludf.DUMMYFUNCTION("""COMPUTED_VALUE"""),"")</f>
        <v/>
      </c>
      <c r="AD26" s="337" t="str">
        <f>IFERROR(__xludf.DUMMYFUNCTION("""COMPUTED_VALUE"""),"")</f>
        <v/>
      </c>
      <c r="AE26" s="341" t="str">
        <f>IFERROR(__xludf.DUMMYFUNCTION("""COMPUTED_VALUE"""),"")</f>
        <v/>
      </c>
      <c r="AF26" s="337" t="str">
        <f>IFERROR(__xludf.DUMMYFUNCTION("""COMPUTED_VALUE"""),"")</f>
        <v/>
      </c>
      <c r="AG26" s="341" t="str">
        <f>IFERROR(__xludf.DUMMYFUNCTION("""COMPUTED_VALUE"""),"")</f>
        <v/>
      </c>
      <c r="AH26" s="337" t="str">
        <f>IFERROR(__xludf.DUMMYFUNCTION("""COMPUTED_VALUE"""),"")</f>
        <v/>
      </c>
      <c r="AI26" s="337" t="str">
        <f>IFERROR(__xludf.DUMMYFUNCTION("""COMPUTED_VALUE"""),"")</f>
        <v/>
      </c>
      <c r="AJ26" s="342" t="str">
        <f>IFERROR(__xludf.DUMMYFUNCTION("""COMPUTED_VALUE"""),"")</f>
        <v/>
      </c>
    </row>
    <row r="27">
      <c r="A27" s="343" t="str">
        <f>IFERROR(__xludf.DUMMYFUNCTION("""COMPUTED_VALUE"""),"")</f>
        <v/>
      </c>
      <c r="B27" s="344" t="str">
        <f>IFERROR(__xludf.DUMMYFUNCTION("""COMPUTED_VALUE"""),"")</f>
        <v/>
      </c>
      <c r="C27" s="345" t="str">
        <f>IFERROR(__xludf.DUMMYFUNCTION("""COMPUTED_VALUE"""),"")</f>
        <v/>
      </c>
      <c r="D27" s="346" t="str">
        <f>IFERROR(__xludf.DUMMYFUNCTION("""COMPUTED_VALUE"""),"")</f>
        <v/>
      </c>
      <c r="E27" s="344" t="str">
        <f>IFERROR(__xludf.DUMMYFUNCTION("""COMPUTED_VALUE"""),"")</f>
        <v/>
      </c>
      <c r="F27" s="344" t="str">
        <f>IFERROR(__xludf.DUMMYFUNCTION("""COMPUTED_VALUE"""),"")</f>
        <v/>
      </c>
      <c r="G27" s="344" t="str">
        <f>IFERROR(__xludf.DUMMYFUNCTION("""COMPUTED_VALUE"""),"")</f>
        <v/>
      </c>
      <c r="H27" s="344" t="str">
        <f>IFERROR(__xludf.DUMMYFUNCTION("""COMPUTED_VALUE"""),"")</f>
        <v/>
      </c>
      <c r="I27" s="344" t="str">
        <f>IFERROR(__xludf.DUMMYFUNCTION("""COMPUTED_VALUE"""),"")</f>
        <v/>
      </c>
      <c r="J27" s="347" t="str">
        <f>IFERROR(__xludf.DUMMYFUNCTION("""COMPUTED_VALUE"""),"")</f>
        <v/>
      </c>
      <c r="K27" s="344" t="str">
        <f>IFERROR(__xludf.DUMMYFUNCTION("""COMPUTED_VALUE"""),"")</f>
        <v/>
      </c>
      <c r="L27" s="347" t="str">
        <f>IFERROR(__xludf.DUMMYFUNCTION("""COMPUTED_VALUE"""),"")</f>
        <v/>
      </c>
      <c r="M27" s="344" t="str">
        <f>IFERROR(__xludf.DUMMYFUNCTION("""COMPUTED_VALUE"""),"")</f>
        <v/>
      </c>
      <c r="N27" s="344" t="str">
        <f>IFERROR(__xludf.DUMMYFUNCTION("""COMPUTED_VALUE"""),"")</f>
        <v/>
      </c>
      <c r="O27" s="344" t="str">
        <f>IFERROR(__xludf.DUMMYFUNCTION("""COMPUTED_VALUE"""),"")</f>
        <v/>
      </c>
      <c r="P27" s="344" t="str">
        <f>IFERROR(__xludf.DUMMYFUNCTION("""COMPUTED_VALUE"""),"")</f>
        <v/>
      </c>
      <c r="Q27" s="347" t="str">
        <f>IFERROR(__xludf.DUMMYFUNCTION("""COMPUTED_VALUE"""),"")</f>
        <v/>
      </c>
      <c r="R27" s="344" t="str">
        <f>IFERROR(__xludf.DUMMYFUNCTION("""COMPUTED_VALUE"""),"")</f>
        <v/>
      </c>
      <c r="S27" s="347" t="str">
        <f>IFERROR(__xludf.DUMMYFUNCTION("""COMPUTED_VALUE"""),"")</f>
        <v/>
      </c>
      <c r="T27" s="344" t="str">
        <f>IFERROR(__xludf.DUMMYFUNCTION("""COMPUTED_VALUE"""),"")</f>
        <v/>
      </c>
      <c r="U27" s="344" t="str">
        <f>IFERROR(__xludf.DUMMYFUNCTION("""COMPUTED_VALUE"""),"")</f>
        <v/>
      </c>
      <c r="V27" s="344" t="str">
        <f>IFERROR(__xludf.DUMMYFUNCTION("""COMPUTED_VALUE"""),"")</f>
        <v/>
      </c>
      <c r="W27" s="344" t="str">
        <f>IFERROR(__xludf.DUMMYFUNCTION("""COMPUTED_VALUE"""),"")</f>
        <v/>
      </c>
      <c r="X27" s="347" t="str">
        <f>IFERROR(__xludf.DUMMYFUNCTION("""COMPUTED_VALUE"""),"")</f>
        <v/>
      </c>
      <c r="Y27" s="344" t="str">
        <f>IFERROR(__xludf.DUMMYFUNCTION("""COMPUTED_VALUE"""),"")</f>
        <v/>
      </c>
      <c r="Z27" s="347" t="str">
        <f>IFERROR(__xludf.DUMMYFUNCTION("""COMPUTED_VALUE"""),"")</f>
        <v/>
      </c>
      <c r="AA27" s="344" t="str">
        <f>IFERROR(__xludf.DUMMYFUNCTION("""COMPUTED_VALUE"""),"")</f>
        <v/>
      </c>
      <c r="AB27" s="344" t="str">
        <f>IFERROR(__xludf.DUMMYFUNCTION("""COMPUTED_VALUE"""),"")</f>
        <v/>
      </c>
      <c r="AC27" s="344" t="str">
        <f>IFERROR(__xludf.DUMMYFUNCTION("""COMPUTED_VALUE"""),"")</f>
        <v/>
      </c>
      <c r="AD27" s="344" t="str">
        <f>IFERROR(__xludf.DUMMYFUNCTION("""COMPUTED_VALUE"""),"")</f>
        <v/>
      </c>
      <c r="AE27" s="347" t="str">
        <f>IFERROR(__xludf.DUMMYFUNCTION("""COMPUTED_VALUE"""),"")</f>
        <v/>
      </c>
      <c r="AF27" s="344" t="str">
        <f>IFERROR(__xludf.DUMMYFUNCTION("""COMPUTED_VALUE"""),"")</f>
        <v/>
      </c>
      <c r="AG27" s="347" t="str">
        <f>IFERROR(__xludf.DUMMYFUNCTION("""COMPUTED_VALUE"""),"")</f>
        <v/>
      </c>
      <c r="AH27" s="344" t="str">
        <f>IFERROR(__xludf.DUMMYFUNCTION("""COMPUTED_VALUE"""),"")</f>
        <v/>
      </c>
      <c r="AI27" s="344" t="str">
        <f>IFERROR(__xludf.DUMMYFUNCTION("""COMPUTED_VALUE"""),"")</f>
        <v/>
      </c>
      <c r="AJ27" s="348" t="str">
        <f>IFERROR(__xludf.DUMMYFUNCTION("""COMPUTED_VALUE"""),"")</f>
        <v/>
      </c>
    </row>
    <row r="28" ht="16.5" customHeight="1">
      <c r="A28" s="349">
        <f>IFERROR(__xludf.DUMMYFUNCTION("""COMPUTED_VALUE"""),4.0)</f>
        <v>4</v>
      </c>
      <c r="B28" s="313" t="str">
        <f>IFERROR(__xludf.DUMMYFUNCTION("""COMPUTED_VALUE"""),"A101")</f>
        <v>A101</v>
      </c>
      <c r="C28" s="314" t="str">
        <f>IFERROR(__xludf.DUMMYFUNCTION("""COMPUTED_VALUE"""),"")</f>
        <v/>
      </c>
      <c r="D28" s="350" t="str">
        <f>IFERROR(__xludf.DUMMYFUNCTION("""COMPUTED_VALUE"""),"Claw of Chaos")</f>
        <v>Claw of Chaos</v>
      </c>
      <c r="E28" s="351" t="str">
        <f>IFERROR(__xludf.DUMMYFUNCTION("""COMPUTED_VALUE"""),"AP")</f>
        <v>AP</v>
      </c>
      <c r="F28" s="351" t="str">
        <f>IFERROR(__xludf.DUMMYFUNCTION("""COMPUTED_VALUE"""),"Runs")</f>
        <v>Runs</v>
      </c>
      <c r="G28" s="351" t="str">
        <f>IFERROR(__xludf.DUMMYFUNCTION("""COMPUTED_VALUE"""),"Status")</f>
        <v>Status</v>
      </c>
      <c r="H28" s="351" t="str">
        <f>IFERROR(__xludf.DUMMYFUNCTION("""COMPUTED_VALUE"""),"Mat")</f>
        <v>Mat</v>
      </c>
      <c r="I28" s="351" t="str">
        <f>IFERROR(__xludf.DUMMYFUNCTION("""COMPUTED_VALUE"""),"AP/Drop")</f>
        <v>AP/Drop</v>
      </c>
      <c r="J28" s="351" t="str">
        <f>IFERROR(__xludf.DUMMYFUNCTION("""COMPUTED_VALUE"""),"")</f>
        <v/>
      </c>
      <c r="K28" s="351" t="str">
        <f>IFERROR(__xludf.DUMMYFUNCTION("""COMPUTED_VALUE"""),"Droprate")</f>
        <v>Droprate</v>
      </c>
      <c r="L28" s="351" t="str">
        <f>IFERROR(__xludf.DUMMYFUNCTION("""COMPUTED_VALUE"""),"")</f>
        <v/>
      </c>
      <c r="M28" s="351" t="str">
        <f>IFERROR(__xludf.DUMMYFUNCTION("""COMPUTED_VALUE"""),"#2")</f>
        <v>#2</v>
      </c>
      <c r="N28" s="351" t="str">
        <f>IFERROR(__xludf.DUMMYFUNCTION("""COMPUTED_VALUE"""),"Item 2 ID")</f>
        <v>Item 2 ID</v>
      </c>
      <c r="O28" s="351" t="str">
        <f>IFERROR(__xludf.DUMMYFUNCTION("""COMPUTED_VALUE"""),"Mat")</f>
        <v>Mat</v>
      </c>
      <c r="P28" s="351" t="str">
        <f>IFERROR(__xludf.DUMMYFUNCTION("""COMPUTED_VALUE"""),"AP/Drop")</f>
        <v>AP/Drop</v>
      </c>
      <c r="Q28" s="351" t="str">
        <f>IFERROR(__xludf.DUMMYFUNCTION("""COMPUTED_VALUE"""),"")</f>
        <v/>
      </c>
      <c r="R28" s="351" t="str">
        <f>IFERROR(__xludf.DUMMYFUNCTION("""COMPUTED_VALUE"""),"Droprate")</f>
        <v>Droprate</v>
      </c>
      <c r="S28" s="351" t="str">
        <f>IFERROR(__xludf.DUMMYFUNCTION("""COMPUTED_VALUE"""),"")</f>
        <v/>
      </c>
      <c r="T28" s="351" t="str">
        <f>IFERROR(__xludf.DUMMYFUNCTION("""COMPUTED_VALUE"""),"#3")</f>
        <v>#3</v>
      </c>
      <c r="U28" s="351" t="str">
        <f>IFERROR(__xludf.DUMMYFUNCTION("""COMPUTED_VALUE"""),"Item 2 ID")</f>
        <v>Item 2 ID</v>
      </c>
      <c r="V28" s="351" t="str">
        <f>IFERROR(__xludf.DUMMYFUNCTION("""COMPUTED_VALUE"""),"Mat")</f>
        <v>Mat</v>
      </c>
      <c r="W28" s="351" t="str">
        <f>IFERROR(__xludf.DUMMYFUNCTION("""COMPUTED_VALUE"""),"AP/Drop")</f>
        <v>AP/Drop</v>
      </c>
      <c r="X28" s="351" t="str">
        <f>IFERROR(__xludf.DUMMYFUNCTION("""COMPUTED_VALUE"""),"")</f>
        <v/>
      </c>
      <c r="Y28" s="351" t="str">
        <f>IFERROR(__xludf.DUMMYFUNCTION("""COMPUTED_VALUE"""),"Droprate")</f>
        <v>Droprate</v>
      </c>
      <c r="Z28" s="351" t="str">
        <f>IFERROR(__xludf.DUMMYFUNCTION("""COMPUTED_VALUE"""),"")</f>
        <v/>
      </c>
      <c r="AA28" s="351" t="str">
        <f>IFERROR(__xludf.DUMMYFUNCTION("""COMPUTED_VALUE"""),"#4")</f>
        <v>#4</v>
      </c>
      <c r="AB28" s="351" t="str">
        <f>IFERROR(__xludf.DUMMYFUNCTION("""COMPUTED_VALUE"""),"Item 3 ID")</f>
        <v>Item 3 ID</v>
      </c>
      <c r="AC28" s="351" t="str">
        <f>IFERROR(__xludf.DUMMYFUNCTION("""COMPUTED_VALUE"""),"Mat")</f>
        <v>Mat</v>
      </c>
      <c r="AD28" s="351" t="str">
        <f>IFERROR(__xludf.DUMMYFUNCTION("""COMPUTED_VALUE"""),"AP/Drop")</f>
        <v>AP/Drop</v>
      </c>
      <c r="AE28" s="351" t="str">
        <f>IFERROR(__xludf.DUMMYFUNCTION("""COMPUTED_VALUE"""),"")</f>
        <v/>
      </c>
      <c r="AF28" s="351" t="str">
        <f>IFERROR(__xludf.DUMMYFUNCTION("""COMPUTED_VALUE"""),"Droprate")</f>
        <v>Droprate</v>
      </c>
      <c r="AG28" s="351" t="str">
        <f>IFERROR(__xludf.DUMMYFUNCTION("""COMPUTED_VALUE"""),"")</f>
        <v/>
      </c>
      <c r="AH28" s="351" t="str">
        <f>IFERROR(__xludf.DUMMYFUNCTION("""COMPUTED_VALUE"""),"AP")</f>
        <v>AP</v>
      </c>
      <c r="AI28" s="351" t="str">
        <f>IFERROR(__xludf.DUMMYFUNCTION("""COMPUTED_VALUE"""),"Runs")</f>
        <v>Runs</v>
      </c>
      <c r="AJ28" s="351" t="str">
        <f>IFERROR(__xludf.DUMMYFUNCTION("""COMPUTED_VALUE"""),"Node Name")</f>
        <v>Node Name</v>
      </c>
    </row>
    <row r="29" ht="16.5" customHeight="1">
      <c r="D29" s="317" t="str">
        <f>IFERROR(__xludf.DUMMYFUNCTION("""COMPUTED_VALUE"""),"#N/A")</f>
        <v>#N/A</v>
      </c>
      <c r="E29" s="318"/>
      <c r="F29" s="318"/>
      <c r="G29" s="318"/>
      <c r="H29" s="318"/>
      <c r="I29" s="318"/>
      <c r="J29" s="318"/>
      <c r="K29" s="318"/>
      <c r="L29" s="318"/>
      <c r="M29" s="318"/>
      <c r="N29" s="318"/>
      <c r="O29" s="318"/>
      <c r="P29" s="318"/>
      <c r="Q29" s="318"/>
      <c r="R29" s="318"/>
      <c r="S29" s="318"/>
      <c r="T29" s="318"/>
      <c r="U29" s="318"/>
      <c r="V29" s="318"/>
      <c r="W29" s="318"/>
      <c r="X29" s="318"/>
      <c r="Y29" s="318"/>
      <c r="Z29" s="318"/>
      <c r="AA29" s="318"/>
      <c r="AB29" s="318"/>
      <c r="AC29" s="318"/>
      <c r="AD29" s="318"/>
      <c r="AE29" s="318"/>
      <c r="AF29" s="318"/>
      <c r="AG29" s="318"/>
      <c r="AH29" s="318"/>
      <c r="AI29" s="318"/>
      <c r="AJ29" s="318"/>
    </row>
    <row r="30" ht="24.75" customHeight="1">
      <c r="A30" s="319">
        <f>IFERROR(__xludf.DUMMYFUNCTION("""COMPUTED_VALUE"""),1.0)</f>
        <v>1</v>
      </c>
      <c r="B30" s="319" t="str">
        <f>IFERROR(__xludf.DUMMYFUNCTION("""COMPUTED_VALUE"""),"A101")</f>
        <v>A101</v>
      </c>
      <c r="C30" s="319" t="str">
        <f>IFERROR(__xludf.DUMMYFUNCTION("""COMPUTED_VALUE"""),"")</f>
        <v/>
      </c>
      <c r="D30" s="320" t="str">
        <f>IFERROR(__xludf.DUMMYFUNCTION("""COMPUTED_VALUE"""),"")</f>
        <v/>
      </c>
      <c r="E30" s="321" t="str">
        <f>IFERROR(__xludf.DUMMYFUNCTION("""COMPUTED_VALUE"""),"")</f>
        <v/>
      </c>
      <c r="F30" s="322" t="str">
        <f>IFERROR(__xludf.DUMMYFUNCTION("""COMPUTED_VALUE"""),"")</f>
        <v/>
      </c>
      <c r="G30" s="322" t="str">
        <f>IFERROR(__xludf.DUMMYFUNCTION("""COMPUTED_VALUE"""),"")</f>
        <v/>
      </c>
      <c r="H30" s="323" t="str">
        <f>IFERROR(__xludf.DUMMYFUNCTION("""COMPUTED_VALUE""")," ")</f>
        <v> </v>
      </c>
      <c r="I30" s="324" t="str">
        <f>IFERROR(__xludf.DUMMYFUNCTION("""COMPUTED_VALUE"""),"")</f>
        <v/>
      </c>
      <c r="J30" s="325" t="str">
        <f>IFERROR(__xludf.DUMMYFUNCTION("""COMPUTED_VALUE"""),"AP")</f>
        <v>AP</v>
      </c>
      <c r="K30" s="324">
        <f>IFERROR(__xludf.DUMMYFUNCTION("""COMPUTED_VALUE"""),0.0)</f>
        <v>0</v>
      </c>
      <c r="L30" s="325" t="str">
        <f>IFERROR(__xludf.DUMMYFUNCTION("""COMPUTED_VALUE"""),"%")</f>
        <v>%</v>
      </c>
      <c r="M30" s="326">
        <f>IFERROR(__xludf.DUMMYFUNCTION("""COMPUTED_VALUE"""),1.0)</f>
        <v>1</v>
      </c>
      <c r="N30" s="324" t="str">
        <f>IFERROR(__xludf.DUMMYFUNCTION("""COMPUTED_VALUE"""),"")</f>
        <v/>
      </c>
      <c r="O30" s="327" t="str">
        <f>IFERROR(__xludf.DUMMYFUNCTION("""COMPUTED_VALUE"""),"")</f>
        <v/>
      </c>
      <c r="P30" s="324" t="str">
        <f>IFERROR(__xludf.DUMMYFUNCTION("""COMPUTED_VALUE"""),"")</f>
        <v/>
      </c>
      <c r="Q30" s="325" t="str">
        <f>IFERROR(__xludf.DUMMYFUNCTION("""COMPUTED_VALUE"""),"AP")</f>
        <v>AP</v>
      </c>
      <c r="R30" s="324">
        <f>IFERROR(__xludf.DUMMYFUNCTION("""COMPUTED_VALUE"""),0.0)</f>
        <v>0</v>
      </c>
      <c r="S30" s="325" t="str">
        <f>IFERROR(__xludf.DUMMYFUNCTION("""COMPUTED_VALUE"""),"%")</f>
        <v>%</v>
      </c>
      <c r="T30" s="326">
        <f>IFERROR(__xludf.DUMMYFUNCTION("""COMPUTED_VALUE"""),2.0)</f>
        <v>2</v>
      </c>
      <c r="U30" s="324" t="str">
        <f>IFERROR(__xludf.DUMMYFUNCTION("""COMPUTED_VALUE"""),"")</f>
        <v/>
      </c>
      <c r="V30" s="327" t="str">
        <f>IFERROR(__xludf.DUMMYFUNCTION("""COMPUTED_VALUE"""),"")</f>
        <v/>
      </c>
      <c r="W30" s="324" t="str">
        <f>IFERROR(__xludf.DUMMYFUNCTION("""COMPUTED_VALUE"""),"")</f>
        <v/>
      </c>
      <c r="X30" s="325" t="str">
        <f>IFERROR(__xludf.DUMMYFUNCTION("""COMPUTED_VALUE"""),"AP")</f>
        <v>AP</v>
      </c>
      <c r="Y30" s="324">
        <f>IFERROR(__xludf.DUMMYFUNCTION("""COMPUTED_VALUE"""),0.0)</f>
        <v>0</v>
      </c>
      <c r="Z30" s="325" t="str">
        <f>IFERROR(__xludf.DUMMYFUNCTION("""COMPUTED_VALUE"""),"%")</f>
        <v>%</v>
      </c>
      <c r="AA30" s="326">
        <f>IFERROR(__xludf.DUMMYFUNCTION("""COMPUTED_VALUE"""),3.0)</f>
        <v>3</v>
      </c>
      <c r="AB30" s="324" t="str">
        <f>IFERROR(__xludf.DUMMYFUNCTION("""COMPUTED_VALUE"""),"")</f>
        <v/>
      </c>
      <c r="AC30" s="327" t="str">
        <f>IFERROR(__xludf.DUMMYFUNCTION("""COMPUTED_VALUE"""),"")</f>
        <v/>
      </c>
      <c r="AD30" s="324" t="str">
        <f>IFERROR(__xludf.DUMMYFUNCTION("""COMPUTED_VALUE"""),"")</f>
        <v/>
      </c>
      <c r="AE30" s="325" t="str">
        <f>IFERROR(__xludf.DUMMYFUNCTION("""COMPUTED_VALUE"""),"AP")</f>
        <v>AP</v>
      </c>
      <c r="AF30" s="324">
        <f>IFERROR(__xludf.DUMMYFUNCTION("""COMPUTED_VALUE"""),0.0)</f>
        <v>0</v>
      </c>
      <c r="AG30" s="325" t="str">
        <f>IFERROR(__xludf.DUMMYFUNCTION("""COMPUTED_VALUE"""),"%")</f>
        <v>%</v>
      </c>
      <c r="AH30" s="321" t="str">
        <f>IFERROR(__xludf.DUMMYFUNCTION("""COMPUTED_VALUE"""),"")</f>
        <v/>
      </c>
      <c r="AI30" s="322" t="str">
        <f>IFERROR(__xludf.DUMMYFUNCTION("""COMPUTED_VALUE"""),"")</f>
        <v/>
      </c>
      <c r="AJ30" s="320" t="str">
        <f>IFERROR(__xludf.DUMMYFUNCTION("""COMPUTED_VALUE"""),"")</f>
        <v/>
      </c>
    </row>
    <row r="31" ht="24.75" customHeight="1">
      <c r="A31" s="328">
        <f>IFERROR(__xludf.DUMMYFUNCTION("""COMPUTED_VALUE"""),2.0)</f>
        <v>2</v>
      </c>
      <c r="B31" s="328" t="str">
        <f>IFERROR(__xludf.DUMMYFUNCTION("""COMPUTED_VALUE"""),"A101")</f>
        <v>A101</v>
      </c>
      <c r="C31" s="328" t="str">
        <f>IFERROR(__xludf.DUMMYFUNCTION("""COMPUTED_VALUE"""),"")</f>
        <v/>
      </c>
      <c r="D31" s="329" t="str">
        <f>IFERROR(__xludf.DUMMYFUNCTION("""COMPUTED_VALUE"""),"")</f>
        <v/>
      </c>
      <c r="E31" s="330" t="str">
        <f>IFERROR(__xludf.DUMMYFUNCTION("""COMPUTED_VALUE"""),"")</f>
        <v/>
      </c>
      <c r="F31" s="331" t="str">
        <f>IFERROR(__xludf.DUMMYFUNCTION("""COMPUTED_VALUE"""),"")</f>
        <v/>
      </c>
      <c r="G31" s="331" t="str">
        <f>IFERROR(__xludf.DUMMYFUNCTION("""COMPUTED_VALUE"""),"")</f>
        <v/>
      </c>
      <c r="H31" s="323" t="str">
        <f>IFERROR(__xludf.DUMMYFUNCTION("""COMPUTED_VALUE""")," ")</f>
        <v> </v>
      </c>
      <c r="I31" s="332" t="str">
        <f>IFERROR(__xludf.DUMMYFUNCTION("""COMPUTED_VALUE"""),"")</f>
        <v/>
      </c>
      <c r="J31" s="333" t="str">
        <f>IFERROR(__xludf.DUMMYFUNCTION("""COMPUTED_VALUE"""),"AP")</f>
        <v>AP</v>
      </c>
      <c r="K31" s="332">
        <f>IFERROR(__xludf.DUMMYFUNCTION("""COMPUTED_VALUE"""),0.0)</f>
        <v>0</v>
      </c>
      <c r="L31" s="334" t="str">
        <f>IFERROR(__xludf.DUMMYFUNCTION("""COMPUTED_VALUE"""),"%")</f>
        <v>%</v>
      </c>
      <c r="M31" s="335">
        <f>IFERROR(__xludf.DUMMYFUNCTION("""COMPUTED_VALUE"""),1.0)</f>
        <v>1</v>
      </c>
      <c r="N31" s="332" t="str">
        <f>IFERROR(__xludf.DUMMYFUNCTION("""COMPUTED_VALUE"""),"")</f>
        <v/>
      </c>
      <c r="O31" s="327" t="str">
        <f>IFERROR(__xludf.DUMMYFUNCTION("""COMPUTED_VALUE"""),"")</f>
        <v/>
      </c>
      <c r="P31" s="332" t="str">
        <f>IFERROR(__xludf.DUMMYFUNCTION("""COMPUTED_VALUE"""),"")</f>
        <v/>
      </c>
      <c r="Q31" s="333" t="str">
        <f>IFERROR(__xludf.DUMMYFUNCTION("""COMPUTED_VALUE"""),"AP")</f>
        <v>AP</v>
      </c>
      <c r="R31" s="332">
        <f>IFERROR(__xludf.DUMMYFUNCTION("""COMPUTED_VALUE"""),0.0)</f>
        <v>0</v>
      </c>
      <c r="S31" s="334" t="str">
        <f>IFERROR(__xludf.DUMMYFUNCTION("""COMPUTED_VALUE"""),"%")</f>
        <v>%</v>
      </c>
      <c r="T31" s="335">
        <f>IFERROR(__xludf.DUMMYFUNCTION("""COMPUTED_VALUE"""),2.0)</f>
        <v>2</v>
      </c>
      <c r="U31" s="332" t="str">
        <f>IFERROR(__xludf.DUMMYFUNCTION("""COMPUTED_VALUE"""),"")</f>
        <v/>
      </c>
      <c r="V31" s="327" t="str">
        <f>IFERROR(__xludf.DUMMYFUNCTION("""COMPUTED_VALUE"""),"")</f>
        <v/>
      </c>
      <c r="W31" s="332" t="str">
        <f>IFERROR(__xludf.DUMMYFUNCTION("""COMPUTED_VALUE"""),"")</f>
        <v/>
      </c>
      <c r="X31" s="333" t="str">
        <f>IFERROR(__xludf.DUMMYFUNCTION("""COMPUTED_VALUE"""),"AP")</f>
        <v>AP</v>
      </c>
      <c r="Y31" s="332">
        <f>IFERROR(__xludf.DUMMYFUNCTION("""COMPUTED_VALUE"""),0.0)</f>
        <v>0</v>
      </c>
      <c r="Z31" s="334" t="str">
        <f>IFERROR(__xludf.DUMMYFUNCTION("""COMPUTED_VALUE"""),"%")</f>
        <v>%</v>
      </c>
      <c r="AA31" s="335">
        <f>IFERROR(__xludf.DUMMYFUNCTION("""COMPUTED_VALUE"""),3.0)</f>
        <v>3</v>
      </c>
      <c r="AB31" s="332" t="str">
        <f>IFERROR(__xludf.DUMMYFUNCTION("""COMPUTED_VALUE"""),"")</f>
        <v/>
      </c>
      <c r="AC31" s="327" t="str">
        <f>IFERROR(__xludf.DUMMYFUNCTION("""COMPUTED_VALUE"""),"")</f>
        <v/>
      </c>
      <c r="AD31" s="332" t="str">
        <f>IFERROR(__xludf.DUMMYFUNCTION("""COMPUTED_VALUE"""),"")</f>
        <v/>
      </c>
      <c r="AE31" s="333" t="str">
        <f>IFERROR(__xludf.DUMMYFUNCTION("""COMPUTED_VALUE"""),"AP")</f>
        <v>AP</v>
      </c>
      <c r="AF31" s="332">
        <f>IFERROR(__xludf.DUMMYFUNCTION("""COMPUTED_VALUE"""),0.0)</f>
        <v>0</v>
      </c>
      <c r="AG31" s="334" t="str">
        <f>IFERROR(__xludf.DUMMYFUNCTION("""COMPUTED_VALUE"""),"%")</f>
        <v>%</v>
      </c>
      <c r="AH31" s="330" t="str">
        <f>IFERROR(__xludf.DUMMYFUNCTION("""COMPUTED_VALUE"""),"")</f>
        <v/>
      </c>
      <c r="AI31" s="331" t="str">
        <f>IFERROR(__xludf.DUMMYFUNCTION("""COMPUTED_VALUE"""),"")</f>
        <v/>
      </c>
      <c r="AJ31" s="329" t="str">
        <f>IFERROR(__xludf.DUMMYFUNCTION("""COMPUTED_VALUE"""),"")</f>
        <v/>
      </c>
    </row>
    <row r="32" ht="24.75" customHeight="1">
      <c r="A32" s="319">
        <f>IFERROR(__xludf.DUMMYFUNCTION("""COMPUTED_VALUE"""),3.0)</f>
        <v>3</v>
      </c>
      <c r="B32" s="319" t="str">
        <f>IFERROR(__xludf.DUMMYFUNCTION("""COMPUTED_VALUE"""),"A101")</f>
        <v>A101</v>
      </c>
      <c r="C32" s="319" t="str">
        <f>IFERROR(__xludf.DUMMYFUNCTION("""COMPUTED_VALUE"""),"")</f>
        <v/>
      </c>
      <c r="D32" s="320" t="str">
        <f>IFERROR(__xludf.DUMMYFUNCTION("""COMPUTED_VALUE"""),"")</f>
        <v/>
      </c>
      <c r="E32" s="321" t="str">
        <f>IFERROR(__xludf.DUMMYFUNCTION("""COMPUTED_VALUE"""),"")</f>
        <v/>
      </c>
      <c r="F32" s="322" t="str">
        <f>IFERROR(__xludf.DUMMYFUNCTION("""COMPUTED_VALUE"""),"")</f>
        <v/>
      </c>
      <c r="G32" s="322" t="str">
        <f>IFERROR(__xludf.DUMMYFUNCTION("""COMPUTED_VALUE"""),"")</f>
        <v/>
      </c>
      <c r="H32" s="323" t="str">
        <f>IFERROR(__xludf.DUMMYFUNCTION("""COMPUTED_VALUE""")," ")</f>
        <v> </v>
      </c>
      <c r="I32" s="324" t="str">
        <f>IFERROR(__xludf.DUMMYFUNCTION("""COMPUTED_VALUE"""),"")</f>
        <v/>
      </c>
      <c r="J32" s="325" t="str">
        <f>IFERROR(__xludf.DUMMYFUNCTION("""COMPUTED_VALUE"""),"AP")</f>
        <v>AP</v>
      </c>
      <c r="K32" s="324">
        <f>IFERROR(__xludf.DUMMYFUNCTION("""COMPUTED_VALUE"""),0.0)</f>
        <v>0</v>
      </c>
      <c r="L32" s="325" t="str">
        <f>IFERROR(__xludf.DUMMYFUNCTION("""COMPUTED_VALUE"""),"%")</f>
        <v>%</v>
      </c>
      <c r="M32" s="326">
        <f>IFERROR(__xludf.DUMMYFUNCTION("""COMPUTED_VALUE"""),1.0)</f>
        <v>1</v>
      </c>
      <c r="N32" s="324" t="str">
        <f>IFERROR(__xludf.DUMMYFUNCTION("""COMPUTED_VALUE"""),"")</f>
        <v/>
      </c>
      <c r="O32" s="327" t="str">
        <f>IFERROR(__xludf.DUMMYFUNCTION("""COMPUTED_VALUE"""),"")</f>
        <v/>
      </c>
      <c r="P32" s="324" t="str">
        <f>IFERROR(__xludf.DUMMYFUNCTION("""COMPUTED_VALUE"""),"")</f>
        <v/>
      </c>
      <c r="Q32" s="325" t="str">
        <f>IFERROR(__xludf.DUMMYFUNCTION("""COMPUTED_VALUE"""),"AP")</f>
        <v>AP</v>
      </c>
      <c r="R32" s="324">
        <f>IFERROR(__xludf.DUMMYFUNCTION("""COMPUTED_VALUE"""),0.0)</f>
        <v>0</v>
      </c>
      <c r="S32" s="325" t="str">
        <f>IFERROR(__xludf.DUMMYFUNCTION("""COMPUTED_VALUE"""),"%")</f>
        <v>%</v>
      </c>
      <c r="T32" s="326">
        <f>IFERROR(__xludf.DUMMYFUNCTION("""COMPUTED_VALUE"""),2.0)</f>
        <v>2</v>
      </c>
      <c r="U32" s="324" t="str">
        <f>IFERROR(__xludf.DUMMYFUNCTION("""COMPUTED_VALUE"""),"")</f>
        <v/>
      </c>
      <c r="V32" s="327" t="str">
        <f>IFERROR(__xludf.DUMMYFUNCTION("""COMPUTED_VALUE"""),"")</f>
        <v/>
      </c>
      <c r="W32" s="324" t="str">
        <f>IFERROR(__xludf.DUMMYFUNCTION("""COMPUTED_VALUE"""),"")</f>
        <v/>
      </c>
      <c r="X32" s="325" t="str">
        <f>IFERROR(__xludf.DUMMYFUNCTION("""COMPUTED_VALUE"""),"AP")</f>
        <v>AP</v>
      </c>
      <c r="Y32" s="324">
        <f>IFERROR(__xludf.DUMMYFUNCTION("""COMPUTED_VALUE"""),0.0)</f>
        <v>0</v>
      </c>
      <c r="Z32" s="325" t="str">
        <f>IFERROR(__xludf.DUMMYFUNCTION("""COMPUTED_VALUE"""),"%")</f>
        <v>%</v>
      </c>
      <c r="AA32" s="326">
        <f>IFERROR(__xludf.DUMMYFUNCTION("""COMPUTED_VALUE"""),3.0)</f>
        <v>3</v>
      </c>
      <c r="AB32" s="324" t="str">
        <f>IFERROR(__xludf.DUMMYFUNCTION("""COMPUTED_VALUE"""),"")</f>
        <v/>
      </c>
      <c r="AC32" s="327" t="str">
        <f>IFERROR(__xludf.DUMMYFUNCTION("""COMPUTED_VALUE"""),"")</f>
        <v/>
      </c>
      <c r="AD32" s="324" t="str">
        <f>IFERROR(__xludf.DUMMYFUNCTION("""COMPUTED_VALUE"""),"")</f>
        <v/>
      </c>
      <c r="AE32" s="325" t="str">
        <f>IFERROR(__xludf.DUMMYFUNCTION("""COMPUTED_VALUE"""),"AP")</f>
        <v>AP</v>
      </c>
      <c r="AF32" s="324">
        <f>IFERROR(__xludf.DUMMYFUNCTION("""COMPUTED_VALUE"""),0.0)</f>
        <v>0</v>
      </c>
      <c r="AG32" s="325" t="str">
        <f>IFERROR(__xludf.DUMMYFUNCTION("""COMPUTED_VALUE"""),"%")</f>
        <v>%</v>
      </c>
      <c r="AH32" s="321" t="str">
        <f>IFERROR(__xludf.DUMMYFUNCTION("""COMPUTED_VALUE"""),"")</f>
        <v/>
      </c>
      <c r="AI32" s="322" t="str">
        <f>IFERROR(__xludf.DUMMYFUNCTION("""COMPUTED_VALUE"""),"")</f>
        <v/>
      </c>
      <c r="AJ32" s="320" t="str">
        <f>IFERROR(__xludf.DUMMYFUNCTION("""COMPUTED_VALUE"""),"")</f>
        <v/>
      </c>
    </row>
    <row r="33" ht="24.75" customHeight="1">
      <c r="A33" s="328">
        <f>IFERROR(__xludf.DUMMYFUNCTION("""COMPUTED_VALUE"""),4.0)</f>
        <v>4</v>
      </c>
      <c r="B33" s="328" t="str">
        <f>IFERROR(__xludf.DUMMYFUNCTION("""COMPUTED_VALUE"""),"A101")</f>
        <v>A101</v>
      </c>
      <c r="C33" s="328" t="str">
        <f>IFERROR(__xludf.DUMMYFUNCTION("""COMPUTED_VALUE"""),"")</f>
        <v/>
      </c>
      <c r="D33" s="329" t="str">
        <f>IFERROR(__xludf.DUMMYFUNCTION("""COMPUTED_VALUE"""),"")</f>
        <v/>
      </c>
      <c r="E33" s="330" t="str">
        <f>IFERROR(__xludf.DUMMYFUNCTION("""COMPUTED_VALUE"""),"")</f>
        <v/>
      </c>
      <c r="F33" s="331" t="str">
        <f>IFERROR(__xludf.DUMMYFUNCTION("""COMPUTED_VALUE"""),"")</f>
        <v/>
      </c>
      <c r="G33" s="331" t="str">
        <f>IFERROR(__xludf.DUMMYFUNCTION("""COMPUTED_VALUE"""),"")</f>
        <v/>
      </c>
      <c r="H33" s="323" t="str">
        <f>IFERROR(__xludf.DUMMYFUNCTION("""COMPUTED_VALUE""")," ")</f>
        <v> </v>
      </c>
      <c r="I33" s="332" t="str">
        <f>IFERROR(__xludf.DUMMYFUNCTION("""COMPUTED_VALUE"""),"")</f>
        <v/>
      </c>
      <c r="J33" s="333" t="str">
        <f>IFERROR(__xludf.DUMMYFUNCTION("""COMPUTED_VALUE"""),"AP")</f>
        <v>AP</v>
      </c>
      <c r="K33" s="332">
        <f>IFERROR(__xludf.DUMMYFUNCTION("""COMPUTED_VALUE"""),0.0)</f>
        <v>0</v>
      </c>
      <c r="L33" s="334" t="str">
        <f>IFERROR(__xludf.DUMMYFUNCTION("""COMPUTED_VALUE"""),"%")</f>
        <v>%</v>
      </c>
      <c r="M33" s="335">
        <f>IFERROR(__xludf.DUMMYFUNCTION("""COMPUTED_VALUE"""),1.0)</f>
        <v>1</v>
      </c>
      <c r="N33" s="332" t="str">
        <f>IFERROR(__xludf.DUMMYFUNCTION("""COMPUTED_VALUE"""),"")</f>
        <v/>
      </c>
      <c r="O33" s="327" t="str">
        <f>IFERROR(__xludf.DUMMYFUNCTION("""COMPUTED_VALUE"""),"")</f>
        <v/>
      </c>
      <c r="P33" s="332" t="str">
        <f>IFERROR(__xludf.DUMMYFUNCTION("""COMPUTED_VALUE"""),"")</f>
        <v/>
      </c>
      <c r="Q33" s="333" t="str">
        <f>IFERROR(__xludf.DUMMYFUNCTION("""COMPUTED_VALUE"""),"AP")</f>
        <v>AP</v>
      </c>
      <c r="R33" s="332">
        <f>IFERROR(__xludf.DUMMYFUNCTION("""COMPUTED_VALUE"""),0.0)</f>
        <v>0</v>
      </c>
      <c r="S33" s="334" t="str">
        <f>IFERROR(__xludf.DUMMYFUNCTION("""COMPUTED_VALUE"""),"%")</f>
        <v>%</v>
      </c>
      <c r="T33" s="335">
        <f>IFERROR(__xludf.DUMMYFUNCTION("""COMPUTED_VALUE"""),2.0)</f>
        <v>2</v>
      </c>
      <c r="U33" s="332" t="str">
        <f>IFERROR(__xludf.DUMMYFUNCTION("""COMPUTED_VALUE"""),"")</f>
        <v/>
      </c>
      <c r="V33" s="327" t="str">
        <f>IFERROR(__xludf.DUMMYFUNCTION("""COMPUTED_VALUE"""),"")</f>
        <v/>
      </c>
      <c r="W33" s="332" t="str">
        <f>IFERROR(__xludf.DUMMYFUNCTION("""COMPUTED_VALUE"""),"")</f>
        <v/>
      </c>
      <c r="X33" s="333" t="str">
        <f>IFERROR(__xludf.DUMMYFUNCTION("""COMPUTED_VALUE"""),"AP")</f>
        <v>AP</v>
      </c>
      <c r="Y33" s="332">
        <f>IFERROR(__xludf.DUMMYFUNCTION("""COMPUTED_VALUE"""),0.0)</f>
        <v>0</v>
      </c>
      <c r="Z33" s="334" t="str">
        <f>IFERROR(__xludf.DUMMYFUNCTION("""COMPUTED_VALUE"""),"%")</f>
        <v>%</v>
      </c>
      <c r="AA33" s="335">
        <f>IFERROR(__xludf.DUMMYFUNCTION("""COMPUTED_VALUE"""),3.0)</f>
        <v>3</v>
      </c>
      <c r="AB33" s="332" t="str">
        <f>IFERROR(__xludf.DUMMYFUNCTION("""COMPUTED_VALUE"""),"")</f>
        <v/>
      </c>
      <c r="AC33" s="327" t="str">
        <f>IFERROR(__xludf.DUMMYFUNCTION("""COMPUTED_VALUE"""),"")</f>
        <v/>
      </c>
      <c r="AD33" s="332" t="str">
        <f>IFERROR(__xludf.DUMMYFUNCTION("""COMPUTED_VALUE"""),"")</f>
        <v/>
      </c>
      <c r="AE33" s="333" t="str">
        <f>IFERROR(__xludf.DUMMYFUNCTION("""COMPUTED_VALUE"""),"AP")</f>
        <v>AP</v>
      </c>
      <c r="AF33" s="332">
        <f>IFERROR(__xludf.DUMMYFUNCTION("""COMPUTED_VALUE"""),0.0)</f>
        <v>0</v>
      </c>
      <c r="AG33" s="334" t="str">
        <f>IFERROR(__xludf.DUMMYFUNCTION("""COMPUTED_VALUE"""),"%")</f>
        <v>%</v>
      </c>
      <c r="AH33" s="330" t="str">
        <f>IFERROR(__xludf.DUMMYFUNCTION("""COMPUTED_VALUE"""),"")</f>
        <v/>
      </c>
      <c r="AI33" s="331" t="str">
        <f>IFERROR(__xludf.DUMMYFUNCTION("""COMPUTED_VALUE"""),"")</f>
        <v/>
      </c>
      <c r="AJ33" s="329" t="str">
        <f>IFERROR(__xludf.DUMMYFUNCTION("""COMPUTED_VALUE"""),"")</f>
        <v/>
      </c>
    </row>
    <row r="34" ht="24.75" customHeight="1">
      <c r="A34" s="319">
        <f>IFERROR(__xludf.DUMMYFUNCTION("""COMPUTED_VALUE"""),5.0)</f>
        <v>5</v>
      </c>
      <c r="B34" s="319" t="str">
        <f>IFERROR(__xludf.DUMMYFUNCTION("""COMPUTED_VALUE"""),"A101")</f>
        <v>A101</v>
      </c>
      <c r="C34" s="319" t="str">
        <f>IFERROR(__xludf.DUMMYFUNCTION("""COMPUTED_VALUE"""),"")</f>
        <v/>
      </c>
      <c r="D34" s="320" t="str">
        <f>IFERROR(__xludf.DUMMYFUNCTION("""COMPUTED_VALUE"""),"")</f>
        <v/>
      </c>
      <c r="E34" s="321" t="str">
        <f>IFERROR(__xludf.DUMMYFUNCTION("""COMPUTED_VALUE"""),"")</f>
        <v/>
      </c>
      <c r="F34" s="322" t="str">
        <f>IFERROR(__xludf.DUMMYFUNCTION("""COMPUTED_VALUE"""),"")</f>
        <v/>
      </c>
      <c r="G34" s="322" t="str">
        <f>IFERROR(__xludf.DUMMYFUNCTION("""COMPUTED_VALUE"""),"")</f>
        <v/>
      </c>
      <c r="H34" s="323" t="str">
        <f>IFERROR(__xludf.DUMMYFUNCTION("""COMPUTED_VALUE""")," ")</f>
        <v> </v>
      </c>
      <c r="I34" s="324" t="str">
        <f>IFERROR(__xludf.DUMMYFUNCTION("""COMPUTED_VALUE"""),"")</f>
        <v/>
      </c>
      <c r="J34" s="325" t="str">
        <f>IFERROR(__xludf.DUMMYFUNCTION("""COMPUTED_VALUE"""),"AP")</f>
        <v>AP</v>
      </c>
      <c r="K34" s="324">
        <f>IFERROR(__xludf.DUMMYFUNCTION("""COMPUTED_VALUE"""),0.0)</f>
        <v>0</v>
      </c>
      <c r="L34" s="325" t="str">
        <f>IFERROR(__xludf.DUMMYFUNCTION("""COMPUTED_VALUE"""),"%")</f>
        <v>%</v>
      </c>
      <c r="M34" s="326">
        <f>IFERROR(__xludf.DUMMYFUNCTION("""COMPUTED_VALUE"""),1.0)</f>
        <v>1</v>
      </c>
      <c r="N34" s="324" t="str">
        <f>IFERROR(__xludf.DUMMYFUNCTION("""COMPUTED_VALUE"""),"")</f>
        <v/>
      </c>
      <c r="O34" s="327" t="str">
        <f>IFERROR(__xludf.DUMMYFUNCTION("""COMPUTED_VALUE"""),"")</f>
        <v/>
      </c>
      <c r="P34" s="324" t="str">
        <f>IFERROR(__xludf.DUMMYFUNCTION("""COMPUTED_VALUE"""),"")</f>
        <v/>
      </c>
      <c r="Q34" s="325" t="str">
        <f>IFERROR(__xludf.DUMMYFUNCTION("""COMPUTED_VALUE"""),"AP")</f>
        <v>AP</v>
      </c>
      <c r="R34" s="324">
        <f>IFERROR(__xludf.DUMMYFUNCTION("""COMPUTED_VALUE"""),0.0)</f>
        <v>0</v>
      </c>
      <c r="S34" s="325" t="str">
        <f>IFERROR(__xludf.DUMMYFUNCTION("""COMPUTED_VALUE"""),"%")</f>
        <v>%</v>
      </c>
      <c r="T34" s="326">
        <f>IFERROR(__xludf.DUMMYFUNCTION("""COMPUTED_VALUE"""),2.0)</f>
        <v>2</v>
      </c>
      <c r="U34" s="324" t="str">
        <f>IFERROR(__xludf.DUMMYFUNCTION("""COMPUTED_VALUE"""),"")</f>
        <v/>
      </c>
      <c r="V34" s="327" t="str">
        <f>IFERROR(__xludf.DUMMYFUNCTION("""COMPUTED_VALUE"""),"")</f>
        <v/>
      </c>
      <c r="W34" s="324" t="str">
        <f>IFERROR(__xludf.DUMMYFUNCTION("""COMPUTED_VALUE"""),"")</f>
        <v/>
      </c>
      <c r="X34" s="325" t="str">
        <f>IFERROR(__xludf.DUMMYFUNCTION("""COMPUTED_VALUE"""),"AP")</f>
        <v>AP</v>
      </c>
      <c r="Y34" s="324">
        <f>IFERROR(__xludf.DUMMYFUNCTION("""COMPUTED_VALUE"""),0.0)</f>
        <v>0</v>
      </c>
      <c r="Z34" s="325" t="str">
        <f>IFERROR(__xludf.DUMMYFUNCTION("""COMPUTED_VALUE"""),"%")</f>
        <v>%</v>
      </c>
      <c r="AA34" s="326">
        <f>IFERROR(__xludf.DUMMYFUNCTION("""COMPUTED_VALUE"""),3.0)</f>
        <v>3</v>
      </c>
      <c r="AB34" s="324" t="str">
        <f>IFERROR(__xludf.DUMMYFUNCTION("""COMPUTED_VALUE"""),"")</f>
        <v/>
      </c>
      <c r="AC34" s="327" t="str">
        <f>IFERROR(__xludf.DUMMYFUNCTION("""COMPUTED_VALUE"""),"")</f>
        <v/>
      </c>
      <c r="AD34" s="324" t="str">
        <f>IFERROR(__xludf.DUMMYFUNCTION("""COMPUTED_VALUE"""),"")</f>
        <v/>
      </c>
      <c r="AE34" s="325" t="str">
        <f>IFERROR(__xludf.DUMMYFUNCTION("""COMPUTED_VALUE"""),"AP")</f>
        <v>AP</v>
      </c>
      <c r="AF34" s="324">
        <f>IFERROR(__xludf.DUMMYFUNCTION("""COMPUTED_VALUE"""),0.0)</f>
        <v>0</v>
      </c>
      <c r="AG34" s="325" t="str">
        <f>IFERROR(__xludf.DUMMYFUNCTION("""COMPUTED_VALUE"""),"%")</f>
        <v>%</v>
      </c>
      <c r="AH34" s="321" t="str">
        <f>IFERROR(__xludf.DUMMYFUNCTION("""COMPUTED_VALUE"""),"")</f>
        <v/>
      </c>
      <c r="AI34" s="322" t="str">
        <f>IFERROR(__xludf.DUMMYFUNCTION("""COMPUTED_VALUE"""),"")</f>
        <v/>
      </c>
      <c r="AJ34" s="320" t="str">
        <f>IFERROR(__xludf.DUMMYFUNCTION("""COMPUTED_VALUE"""),"")</f>
        <v/>
      </c>
    </row>
    <row r="35">
      <c r="A35" s="336" t="str">
        <f>IFERROR(__xludf.DUMMYFUNCTION("""COMPUTED_VALUE"""),"")</f>
        <v/>
      </c>
      <c r="B35" s="337" t="str">
        <f>IFERROR(__xludf.DUMMYFUNCTION("""COMPUTED_VALUE"""),"")</f>
        <v/>
      </c>
      <c r="C35" s="338" t="str">
        <f>IFERROR(__xludf.DUMMYFUNCTION("""COMPUTED_VALUE"""),"")</f>
        <v/>
      </c>
      <c r="D35" s="339" t="str">
        <f>IFERROR(__xludf.DUMMYFUNCTION("""COMPUTED_VALUE"""),"")</f>
        <v/>
      </c>
      <c r="E35" s="337" t="str">
        <f>IFERROR(__xludf.DUMMYFUNCTION("""COMPUTED_VALUE"""),"")</f>
        <v/>
      </c>
      <c r="F35" s="337" t="str">
        <f>IFERROR(__xludf.DUMMYFUNCTION("""COMPUTED_VALUE"""),"")</f>
        <v/>
      </c>
      <c r="G35" s="337" t="str">
        <f>IFERROR(__xludf.DUMMYFUNCTION("""COMPUTED_VALUE"""),"")</f>
        <v/>
      </c>
      <c r="H35" s="337" t="str">
        <f>IFERROR(__xludf.DUMMYFUNCTION("""COMPUTED_VALUE"""),"")</f>
        <v/>
      </c>
      <c r="I35" s="337" t="str">
        <f>IFERROR(__xludf.DUMMYFUNCTION("""COMPUTED_VALUE"""),"")</f>
        <v/>
      </c>
      <c r="J35" s="341" t="str">
        <f>IFERROR(__xludf.DUMMYFUNCTION("""COMPUTED_VALUE"""),"")</f>
        <v/>
      </c>
      <c r="K35" s="337" t="str">
        <f>IFERROR(__xludf.DUMMYFUNCTION("""COMPUTED_VALUE"""),"")</f>
        <v/>
      </c>
      <c r="L35" s="341" t="str">
        <f>IFERROR(__xludf.DUMMYFUNCTION("""COMPUTED_VALUE"""),"")</f>
        <v/>
      </c>
      <c r="M35" s="337" t="str">
        <f>IFERROR(__xludf.DUMMYFUNCTION("""COMPUTED_VALUE"""),"")</f>
        <v/>
      </c>
      <c r="N35" s="337" t="str">
        <f>IFERROR(__xludf.DUMMYFUNCTION("""COMPUTED_VALUE"""),"")</f>
        <v/>
      </c>
      <c r="O35" s="337" t="str">
        <f>IFERROR(__xludf.DUMMYFUNCTION("""COMPUTED_VALUE"""),"")</f>
        <v/>
      </c>
      <c r="P35" s="337" t="str">
        <f>IFERROR(__xludf.DUMMYFUNCTION("""COMPUTED_VALUE"""),"")</f>
        <v/>
      </c>
      <c r="Q35" s="341" t="str">
        <f>IFERROR(__xludf.DUMMYFUNCTION("""COMPUTED_VALUE"""),"")</f>
        <v/>
      </c>
      <c r="R35" s="337" t="str">
        <f>IFERROR(__xludf.DUMMYFUNCTION("""COMPUTED_VALUE"""),"")</f>
        <v/>
      </c>
      <c r="S35" s="341" t="str">
        <f>IFERROR(__xludf.DUMMYFUNCTION("""COMPUTED_VALUE"""),"")</f>
        <v/>
      </c>
      <c r="T35" s="337" t="str">
        <f>IFERROR(__xludf.DUMMYFUNCTION("""COMPUTED_VALUE"""),"")</f>
        <v/>
      </c>
      <c r="U35" s="337" t="str">
        <f>IFERROR(__xludf.DUMMYFUNCTION("""COMPUTED_VALUE"""),"")</f>
        <v/>
      </c>
      <c r="V35" s="337" t="str">
        <f>IFERROR(__xludf.DUMMYFUNCTION("""COMPUTED_VALUE"""),"")</f>
        <v/>
      </c>
      <c r="W35" s="337" t="str">
        <f>IFERROR(__xludf.DUMMYFUNCTION("""COMPUTED_VALUE"""),"")</f>
        <v/>
      </c>
      <c r="X35" s="341" t="str">
        <f>IFERROR(__xludf.DUMMYFUNCTION("""COMPUTED_VALUE"""),"")</f>
        <v/>
      </c>
      <c r="Y35" s="337" t="str">
        <f>IFERROR(__xludf.DUMMYFUNCTION("""COMPUTED_VALUE"""),"")</f>
        <v/>
      </c>
      <c r="Z35" s="341" t="str">
        <f>IFERROR(__xludf.DUMMYFUNCTION("""COMPUTED_VALUE"""),"")</f>
        <v/>
      </c>
      <c r="AA35" s="337" t="str">
        <f>IFERROR(__xludf.DUMMYFUNCTION("""COMPUTED_VALUE"""),"")</f>
        <v/>
      </c>
      <c r="AB35" s="337" t="str">
        <f>IFERROR(__xludf.DUMMYFUNCTION("""COMPUTED_VALUE"""),"")</f>
        <v/>
      </c>
      <c r="AC35" s="337" t="str">
        <f>IFERROR(__xludf.DUMMYFUNCTION("""COMPUTED_VALUE"""),"")</f>
        <v/>
      </c>
      <c r="AD35" s="337" t="str">
        <f>IFERROR(__xludf.DUMMYFUNCTION("""COMPUTED_VALUE"""),"")</f>
        <v/>
      </c>
      <c r="AE35" s="341" t="str">
        <f>IFERROR(__xludf.DUMMYFUNCTION("""COMPUTED_VALUE"""),"")</f>
        <v/>
      </c>
      <c r="AF35" s="337" t="str">
        <f>IFERROR(__xludf.DUMMYFUNCTION("""COMPUTED_VALUE"""),"")</f>
        <v/>
      </c>
      <c r="AG35" s="341" t="str">
        <f>IFERROR(__xludf.DUMMYFUNCTION("""COMPUTED_VALUE"""),"")</f>
        <v/>
      </c>
      <c r="AH35" s="337" t="str">
        <f>IFERROR(__xludf.DUMMYFUNCTION("""COMPUTED_VALUE"""),"")</f>
        <v/>
      </c>
      <c r="AI35" s="337" t="str">
        <f>IFERROR(__xludf.DUMMYFUNCTION("""COMPUTED_VALUE"""),"")</f>
        <v/>
      </c>
      <c r="AJ35" s="342" t="str">
        <f>IFERROR(__xludf.DUMMYFUNCTION("""COMPUTED_VALUE"""),"")</f>
        <v/>
      </c>
    </row>
    <row r="36">
      <c r="A36" s="343" t="str">
        <f>IFERROR(__xludf.DUMMYFUNCTION("""COMPUTED_VALUE"""),"")</f>
        <v/>
      </c>
      <c r="B36" s="344" t="str">
        <f>IFERROR(__xludf.DUMMYFUNCTION("""COMPUTED_VALUE"""),"")</f>
        <v/>
      </c>
      <c r="C36" s="345" t="str">
        <f>IFERROR(__xludf.DUMMYFUNCTION("""COMPUTED_VALUE"""),"")</f>
        <v/>
      </c>
      <c r="D36" s="346" t="str">
        <f>IFERROR(__xludf.DUMMYFUNCTION("""COMPUTED_VALUE"""),"")</f>
        <v/>
      </c>
      <c r="E36" s="344" t="str">
        <f>IFERROR(__xludf.DUMMYFUNCTION("""COMPUTED_VALUE"""),"")</f>
        <v/>
      </c>
      <c r="F36" s="344" t="str">
        <f>IFERROR(__xludf.DUMMYFUNCTION("""COMPUTED_VALUE"""),"")</f>
        <v/>
      </c>
      <c r="G36" s="344" t="str">
        <f>IFERROR(__xludf.DUMMYFUNCTION("""COMPUTED_VALUE"""),"")</f>
        <v/>
      </c>
      <c r="H36" s="344" t="str">
        <f>IFERROR(__xludf.DUMMYFUNCTION("""COMPUTED_VALUE"""),"")</f>
        <v/>
      </c>
      <c r="I36" s="344" t="str">
        <f>IFERROR(__xludf.DUMMYFUNCTION("""COMPUTED_VALUE"""),"")</f>
        <v/>
      </c>
      <c r="J36" s="347" t="str">
        <f>IFERROR(__xludf.DUMMYFUNCTION("""COMPUTED_VALUE"""),"")</f>
        <v/>
      </c>
      <c r="K36" s="344" t="str">
        <f>IFERROR(__xludf.DUMMYFUNCTION("""COMPUTED_VALUE"""),"")</f>
        <v/>
      </c>
      <c r="L36" s="347" t="str">
        <f>IFERROR(__xludf.DUMMYFUNCTION("""COMPUTED_VALUE"""),"")</f>
        <v/>
      </c>
      <c r="M36" s="344" t="str">
        <f>IFERROR(__xludf.DUMMYFUNCTION("""COMPUTED_VALUE"""),"")</f>
        <v/>
      </c>
      <c r="N36" s="344" t="str">
        <f>IFERROR(__xludf.DUMMYFUNCTION("""COMPUTED_VALUE"""),"")</f>
        <v/>
      </c>
      <c r="O36" s="344" t="str">
        <f>IFERROR(__xludf.DUMMYFUNCTION("""COMPUTED_VALUE"""),"")</f>
        <v/>
      </c>
      <c r="P36" s="344" t="str">
        <f>IFERROR(__xludf.DUMMYFUNCTION("""COMPUTED_VALUE"""),"")</f>
        <v/>
      </c>
      <c r="Q36" s="347" t="str">
        <f>IFERROR(__xludf.DUMMYFUNCTION("""COMPUTED_VALUE"""),"")</f>
        <v/>
      </c>
      <c r="R36" s="344" t="str">
        <f>IFERROR(__xludf.DUMMYFUNCTION("""COMPUTED_VALUE"""),"")</f>
        <v/>
      </c>
      <c r="S36" s="347" t="str">
        <f>IFERROR(__xludf.DUMMYFUNCTION("""COMPUTED_VALUE"""),"")</f>
        <v/>
      </c>
      <c r="T36" s="344" t="str">
        <f>IFERROR(__xludf.DUMMYFUNCTION("""COMPUTED_VALUE"""),"")</f>
        <v/>
      </c>
      <c r="U36" s="344" t="str">
        <f>IFERROR(__xludf.DUMMYFUNCTION("""COMPUTED_VALUE"""),"")</f>
        <v/>
      </c>
      <c r="V36" s="344" t="str">
        <f>IFERROR(__xludf.DUMMYFUNCTION("""COMPUTED_VALUE"""),"")</f>
        <v/>
      </c>
      <c r="W36" s="344" t="str">
        <f>IFERROR(__xludf.DUMMYFUNCTION("""COMPUTED_VALUE"""),"")</f>
        <v/>
      </c>
      <c r="X36" s="347" t="str">
        <f>IFERROR(__xludf.DUMMYFUNCTION("""COMPUTED_VALUE"""),"")</f>
        <v/>
      </c>
      <c r="Y36" s="344" t="str">
        <f>IFERROR(__xludf.DUMMYFUNCTION("""COMPUTED_VALUE"""),"")</f>
        <v/>
      </c>
      <c r="Z36" s="347" t="str">
        <f>IFERROR(__xludf.DUMMYFUNCTION("""COMPUTED_VALUE"""),"")</f>
        <v/>
      </c>
      <c r="AA36" s="344" t="str">
        <f>IFERROR(__xludf.DUMMYFUNCTION("""COMPUTED_VALUE"""),"")</f>
        <v/>
      </c>
      <c r="AB36" s="344" t="str">
        <f>IFERROR(__xludf.DUMMYFUNCTION("""COMPUTED_VALUE"""),"")</f>
        <v/>
      </c>
      <c r="AC36" s="344" t="str">
        <f>IFERROR(__xludf.DUMMYFUNCTION("""COMPUTED_VALUE"""),"")</f>
        <v/>
      </c>
      <c r="AD36" s="344" t="str">
        <f>IFERROR(__xludf.DUMMYFUNCTION("""COMPUTED_VALUE"""),"")</f>
        <v/>
      </c>
      <c r="AE36" s="347" t="str">
        <f>IFERROR(__xludf.DUMMYFUNCTION("""COMPUTED_VALUE"""),"")</f>
        <v/>
      </c>
      <c r="AF36" s="344" t="str">
        <f>IFERROR(__xludf.DUMMYFUNCTION("""COMPUTED_VALUE"""),"")</f>
        <v/>
      </c>
      <c r="AG36" s="347" t="str">
        <f>IFERROR(__xludf.DUMMYFUNCTION("""COMPUTED_VALUE"""),"")</f>
        <v/>
      </c>
      <c r="AH36" s="344" t="str">
        <f>IFERROR(__xludf.DUMMYFUNCTION("""COMPUTED_VALUE"""),"")</f>
        <v/>
      </c>
      <c r="AI36" s="344" t="str">
        <f>IFERROR(__xludf.DUMMYFUNCTION("""COMPUTED_VALUE"""),"")</f>
        <v/>
      </c>
      <c r="AJ36" s="348" t="str">
        <f>IFERROR(__xludf.DUMMYFUNCTION("""COMPUTED_VALUE"""),"")</f>
        <v/>
      </c>
    </row>
    <row r="37" ht="16.5" customHeight="1">
      <c r="A37" s="349">
        <f>IFERROR(__xludf.DUMMYFUNCTION("""COMPUTED_VALUE"""),5.0)</f>
        <v>5</v>
      </c>
      <c r="B37" s="313" t="str">
        <f>IFERROR(__xludf.DUMMYFUNCTION("""COMPUTED_VALUE"""),"A103")</f>
        <v>A103</v>
      </c>
      <c r="C37" s="314" t="str">
        <f>IFERROR(__xludf.DUMMYFUNCTION("""COMPUTED_VALUE"""),"")</f>
        <v/>
      </c>
      <c r="D37" s="350" t="str">
        <f>IFERROR(__xludf.DUMMYFUNCTION("""COMPUTED_VALUE"""),"Dragon's Reverse Scale")</f>
        <v>Dragon's Reverse Scale</v>
      </c>
      <c r="E37" s="351" t="str">
        <f>IFERROR(__xludf.DUMMYFUNCTION("""COMPUTED_VALUE"""),"AP")</f>
        <v>AP</v>
      </c>
      <c r="F37" s="351" t="str">
        <f>IFERROR(__xludf.DUMMYFUNCTION("""COMPUTED_VALUE"""),"Runs")</f>
        <v>Runs</v>
      </c>
      <c r="G37" s="351" t="str">
        <f>IFERROR(__xludf.DUMMYFUNCTION("""COMPUTED_VALUE"""),"Status")</f>
        <v>Status</v>
      </c>
      <c r="H37" s="351" t="str">
        <f>IFERROR(__xludf.DUMMYFUNCTION("""COMPUTED_VALUE"""),"Mat")</f>
        <v>Mat</v>
      </c>
      <c r="I37" s="351" t="str">
        <f>IFERROR(__xludf.DUMMYFUNCTION("""COMPUTED_VALUE"""),"AP/Drop")</f>
        <v>AP/Drop</v>
      </c>
      <c r="J37" s="351" t="str">
        <f>IFERROR(__xludf.DUMMYFUNCTION("""COMPUTED_VALUE"""),"")</f>
        <v/>
      </c>
      <c r="K37" s="351" t="str">
        <f>IFERROR(__xludf.DUMMYFUNCTION("""COMPUTED_VALUE"""),"Droprate")</f>
        <v>Droprate</v>
      </c>
      <c r="L37" s="351" t="str">
        <f>IFERROR(__xludf.DUMMYFUNCTION("""COMPUTED_VALUE"""),"")</f>
        <v/>
      </c>
      <c r="M37" s="351" t="str">
        <f>IFERROR(__xludf.DUMMYFUNCTION("""COMPUTED_VALUE"""),"#2")</f>
        <v>#2</v>
      </c>
      <c r="N37" s="351" t="str">
        <f>IFERROR(__xludf.DUMMYFUNCTION("""COMPUTED_VALUE"""),"Item 2 ID")</f>
        <v>Item 2 ID</v>
      </c>
      <c r="O37" s="351" t="str">
        <f>IFERROR(__xludf.DUMMYFUNCTION("""COMPUTED_VALUE"""),"Mat")</f>
        <v>Mat</v>
      </c>
      <c r="P37" s="351" t="str">
        <f>IFERROR(__xludf.DUMMYFUNCTION("""COMPUTED_VALUE"""),"AP/Drop")</f>
        <v>AP/Drop</v>
      </c>
      <c r="Q37" s="351" t="str">
        <f>IFERROR(__xludf.DUMMYFUNCTION("""COMPUTED_VALUE"""),"")</f>
        <v/>
      </c>
      <c r="R37" s="351" t="str">
        <f>IFERROR(__xludf.DUMMYFUNCTION("""COMPUTED_VALUE"""),"Droprate")</f>
        <v>Droprate</v>
      </c>
      <c r="S37" s="351" t="str">
        <f>IFERROR(__xludf.DUMMYFUNCTION("""COMPUTED_VALUE"""),"")</f>
        <v/>
      </c>
      <c r="T37" s="351" t="str">
        <f>IFERROR(__xludf.DUMMYFUNCTION("""COMPUTED_VALUE"""),"#3")</f>
        <v>#3</v>
      </c>
      <c r="U37" s="351" t="str">
        <f>IFERROR(__xludf.DUMMYFUNCTION("""COMPUTED_VALUE"""),"Item 2 ID")</f>
        <v>Item 2 ID</v>
      </c>
      <c r="V37" s="351" t="str">
        <f>IFERROR(__xludf.DUMMYFUNCTION("""COMPUTED_VALUE"""),"Mat")</f>
        <v>Mat</v>
      </c>
      <c r="W37" s="351" t="str">
        <f>IFERROR(__xludf.DUMMYFUNCTION("""COMPUTED_VALUE"""),"AP/Drop")</f>
        <v>AP/Drop</v>
      </c>
      <c r="X37" s="351" t="str">
        <f>IFERROR(__xludf.DUMMYFUNCTION("""COMPUTED_VALUE"""),"")</f>
        <v/>
      </c>
      <c r="Y37" s="351" t="str">
        <f>IFERROR(__xludf.DUMMYFUNCTION("""COMPUTED_VALUE"""),"Droprate")</f>
        <v>Droprate</v>
      </c>
      <c r="Z37" s="351" t="str">
        <f>IFERROR(__xludf.DUMMYFUNCTION("""COMPUTED_VALUE"""),"")</f>
        <v/>
      </c>
      <c r="AA37" s="351" t="str">
        <f>IFERROR(__xludf.DUMMYFUNCTION("""COMPUTED_VALUE"""),"#4")</f>
        <v>#4</v>
      </c>
      <c r="AB37" s="351" t="str">
        <f>IFERROR(__xludf.DUMMYFUNCTION("""COMPUTED_VALUE"""),"Item 3 ID")</f>
        <v>Item 3 ID</v>
      </c>
      <c r="AC37" s="351" t="str">
        <f>IFERROR(__xludf.DUMMYFUNCTION("""COMPUTED_VALUE"""),"Mat")</f>
        <v>Mat</v>
      </c>
      <c r="AD37" s="351" t="str">
        <f>IFERROR(__xludf.DUMMYFUNCTION("""COMPUTED_VALUE"""),"AP/Drop")</f>
        <v>AP/Drop</v>
      </c>
      <c r="AE37" s="351" t="str">
        <f>IFERROR(__xludf.DUMMYFUNCTION("""COMPUTED_VALUE"""),"")</f>
        <v/>
      </c>
      <c r="AF37" s="351" t="str">
        <f>IFERROR(__xludf.DUMMYFUNCTION("""COMPUTED_VALUE"""),"Droprate")</f>
        <v>Droprate</v>
      </c>
      <c r="AG37" s="351" t="str">
        <f>IFERROR(__xludf.DUMMYFUNCTION("""COMPUTED_VALUE"""),"")</f>
        <v/>
      </c>
      <c r="AH37" s="351" t="str">
        <f>IFERROR(__xludf.DUMMYFUNCTION("""COMPUTED_VALUE"""),"AP")</f>
        <v>AP</v>
      </c>
      <c r="AI37" s="351" t="str">
        <f>IFERROR(__xludf.DUMMYFUNCTION("""COMPUTED_VALUE"""),"Runs")</f>
        <v>Runs</v>
      </c>
      <c r="AJ37" s="351" t="str">
        <f>IFERROR(__xludf.DUMMYFUNCTION("""COMPUTED_VALUE"""),"Node Name")</f>
        <v>Node Name</v>
      </c>
    </row>
    <row r="38" ht="16.5" customHeight="1">
      <c r="D38" s="317" t="str">
        <f>IFERROR(__xludf.DUMMYFUNCTION("""COMPUTED_VALUE"""),"#N/A")</f>
        <v>#N/A</v>
      </c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18"/>
      <c r="Z38" s="318"/>
      <c r="AA38" s="318"/>
      <c r="AB38" s="318"/>
      <c r="AC38" s="318"/>
      <c r="AD38" s="318"/>
      <c r="AE38" s="318"/>
      <c r="AF38" s="318"/>
      <c r="AG38" s="318"/>
      <c r="AH38" s="318"/>
      <c r="AI38" s="318"/>
      <c r="AJ38" s="318"/>
    </row>
    <row r="39" ht="24.75" customHeight="1">
      <c r="A39" s="319">
        <f>IFERROR(__xludf.DUMMYFUNCTION("""COMPUTED_VALUE"""),1.0)</f>
        <v>1</v>
      </c>
      <c r="B39" s="319" t="str">
        <f>IFERROR(__xludf.DUMMYFUNCTION("""COMPUTED_VALUE"""),"A103")</f>
        <v>A103</v>
      </c>
      <c r="C39" s="319">
        <f>IFERROR(__xludf.DUMMYFUNCTION("""COMPUTED_VALUE"""),27.0)</f>
        <v>27</v>
      </c>
      <c r="D39" s="320" t="str">
        <f>IFERROR(__xludf.DUMMYFUNCTION("""COMPUTED_VALUE"""),"Right Shachi")</f>
        <v>Right Shachi</v>
      </c>
      <c r="E39" s="321">
        <f>IFERROR(__xludf.DUMMYFUNCTION("""COMPUTED_VALUE"""),40.0)</f>
        <v>40</v>
      </c>
      <c r="F39" s="322">
        <f>IFERROR(__xludf.DUMMYFUNCTION("""COMPUTED_VALUE"""),64.0)</f>
        <v>64</v>
      </c>
      <c r="G39" s="322" t="str">
        <f>IFERROR(__xludf.DUMMYFUNCTION("""COMPUTED_VALUE"""),"Open")</f>
        <v>Open</v>
      </c>
      <c r="H39" s="323" t="str">
        <f>IFERROR(__xludf.DUMMYFUNCTION("""COMPUTED_VALUE"""),"")</f>
        <v/>
      </c>
      <c r="I39" s="324">
        <f>IFERROR(__xludf.DUMMYFUNCTION("""COMPUTED_VALUE"""),365.7142857142857)</f>
        <v>365.7142857</v>
      </c>
      <c r="J39" s="325" t="str">
        <f>IFERROR(__xludf.DUMMYFUNCTION("""COMPUTED_VALUE"""),"AP")</f>
        <v>AP</v>
      </c>
      <c r="K39" s="324">
        <f>IFERROR(__xludf.DUMMYFUNCTION("""COMPUTED_VALUE"""),10.9375)</f>
        <v>10.9375</v>
      </c>
      <c r="L39" s="325" t="str">
        <f>IFERROR(__xludf.DUMMYFUNCTION("""COMPUTED_VALUE"""),"%")</f>
        <v>%</v>
      </c>
      <c r="M39" s="326">
        <f>IFERROR(__xludf.DUMMYFUNCTION("""COMPUTED_VALUE"""),1.0)</f>
        <v>1</v>
      </c>
      <c r="N39" s="324" t="str">
        <f>IFERROR(__xludf.DUMMYFUNCTION("""COMPUTED_VALUE"""),"A304")</f>
        <v>A304</v>
      </c>
      <c r="O39" s="327" t="str">
        <f>IFERROR(__xludf.DUMMYFUNCTION("""COMPUTED_VALUE"""),"")</f>
        <v/>
      </c>
      <c r="P39" s="324">
        <f>IFERROR(__xludf.DUMMYFUNCTION("""COMPUTED_VALUE"""),59.53488372093023)</f>
        <v>59.53488372</v>
      </c>
      <c r="Q39" s="325" t="str">
        <f>IFERROR(__xludf.DUMMYFUNCTION("""COMPUTED_VALUE"""),"AP")</f>
        <v>AP</v>
      </c>
      <c r="R39" s="324">
        <f>IFERROR(__xludf.DUMMYFUNCTION("""COMPUTED_VALUE"""),67.1875)</f>
        <v>67.1875</v>
      </c>
      <c r="S39" s="325" t="str">
        <f>IFERROR(__xludf.DUMMYFUNCTION("""COMPUTED_VALUE"""),"%")</f>
        <v>%</v>
      </c>
      <c r="T39" s="326">
        <f>IFERROR(__xludf.DUMMYFUNCTION("""COMPUTED_VALUE"""),2.0)</f>
        <v>2</v>
      </c>
      <c r="U39" s="324" t="str">
        <f>IFERROR(__xludf.DUMMYFUNCTION("""COMPUTED_VALUE"""),"B104")</f>
        <v>B104</v>
      </c>
      <c r="V39" s="327" t="str">
        <f>IFERROR(__xludf.DUMMYFUNCTION("""COMPUTED_VALUE"""),"")</f>
        <v/>
      </c>
      <c r="W39" s="324">
        <f>IFERROR(__xludf.DUMMYFUNCTION("""COMPUTED_VALUE"""),320.0)</f>
        <v>320</v>
      </c>
      <c r="X39" s="325" t="str">
        <f>IFERROR(__xludf.DUMMYFUNCTION("""COMPUTED_VALUE"""),"AP")</f>
        <v>AP</v>
      </c>
      <c r="Y39" s="324">
        <f>IFERROR(__xludf.DUMMYFUNCTION("""COMPUTED_VALUE"""),12.5)</f>
        <v>12.5</v>
      </c>
      <c r="Z39" s="325" t="str">
        <f>IFERROR(__xludf.DUMMYFUNCTION("""COMPUTED_VALUE"""),"%")</f>
        <v>%</v>
      </c>
      <c r="AA39" s="326">
        <f>IFERROR(__xludf.DUMMYFUNCTION("""COMPUTED_VALUE"""),3.0)</f>
        <v>3</v>
      </c>
      <c r="AB39" s="324" t="str">
        <f>IFERROR(__xludf.DUMMYFUNCTION("""COMPUTED_VALUE"""),"B114")</f>
        <v>B114</v>
      </c>
      <c r="AC39" s="327" t="str">
        <f>IFERROR(__xludf.DUMMYFUNCTION("""COMPUTED_VALUE"""),"")</f>
        <v/>
      </c>
      <c r="AD39" s="324">
        <f>IFERROR(__xludf.DUMMYFUNCTION("""COMPUTED_VALUE"""),80.0)</f>
        <v>80</v>
      </c>
      <c r="AE39" s="325" t="str">
        <f>IFERROR(__xludf.DUMMYFUNCTION("""COMPUTED_VALUE"""),"AP")</f>
        <v>AP</v>
      </c>
      <c r="AF39" s="324">
        <f>IFERROR(__xludf.DUMMYFUNCTION("""COMPUTED_VALUE"""),50.0)</f>
        <v>50</v>
      </c>
      <c r="AG39" s="325" t="str">
        <f>IFERROR(__xludf.DUMMYFUNCTION("""COMPUTED_VALUE"""),"%")</f>
        <v>%</v>
      </c>
      <c r="AH39" s="321">
        <f>IFERROR(__xludf.DUMMYFUNCTION("""COMPUTED_VALUE"""),40.0)</f>
        <v>40</v>
      </c>
      <c r="AI39" s="322">
        <f>IFERROR(__xludf.DUMMYFUNCTION("""COMPUTED_VALUE"""),64.0)</f>
        <v>64</v>
      </c>
      <c r="AJ39" s="320" t="str">
        <f>IFERROR(__xludf.DUMMYFUNCTION("""COMPUTED_VALUE"""),"Right Shachi")</f>
        <v>Right Shachi</v>
      </c>
    </row>
    <row r="40" ht="24.75" customHeight="1">
      <c r="A40" s="328">
        <f>IFERROR(__xludf.DUMMYFUNCTION("""COMPUTED_VALUE"""),2.0)</f>
        <v>2</v>
      </c>
      <c r="B40" s="328" t="str">
        <f>IFERROR(__xludf.DUMMYFUNCTION("""COMPUTED_VALUE"""),"A103")</f>
        <v>A103</v>
      </c>
      <c r="C40" s="328" t="str">
        <f>IFERROR(__xludf.DUMMYFUNCTION("""COMPUTED_VALUE"""),"")</f>
        <v/>
      </c>
      <c r="D40" s="329" t="str">
        <f>IFERROR(__xludf.DUMMYFUNCTION("""COMPUTED_VALUE"""),"")</f>
        <v/>
      </c>
      <c r="E40" s="330" t="str">
        <f>IFERROR(__xludf.DUMMYFUNCTION("""COMPUTED_VALUE"""),"")</f>
        <v/>
      </c>
      <c r="F40" s="331" t="str">
        <f>IFERROR(__xludf.DUMMYFUNCTION("""COMPUTED_VALUE"""),"")</f>
        <v/>
      </c>
      <c r="G40" s="331" t="str">
        <f>IFERROR(__xludf.DUMMYFUNCTION("""COMPUTED_VALUE"""),"")</f>
        <v/>
      </c>
      <c r="H40" s="323" t="str">
        <f>IFERROR(__xludf.DUMMYFUNCTION("""COMPUTED_VALUE""")," ")</f>
        <v> </v>
      </c>
      <c r="I40" s="332" t="str">
        <f>IFERROR(__xludf.DUMMYFUNCTION("""COMPUTED_VALUE"""),"")</f>
        <v/>
      </c>
      <c r="J40" s="333" t="str">
        <f>IFERROR(__xludf.DUMMYFUNCTION("""COMPUTED_VALUE"""),"AP")</f>
        <v>AP</v>
      </c>
      <c r="K40" s="332">
        <f>IFERROR(__xludf.DUMMYFUNCTION("""COMPUTED_VALUE"""),0.0)</f>
        <v>0</v>
      </c>
      <c r="L40" s="334" t="str">
        <f>IFERROR(__xludf.DUMMYFUNCTION("""COMPUTED_VALUE"""),"%")</f>
        <v>%</v>
      </c>
      <c r="M40" s="335">
        <f>IFERROR(__xludf.DUMMYFUNCTION("""COMPUTED_VALUE"""),1.0)</f>
        <v>1</v>
      </c>
      <c r="N40" s="332" t="str">
        <f>IFERROR(__xludf.DUMMYFUNCTION("""COMPUTED_VALUE"""),"")</f>
        <v/>
      </c>
      <c r="O40" s="327" t="str">
        <f>IFERROR(__xludf.DUMMYFUNCTION("""COMPUTED_VALUE"""),"")</f>
        <v/>
      </c>
      <c r="P40" s="332" t="str">
        <f>IFERROR(__xludf.DUMMYFUNCTION("""COMPUTED_VALUE"""),"")</f>
        <v/>
      </c>
      <c r="Q40" s="333" t="str">
        <f>IFERROR(__xludf.DUMMYFUNCTION("""COMPUTED_VALUE"""),"AP")</f>
        <v>AP</v>
      </c>
      <c r="R40" s="332">
        <f>IFERROR(__xludf.DUMMYFUNCTION("""COMPUTED_VALUE"""),0.0)</f>
        <v>0</v>
      </c>
      <c r="S40" s="334" t="str">
        <f>IFERROR(__xludf.DUMMYFUNCTION("""COMPUTED_VALUE"""),"%")</f>
        <v>%</v>
      </c>
      <c r="T40" s="335">
        <f>IFERROR(__xludf.DUMMYFUNCTION("""COMPUTED_VALUE"""),2.0)</f>
        <v>2</v>
      </c>
      <c r="U40" s="332" t="str">
        <f>IFERROR(__xludf.DUMMYFUNCTION("""COMPUTED_VALUE"""),"")</f>
        <v/>
      </c>
      <c r="V40" s="327" t="str">
        <f>IFERROR(__xludf.DUMMYFUNCTION("""COMPUTED_VALUE"""),"")</f>
        <v/>
      </c>
      <c r="W40" s="332" t="str">
        <f>IFERROR(__xludf.DUMMYFUNCTION("""COMPUTED_VALUE"""),"")</f>
        <v/>
      </c>
      <c r="X40" s="333" t="str">
        <f>IFERROR(__xludf.DUMMYFUNCTION("""COMPUTED_VALUE"""),"AP")</f>
        <v>AP</v>
      </c>
      <c r="Y40" s="332">
        <f>IFERROR(__xludf.DUMMYFUNCTION("""COMPUTED_VALUE"""),0.0)</f>
        <v>0</v>
      </c>
      <c r="Z40" s="334" t="str">
        <f>IFERROR(__xludf.DUMMYFUNCTION("""COMPUTED_VALUE"""),"%")</f>
        <v>%</v>
      </c>
      <c r="AA40" s="335">
        <f>IFERROR(__xludf.DUMMYFUNCTION("""COMPUTED_VALUE"""),3.0)</f>
        <v>3</v>
      </c>
      <c r="AB40" s="332" t="str">
        <f>IFERROR(__xludf.DUMMYFUNCTION("""COMPUTED_VALUE"""),"")</f>
        <v/>
      </c>
      <c r="AC40" s="327" t="str">
        <f>IFERROR(__xludf.DUMMYFUNCTION("""COMPUTED_VALUE"""),"")</f>
        <v/>
      </c>
      <c r="AD40" s="332" t="str">
        <f>IFERROR(__xludf.DUMMYFUNCTION("""COMPUTED_VALUE"""),"")</f>
        <v/>
      </c>
      <c r="AE40" s="333" t="str">
        <f>IFERROR(__xludf.DUMMYFUNCTION("""COMPUTED_VALUE"""),"AP")</f>
        <v>AP</v>
      </c>
      <c r="AF40" s="332">
        <f>IFERROR(__xludf.DUMMYFUNCTION("""COMPUTED_VALUE"""),0.0)</f>
        <v>0</v>
      </c>
      <c r="AG40" s="334" t="str">
        <f>IFERROR(__xludf.DUMMYFUNCTION("""COMPUTED_VALUE"""),"%")</f>
        <v>%</v>
      </c>
      <c r="AH40" s="330" t="str">
        <f>IFERROR(__xludf.DUMMYFUNCTION("""COMPUTED_VALUE"""),"")</f>
        <v/>
      </c>
      <c r="AI40" s="331" t="str">
        <f>IFERROR(__xludf.DUMMYFUNCTION("""COMPUTED_VALUE"""),"")</f>
        <v/>
      </c>
      <c r="AJ40" s="329" t="str">
        <f>IFERROR(__xludf.DUMMYFUNCTION("""COMPUTED_VALUE"""),"")</f>
        <v/>
      </c>
    </row>
    <row r="41" ht="24.75" customHeight="1">
      <c r="A41" s="319">
        <f>IFERROR(__xludf.DUMMYFUNCTION("""COMPUTED_VALUE"""),3.0)</f>
        <v>3</v>
      </c>
      <c r="B41" s="319" t="str">
        <f>IFERROR(__xludf.DUMMYFUNCTION("""COMPUTED_VALUE"""),"A103")</f>
        <v>A103</v>
      </c>
      <c r="C41" s="319" t="str">
        <f>IFERROR(__xludf.DUMMYFUNCTION("""COMPUTED_VALUE"""),"")</f>
        <v/>
      </c>
      <c r="D41" s="320" t="str">
        <f>IFERROR(__xludf.DUMMYFUNCTION("""COMPUTED_VALUE"""),"")</f>
        <v/>
      </c>
      <c r="E41" s="321" t="str">
        <f>IFERROR(__xludf.DUMMYFUNCTION("""COMPUTED_VALUE"""),"")</f>
        <v/>
      </c>
      <c r="F41" s="322" t="str">
        <f>IFERROR(__xludf.DUMMYFUNCTION("""COMPUTED_VALUE"""),"")</f>
        <v/>
      </c>
      <c r="G41" s="322" t="str">
        <f>IFERROR(__xludf.DUMMYFUNCTION("""COMPUTED_VALUE"""),"")</f>
        <v/>
      </c>
      <c r="H41" s="323" t="str">
        <f>IFERROR(__xludf.DUMMYFUNCTION("""COMPUTED_VALUE""")," ")</f>
        <v> </v>
      </c>
      <c r="I41" s="324" t="str">
        <f>IFERROR(__xludf.DUMMYFUNCTION("""COMPUTED_VALUE"""),"")</f>
        <v/>
      </c>
      <c r="J41" s="325" t="str">
        <f>IFERROR(__xludf.DUMMYFUNCTION("""COMPUTED_VALUE"""),"AP")</f>
        <v>AP</v>
      </c>
      <c r="K41" s="324">
        <f>IFERROR(__xludf.DUMMYFUNCTION("""COMPUTED_VALUE"""),0.0)</f>
        <v>0</v>
      </c>
      <c r="L41" s="325" t="str">
        <f>IFERROR(__xludf.DUMMYFUNCTION("""COMPUTED_VALUE"""),"%")</f>
        <v>%</v>
      </c>
      <c r="M41" s="326">
        <f>IFERROR(__xludf.DUMMYFUNCTION("""COMPUTED_VALUE"""),1.0)</f>
        <v>1</v>
      </c>
      <c r="N41" s="324" t="str">
        <f>IFERROR(__xludf.DUMMYFUNCTION("""COMPUTED_VALUE"""),"")</f>
        <v/>
      </c>
      <c r="O41" s="327" t="str">
        <f>IFERROR(__xludf.DUMMYFUNCTION("""COMPUTED_VALUE"""),"")</f>
        <v/>
      </c>
      <c r="P41" s="324" t="str">
        <f>IFERROR(__xludf.DUMMYFUNCTION("""COMPUTED_VALUE"""),"")</f>
        <v/>
      </c>
      <c r="Q41" s="325" t="str">
        <f>IFERROR(__xludf.DUMMYFUNCTION("""COMPUTED_VALUE"""),"AP")</f>
        <v>AP</v>
      </c>
      <c r="R41" s="324">
        <f>IFERROR(__xludf.DUMMYFUNCTION("""COMPUTED_VALUE"""),0.0)</f>
        <v>0</v>
      </c>
      <c r="S41" s="325" t="str">
        <f>IFERROR(__xludf.DUMMYFUNCTION("""COMPUTED_VALUE"""),"%")</f>
        <v>%</v>
      </c>
      <c r="T41" s="326">
        <f>IFERROR(__xludf.DUMMYFUNCTION("""COMPUTED_VALUE"""),2.0)</f>
        <v>2</v>
      </c>
      <c r="U41" s="324" t="str">
        <f>IFERROR(__xludf.DUMMYFUNCTION("""COMPUTED_VALUE"""),"")</f>
        <v/>
      </c>
      <c r="V41" s="327" t="str">
        <f>IFERROR(__xludf.DUMMYFUNCTION("""COMPUTED_VALUE"""),"")</f>
        <v/>
      </c>
      <c r="W41" s="324" t="str">
        <f>IFERROR(__xludf.DUMMYFUNCTION("""COMPUTED_VALUE"""),"")</f>
        <v/>
      </c>
      <c r="X41" s="325" t="str">
        <f>IFERROR(__xludf.DUMMYFUNCTION("""COMPUTED_VALUE"""),"AP")</f>
        <v>AP</v>
      </c>
      <c r="Y41" s="324">
        <f>IFERROR(__xludf.DUMMYFUNCTION("""COMPUTED_VALUE"""),0.0)</f>
        <v>0</v>
      </c>
      <c r="Z41" s="325" t="str">
        <f>IFERROR(__xludf.DUMMYFUNCTION("""COMPUTED_VALUE"""),"%")</f>
        <v>%</v>
      </c>
      <c r="AA41" s="326">
        <f>IFERROR(__xludf.DUMMYFUNCTION("""COMPUTED_VALUE"""),3.0)</f>
        <v>3</v>
      </c>
      <c r="AB41" s="324" t="str">
        <f>IFERROR(__xludf.DUMMYFUNCTION("""COMPUTED_VALUE"""),"")</f>
        <v/>
      </c>
      <c r="AC41" s="327" t="str">
        <f>IFERROR(__xludf.DUMMYFUNCTION("""COMPUTED_VALUE"""),"")</f>
        <v/>
      </c>
      <c r="AD41" s="324" t="str">
        <f>IFERROR(__xludf.DUMMYFUNCTION("""COMPUTED_VALUE"""),"")</f>
        <v/>
      </c>
      <c r="AE41" s="325" t="str">
        <f>IFERROR(__xludf.DUMMYFUNCTION("""COMPUTED_VALUE"""),"AP")</f>
        <v>AP</v>
      </c>
      <c r="AF41" s="324">
        <f>IFERROR(__xludf.DUMMYFUNCTION("""COMPUTED_VALUE"""),0.0)</f>
        <v>0</v>
      </c>
      <c r="AG41" s="325" t="str">
        <f>IFERROR(__xludf.DUMMYFUNCTION("""COMPUTED_VALUE"""),"%")</f>
        <v>%</v>
      </c>
      <c r="AH41" s="321" t="str">
        <f>IFERROR(__xludf.DUMMYFUNCTION("""COMPUTED_VALUE"""),"")</f>
        <v/>
      </c>
      <c r="AI41" s="322" t="str">
        <f>IFERROR(__xludf.DUMMYFUNCTION("""COMPUTED_VALUE"""),"")</f>
        <v/>
      </c>
      <c r="AJ41" s="320" t="str">
        <f>IFERROR(__xludf.DUMMYFUNCTION("""COMPUTED_VALUE"""),"")</f>
        <v/>
      </c>
    </row>
    <row r="42" ht="24.75" customHeight="1">
      <c r="A42" s="328">
        <f>IFERROR(__xludf.DUMMYFUNCTION("""COMPUTED_VALUE"""),4.0)</f>
        <v>4</v>
      </c>
      <c r="B42" s="328" t="str">
        <f>IFERROR(__xludf.DUMMYFUNCTION("""COMPUTED_VALUE"""),"A103")</f>
        <v>A103</v>
      </c>
      <c r="C42" s="328" t="str">
        <f>IFERROR(__xludf.DUMMYFUNCTION("""COMPUTED_VALUE"""),"")</f>
        <v/>
      </c>
      <c r="D42" s="329" t="str">
        <f>IFERROR(__xludf.DUMMYFUNCTION("""COMPUTED_VALUE"""),"")</f>
        <v/>
      </c>
      <c r="E42" s="330" t="str">
        <f>IFERROR(__xludf.DUMMYFUNCTION("""COMPUTED_VALUE"""),"")</f>
        <v/>
      </c>
      <c r="F42" s="331" t="str">
        <f>IFERROR(__xludf.DUMMYFUNCTION("""COMPUTED_VALUE"""),"")</f>
        <v/>
      </c>
      <c r="G42" s="331" t="str">
        <f>IFERROR(__xludf.DUMMYFUNCTION("""COMPUTED_VALUE"""),"")</f>
        <v/>
      </c>
      <c r="H42" s="323" t="str">
        <f>IFERROR(__xludf.DUMMYFUNCTION("""COMPUTED_VALUE""")," ")</f>
        <v> </v>
      </c>
      <c r="I42" s="332" t="str">
        <f>IFERROR(__xludf.DUMMYFUNCTION("""COMPUTED_VALUE"""),"")</f>
        <v/>
      </c>
      <c r="J42" s="333" t="str">
        <f>IFERROR(__xludf.DUMMYFUNCTION("""COMPUTED_VALUE"""),"AP")</f>
        <v>AP</v>
      </c>
      <c r="K42" s="332">
        <f>IFERROR(__xludf.DUMMYFUNCTION("""COMPUTED_VALUE"""),0.0)</f>
        <v>0</v>
      </c>
      <c r="L42" s="334" t="str">
        <f>IFERROR(__xludf.DUMMYFUNCTION("""COMPUTED_VALUE"""),"%")</f>
        <v>%</v>
      </c>
      <c r="M42" s="335">
        <f>IFERROR(__xludf.DUMMYFUNCTION("""COMPUTED_VALUE"""),1.0)</f>
        <v>1</v>
      </c>
      <c r="N42" s="332" t="str">
        <f>IFERROR(__xludf.DUMMYFUNCTION("""COMPUTED_VALUE"""),"")</f>
        <v/>
      </c>
      <c r="O42" s="327" t="str">
        <f>IFERROR(__xludf.DUMMYFUNCTION("""COMPUTED_VALUE"""),"")</f>
        <v/>
      </c>
      <c r="P42" s="332" t="str">
        <f>IFERROR(__xludf.DUMMYFUNCTION("""COMPUTED_VALUE"""),"")</f>
        <v/>
      </c>
      <c r="Q42" s="333" t="str">
        <f>IFERROR(__xludf.DUMMYFUNCTION("""COMPUTED_VALUE"""),"AP")</f>
        <v>AP</v>
      </c>
      <c r="R42" s="332">
        <f>IFERROR(__xludf.DUMMYFUNCTION("""COMPUTED_VALUE"""),0.0)</f>
        <v>0</v>
      </c>
      <c r="S42" s="334" t="str">
        <f>IFERROR(__xludf.DUMMYFUNCTION("""COMPUTED_VALUE"""),"%")</f>
        <v>%</v>
      </c>
      <c r="T42" s="335">
        <f>IFERROR(__xludf.DUMMYFUNCTION("""COMPUTED_VALUE"""),2.0)</f>
        <v>2</v>
      </c>
      <c r="U42" s="332" t="str">
        <f>IFERROR(__xludf.DUMMYFUNCTION("""COMPUTED_VALUE"""),"")</f>
        <v/>
      </c>
      <c r="V42" s="327" t="str">
        <f>IFERROR(__xludf.DUMMYFUNCTION("""COMPUTED_VALUE"""),"")</f>
        <v/>
      </c>
      <c r="W42" s="332" t="str">
        <f>IFERROR(__xludf.DUMMYFUNCTION("""COMPUTED_VALUE"""),"")</f>
        <v/>
      </c>
      <c r="X42" s="333" t="str">
        <f>IFERROR(__xludf.DUMMYFUNCTION("""COMPUTED_VALUE"""),"AP")</f>
        <v>AP</v>
      </c>
      <c r="Y42" s="332">
        <f>IFERROR(__xludf.DUMMYFUNCTION("""COMPUTED_VALUE"""),0.0)</f>
        <v>0</v>
      </c>
      <c r="Z42" s="334" t="str">
        <f>IFERROR(__xludf.DUMMYFUNCTION("""COMPUTED_VALUE"""),"%")</f>
        <v>%</v>
      </c>
      <c r="AA42" s="335">
        <f>IFERROR(__xludf.DUMMYFUNCTION("""COMPUTED_VALUE"""),3.0)</f>
        <v>3</v>
      </c>
      <c r="AB42" s="332" t="str">
        <f>IFERROR(__xludf.DUMMYFUNCTION("""COMPUTED_VALUE"""),"")</f>
        <v/>
      </c>
      <c r="AC42" s="327" t="str">
        <f>IFERROR(__xludf.DUMMYFUNCTION("""COMPUTED_VALUE"""),"")</f>
        <v/>
      </c>
      <c r="AD42" s="332" t="str">
        <f>IFERROR(__xludf.DUMMYFUNCTION("""COMPUTED_VALUE"""),"")</f>
        <v/>
      </c>
      <c r="AE42" s="333" t="str">
        <f>IFERROR(__xludf.DUMMYFUNCTION("""COMPUTED_VALUE"""),"AP")</f>
        <v>AP</v>
      </c>
      <c r="AF42" s="332">
        <f>IFERROR(__xludf.DUMMYFUNCTION("""COMPUTED_VALUE"""),0.0)</f>
        <v>0</v>
      </c>
      <c r="AG42" s="334" t="str">
        <f>IFERROR(__xludf.DUMMYFUNCTION("""COMPUTED_VALUE"""),"%")</f>
        <v>%</v>
      </c>
      <c r="AH42" s="330" t="str">
        <f>IFERROR(__xludf.DUMMYFUNCTION("""COMPUTED_VALUE"""),"")</f>
        <v/>
      </c>
      <c r="AI42" s="331" t="str">
        <f>IFERROR(__xludf.DUMMYFUNCTION("""COMPUTED_VALUE"""),"")</f>
        <v/>
      </c>
      <c r="AJ42" s="329" t="str">
        <f>IFERROR(__xludf.DUMMYFUNCTION("""COMPUTED_VALUE"""),"")</f>
        <v/>
      </c>
    </row>
    <row r="43" ht="24.75" customHeight="1">
      <c r="A43" s="319">
        <f>IFERROR(__xludf.DUMMYFUNCTION("""COMPUTED_VALUE"""),5.0)</f>
        <v>5</v>
      </c>
      <c r="B43" s="319" t="str">
        <f>IFERROR(__xludf.DUMMYFUNCTION("""COMPUTED_VALUE"""),"A103")</f>
        <v>A103</v>
      </c>
      <c r="C43" s="319" t="str">
        <f>IFERROR(__xludf.DUMMYFUNCTION("""COMPUTED_VALUE"""),"")</f>
        <v/>
      </c>
      <c r="D43" s="320" t="str">
        <f>IFERROR(__xludf.DUMMYFUNCTION("""COMPUTED_VALUE"""),"")</f>
        <v/>
      </c>
      <c r="E43" s="321" t="str">
        <f>IFERROR(__xludf.DUMMYFUNCTION("""COMPUTED_VALUE"""),"")</f>
        <v/>
      </c>
      <c r="F43" s="322" t="str">
        <f>IFERROR(__xludf.DUMMYFUNCTION("""COMPUTED_VALUE"""),"")</f>
        <v/>
      </c>
      <c r="G43" s="322" t="str">
        <f>IFERROR(__xludf.DUMMYFUNCTION("""COMPUTED_VALUE"""),"")</f>
        <v/>
      </c>
      <c r="H43" s="323" t="str">
        <f>IFERROR(__xludf.DUMMYFUNCTION("""COMPUTED_VALUE""")," ")</f>
        <v> </v>
      </c>
      <c r="I43" s="324" t="str">
        <f>IFERROR(__xludf.DUMMYFUNCTION("""COMPUTED_VALUE"""),"")</f>
        <v/>
      </c>
      <c r="J43" s="325" t="str">
        <f>IFERROR(__xludf.DUMMYFUNCTION("""COMPUTED_VALUE"""),"AP")</f>
        <v>AP</v>
      </c>
      <c r="K43" s="324">
        <f>IFERROR(__xludf.DUMMYFUNCTION("""COMPUTED_VALUE"""),0.0)</f>
        <v>0</v>
      </c>
      <c r="L43" s="325" t="str">
        <f>IFERROR(__xludf.DUMMYFUNCTION("""COMPUTED_VALUE"""),"%")</f>
        <v>%</v>
      </c>
      <c r="M43" s="326">
        <f>IFERROR(__xludf.DUMMYFUNCTION("""COMPUTED_VALUE"""),1.0)</f>
        <v>1</v>
      </c>
      <c r="N43" s="324" t="str">
        <f>IFERROR(__xludf.DUMMYFUNCTION("""COMPUTED_VALUE"""),"")</f>
        <v/>
      </c>
      <c r="O43" s="327" t="str">
        <f>IFERROR(__xludf.DUMMYFUNCTION("""COMPUTED_VALUE"""),"")</f>
        <v/>
      </c>
      <c r="P43" s="324" t="str">
        <f>IFERROR(__xludf.DUMMYFUNCTION("""COMPUTED_VALUE"""),"")</f>
        <v/>
      </c>
      <c r="Q43" s="325" t="str">
        <f>IFERROR(__xludf.DUMMYFUNCTION("""COMPUTED_VALUE"""),"AP")</f>
        <v>AP</v>
      </c>
      <c r="R43" s="324">
        <f>IFERROR(__xludf.DUMMYFUNCTION("""COMPUTED_VALUE"""),0.0)</f>
        <v>0</v>
      </c>
      <c r="S43" s="325" t="str">
        <f>IFERROR(__xludf.DUMMYFUNCTION("""COMPUTED_VALUE"""),"%")</f>
        <v>%</v>
      </c>
      <c r="T43" s="326">
        <f>IFERROR(__xludf.DUMMYFUNCTION("""COMPUTED_VALUE"""),2.0)</f>
        <v>2</v>
      </c>
      <c r="U43" s="324" t="str">
        <f>IFERROR(__xludf.DUMMYFUNCTION("""COMPUTED_VALUE"""),"")</f>
        <v/>
      </c>
      <c r="V43" s="327" t="str">
        <f>IFERROR(__xludf.DUMMYFUNCTION("""COMPUTED_VALUE"""),"")</f>
        <v/>
      </c>
      <c r="W43" s="324" t="str">
        <f>IFERROR(__xludf.DUMMYFUNCTION("""COMPUTED_VALUE"""),"")</f>
        <v/>
      </c>
      <c r="X43" s="325" t="str">
        <f>IFERROR(__xludf.DUMMYFUNCTION("""COMPUTED_VALUE"""),"AP")</f>
        <v>AP</v>
      </c>
      <c r="Y43" s="324">
        <f>IFERROR(__xludf.DUMMYFUNCTION("""COMPUTED_VALUE"""),0.0)</f>
        <v>0</v>
      </c>
      <c r="Z43" s="325" t="str">
        <f>IFERROR(__xludf.DUMMYFUNCTION("""COMPUTED_VALUE"""),"%")</f>
        <v>%</v>
      </c>
      <c r="AA43" s="326">
        <f>IFERROR(__xludf.DUMMYFUNCTION("""COMPUTED_VALUE"""),3.0)</f>
        <v>3</v>
      </c>
      <c r="AB43" s="324" t="str">
        <f>IFERROR(__xludf.DUMMYFUNCTION("""COMPUTED_VALUE"""),"")</f>
        <v/>
      </c>
      <c r="AC43" s="327" t="str">
        <f>IFERROR(__xludf.DUMMYFUNCTION("""COMPUTED_VALUE"""),"")</f>
        <v/>
      </c>
      <c r="AD43" s="324" t="str">
        <f>IFERROR(__xludf.DUMMYFUNCTION("""COMPUTED_VALUE"""),"")</f>
        <v/>
      </c>
      <c r="AE43" s="325" t="str">
        <f>IFERROR(__xludf.DUMMYFUNCTION("""COMPUTED_VALUE"""),"AP")</f>
        <v>AP</v>
      </c>
      <c r="AF43" s="324">
        <f>IFERROR(__xludf.DUMMYFUNCTION("""COMPUTED_VALUE"""),0.0)</f>
        <v>0</v>
      </c>
      <c r="AG43" s="325" t="str">
        <f>IFERROR(__xludf.DUMMYFUNCTION("""COMPUTED_VALUE"""),"%")</f>
        <v>%</v>
      </c>
      <c r="AH43" s="321" t="str">
        <f>IFERROR(__xludf.DUMMYFUNCTION("""COMPUTED_VALUE"""),"")</f>
        <v/>
      </c>
      <c r="AI43" s="322" t="str">
        <f>IFERROR(__xludf.DUMMYFUNCTION("""COMPUTED_VALUE"""),"")</f>
        <v/>
      </c>
      <c r="AJ43" s="320" t="str">
        <f>IFERROR(__xludf.DUMMYFUNCTION("""COMPUTED_VALUE"""),"")</f>
        <v/>
      </c>
    </row>
    <row r="44">
      <c r="A44" s="336" t="str">
        <f>IFERROR(__xludf.DUMMYFUNCTION("""COMPUTED_VALUE"""),"")</f>
        <v/>
      </c>
      <c r="B44" s="337" t="str">
        <f>IFERROR(__xludf.DUMMYFUNCTION("""COMPUTED_VALUE"""),"")</f>
        <v/>
      </c>
      <c r="C44" s="338" t="str">
        <f>IFERROR(__xludf.DUMMYFUNCTION("""COMPUTED_VALUE"""),"")</f>
        <v/>
      </c>
      <c r="D44" s="339" t="str">
        <f>IFERROR(__xludf.DUMMYFUNCTION("""COMPUTED_VALUE"""),"")</f>
        <v/>
      </c>
      <c r="E44" s="337" t="str">
        <f>IFERROR(__xludf.DUMMYFUNCTION("""COMPUTED_VALUE"""),"")</f>
        <v/>
      </c>
      <c r="F44" s="337" t="str">
        <f>IFERROR(__xludf.DUMMYFUNCTION("""COMPUTED_VALUE"""),"")</f>
        <v/>
      </c>
      <c r="G44" s="337" t="str">
        <f>IFERROR(__xludf.DUMMYFUNCTION("""COMPUTED_VALUE"""),"")</f>
        <v/>
      </c>
      <c r="H44" s="337" t="str">
        <f>IFERROR(__xludf.DUMMYFUNCTION("""COMPUTED_VALUE"""),"")</f>
        <v/>
      </c>
      <c r="I44" s="337" t="str">
        <f>IFERROR(__xludf.DUMMYFUNCTION("""COMPUTED_VALUE"""),"")</f>
        <v/>
      </c>
      <c r="J44" s="341" t="str">
        <f>IFERROR(__xludf.DUMMYFUNCTION("""COMPUTED_VALUE"""),"")</f>
        <v/>
      </c>
      <c r="K44" s="337" t="str">
        <f>IFERROR(__xludf.DUMMYFUNCTION("""COMPUTED_VALUE"""),"")</f>
        <v/>
      </c>
      <c r="L44" s="341" t="str">
        <f>IFERROR(__xludf.DUMMYFUNCTION("""COMPUTED_VALUE"""),"")</f>
        <v/>
      </c>
      <c r="M44" s="337" t="str">
        <f>IFERROR(__xludf.DUMMYFUNCTION("""COMPUTED_VALUE"""),"")</f>
        <v/>
      </c>
      <c r="N44" s="337" t="str">
        <f>IFERROR(__xludf.DUMMYFUNCTION("""COMPUTED_VALUE"""),"")</f>
        <v/>
      </c>
      <c r="O44" s="337" t="str">
        <f>IFERROR(__xludf.DUMMYFUNCTION("""COMPUTED_VALUE"""),"")</f>
        <v/>
      </c>
      <c r="P44" s="337" t="str">
        <f>IFERROR(__xludf.DUMMYFUNCTION("""COMPUTED_VALUE"""),"")</f>
        <v/>
      </c>
      <c r="Q44" s="341" t="str">
        <f>IFERROR(__xludf.DUMMYFUNCTION("""COMPUTED_VALUE"""),"")</f>
        <v/>
      </c>
      <c r="R44" s="337" t="str">
        <f>IFERROR(__xludf.DUMMYFUNCTION("""COMPUTED_VALUE"""),"")</f>
        <v/>
      </c>
      <c r="S44" s="341" t="str">
        <f>IFERROR(__xludf.DUMMYFUNCTION("""COMPUTED_VALUE"""),"")</f>
        <v/>
      </c>
      <c r="T44" s="337" t="str">
        <f>IFERROR(__xludf.DUMMYFUNCTION("""COMPUTED_VALUE"""),"")</f>
        <v/>
      </c>
      <c r="U44" s="337" t="str">
        <f>IFERROR(__xludf.DUMMYFUNCTION("""COMPUTED_VALUE"""),"")</f>
        <v/>
      </c>
      <c r="V44" s="337" t="str">
        <f>IFERROR(__xludf.DUMMYFUNCTION("""COMPUTED_VALUE"""),"")</f>
        <v/>
      </c>
      <c r="W44" s="337" t="str">
        <f>IFERROR(__xludf.DUMMYFUNCTION("""COMPUTED_VALUE"""),"")</f>
        <v/>
      </c>
      <c r="X44" s="341" t="str">
        <f>IFERROR(__xludf.DUMMYFUNCTION("""COMPUTED_VALUE"""),"")</f>
        <v/>
      </c>
      <c r="Y44" s="337" t="str">
        <f>IFERROR(__xludf.DUMMYFUNCTION("""COMPUTED_VALUE"""),"")</f>
        <v/>
      </c>
      <c r="Z44" s="341" t="str">
        <f>IFERROR(__xludf.DUMMYFUNCTION("""COMPUTED_VALUE"""),"")</f>
        <v/>
      </c>
      <c r="AA44" s="337" t="str">
        <f>IFERROR(__xludf.DUMMYFUNCTION("""COMPUTED_VALUE"""),"")</f>
        <v/>
      </c>
      <c r="AB44" s="337" t="str">
        <f>IFERROR(__xludf.DUMMYFUNCTION("""COMPUTED_VALUE"""),"")</f>
        <v/>
      </c>
      <c r="AC44" s="337" t="str">
        <f>IFERROR(__xludf.DUMMYFUNCTION("""COMPUTED_VALUE"""),"")</f>
        <v/>
      </c>
      <c r="AD44" s="337" t="str">
        <f>IFERROR(__xludf.DUMMYFUNCTION("""COMPUTED_VALUE"""),"")</f>
        <v/>
      </c>
      <c r="AE44" s="341" t="str">
        <f>IFERROR(__xludf.DUMMYFUNCTION("""COMPUTED_VALUE"""),"")</f>
        <v/>
      </c>
      <c r="AF44" s="337" t="str">
        <f>IFERROR(__xludf.DUMMYFUNCTION("""COMPUTED_VALUE"""),"")</f>
        <v/>
      </c>
      <c r="AG44" s="341" t="str">
        <f>IFERROR(__xludf.DUMMYFUNCTION("""COMPUTED_VALUE"""),"")</f>
        <v/>
      </c>
      <c r="AH44" s="337" t="str">
        <f>IFERROR(__xludf.DUMMYFUNCTION("""COMPUTED_VALUE"""),"")</f>
        <v/>
      </c>
      <c r="AI44" s="337" t="str">
        <f>IFERROR(__xludf.DUMMYFUNCTION("""COMPUTED_VALUE"""),"")</f>
        <v/>
      </c>
      <c r="AJ44" s="342" t="str">
        <f>IFERROR(__xludf.DUMMYFUNCTION("""COMPUTED_VALUE"""),"")</f>
        <v/>
      </c>
    </row>
    <row r="45">
      <c r="A45" s="343" t="str">
        <f>IFERROR(__xludf.DUMMYFUNCTION("""COMPUTED_VALUE"""),"")</f>
        <v/>
      </c>
      <c r="B45" s="344" t="str">
        <f>IFERROR(__xludf.DUMMYFUNCTION("""COMPUTED_VALUE"""),"")</f>
        <v/>
      </c>
      <c r="C45" s="345" t="str">
        <f>IFERROR(__xludf.DUMMYFUNCTION("""COMPUTED_VALUE"""),"")</f>
        <v/>
      </c>
      <c r="D45" s="346" t="str">
        <f>IFERROR(__xludf.DUMMYFUNCTION("""COMPUTED_VALUE"""),"")</f>
        <v/>
      </c>
      <c r="E45" s="344" t="str">
        <f>IFERROR(__xludf.DUMMYFUNCTION("""COMPUTED_VALUE"""),"")</f>
        <v/>
      </c>
      <c r="F45" s="344" t="str">
        <f>IFERROR(__xludf.DUMMYFUNCTION("""COMPUTED_VALUE"""),"")</f>
        <v/>
      </c>
      <c r="G45" s="344" t="str">
        <f>IFERROR(__xludf.DUMMYFUNCTION("""COMPUTED_VALUE"""),"")</f>
        <v/>
      </c>
      <c r="H45" s="344" t="str">
        <f>IFERROR(__xludf.DUMMYFUNCTION("""COMPUTED_VALUE"""),"")</f>
        <v/>
      </c>
      <c r="I45" s="344" t="str">
        <f>IFERROR(__xludf.DUMMYFUNCTION("""COMPUTED_VALUE"""),"")</f>
        <v/>
      </c>
      <c r="J45" s="347" t="str">
        <f>IFERROR(__xludf.DUMMYFUNCTION("""COMPUTED_VALUE"""),"")</f>
        <v/>
      </c>
      <c r="K45" s="344" t="str">
        <f>IFERROR(__xludf.DUMMYFUNCTION("""COMPUTED_VALUE"""),"")</f>
        <v/>
      </c>
      <c r="L45" s="347" t="str">
        <f>IFERROR(__xludf.DUMMYFUNCTION("""COMPUTED_VALUE"""),"")</f>
        <v/>
      </c>
      <c r="M45" s="344" t="str">
        <f>IFERROR(__xludf.DUMMYFUNCTION("""COMPUTED_VALUE"""),"")</f>
        <v/>
      </c>
      <c r="N45" s="344" t="str">
        <f>IFERROR(__xludf.DUMMYFUNCTION("""COMPUTED_VALUE"""),"")</f>
        <v/>
      </c>
      <c r="O45" s="344" t="str">
        <f>IFERROR(__xludf.DUMMYFUNCTION("""COMPUTED_VALUE"""),"")</f>
        <v/>
      </c>
      <c r="P45" s="344" t="str">
        <f>IFERROR(__xludf.DUMMYFUNCTION("""COMPUTED_VALUE"""),"")</f>
        <v/>
      </c>
      <c r="Q45" s="347" t="str">
        <f>IFERROR(__xludf.DUMMYFUNCTION("""COMPUTED_VALUE"""),"")</f>
        <v/>
      </c>
      <c r="R45" s="344" t="str">
        <f>IFERROR(__xludf.DUMMYFUNCTION("""COMPUTED_VALUE"""),"")</f>
        <v/>
      </c>
      <c r="S45" s="347" t="str">
        <f>IFERROR(__xludf.DUMMYFUNCTION("""COMPUTED_VALUE"""),"")</f>
        <v/>
      </c>
      <c r="T45" s="344" t="str">
        <f>IFERROR(__xludf.DUMMYFUNCTION("""COMPUTED_VALUE"""),"")</f>
        <v/>
      </c>
      <c r="U45" s="344" t="str">
        <f>IFERROR(__xludf.DUMMYFUNCTION("""COMPUTED_VALUE"""),"")</f>
        <v/>
      </c>
      <c r="V45" s="344" t="str">
        <f>IFERROR(__xludf.DUMMYFUNCTION("""COMPUTED_VALUE"""),"")</f>
        <v/>
      </c>
      <c r="W45" s="344" t="str">
        <f>IFERROR(__xludf.DUMMYFUNCTION("""COMPUTED_VALUE"""),"")</f>
        <v/>
      </c>
      <c r="X45" s="347" t="str">
        <f>IFERROR(__xludf.DUMMYFUNCTION("""COMPUTED_VALUE"""),"")</f>
        <v/>
      </c>
      <c r="Y45" s="344" t="str">
        <f>IFERROR(__xludf.DUMMYFUNCTION("""COMPUTED_VALUE"""),"")</f>
        <v/>
      </c>
      <c r="Z45" s="347" t="str">
        <f>IFERROR(__xludf.DUMMYFUNCTION("""COMPUTED_VALUE"""),"")</f>
        <v/>
      </c>
      <c r="AA45" s="344" t="str">
        <f>IFERROR(__xludf.DUMMYFUNCTION("""COMPUTED_VALUE"""),"")</f>
        <v/>
      </c>
      <c r="AB45" s="344" t="str">
        <f>IFERROR(__xludf.DUMMYFUNCTION("""COMPUTED_VALUE"""),"")</f>
        <v/>
      </c>
      <c r="AC45" s="344" t="str">
        <f>IFERROR(__xludf.DUMMYFUNCTION("""COMPUTED_VALUE"""),"")</f>
        <v/>
      </c>
      <c r="AD45" s="344" t="str">
        <f>IFERROR(__xludf.DUMMYFUNCTION("""COMPUTED_VALUE"""),"")</f>
        <v/>
      </c>
      <c r="AE45" s="347" t="str">
        <f>IFERROR(__xludf.DUMMYFUNCTION("""COMPUTED_VALUE"""),"")</f>
        <v/>
      </c>
      <c r="AF45" s="344" t="str">
        <f>IFERROR(__xludf.DUMMYFUNCTION("""COMPUTED_VALUE"""),"")</f>
        <v/>
      </c>
      <c r="AG45" s="347" t="str">
        <f>IFERROR(__xludf.DUMMYFUNCTION("""COMPUTED_VALUE"""),"")</f>
        <v/>
      </c>
      <c r="AH45" s="344" t="str">
        <f>IFERROR(__xludf.DUMMYFUNCTION("""COMPUTED_VALUE"""),"")</f>
        <v/>
      </c>
      <c r="AI45" s="344" t="str">
        <f>IFERROR(__xludf.DUMMYFUNCTION("""COMPUTED_VALUE"""),"")</f>
        <v/>
      </c>
      <c r="AJ45" s="348" t="str">
        <f>IFERROR(__xludf.DUMMYFUNCTION("""COMPUTED_VALUE"""),"")</f>
        <v/>
      </c>
    </row>
    <row r="46" ht="16.5" customHeight="1">
      <c r="A46" s="349">
        <f>IFERROR(__xludf.DUMMYFUNCTION("""COMPUTED_VALUE"""),6.0)</f>
        <v>6</v>
      </c>
      <c r="B46" s="313" t="str">
        <f>IFERROR(__xludf.DUMMYFUNCTION("""COMPUTED_VALUE"""),"A104")</f>
        <v>A104</v>
      </c>
      <c r="C46" s="314" t="str">
        <f>IFERROR(__xludf.DUMMYFUNCTION("""COMPUTED_VALUE"""),"")</f>
        <v/>
      </c>
      <c r="D46" s="350" t="str">
        <f>IFERROR(__xludf.DUMMYFUNCTION("""COMPUTED_VALUE"""),"Spirit Root")</f>
        <v>Spirit Root</v>
      </c>
      <c r="E46" s="351" t="str">
        <f>IFERROR(__xludf.DUMMYFUNCTION("""COMPUTED_VALUE"""),"AP")</f>
        <v>AP</v>
      </c>
      <c r="F46" s="351" t="str">
        <f>IFERROR(__xludf.DUMMYFUNCTION("""COMPUTED_VALUE"""),"Runs")</f>
        <v>Runs</v>
      </c>
      <c r="G46" s="351" t="str">
        <f>IFERROR(__xludf.DUMMYFUNCTION("""COMPUTED_VALUE"""),"Status")</f>
        <v>Status</v>
      </c>
      <c r="H46" s="351" t="str">
        <f>IFERROR(__xludf.DUMMYFUNCTION("""COMPUTED_VALUE"""),"Mat")</f>
        <v>Mat</v>
      </c>
      <c r="I46" s="351" t="str">
        <f>IFERROR(__xludf.DUMMYFUNCTION("""COMPUTED_VALUE"""),"AP/Drop")</f>
        <v>AP/Drop</v>
      </c>
      <c r="J46" s="351" t="str">
        <f>IFERROR(__xludf.DUMMYFUNCTION("""COMPUTED_VALUE"""),"")</f>
        <v/>
      </c>
      <c r="K46" s="351" t="str">
        <f>IFERROR(__xludf.DUMMYFUNCTION("""COMPUTED_VALUE"""),"Droprate")</f>
        <v>Droprate</v>
      </c>
      <c r="L46" s="351" t="str">
        <f>IFERROR(__xludf.DUMMYFUNCTION("""COMPUTED_VALUE"""),"")</f>
        <v/>
      </c>
      <c r="M46" s="351" t="str">
        <f>IFERROR(__xludf.DUMMYFUNCTION("""COMPUTED_VALUE"""),"#2")</f>
        <v>#2</v>
      </c>
      <c r="N46" s="351" t="str">
        <f>IFERROR(__xludf.DUMMYFUNCTION("""COMPUTED_VALUE"""),"Item 2 ID")</f>
        <v>Item 2 ID</v>
      </c>
      <c r="O46" s="351" t="str">
        <f>IFERROR(__xludf.DUMMYFUNCTION("""COMPUTED_VALUE"""),"Mat")</f>
        <v>Mat</v>
      </c>
      <c r="P46" s="351" t="str">
        <f>IFERROR(__xludf.DUMMYFUNCTION("""COMPUTED_VALUE"""),"AP/Drop")</f>
        <v>AP/Drop</v>
      </c>
      <c r="Q46" s="351" t="str">
        <f>IFERROR(__xludf.DUMMYFUNCTION("""COMPUTED_VALUE"""),"")</f>
        <v/>
      </c>
      <c r="R46" s="351" t="str">
        <f>IFERROR(__xludf.DUMMYFUNCTION("""COMPUTED_VALUE"""),"Droprate")</f>
        <v>Droprate</v>
      </c>
      <c r="S46" s="351" t="str">
        <f>IFERROR(__xludf.DUMMYFUNCTION("""COMPUTED_VALUE"""),"")</f>
        <v/>
      </c>
      <c r="T46" s="351" t="str">
        <f>IFERROR(__xludf.DUMMYFUNCTION("""COMPUTED_VALUE"""),"#3")</f>
        <v>#3</v>
      </c>
      <c r="U46" s="351" t="str">
        <f>IFERROR(__xludf.DUMMYFUNCTION("""COMPUTED_VALUE"""),"Item 2 ID")</f>
        <v>Item 2 ID</v>
      </c>
      <c r="V46" s="351" t="str">
        <f>IFERROR(__xludf.DUMMYFUNCTION("""COMPUTED_VALUE"""),"Mat")</f>
        <v>Mat</v>
      </c>
      <c r="W46" s="351" t="str">
        <f>IFERROR(__xludf.DUMMYFUNCTION("""COMPUTED_VALUE"""),"AP/Drop")</f>
        <v>AP/Drop</v>
      </c>
      <c r="X46" s="351" t="str">
        <f>IFERROR(__xludf.DUMMYFUNCTION("""COMPUTED_VALUE"""),"")</f>
        <v/>
      </c>
      <c r="Y46" s="351" t="str">
        <f>IFERROR(__xludf.DUMMYFUNCTION("""COMPUTED_VALUE"""),"Droprate")</f>
        <v>Droprate</v>
      </c>
      <c r="Z46" s="351" t="str">
        <f>IFERROR(__xludf.DUMMYFUNCTION("""COMPUTED_VALUE"""),"")</f>
        <v/>
      </c>
      <c r="AA46" s="351" t="str">
        <f>IFERROR(__xludf.DUMMYFUNCTION("""COMPUTED_VALUE"""),"#4")</f>
        <v>#4</v>
      </c>
      <c r="AB46" s="351" t="str">
        <f>IFERROR(__xludf.DUMMYFUNCTION("""COMPUTED_VALUE"""),"Item 3 ID")</f>
        <v>Item 3 ID</v>
      </c>
      <c r="AC46" s="351" t="str">
        <f>IFERROR(__xludf.DUMMYFUNCTION("""COMPUTED_VALUE"""),"Mat")</f>
        <v>Mat</v>
      </c>
      <c r="AD46" s="351" t="str">
        <f>IFERROR(__xludf.DUMMYFUNCTION("""COMPUTED_VALUE"""),"AP/Drop")</f>
        <v>AP/Drop</v>
      </c>
      <c r="AE46" s="351" t="str">
        <f>IFERROR(__xludf.DUMMYFUNCTION("""COMPUTED_VALUE"""),"")</f>
        <v/>
      </c>
      <c r="AF46" s="351" t="str">
        <f>IFERROR(__xludf.DUMMYFUNCTION("""COMPUTED_VALUE"""),"Droprate")</f>
        <v>Droprate</v>
      </c>
      <c r="AG46" s="351" t="str">
        <f>IFERROR(__xludf.DUMMYFUNCTION("""COMPUTED_VALUE"""),"")</f>
        <v/>
      </c>
      <c r="AH46" s="351" t="str">
        <f>IFERROR(__xludf.DUMMYFUNCTION("""COMPUTED_VALUE"""),"AP")</f>
        <v>AP</v>
      </c>
      <c r="AI46" s="351" t="str">
        <f>IFERROR(__xludf.DUMMYFUNCTION("""COMPUTED_VALUE"""),"Runs")</f>
        <v>Runs</v>
      </c>
      <c r="AJ46" s="351" t="str">
        <f>IFERROR(__xludf.DUMMYFUNCTION("""COMPUTED_VALUE"""),"Node Name")</f>
        <v>Node Name</v>
      </c>
    </row>
    <row r="47" ht="16.5" customHeight="1">
      <c r="D47" s="317" t="str">
        <f>IFERROR(__xludf.DUMMYFUNCTION("""COMPUTED_VALUE"""),"#N/A")</f>
        <v>#N/A</v>
      </c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18"/>
      <c r="Z47" s="318"/>
      <c r="AA47" s="318"/>
      <c r="AB47" s="318"/>
      <c r="AC47" s="318"/>
      <c r="AD47" s="318"/>
      <c r="AE47" s="318"/>
      <c r="AF47" s="318"/>
      <c r="AG47" s="318"/>
      <c r="AH47" s="318"/>
      <c r="AI47" s="318"/>
      <c r="AJ47" s="318"/>
    </row>
    <row r="48" ht="24.75" customHeight="1">
      <c r="A48" s="319">
        <f>IFERROR(__xludf.DUMMYFUNCTION("""COMPUTED_VALUE"""),1.0)</f>
        <v>1</v>
      </c>
      <c r="B48" s="319" t="str">
        <f>IFERROR(__xludf.DUMMYFUNCTION("""COMPUTED_VALUE"""),"A104")</f>
        <v>A104</v>
      </c>
      <c r="C48" s="319" t="str">
        <f>IFERROR(__xludf.DUMMYFUNCTION("""COMPUTED_VALUE"""),"")</f>
        <v/>
      </c>
      <c r="D48" s="320" t="str">
        <f>IFERROR(__xludf.DUMMYFUNCTION("""COMPUTED_VALUE"""),"")</f>
        <v/>
      </c>
      <c r="E48" s="321" t="str">
        <f>IFERROR(__xludf.DUMMYFUNCTION("""COMPUTED_VALUE"""),"")</f>
        <v/>
      </c>
      <c r="F48" s="322" t="str">
        <f>IFERROR(__xludf.DUMMYFUNCTION("""COMPUTED_VALUE"""),"")</f>
        <v/>
      </c>
      <c r="G48" s="322" t="str">
        <f>IFERROR(__xludf.DUMMYFUNCTION("""COMPUTED_VALUE"""),"")</f>
        <v/>
      </c>
      <c r="H48" s="323" t="str">
        <f>IFERROR(__xludf.DUMMYFUNCTION("""COMPUTED_VALUE""")," ")</f>
        <v> </v>
      </c>
      <c r="I48" s="324" t="str">
        <f>IFERROR(__xludf.DUMMYFUNCTION("""COMPUTED_VALUE"""),"")</f>
        <v/>
      </c>
      <c r="J48" s="325" t="str">
        <f>IFERROR(__xludf.DUMMYFUNCTION("""COMPUTED_VALUE"""),"AP")</f>
        <v>AP</v>
      </c>
      <c r="K48" s="324">
        <f>IFERROR(__xludf.DUMMYFUNCTION("""COMPUTED_VALUE"""),0.0)</f>
        <v>0</v>
      </c>
      <c r="L48" s="325" t="str">
        <f>IFERROR(__xludf.DUMMYFUNCTION("""COMPUTED_VALUE"""),"%")</f>
        <v>%</v>
      </c>
      <c r="M48" s="326">
        <f>IFERROR(__xludf.DUMMYFUNCTION("""COMPUTED_VALUE"""),1.0)</f>
        <v>1</v>
      </c>
      <c r="N48" s="324" t="str">
        <f>IFERROR(__xludf.DUMMYFUNCTION("""COMPUTED_VALUE"""),"")</f>
        <v/>
      </c>
      <c r="O48" s="327" t="str">
        <f>IFERROR(__xludf.DUMMYFUNCTION("""COMPUTED_VALUE"""),"")</f>
        <v/>
      </c>
      <c r="P48" s="324" t="str">
        <f>IFERROR(__xludf.DUMMYFUNCTION("""COMPUTED_VALUE"""),"")</f>
        <v/>
      </c>
      <c r="Q48" s="325" t="str">
        <f>IFERROR(__xludf.DUMMYFUNCTION("""COMPUTED_VALUE"""),"AP")</f>
        <v>AP</v>
      </c>
      <c r="R48" s="324">
        <f>IFERROR(__xludf.DUMMYFUNCTION("""COMPUTED_VALUE"""),0.0)</f>
        <v>0</v>
      </c>
      <c r="S48" s="325" t="str">
        <f>IFERROR(__xludf.DUMMYFUNCTION("""COMPUTED_VALUE"""),"%")</f>
        <v>%</v>
      </c>
      <c r="T48" s="326">
        <f>IFERROR(__xludf.DUMMYFUNCTION("""COMPUTED_VALUE"""),2.0)</f>
        <v>2</v>
      </c>
      <c r="U48" s="324" t="str">
        <f>IFERROR(__xludf.DUMMYFUNCTION("""COMPUTED_VALUE"""),"")</f>
        <v/>
      </c>
      <c r="V48" s="327" t="str">
        <f>IFERROR(__xludf.DUMMYFUNCTION("""COMPUTED_VALUE"""),"")</f>
        <v/>
      </c>
      <c r="W48" s="324" t="str">
        <f>IFERROR(__xludf.DUMMYFUNCTION("""COMPUTED_VALUE"""),"")</f>
        <v/>
      </c>
      <c r="X48" s="325" t="str">
        <f>IFERROR(__xludf.DUMMYFUNCTION("""COMPUTED_VALUE"""),"AP")</f>
        <v>AP</v>
      </c>
      <c r="Y48" s="324">
        <f>IFERROR(__xludf.DUMMYFUNCTION("""COMPUTED_VALUE"""),0.0)</f>
        <v>0</v>
      </c>
      <c r="Z48" s="325" t="str">
        <f>IFERROR(__xludf.DUMMYFUNCTION("""COMPUTED_VALUE"""),"%")</f>
        <v>%</v>
      </c>
      <c r="AA48" s="326">
        <f>IFERROR(__xludf.DUMMYFUNCTION("""COMPUTED_VALUE"""),3.0)</f>
        <v>3</v>
      </c>
      <c r="AB48" s="324" t="str">
        <f>IFERROR(__xludf.DUMMYFUNCTION("""COMPUTED_VALUE"""),"")</f>
        <v/>
      </c>
      <c r="AC48" s="327" t="str">
        <f>IFERROR(__xludf.DUMMYFUNCTION("""COMPUTED_VALUE"""),"")</f>
        <v/>
      </c>
      <c r="AD48" s="324" t="str">
        <f>IFERROR(__xludf.DUMMYFUNCTION("""COMPUTED_VALUE"""),"")</f>
        <v/>
      </c>
      <c r="AE48" s="325" t="str">
        <f>IFERROR(__xludf.DUMMYFUNCTION("""COMPUTED_VALUE"""),"AP")</f>
        <v>AP</v>
      </c>
      <c r="AF48" s="324">
        <f>IFERROR(__xludf.DUMMYFUNCTION("""COMPUTED_VALUE"""),0.0)</f>
        <v>0</v>
      </c>
      <c r="AG48" s="325" t="str">
        <f>IFERROR(__xludf.DUMMYFUNCTION("""COMPUTED_VALUE"""),"%")</f>
        <v>%</v>
      </c>
      <c r="AH48" s="321" t="str">
        <f>IFERROR(__xludf.DUMMYFUNCTION("""COMPUTED_VALUE"""),"")</f>
        <v/>
      </c>
      <c r="AI48" s="322" t="str">
        <f>IFERROR(__xludf.DUMMYFUNCTION("""COMPUTED_VALUE"""),"")</f>
        <v/>
      </c>
      <c r="AJ48" s="320" t="str">
        <f>IFERROR(__xludf.DUMMYFUNCTION("""COMPUTED_VALUE"""),"")</f>
        <v/>
      </c>
    </row>
    <row r="49" ht="24.75" customHeight="1">
      <c r="A49" s="328">
        <f>IFERROR(__xludf.DUMMYFUNCTION("""COMPUTED_VALUE"""),2.0)</f>
        <v>2</v>
      </c>
      <c r="B49" s="328" t="str">
        <f>IFERROR(__xludf.DUMMYFUNCTION("""COMPUTED_VALUE"""),"A104")</f>
        <v>A104</v>
      </c>
      <c r="C49" s="328" t="str">
        <f>IFERROR(__xludf.DUMMYFUNCTION("""COMPUTED_VALUE"""),"")</f>
        <v/>
      </c>
      <c r="D49" s="329" t="str">
        <f>IFERROR(__xludf.DUMMYFUNCTION("""COMPUTED_VALUE"""),"")</f>
        <v/>
      </c>
      <c r="E49" s="330" t="str">
        <f>IFERROR(__xludf.DUMMYFUNCTION("""COMPUTED_VALUE"""),"")</f>
        <v/>
      </c>
      <c r="F49" s="331" t="str">
        <f>IFERROR(__xludf.DUMMYFUNCTION("""COMPUTED_VALUE"""),"")</f>
        <v/>
      </c>
      <c r="G49" s="331" t="str">
        <f>IFERROR(__xludf.DUMMYFUNCTION("""COMPUTED_VALUE"""),"")</f>
        <v/>
      </c>
      <c r="H49" s="323" t="str">
        <f>IFERROR(__xludf.DUMMYFUNCTION("""COMPUTED_VALUE""")," ")</f>
        <v> </v>
      </c>
      <c r="I49" s="332" t="str">
        <f>IFERROR(__xludf.DUMMYFUNCTION("""COMPUTED_VALUE"""),"")</f>
        <v/>
      </c>
      <c r="J49" s="333" t="str">
        <f>IFERROR(__xludf.DUMMYFUNCTION("""COMPUTED_VALUE"""),"AP")</f>
        <v>AP</v>
      </c>
      <c r="K49" s="332">
        <f>IFERROR(__xludf.DUMMYFUNCTION("""COMPUTED_VALUE"""),0.0)</f>
        <v>0</v>
      </c>
      <c r="L49" s="334" t="str">
        <f>IFERROR(__xludf.DUMMYFUNCTION("""COMPUTED_VALUE"""),"%")</f>
        <v>%</v>
      </c>
      <c r="M49" s="335">
        <f>IFERROR(__xludf.DUMMYFUNCTION("""COMPUTED_VALUE"""),1.0)</f>
        <v>1</v>
      </c>
      <c r="N49" s="332" t="str">
        <f>IFERROR(__xludf.DUMMYFUNCTION("""COMPUTED_VALUE"""),"")</f>
        <v/>
      </c>
      <c r="O49" s="327" t="str">
        <f>IFERROR(__xludf.DUMMYFUNCTION("""COMPUTED_VALUE"""),"")</f>
        <v/>
      </c>
      <c r="P49" s="332" t="str">
        <f>IFERROR(__xludf.DUMMYFUNCTION("""COMPUTED_VALUE"""),"")</f>
        <v/>
      </c>
      <c r="Q49" s="333" t="str">
        <f>IFERROR(__xludf.DUMMYFUNCTION("""COMPUTED_VALUE"""),"AP")</f>
        <v>AP</v>
      </c>
      <c r="R49" s="332">
        <f>IFERROR(__xludf.DUMMYFUNCTION("""COMPUTED_VALUE"""),0.0)</f>
        <v>0</v>
      </c>
      <c r="S49" s="334" t="str">
        <f>IFERROR(__xludf.DUMMYFUNCTION("""COMPUTED_VALUE"""),"%")</f>
        <v>%</v>
      </c>
      <c r="T49" s="335">
        <f>IFERROR(__xludf.DUMMYFUNCTION("""COMPUTED_VALUE"""),2.0)</f>
        <v>2</v>
      </c>
      <c r="U49" s="332" t="str">
        <f>IFERROR(__xludf.DUMMYFUNCTION("""COMPUTED_VALUE"""),"")</f>
        <v/>
      </c>
      <c r="V49" s="327" t="str">
        <f>IFERROR(__xludf.DUMMYFUNCTION("""COMPUTED_VALUE"""),"")</f>
        <v/>
      </c>
      <c r="W49" s="332" t="str">
        <f>IFERROR(__xludf.DUMMYFUNCTION("""COMPUTED_VALUE"""),"")</f>
        <v/>
      </c>
      <c r="X49" s="333" t="str">
        <f>IFERROR(__xludf.DUMMYFUNCTION("""COMPUTED_VALUE"""),"AP")</f>
        <v>AP</v>
      </c>
      <c r="Y49" s="332">
        <f>IFERROR(__xludf.DUMMYFUNCTION("""COMPUTED_VALUE"""),0.0)</f>
        <v>0</v>
      </c>
      <c r="Z49" s="334" t="str">
        <f>IFERROR(__xludf.DUMMYFUNCTION("""COMPUTED_VALUE"""),"%")</f>
        <v>%</v>
      </c>
      <c r="AA49" s="335">
        <f>IFERROR(__xludf.DUMMYFUNCTION("""COMPUTED_VALUE"""),3.0)</f>
        <v>3</v>
      </c>
      <c r="AB49" s="332" t="str">
        <f>IFERROR(__xludf.DUMMYFUNCTION("""COMPUTED_VALUE"""),"")</f>
        <v/>
      </c>
      <c r="AC49" s="327" t="str">
        <f>IFERROR(__xludf.DUMMYFUNCTION("""COMPUTED_VALUE"""),"")</f>
        <v/>
      </c>
      <c r="AD49" s="332" t="str">
        <f>IFERROR(__xludf.DUMMYFUNCTION("""COMPUTED_VALUE"""),"")</f>
        <v/>
      </c>
      <c r="AE49" s="333" t="str">
        <f>IFERROR(__xludf.DUMMYFUNCTION("""COMPUTED_VALUE"""),"AP")</f>
        <v>AP</v>
      </c>
      <c r="AF49" s="332">
        <f>IFERROR(__xludf.DUMMYFUNCTION("""COMPUTED_VALUE"""),0.0)</f>
        <v>0</v>
      </c>
      <c r="AG49" s="334" t="str">
        <f>IFERROR(__xludf.DUMMYFUNCTION("""COMPUTED_VALUE"""),"%")</f>
        <v>%</v>
      </c>
      <c r="AH49" s="330" t="str">
        <f>IFERROR(__xludf.DUMMYFUNCTION("""COMPUTED_VALUE"""),"")</f>
        <v/>
      </c>
      <c r="AI49" s="331" t="str">
        <f>IFERROR(__xludf.DUMMYFUNCTION("""COMPUTED_VALUE"""),"")</f>
        <v/>
      </c>
      <c r="AJ49" s="329" t="str">
        <f>IFERROR(__xludf.DUMMYFUNCTION("""COMPUTED_VALUE"""),"")</f>
        <v/>
      </c>
    </row>
    <row r="50" ht="24.75" customHeight="1">
      <c r="A50" s="319">
        <f>IFERROR(__xludf.DUMMYFUNCTION("""COMPUTED_VALUE"""),3.0)</f>
        <v>3</v>
      </c>
      <c r="B50" s="319" t="str">
        <f>IFERROR(__xludf.DUMMYFUNCTION("""COMPUTED_VALUE"""),"A104")</f>
        <v>A104</v>
      </c>
      <c r="C50" s="319" t="str">
        <f>IFERROR(__xludf.DUMMYFUNCTION("""COMPUTED_VALUE"""),"")</f>
        <v/>
      </c>
      <c r="D50" s="320" t="str">
        <f>IFERROR(__xludf.DUMMYFUNCTION("""COMPUTED_VALUE"""),"")</f>
        <v/>
      </c>
      <c r="E50" s="321" t="str">
        <f>IFERROR(__xludf.DUMMYFUNCTION("""COMPUTED_VALUE"""),"")</f>
        <v/>
      </c>
      <c r="F50" s="322" t="str">
        <f>IFERROR(__xludf.DUMMYFUNCTION("""COMPUTED_VALUE"""),"")</f>
        <v/>
      </c>
      <c r="G50" s="322" t="str">
        <f>IFERROR(__xludf.DUMMYFUNCTION("""COMPUTED_VALUE"""),"")</f>
        <v/>
      </c>
      <c r="H50" s="323" t="str">
        <f>IFERROR(__xludf.DUMMYFUNCTION("""COMPUTED_VALUE""")," ")</f>
        <v> </v>
      </c>
      <c r="I50" s="324" t="str">
        <f>IFERROR(__xludf.DUMMYFUNCTION("""COMPUTED_VALUE"""),"")</f>
        <v/>
      </c>
      <c r="J50" s="325" t="str">
        <f>IFERROR(__xludf.DUMMYFUNCTION("""COMPUTED_VALUE"""),"AP")</f>
        <v>AP</v>
      </c>
      <c r="K50" s="324">
        <f>IFERROR(__xludf.DUMMYFUNCTION("""COMPUTED_VALUE"""),0.0)</f>
        <v>0</v>
      </c>
      <c r="L50" s="325" t="str">
        <f>IFERROR(__xludf.DUMMYFUNCTION("""COMPUTED_VALUE"""),"%")</f>
        <v>%</v>
      </c>
      <c r="M50" s="326">
        <f>IFERROR(__xludf.DUMMYFUNCTION("""COMPUTED_VALUE"""),1.0)</f>
        <v>1</v>
      </c>
      <c r="N50" s="324" t="str">
        <f>IFERROR(__xludf.DUMMYFUNCTION("""COMPUTED_VALUE"""),"")</f>
        <v/>
      </c>
      <c r="O50" s="327" t="str">
        <f>IFERROR(__xludf.DUMMYFUNCTION("""COMPUTED_VALUE"""),"")</f>
        <v/>
      </c>
      <c r="P50" s="324" t="str">
        <f>IFERROR(__xludf.DUMMYFUNCTION("""COMPUTED_VALUE"""),"")</f>
        <v/>
      </c>
      <c r="Q50" s="325" t="str">
        <f>IFERROR(__xludf.DUMMYFUNCTION("""COMPUTED_VALUE"""),"AP")</f>
        <v>AP</v>
      </c>
      <c r="R50" s="324">
        <f>IFERROR(__xludf.DUMMYFUNCTION("""COMPUTED_VALUE"""),0.0)</f>
        <v>0</v>
      </c>
      <c r="S50" s="325" t="str">
        <f>IFERROR(__xludf.DUMMYFUNCTION("""COMPUTED_VALUE"""),"%")</f>
        <v>%</v>
      </c>
      <c r="T50" s="326">
        <f>IFERROR(__xludf.DUMMYFUNCTION("""COMPUTED_VALUE"""),2.0)</f>
        <v>2</v>
      </c>
      <c r="U50" s="324" t="str">
        <f>IFERROR(__xludf.DUMMYFUNCTION("""COMPUTED_VALUE"""),"")</f>
        <v/>
      </c>
      <c r="V50" s="327" t="str">
        <f>IFERROR(__xludf.DUMMYFUNCTION("""COMPUTED_VALUE"""),"")</f>
        <v/>
      </c>
      <c r="W50" s="324" t="str">
        <f>IFERROR(__xludf.DUMMYFUNCTION("""COMPUTED_VALUE"""),"")</f>
        <v/>
      </c>
      <c r="X50" s="325" t="str">
        <f>IFERROR(__xludf.DUMMYFUNCTION("""COMPUTED_VALUE"""),"AP")</f>
        <v>AP</v>
      </c>
      <c r="Y50" s="324">
        <f>IFERROR(__xludf.DUMMYFUNCTION("""COMPUTED_VALUE"""),0.0)</f>
        <v>0</v>
      </c>
      <c r="Z50" s="325" t="str">
        <f>IFERROR(__xludf.DUMMYFUNCTION("""COMPUTED_VALUE"""),"%")</f>
        <v>%</v>
      </c>
      <c r="AA50" s="326">
        <f>IFERROR(__xludf.DUMMYFUNCTION("""COMPUTED_VALUE"""),3.0)</f>
        <v>3</v>
      </c>
      <c r="AB50" s="324" t="str">
        <f>IFERROR(__xludf.DUMMYFUNCTION("""COMPUTED_VALUE"""),"")</f>
        <v/>
      </c>
      <c r="AC50" s="327" t="str">
        <f>IFERROR(__xludf.DUMMYFUNCTION("""COMPUTED_VALUE"""),"")</f>
        <v/>
      </c>
      <c r="AD50" s="324" t="str">
        <f>IFERROR(__xludf.DUMMYFUNCTION("""COMPUTED_VALUE"""),"")</f>
        <v/>
      </c>
      <c r="AE50" s="325" t="str">
        <f>IFERROR(__xludf.DUMMYFUNCTION("""COMPUTED_VALUE"""),"AP")</f>
        <v>AP</v>
      </c>
      <c r="AF50" s="324">
        <f>IFERROR(__xludf.DUMMYFUNCTION("""COMPUTED_VALUE"""),0.0)</f>
        <v>0</v>
      </c>
      <c r="AG50" s="325" t="str">
        <f>IFERROR(__xludf.DUMMYFUNCTION("""COMPUTED_VALUE"""),"%")</f>
        <v>%</v>
      </c>
      <c r="AH50" s="321" t="str">
        <f>IFERROR(__xludf.DUMMYFUNCTION("""COMPUTED_VALUE"""),"")</f>
        <v/>
      </c>
      <c r="AI50" s="322" t="str">
        <f>IFERROR(__xludf.DUMMYFUNCTION("""COMPUTED_VALUE"""),"")</f>
        <v/>
      </c>
      <c r="AJ50" s="320" t="str">
        <f>IFERROR(__xludf.DUMMYFUNCTION("""COMPUTED_VALUE"""),"")</f>
        <v/>
      </c>
    </row>
    <row r="51" ht="24.75" customHeight="1">
      <c r="A51" s="328">
        <f>IFERROR(__xludf.DUMMYFUNCTION("""COMPUTED_VALUE"""),4.0)</f>
        <v>4</v>
      </c>
      <c r="B51" s="328" t="str">
        <f>IFERROR(__xludf.DUMMYFUNCTION("""COMPUTED_VALUE"""),"A104")</f>
        <v>A104</v>
      </c>
      <c r="C51" s="328" t="str">
        <f>IFERROR(__xludf.DUMMYFUNCTION("""COMPUTED_VALUE"""),"")</f>
        <v/>
      </c>
      <c r="D51" s="329" t="str">
        <f>IFERROR(__xludf.DUMMYFUNCTION("""COMPUTED_VALUE"""),"")</f>
        <v/>
      </c>
      <c r="E51" s="330" t="str">
        <f>IFERROR(__xludf.DUMMYFUNCTION("""COMPUTED_VALUE"""),"")</f>
        <v/>
      </c>
      <c r="F51" s="331" t="str">
        <f>IFERROR(__xludf.DUMMYFUNCTION("""COMPUTED_VALUE"""),"")</f>
        <v/>
      </c>
      <c r="G51" s="331" t="str">
        <f>IFERROR(__xludf.DUMMYFUNCTION("""COMPUTED_VALUE"""),"")</f>
        <v/>
      </c>
      <c r="H51" s="323" t="str">
        <f>IFERROR(__xludf.DUMMYFUNCTION("""COMPUTED_VALUE""")," ")</f>
        <v> </v>
      </c>
      <c r="I51" s="332" t="str">
        <f>IFERROR(__xludf.DUMMYFUNCTION("""COMPUTED_VALUE"""),"")</f>
        <v/>
      </c>
      <c r="J51" s="333" t="str">
        <f>IFERROR(__xludf.DUMMYFUNCTION("""COMPUTED_VALUE"""),"AP")</f>
        <v>AP</v>
      </c>
      <c r="K51" s="332">
        <f>IFERROR(__xludf.DUMMYFUNCTION("""COMPUTED_VALUE"""),0.0)</f>
        <v>0</v>
      </c>
      <c r="L51" s="334" t="str">
        <f>IFERROR(__xludf.DUMMYFUNCTION("""COMPUTED_VALUE"""),"%")</f>
        <v>%</v>
      </c>
      <c r="M51" s="335">
        <f>IFERROR(__xludf.DUMMYFUNCTION("""COMPUTED_VALUE"""),1.0)</f>
        <v>1</v>
      </c>
      <c r="N51" s="332" t="str">
        <f>IFERROR(__xludf.DUMMYFUNCTION("""COMPUTED_VALUE"""),"")</f>
        <v/>
      </c>
      <c r="O51" s="327" t="str">
        <f>IFERROR(__xludf.DUMMYFUNCTION("""COMPUTED_VALUE"""),"")</f>
        <v/>
      </c>
      <c r="P51" s="332" t="str">
        <f>IFERROR(__xludf.DUMMYFUNCTION("""COMPUTED_VALUE"""),"")</f>
        <v/>
      </c>
      <c r="Q51" s="333" t="str">
        <f>IFERROR(__xludf.DUMMYFUNCTION("""COMPUTED_VALUE"""),"AP")</f>
        <v>AP</v>
      </c>
      <c r="R51" s="332">
        <f>IFERROR(__xludf.DUMMYFUNCTION("""COMPUTED_VALUE"""),0.0)</f>
        <v>0</v>
      </c>
      <c r="S51" s="334" t="str">
        <f>IFERROR(__xludf.DUMMYFUNCTION("""COMPUTED_VALUE"""),"%")</f>
        <v>%</v>
      </c>
      <c r="T51" s="335">
        <f>IFERROR(__xludf.DUMMYFUNCTION("""COMPUTED_VALUE"""),2.0)</f>
        <v>2</v>
      </c>
      <c r="U51" s="332" t="str">
        <f>IFERROR(__xludf.DUMMYFUNCTION("""COMPUTED_VALUE"""),"")</f>
        <v/>
      </c>
      <c r="V51" s="327" t="str">
        <f>IFERROR(__xludf.DUMMYFUNCTION("""COMPUTED_VALUE"""),"")</f>
        <v/>
      </c>
      <c r="W51" s="332" t="str">
        <f>IFERROR(__xludf.DUMMYFUNCTION("""COMPUTED_VALUE"""),"")</f>
        <v/>
      </c>
      <c r="X51" s="333" t="str">
        <f>IFERROR(__xludf.DUMMYFUNCTION("""COMPUTED_VALUE"""),"AP")</f>
        <v>AP</v>
      </c>
      <c r="Y51" s="332">
        <f>IFERROR(__xludf.DUMMYFUNCTION("""COMPUTED_VALUE"""),0.0)</f>
        <v>0</v>
      </c>
      <c r="Z51" s="334" t="str">
        <f>IFERROR(__xludf.DUMMYFUNCTION("""COMPUTED_VALUE"""),"%")</f>
        <v>%</v>
      </c>
      <c r="AA51" s="335">
        <f>IFERROR(__xludf.DUMMYFUNCTION("""COMPUTED_VALUE"""),3.0)</f>
        <v>3</v>
      </c>
      <c r="AB51" s="332" t="str">
        <f>IFERROR(__xludf.DUMMYFUNCTION("""COMPUTED_VALUE"""),"")</f>
        <v/>
      </c>
      <c r="AC51" s="327" t="str">
        <f>IFERROR(__xludf.DUMMYFUNCTION("""COMPUTED_VALUE"""),"")</f>
        <v/>
      </c>
      <c r="AD51" s="332" t="str">
        <f>IFERROR(__xludf.DUMMYFUNCTION("""COMPUTED_VALUE"""),"")</f>
        <v/>
      </c>
      <c r="AE51" s="333" t="str">
        <f>IFERROR(__xludf.DUMMYFUNCTION("""COMPUTED_VALUE"""),"AP")</f>
        <v>AP</v>
      </c>
      <c r="AF51" s="332">
        <f>IFERROR(__xludf.DUMMYFUNCTION("""COMPUTED_VALUE"""),0.0)</f>
        <v>0</v>
      </c>
      <c r="AG51" s="334" t="str">
        <f>IFERROR(__xludf.DUMMYFUNCTION("""COMPUTED_VALUE"""),"%")</f>
        <v>%</v>
      </c>
      <c r="AH51" s="330" t="str">
        <f>IFERROR(__xludf.DUMMYFUNCTION("""COMPUTED_VALUE"""),"")</f>
        <v/>
      </c>
      <c r="AI51" s="331" t="str">
        <f>IFERROR(__xludf.DUMMYFUNCTION("""COMPUTED_VALUE"""),"")</f>
        <v/>
      </c>
      <c r="AJ51" s="329" t="str">
        <f>IFERROR(__xludf.DUMMYFUNCTION("""COMPUTED_VALUE"""),"")</f>
        <v/>
      </c>
    </row>
    <row r="52" ht="24.75" customHeight="1">
      <c r="A52" s="319">
        <f>IFERROR(__xludf.DUMMYFUNCTION("""COMPUTED_VALUE"""),5.0)</f>
        <v>5</v>
      </c>
      <c r="B52" s="319" t="str">
        <f>IFERROR(__xludf.DUMMYFUNCTION("""COMPUTED_VALUE"""),"A104")</f>
        <v>A104</v>
      </c>
      <c r="C52" s="319" t="str">
        <f>IFERROR(__xludf.DUMMYFUNCTION("""COMPUTED_VALUE"""),"")</f>
        <v/>
      </c>
      <c r="D52" s="320" t="str">
        <f>IFERROR(__xludf.DUMMYFUNCTION("""COMPUTED_VALUE"""),"")</f>
        <v/>
      </c>
      <c r="E52" s="321" t="str">
        <f>IFERROR(__xludf.DUMMYFUNCTION("""COMPUTED_VALUE"""),"")</f>
        <v/>
      </c>
      <c r="F52" s="322" t="str">
        <f>IFERROR(__xludf.DUMMYFUNCTION("""COMPUTED_VALUE"""),"")</f>
        <v/>
      </c>
      <c r="G52" s="322" t="str">
        <f>IFERROR(__xludf.DUMMYFUNCTION("""COMPUTED_VALUE"""),"")</f>
        <v/>
      </c>
      <c r="H52" s="323" t="str">
        <f>IFERROR(__xludf.DUMMYFUNCTION("""COMPUTED_VALUE""")," ")</f>
        <v> </v>
      </c>
      <c r="I52" s="324" t="str">
        <f>IFERROR(__xludf.DUMMYFUNCTION("""COMPUTED_VALUE"""),"")</f>
        <v/>
      </c>
      <c r="J52" s="325" t="str">
        <f>IFERROR(__xludf.DUMMYFUNCTION("""COMPUTED_VALUE"""),"AP")</f>
        <v>AP</v>
      </c>
      <c r="K52" s="324">
        <f>IFERROR(__xludf.DUMMYFUNCTION("""COMPUTED_VALUE"""),0.0)</f>
        <v>0</v>
      </c>
      <c r="L52" s="325" t="str">
        <f>IFERROR(__xludf.DUMMYFUNCTION("""COMPUTED_VALUE"""),"%")</f>
        <v>%</v>
      </c>
      <c r="M52" s="326">
        <f>IFERROR(__xludf.DUMMYFUNCTION("""COMPUTED_VALUE"""),1.0)</f>
        <v>1</v>
      </c>
      <c r="N52" s="324" t="str">
        <f>IFERROR(__xludf.DUMMYFUNCTION("""COMPUTED_VALUE"""),"")</f>
        <v/>
      </c>
      <c r="O52" s="327" t="str">
        <f>IFERROR(__xludf.DUMMYFUNCTION("""COMPUTED_VALUE"""),"")</f>
        <v/>
      </c>
      <c r="P52" s="324" t="str">
        <f>IFERROR(__xludf.DUMMYFUNCTION("""COMPUTED_VALUE"""),"")</f>
        <v/>
      </c>
      <c r="Q52" s="325" t="str">
        <f>IFERROR(__xludf.DUMMYFUNCTION("""COMPUTED_VALUE"""),"AP")</f>
        <v>AP</v>
      </c>
      <c r="R52" s="324">
        <f>IFERROR(__xludf.DUMMYFUNCTION("""COMPUTED_VALUE"""),0.0)</f>
        <v>0</v>
      </c>
      <c r="S52" s="325" t="str">
        <f>IFERROR(__xludf.DUMMYFUNCTION("""COMPUTED_VALUE"""),"%")</f>
        <v>%</v>
      </c>
      <c r="T52" s="326">
        <f>IFERROR(__xludf.DUMMYFUNCTION("""COMPUTED_VALUE"""),2.0)</f>
        <v>2</v>
      </c>
      <c r="U52" s="324" t="str">
        <f>IFERROR(__xludf.DUMMYFUNCTION("""COMPUTED_VALUE"""),"")</f>
        <v/>
      </c>
      <c r="V52" s="327" t="str">
        <f>IFERROR(__xludf.DUMMYFUNCTION("""COMPUTED_VALUE"""),"")</f>
        <v/>
      </c>
      <c r="W52" s="324" t="str">
        <f>IFERROR(__xludf.DUMMYFUNCTION("""COMPUTED_VALUE"""),"")</f>
        <v/>
      </c>
      <c r="X52" s="325" t="str">
        <f>IFERROR(__xludf.DUMMYFUNCTION("""COMPUTED_VALUE"""),"AP")</f>
        <v>AP</v>
      </c>
      <c r="Y52" s="324">
        <f>IFERROR(__xludf.DUMMYFUNCTION("""COMPUTED_VALUE"""),0.0)</f>
        <v>0</v>
      </c>
      <c r="Z52" s="325" t="str">
        <f>IFERROR(__xludf.DUMMYFUNCTION("""COMPUTED_VALUE"""),"%")</f>
        <v>%</v>
      </c>
      <c r="AA52" s="326">
        <f>IFERROR(__xludf.DUMMYFUNCTION("""COMPUTED_VALUE"""),3.0)</f>
        <v>3</v>
      </c>
      <c r="AB52" s="324" t="str">
        <f>IFERROR(__xludf.DUMMYFUNCTION("""COMPUTED_VALUE"""),"")</f>
        <v/>
      </c>
      <c r="AC52" s="327" t="str">
        <f>IFERROR(__xludf.DUMMYFUNCTION("""COMPUTED_VALUE"""),"")</f>
        <v/>
      </c>
      <c r="AD52" s="324" t="str">
        <f>IFERROR(__xludf.DUMMYFUNCTION("""COMPUTED_VALUE"""),"")</f>
        <v/>
      </c>
      <c r="AE52" s="325" t="str">
        <f>IFERROR(__xludf.DUMMYFUNCTION("""COMPUTED_VALUE"""),"AP")</f>
        <v>AP</v>
      </c>
      <c r="AF52" s="324">
        <f>IFERROR(__xludf.DUMMYFUNCTION("""COMPUTED_VALUE"""),0.0)</f>
        <v>0</v>
      </c>
      <c r="AG52" s="325" t="str">
        <f>IFERROR(__xludf.DUMMYFUNCTION("""COMPUTED_VALUE"""),"%")</f>
        <v>%</v>
      </c>
      <c r="AH52" s="321" t="str">
        <f>IFERROR(__xludf.DUMMYFUNCTION("""COMPUTED_VALUE"""),"")</f>
        <v/>
      </c>
      <c r="AI52" s="322" t="str">
        <f>IFERROR(__xludf.DUMMYFUNCTION("""COMPUTED_VALUE"""),"")</f>
        <v/>
      </c>
      <c r="AJ52" s="320" t="str">
        <f>IFERROR(__xludf.DUMMYFUNCTION("""COMPUTED_VALUE"""),"")</f>
        <v/>
      </c>
    </row>
    <row r="53">
      <c r="A53" s="336" t="str">
        <f>IFERROR(__xludf.DUMMYFUNCTION("""COMPUTED_VALUE"""),"")</f>
        <v/>
      </c>
      <c r="B53" s="337" t="str">
        <f>IFERROR(__xludf.DUMMYFUNCTION("""COMPUTED_VALUE"""),"")</f>
        <v/>
      </c>
      <c r="C53" s="338" t="str">
        <f>IFERROR(__xludf.DUMMYFUNCTION("""COMPUTED_VALUE"""),"")</f>
        <v/>
      </c>
      <c r="D53" s="339" t="str">
        <f>IFERROR(__xludf.DUMMYFUNCTION("""COMPUTED_VALUE"""),"")</f>
        <v/>
      </c>
      <c r="E53" s="337" t="str">
        <f>IFERROR(__xludf.DUMMYFUNCTION("""COMPUTED_VALUE"""),"")</f>
        <v/>
      </c>
      <c r="F53" s="337" t="str">
        <f>IFERROR(__xludf.DUMMYFUNCTION("""COMPUTED_VALUE"""),"")</f>
        <v/>
      </c>
      <c r="G53" s="337" t="str">
        <f>IFERROR(__xludf.DUMMYFUNCTION("""COMPUTED_VALUE"""),"")</f>
        <v/>
      </c>
      <c r="H53" s="337" t="str">
        <f>IFERROR(__xludf.DUMMYFUNCTION("""COMPUTED_VALUE"""),"")</f>
        <v/>
      </c>
      <c r="I53" s="337" t="str">
        <f>IFERROR(__xludf.DUMMYFUNCTION("""COMPUTED_VALUE"""),"")</f>
        <v/>
      </c>
      <c r="J53" s="341" t="str">
        <f>IFERROR(__xludf.DUMMYFUNCTION("""COMPUTED_VALUE"""),"")</f>
        <v/>
      </c>
      <c r="K53" s="337" t="str">
        <f>IFERROR(__xludf.DUMMYFUNCTION("""COMPUTED_VALUE"""),"")</f>
        <v/>
      </c>
      <c r="L53" s="341" t="str">
        <f>IFERROR(__xludf.DUMMYFUNCTION("""COMPUTED_VALUE"""),"")</f>
        <v/>
      </c>
      <c r="M53" s="337" t="str">
        <f>IFERROR(__xludf.DUMMYFUNCTION("""COMPUTED_VALUE"""),"")</f>
        <v/>
      </c>
      <c r="N53" s="337" t="str">
        <f>IFERROR(__xludf.DUMMYFUNCTION("""COMPUTED_VALUE"""),"")</f>
        <v/>
      </c>
      <c r="O53" s="337" t="str">
        <f>IFERROR(__xludf.DUMMYFUNCTION("""COMPUTED_VALUE"""),"")</f>
        <v/>
      </c>
      <c r="P53" s="337" t="str">
        <f>IFERROR(__xludf.DUMMYFUNCTION("""COMPUTED_VALUE"""),"")</f>
        <v/>
      </c>
      <c r="Q53" s="341" t="str">
        <f>IFERROR(__xludf.DUMMYFUNCTION("""COMPUTED_VALUE"""),"")</f>
        <v/>
      </c>
      <c r="R53" s="337" t="str">
        <f>IFERROR(__xludf.DUMMYFUNCTION("""COMPUTED_VALUE"""),"")</f>
        <v/>
      </c>
      <c r="S53" s="341" t="str">
        <f>IFERROR(__xludf.DUMMYFUNCTION("""COMPUTED_VALUE"""),"")</f>
        <v/>
      </c>
      <c r="T53" s="337" t="str">
        <f>IFERROR(__xludf.DUMMYFUNCTION("""COMPUTED_VALUE"""),"")</f>
        <v/>
      </c>
      <c r="U53" s="337" t="str">
        <f>IFERROR(__xludf.DUMMYFUNCTION("""COMPUTED_VALUE"""),"")</f>
        <v/>
      </c>
      <c r="V53" s="337" t="str">
        <f>IFERROR(__xludf.DUMMYFUNCTION("""COMPUTED_VALUE"""),"")</f>
        <v/>
      </c>
      <c r="W53" s="337" t="str">
        <f>IFERROR(__xludf.DUMMYFUNCTION("""COMPUTED_VALUE"""),"")</f>
        <v/>
      </c>
      <c r="X53" s="341" t="str">
        <f>IFERROR(__xludf.DUMMYFUNCTION("""COMPUTED_VALUE"""),"")</f>
        <v/>
      </c>
      <c r="Y53" s="337" t="str">
        <f>IFERROR(__xludf.DUMMYFUNCTION("""COMPUTED_VALUE"""),"")</f>
        <v/>
      </c>
      <c r="Z53" s="341" t="str">
        <f>IFERROR(__xludf.DUMMYFUNCTION("""COMPUTED_VALUE"""),"")</f>
        <v/>
      </c>
      <c r="AA53" s="337" t="str">
        <f>IFERROR(__xludf.DUMMYFUNCTION("""COMPUTED_VALUE"""),"")</f>
        <v/>
      </c>
      <c r="AB53" s="337" t="str">
        <f>IFERROR(__xludf.DUMMYFUNCTION("""COMPUTED_VALUE"""),"")</f>
        <v/>
      </c>
      <c r="AC53" s="337" t="str">
        <f>IFERROR(__xludf.DUMMYFUNCTION("""COMPUTED_VALUE"""),"")</f>
        <v/>
      </c>
      <c r="AD53" s="337" t="str">
        <f>IFERROR(__xludf.DUMMYFUNCTION("""COMPUTED_VALUE"""),"")</f>
        <v/>
      </c>
      <c r="AE53" s="341" t="str">
        <f>IFERROR(__xludf.DUMMYFUNCTION("""COMPUTED_VALUE"""),"")</f>
        <v/>
      </c>
      <c r="AF53" s="337" t="str">
        <f>IFERROR(__xludf.DUMMYFUNCTION("""COMPUTED_VALUE"""),"")</f>
        <v/>
      </c>
      <c r="AG53" s="341" t="str">
        <f>IFERROR(__xludf.DUMMYFUNCTION("""COMPUTED_VALUE"""),"")</f>
        <v/>
      </c>
      <c r="AH53" s="337" t="str">
        <f>IFERROR(__xludf.DUMMYFUNCTION("""COMPUTED_VALUE"""),"")</f>
        <v/>
      </c>
      <c r="AI53" s="337" t="str">
        <f>IFERROR(__xludf.DUMMYFUNCTION("""COMPUTED_VALUE"""),"")</f>
        <v/>
      </c>
      <c r="AJ53" s="342" t="str">
        <f>IFERROR(__xludf.DUMMYFUNCTION("""COMPUTED_VALUE"""),"")</f>
        <v/>
      </c>
    </row>
    <row r="54">
      <c r="A54" s="343" t="str">
        <f>IFERROR(__xludf.DUMMYFUNCTION("""COMPUTED_VALUE"""),"")</f>
        <v/>
      </c>
      <c r="B54" s="344" t="str">
        <f>IFERROR(__xludf.DUMMYFUNCTION("""COMPUTED_VALUE"""),"")</f>
        <v/>
      </c>
      <c r="C54" s="345" t="str">
        <f>IFERROR(__xludf.DUMMYFUNCTION("""COMPUTED_VALUE"""),"")</f>
        <v/>
      </c>
      <c r="D54" s="346" t="str">
        <f>IFERROR(__xludf.DUMMYFUNCTION("""COMPUTED_VALUE"""),"")</f>
        <v/>
      </c>
      <c r="E54" s="344" t="str">
        <f>IFERROR(__xludf.DUMMYFUNCTION("""COMPUTED_VALUE"""),"")</f>
        <v/>
      </c>
      <c r="F54" s="344" t="str">
        <f>IFERROR(__xludf.DUMMYFUNCTION("""COMPUTED_VALUE"""),"")</f>
        <v/>
      </c>
      <c r="G54" s="344" t="str">
        <f>IFERROR(__xludf.DUMMYFUNCTION("""COMPUTED_VALUE"""),"")</f>
        <v/>
      </c>
      <c r="H54" s="344" t="str">
        <f>IFERROR(__xludf.DUMMYFUNCTION("""COMPUTED_VALUE"""),"")</f>
        <v/>
      </c>
      <c r="I54" s="344" t="str">
        <f>IFERROR(__xludf.DUMMYFUNCTION("""COMPUTED_VALUE"""),"")</f>
        <v/>
      </c>
      <c r="J54" s="347" t="str">
        <f>IFERROR(__xludf.DUMMYFUNCTION("""COMPUTED_VALUE"""),"")</f>
        <v/>
      </c>
      <c r="K54" s="344" t="str">
        <f>IFERROR(__xludf.DUMMYFUNCTION("""COMPUTED_VALUE"""),"")</f>
        <v/>
      </c>
      <c r="L54" s="347" t="str">
        <f>IFERROR(__xludf.DUMMYFUNCTION("""COMPUTED_VALUE"""),"")</f>
        <v/>
      </c>
      <c r="M54" s="344" t="str">
        <f>IFERROR(__xludf.DUMMYFUNCTION("""COMPUTED_VALUE"""),"")</f>
        <v/>
      </c>
      <c r="N54" s="344" t="str">
        <f>IFERROR(__xludf.DUMMYFUNCTION("""COMPUTED_VALUE"""),"")</f>
        <v/>
      </c>
      <c r="O54" s="344" t="str">
        <f>IFERROR(__xludf.DUMMYFUNCTION("""COMPUTED_VALUE"""),"")</f>
        <v/>
      </c>
      <c r="P54" s="344" t="str">
        <f>IFERROR(__xludf.DUMMYFUNCTION("""COMPUTED_VALUE"""),"")</f>
        <v/>
      </c>
      <c r="Q54" s="347" t="str">
        <f>IFERROR(__xludf.DUMMYFUNCTION("""COMPUTED_VALUE"""),"")</f>
        <v/>
      </c>
      <c r="R54" s="344" t="str">
        <f>IFERROR(__xludf.DUMMYFUNCTION("""COMPUTED_VALUE"""),"")</f>
        <v/>
      </c>
      <c r="S54" s="347" t="str">
        <f>IFERROR(__xludf.DUMMYFUNCTION("""COMPUTED_VALUE"""),"")</f>
        <v/>
      </c>
      <c r="T54" s="344" t="str">
        <f>IFERROR(__xludf.DUMMYFUNCTION("""COMPUTED_VALUE"""),"")</f>
        <v/>
      </c>
      <c r="U54" s="344" t="str">
        <f>IFERROR(__xludf.DUMMYFUNCTION("""COMPUTED_VALUE"""),"")</f>
        <v/>
      </c>
      <c r="V54" s="344" t="str">
        <f>IFERROR(__xludf.DUMMYFUNCTION("""COMPUTED_VALUE"""),"")</f>
        <v/>
      </c>
      <c r="W54" s="344" t="str">
        <f>IFERROR(__xludf.DUMMYFUNCTION("""COMPUTED_VALUE"""),"")</f>
        <v/>
      </c>
      <c r="X54" s="347" t="str">
        <f>IFERROR(__xludf.DUMMYFUNCTION("""COMPUTED_VALUE"""),"")</f>
        <v/>
      </c>
      <c r="Y54" s="344" t="str">
        <f>IFERROR(__xludf.DUMMYFUNCTION("""COMPUTED_VALUE"""),"")</f>
        <v/>
      </c>
      <c r="Z54" s="347" t="str">
        <f>IFERROR(__xludf.DUMMYFUNCTION("""COMPUTED_VALUE"""),"")</f>
        <v/>
      </c>
      <c r="AA54" s="344" t="str">
        <f>IFERROR(__xludf.DUMMYFUNCTION("""COMPUTED_VALUE"""),"")</f>
        <v/>
      </c>
      <c r="AB54" s="344" t="str">
        <f>IFERROR(__xludf.DUMMYFUNCTION("""COMPUTED_VALUE"""),"")</f>
        <v/>
      </c>
      <c r="AC54" s="344" t="str">
        <f>IFERROR(__xludf.DUMMYFUNCTION("""COMPUTED_VALUE"""),"")</f>
        <v/>
      </c>
      <c r="AD54" s="344" t="str">
        <f>IFERROR(__xludf.DUMMYFUNCTION("""COMPUTED_VALUE"""),"")</f>
        <v/>
      </c>
      <c r="AE54" s="347" t="str">
        <f>IFERROR(__xludf.DUMMYFUNCTION("""COMPUTED_VALUE"""),"")</f>
        <v/>
      </c>
      <c r="AF54" s="344" t="str">
        <f>IFERROR(__xludf.DUMMYFUNCTION("""COMPUTED_VALUE"""),"")</f>
        <v/>
      </c>
      <c r="AG54" s="347" t="str">
        <f>IFERROR(__xludf.DUMMYFUNCTION("""COMPUTED_VALUE"""),"")</f>
        <v/>
      </c>
      <c r="AH54" s="344" t="str">
        <f>IFERROR(__xludf.DUMMYFUNCTION("""COMPUTED_VALUE"""),"")</f>
        <v/>
      </c>
      <c r="AI54" s="344" t="str">
        <f>IFERROR(__xludf.DUMMYFUNCTION("""COMPUTED_VALUE"""),"")</f>
        <v/>
      </c>
      <c r="AJ54" s="348" t="str">
        <f>IFERROR(__xludf.DUMMYFUNCTION("""COMPUTED_VALUE"""),"")</f>
        <v/>
      </c>
    </row>
    <row r="55" ht="16.5" customHeight="1">
      <c r="A55" s="349">
        <f>IFERROR(__xludf.DUMMYFUNCTION("""COMPUTED_VALUE"""),7.0)</f>
        <v>7</v>
      </c>
      <c r="B55" s="313" t="str">
        <f>IFERROR(__xludf.DUMMYFUNCTION("""COMPUTED_VALUE"""),"A106")</f>
        <v>A106</v>
      </c>
      <c r="C55" s="314" t="str">
        <f>IFERROR(__xludf.DUMMYFUNCTION("""COMPUTED_VALUE"""),"")</f>
        <v/>
      </c>
      <c r="D55" s="350" t="str">
        <f>IFERROR(__xludf.DUMMYFUNCTION("""COMPUTED_VALUE"""),"Tearstone of Blood")</f>
        <v>Tearstone of Blood</v>
      </c>
      <c r="E55" s="351" t="str">
        <f>IFERROR(__xludf.DUMMYFUNCTION("""COMPUTED_VALUE"""),"AP")</f>
        <v>AP</v>
      </c>
      <c r="F55" s="351" t="str">
        <f>IFERROR(__xludf.DUMMYFUNCTION("""COMPUTED_VALUE"""),"Runs")</f>
        <v>Runs</v>
      </c>
      <c r="G55" s="351" t="str">
        <f>IFERROR(__xludf.DUMMYFUNCTION("""COMPUTED_VALUE"""),"Status")</f>
        <v>Status</v>
      </c>
      <c r="H55" s="351" t="str">
        <f>IFERROR(__xludf.DUMMYFUNCTION("""COMPUTED_VALUE"""),"Mat")</f>
        <v>Mat</v>
      </c>
      <c r="I55" s="351" t="str">
        <f>IFERROR(__xludf.DUMMYFUNCTION("""COMPUTED_VALUE"""),"AP/Drop")</f>
        <v>AP/Drop</v>
      </c>
      <c r="J55" s="351" t="str">
        <f>IFERROR(__xludf.DUMMYFUNCTION("""COMPUTED_VALUE"""),"")</f>
        <v/>
      </c>
      <c r="K55" s="351" t="str">
        <f>IFERROR(__xludf.DUMMYFUNCTION("""COMPUTED_VALUE"""),"Droprate")</f>
        <v>Droprate</v>
      </c>
      <c r="L55" s="351" t="str">
        <f>IFERROR(__xludf.DUMMYFUNCTION("""COMPUTED_VALUE"""),"")</f>
        <v/>
      </c>
      <c r="M55" s="351" t="str">
        <f>IFERROR(__xludf.DUMMYFUNCTION("""COMPUTED_VALUE"""),"#2")</f>
        <v>#2</v>
      </c>
      <c r="N55" s="351" t="str">
        <f>IFERROR(__xludf.DUMMYFUNCTION("""COMPUTED_VALUE"""),"Item 2 ID")</f>
        <v>Item 2 ID</v>
      </c>
      <c r="O55" s="351" t="str">
        <f>IFERROR(__xludf.DUMMYFUNCTION("""COMPUTED_VALUE"""),"Mat")</f>
        <v>Mat</v>
      </c>
      <c r="P55" s="351" t="str">
        <f>IFERROR(__xludf.DUMMYFUNCTION("""COMPUTED_VALUE"""),"AP/Drop")</f>
        <v>AP/Drop</v>
      </c>
      <c r="Q55" s="351" t="str">
        <f>IFERROR(__xludf.DUMMYFUNCTION("""COMPUTED_VALUE"""),"")</f>
        <v/>
      </c>
      <c r="R55" s="351" t="str">
        <f>IFERROR(__xludf.DUMMYFUNCTION("""COMPUTED_VALUE"""),"Droprate")</f>
        <v>Droprate</v>
      </c>
      <c r="S55" s="351" t="str">
        <f>IFERROR(__xludf.DUMMYFUNCTION("""COMPUTED_VALUE"""),"")</f>
        <v/>
      </c>
      <c r="T55" s="351" t="str">
        <f>IFERROR(__xludf.DUMMYFUNCTION("""COMPUTED_VALUE"""),"#3")</f>
        <v>#3</v>
      </c>
      <c r="U55" s="351" t="str">
        <f>IFERROR(__xludf.DUMMYFUNCTION("""COMPUTED_VALUE"""),"Item 2 ID")</f>
        <v>Item 2 ID</v>
      </c>
      <c r="V55" s="351" t="str">
        <f>IFERROR(__xludf.DUMMYFUNCTION("""COMPUTED_VALUE"""),"Mat")</f>
        <v>Mat</v>
      </c>
      <c r="W55" s="351" t="str">
        <f>IFERROR(__xludf.DUMMYFUNCTION("""COMPUTED_VALUE"""),"AP/Drop")</f>
        <v>AP/Drop</v>
      </c>
      <c r="X55" s="351" t="str">
        <f>IFERROR(__xludf.DUMMYFUNCTION("""COMPUTED_VALUE"""),"")</f>
        <v/>
      </c>
      <c r="Y55" s="351" t="str">
        <f>IFERROR(__xludf.DUMMYFUNCTION("""COMPUTED_VALUE"""),"Droprate")</f>
        <v>Droprate</v>
      </c>
      <c r="Z55" s="351" t="str">
        <f>IFERROR(__xludf.DUMMYFUNCTION("""COMPUTED_VALUE"""),"")</f>
        <v/>
      </c>
      <c r="AA55" s="351" t="str">
        <f>IFERROR(__xludf.DUMMYFUNCTION("""COMPUTED_VALUE"""),"#4")</f>
        <v>#4</v>
      </c>
      <c r="AB55" s="351" t="str">
        <f>IFERROR(__xludf.DUMMYFUNCTION("""COMPUTED_VALUE"""),"Item 3 ID")</f>
        <v>Item 3 ID</v>
      </c>
      <c r="AC55" s="351" t="str">
        <f>IFERROR(__xludf.DUMMYFUNCTION("""COMPUTED_VALUE"""),"Mat")</f>
        <v>Mat</v>
      </c>
      <c r="AD55" s="351" t="str">
        <f>IFERROR(__xludf.DUMMYFUNCTION("""COMPUTED_VALUE"""),"AP/Drop")</f>
        <v>AP/Drop</v>
      </c>
      <c r="AE55" s="351" t="str">
        <f>IFERROR(__xludf.DUMMYFUNCTION("""COMPUTED_VALUE"""),"")</f>
        <v/>
      </c>
      <c r="AF55" s="351" t="str">
        <f>IFERROR(__xludf.DUMMYFUNCTION("""COMPUTED_VALUE"""),"Droprate")</f>
        <v>Droprate</v>
      </c>
      <c r="AG55" s="351" t="str">
        <f>IFERROR(__xludf.DUMMYFUNCTION("""COMPUTED_VALUE"""),"")</f>
        <v/>
      </c>
      <c r="AH55" s="351" t="str">
        <f>IFERROR(__xludf.DUMMYFUNCTION("""COMPUTED_VALUE"""),"AP")</f>
        <v>AP</v>
      </c>
      <c r="AI55" s="351" t="str">
        <f>IFERROR(__xludf.DUMMYFUNCTION("""COMPUTED_VALUE"""),"Runs")</f>
        <v>Runs</v>
      </c>
      <c r="AJ55" s="351" t="str">
        <f>IFERROR(__xludf.DUMMYFUNCTION("""COMPUTED_VALUE"""),"Node Name")</f>
        <v>Node Name</v>
      </c>
    </row>
    <row r="56" ht="16.5" customHeight="1">
      <c r="D56" s="317" t="str">
        <f>IFERROR(__xludf.DUMMYFUNCTION("""COMPUTED_VALUE"""),"#N/A")</f>
        <v>#N/A</v>
      </c>
      <c r="E56" s="318"/>
      <c r="F56" s="318"/>
      <c r="G56" s="318"/>
      <c r="H56" s="318"/>
      <c r="I56" s="318"/>
      <c r="J56" s="318"/>
      <c r="K56" s="318"/>
      <c r="L56" s="318"/>
      <c r="M56" s="318"/>
      <c r="N56" s="318"/>
      <c r="O56" s="318"/>
      <c r="P56" s="318"/>
      <c r="Q56" s="318"/>
      <c r="R56" s="318"/>
      <c r="S56" s="318"/>
      <c r="T56" s="318"/>
      <c r="U56" s="318"/>
      <c r="V56" s="318"/>
      <c r="W56" s="318"/>
      <c r="X56" s="318"/>
      <c r="Y56" s="318"/>
      <c r="Z56" s="318"/>
      <c r="AA56" s="318"/>
      <c r="AB56" s="318"/>
      <c r="AC56" s="318"/>
      <c r="AD56" s="318"/>
      <c r="AE56" s="318"/>
      <c r="AF56" s="318"/>
      <c r="AG56" s="318"/>
      <c r="AH56" s="318"/>
      <c r="AI56" s="318"/>
      <c r="AJ56" s="318"/>
    </row>
    <row r="57" ht="24.75" customHeight="1">
      <c r="A57" s="319">
        <f>IFERROR(__xludf.DUMMYFUNCTION("""COMPUTED_VALUE"""),1.0)</f>
        <v>1</v>
      </c>
      <c r="B57" s="319" t="str">
        <f>IFERROR(__xludf.DUMMYFUNCTION("""COMPUTED_VALUE"""),"A106")</f>
        <v>A106</v>
      </c>
      <c r="C57" s="319">
        <f>IFERROR(__xludf.DUMMYFUNCTION("""COMPUTED_VALUE"""),13.0)</f>
        <v>13</v>
      </c>
      <c r="D57" s="320" t="str">
        <f>IFERROR(__xludf.DUMMYFUNCTION("""COMPUTED_VALUE"""),"Great Corridor")</f>
        <v>Great Corridor</v>
      </c>
      <c r="E57" s="321">
        <f>IFERROR(__xludf.DUMMYFUNCTION("""COMPUTED_VALUE"""),20.0)</f>
        <v>20</v>
      </c>
      <c r="F57" s="322">
        <f>IFERROR(__xludf.DUMMYFUNCTION("""COMPUTED_VALUE"""),70.0)</f>
        <v>70</v>
      </c>
      <c r="G57" s="322" t="str">
        <f>IFERROR(__xludf.DUMMYFUNCTION("""COMPUTED_VALUE"""),"Open")</f>
        <v>Open</v>
      </c>
      <c r="H57" s="323" t="str">
        <f>IFERROR(__xludf.DUMMYFUNCTION("""COMPUTED_VALUE"""),"")</f>
        <v/>
      </c>
      <c r="I57" s="324">
        <f>IFERROR(__xludf.DUMMYFUNCTION("""COMPUTED_VALUE"""),200.0)</f>
        <v>200</v>
      </c>
      <c r="J57" s="325" t="str">
        <f>IFERROR(__xludf.DUMMYFUNCTION("""COMPUTED_VALUE"""),"AP")</f>
        <v>AP</v>
      </c>
      <c r="K57" s="324">
        <f>IFERROR(__xludf.DUMMYFUNCTION("""COMPUTED_VALUE"""),10.0)</f>
        <v>10</v>
      </c>
      <c r="L57" s="325" t="str">
        <f>IFERROR(__xludf.DUMMYFUNCTION("""COMPUTED_VALUE"""),"%")</f>
        <v>%</v>
      </c>
      <c r="M57" s="326">
        <f>IFERROR(__xludf.DUMMYFUNCTION("""COMPUTED_VALUE"""),1.0)</f>
        <v>1</v>
      </c>
      <c r="N57" s="324" t="str">
        <f>IFERROR(__xludf.DUMMYFUNCTION("""COMPUTED_VALUE"""),"A206")</f>
        <v>A206</v>
      </c>
      <c r="O57" s="327" t="str">
        <f>IFERROR(__xludf.DUMMYFUNCTION("""COMPUTED_VALUE"""),"")</f>
        <v/>
      </c>
      <c r="P57" s="324">
        <f>IFERROR(__xludf.DUMMYFUNCTION("""COMPUTED_VALUE"""),466.6666666666667)</f>
        <v>466.6666667</v>
      </c>
      <c r="Q57" s="325" t="str">
        <f>IFERROR(__xludf.DUMMYFUNCTION("""COMPUTED_VALUE"""),"AP")</f>
        <v>AP</v>
      </c>
      <c r="R57" s="324">
        <f>IFERROR(__xludf.DUMMYFUNCTION("""COMPUTED_VALUE"""),4.285714285714286)</f>
        <v>4.285714286</v>
      </c>
      <c r="S57" s="325" t="str">
        <f>IFERROR(__xludf.DUMMYFUNCTION("""COMPUTED_VALUE"""),"%")</f>
        <v>%</v>
      </c>
      <c r="T57" s="326">
        <f>IFERROR(__xludf.DUMMYFUNCTION("""COMPUTED_VALUE"""),2.0)</f>
        <v>2</v>
      </c>
      <c r="U57" s="324" t="str">
        <f>IFERROR(__xludf.DUMMYFUNCTION("""COMPUTED_VALUE"""),"B114")</f>
        <v>B114</v>
      </c>
      <c r="V57" s="327" t="str">
        <f>IFERROR(__xludf.DUMMYFUNCTION("""COMPUTED_VALUE"""),"")</f>
        <v/>
      </c>
      <c r="W57" s="324">
        <f>IFERROR(__xludf.DUMMYFUNCTION("""COMPUTED_VALUE"""),350.0)</f>
        <v>350</v>
      </c>
      <c r="X57" s="325" t="str">
        <f>IFERROR(__xludf.DUMMYFUNCTION("""COMPUTED_VALUE"""),"AP")</f>
        <v>AP</v>
      </c>
      <c r="Y57" s="324">
        <f>IFERROR(__xludf.DUMMYFUNCTION("""COMPUTED_VALUE"""),5.714285714285714)</f>
        <v>5.714285714</v>
      </c>
      <c r="Z57" s="325" t="str">
        <f>IFERROR(__xludf.DUMMYFUNCTION("""COMPUTED_VALUE"""),"%")</f>
        <v>%</v>
      </c>
      <c r="AA57" s="326">
        <f>IFERROR(__xludf.DUMMYFUNCTION("""COMPUTED_VALUE"""),3.0)</f>
        <v>3</v>
      </c>
      <c r="AB57" s="324" t="str">
        <f>IFERROR(__xludf.DUMMYFUNCTION("""COMPUTED_VALUE"""),"")</f>
        <v/>
      </c>
      <c r="AC57" s="327" t="str">
        <f>IFERROR(__xludf.DUMMYFUNCTION("""COMPUTED_VALUE"""),"")</f>
        <v/>
      </c>
      <c r="AD57" s="324" t="str">
        <f>IFERROR(__xludf.DUMMYFUNCTION("""COMPUTED_VALUE"""),"")</f>
        <v/>
      </c>
      <c r="AE57" s="325" t="str">
        <f>IFERROR(__xludf.DUMMYFUNCTION("""COMPUTED_VALUE"""),"AP")</f>
        <v>AP</v>
      </c>
      <c r="AF57" s="324">
        <f>IFERROR(__xludf.DUMMYFUNCTION("""COMPUTED_VALUE"""),0.0)</f>
        <v>0</v>
      </c>
      <c r="AG57" s="325" t="str">
        <f>IFERROR(__xludf.DUMMYFUNCTION("""COMPUTED_VALUE"""),"%")</f>
        <v>%</v>
      </c>
      <c r="AH57" s="321">
        <f>IFERROR(__xludf.DUMMYFUNCTION("""COMPUTED_VALUE"""),20.0)</f>
        <v>20</v>
      </c>
      <c r="AI57" s="322">
        <f>IFERROR(__xludf.DUMMYFUNCTION("""COMPUTED_VALUE"""),70.0)</f>
        <v>70</v>
      </c>
      <c r="AJ57" s="320" t="str">
        <f>IFERROR(__xludf.DUMMYFUNCTION("""COMPUTED_VALUE"""),"Great Corridor")</f>
        <v>Great Corridor</v>
      </c>
    </row>
    <row r="58" ht="24.75" customHeight="1">
      <c r="A58" s="328">
        <f>IFERROR(__xludf.DUMMYFUNCTION("""COMPUTED_VALUE"""),2.0)</f>
        <v>2</v>
      </c>
      <c r="B58" s="328" t="str">
        <f>IFERROR(__xludf.DUMMYFUNCTION("""COMPUTED_VALUE"""),"A106")</f>
        <v>A106</v>
      </c>
      <c r="C58" s="328">
        <f>IFERROR(__xludf.DUMMYFUNCTION("""COMPUTED_VALUE"""),14.0)</f>
        <v>14</v>
      </c>
      <c r="D58" s="329" t="str">
        <f>IFERROR(__xludf.DUMMYFUNCTION("""COMPUTED_VALUE"""),"Hidden Corridor")</f>
        <v>Hidden Corridor</v>
      </c>
      <c r="E58" s="330">
        <f>IFERROR(__xludf.DUMMYFUNCTION("""COMPUTED_VALUE"""),30.0)</f>
        <v>30</v>
      </c>
      <c r="F58" s="331">
        <f>IFERROR(__xludf.DUMMYFUNCTION("""COMPUTED_VALUE"""),40.0)</f>
        <v>40</v>
      </c>
      <c r="G58" s="331" t="str">
        <f>IFERROR(__xludf.DUMMYFUNCTION("""COMPUTED_VALUE"""),"Open")</f>
        <v>Open</v>
      </c>
      <c r="H58" s="323" t="str">
        <f>IFERROR(__xludf.DUMMYFUNCTION("""COMPUTED_VALUE"""),"")</f>
        <v/>
      </c>
      <c r="I58" s="332">
        <f>IFERROR(__xludf.DUMMYFUNCTION("""COMPUTED_VALUE"""),200.0)</f>
        <v>200</v>
      </c>
      <c r="J58" s="333" t="str">
        <f>IFERROR(__xludf.DUMMYFUNCTION("""COMPUTED_VALUE"""),"AP")</f>
        <v>AP</v>
      </c>
      <c r="K58" s="332">
        <f>IFERROR(__xludf.DUMMYFUNCTION("""COMPUTED_VALUE"""),15.0)</f>
        <v>15</v>
      </c>
      <c r="L58" s="334" t="str">
        <f>IFERROR(__xludf.DUMMYFUNCTION("""COMPUTED_VALUE"""),"%")</f>
        <v>%</v>
      </c>
      <c r="M58" s="335">
        <f>IFERROR(__xludf.DUMMYFUNCTION("""COMPUTED_VALUE"""),1.0)</f>
        <v>1</v>
      </c>
      <c r="N58" s="332" t="str">
        <f>IFERROR(__xludf.DUMMYFUNCTION("""COMPUTED_VALUE"""),"A304")</f>
        <v>A304</v>
      </c>
      <c r="O58" s="327" t="str">
        <f>IFERROR(__xludf.DUMMYFUNCTION("""COMPUTED_VALUE"""),"")</f>
        <v/>
      </c>
      <c r="P58" s="332">
        <f>IFERROR(__xludf.DUMMYFUNCTION("""COMPUTED_VALUE"""),66.66666666666667)</f>
        <v>66.66666667</v>
      </c>
      <c r="Q58" s="333" t="str">
        <f>IFERROR(__xludf.DUMMYFUNCTION("""COMPUTED_VALUE"""),"AP")</f>
        <v>AP</v>
      </c>
      <c r="R58" s="332">
        <f>IFERROR(__xludf.DUMMYFUNCTION("""COMPUTED_VALUE"""),45.0)</f>
        <v>45</v>
      </c>
      <c r="S58" s="334" t="str">
        <f>IFERROR(__xludf.DUMMYFUNCTION("""COMPUTED_VALUE"""),"%")</f>
        <v>%</v>
      </c>
      <c r="T58" s="335">
        <f>IFERROR(__xludf.DUMMYFUNCTION("""COMPUTED_VALUE"""),2.0)</f>
        <v>2</v>
      </c>
      <c r="U58" s="332" t="str">
        <f>IFERROR(__xludf.DUMMYFUNCTION("""COMPUTED_VALUE"""),"B114")</f>
        <v>B114</v>
      </c>
      <c r="V58" s="327" t="str">
        <f>IFERROR(__xludf.DUMMYFUNCTION("""COMPUTED_VALUE"""),"")</f>
        <v/>
      </c>
      <c r="W58" s="332">
        <f>IFERROR(__xludf.DUMMYFUNCTION("""COMPUTED_VALUE"""),85.71428571428572)</f>
        <v>85.71428571</v>
      </c>
      <c r="X58" s="333" t="str">
        <f>IFERROR(__xludf.DUMMYFUNCTION("""COMPUTED_VALUE"""),"AP")</f>
        <v>AP</v>
      </c>
      <c r="Y58" s="332">
        <f>IFERROR(__xludf.DUMMYFUNCTION("""COMPUTED_VALUE"""),35.0)</f>
        <v>35</v>
      </c>
      <c r="Z58" s="334" t="str">
        <f>IFERROR(__xludf.DUMMYFUNCTION("""COMPUTED_VALUE"""),"%")</f>
        <v>%</v>
      </c>
      <c r="AA58" s="335">
        <f>IFERROR(__xludf.DUMMYFUNCTION("""COMPUTED_VALUE"""),3.0)</f>
        <v>3</v>
      </c>
      <c r="AB58" s="332" t="str">
        <f>IFERROR(__xludf.DUMMYFUNCTION("""COMPUTED_VALUE"""),"")</f>
        <v/>
      </c>
      <c r="AC58" s="327" t="str">
        <f>IFERROR(__xludf.DUMMYFUNCTION("""COMPUTED_VALUE"""),"")</f>
        <v/>
      </c>
      <c r="AD58" s="332" t="str">
        <f>IFERROR(__xludf.DUMMYFUNCTION("""COMPUTED_VALUE"""),"")</f>
        <v/>
      </c>
      <c r="AE58" s="333" t="str">
        <f>IFERROR(__xludf.DUMMYFUNCTION("""COMPUTED_VALUE"""),"AP")</f>
        <v>AP</v>
      </c>
      <c r="AF58" s="332">
        <f>IFERROR(__xludf.DUMMYFUNCTION("""COMPUTED_VALUE"""),0.0)</f>
        <v>0</v>
      </c>
      <c r="AG58" s="334" t="str">
        <f>IFERROR(__xludf.DUMMYFUNCTION("""COMPUTED_VALUE"""),"%")</f>
        <v>%</v>
      </c>
      <c r="AH58" s="330">
        <f>IFERROR(__xludf.DUMMYFUNCTION("""COMPUTED_VALUE"""),30.0)</f>
        <v>30</v>
      </c>
      <c r="AI58" s="331">
        <f>IFERROR(__xludf.DUMMYFUNCTION("""COMPUTED_VALUE"""),40.0)</f>
        <v>40</v>
      </c>
      <c r="AJ58" s="329" t="str">
        <f>IFERROR(__xludf.DUMMYFUNCTION("""COMPUTED_VALUE"""),"Hidden Corridor")</f>
        <v>Hidden Corridor</v>
      </c>
    </row>
    <row r="59" ht="24.75" customHeight="1">
      <c r="A59" s="319">
        <f>IFERROR(__xludf.DUMMYFUNCTION("""COMPUTED_VALUE"""),3.0)</f>
        <v>3</v>
      </c>
      <c r="B59" s="319" t="str">
        <f>IFERROR(__xludf.DUMMYFUNCTION("""COMPUTED_VALUE"""),"A106")</f>
        <v>A106</v>
      </c>
      <c r="C59" s="319" t="str">
        <f>IFERROR(__xludf.DUMMYFUNCTION("""COMPUTED_VALUE"""),"")</f>
        <v/>
      </c>
      <c r="D59" s="320" t="str">
        <f>IFERROR(__xludf.DUMMYFUNCTION("""COMPUTED_VALUE"""),"")</f>
        <v/>
      </c>
      <c r="E59" s="321" t="str">
        <f>IFERROR(__xludf.DUMMYFUNCTION("""COMPUTED_VALUE"""),"")</f>
        <v/>
      </c>
      <c r="F59" s="322" t="str">
        <f>IFERROR(__xludf.DUMMYFUNCTION("""COMPUTED_VALUE"""),"")</f>
        <v/>
      </c>
      <c r="G59" s="322" t="str">
        <f>IFERROR(__xludf.DUMMYFUNCTION("""COMPUTED_VALUE"""),"")</f>
        <v/>
      </c>
      <c r="H59" s="323" t="str">
        <f>IFERROR(__xludf.DUMMYFUNCTION("""COMPUTED_VALUE""")," ")</f>
        <v> </v>
      </c>
      <c r="I59" s="324" t="str">
        <f>IFERROR(__xludf.DUMMYFUNCTION("""COMPUTED_VALUE"""),"")</f>
        <v/>
      </c>
      <c r="J59" s="325" t="str">
        <f>IFERROR(__xludf.DUMMYFUNCTION("""COMPUTED_VALUE"""),"AP")</f>
        <v>AP</v>
      </c>
      <c r="K59" s="324">
        <f>IFERROR(__xludf.DUMMYFUNCTION("""COMPUTED_VALUE"""),0.0)</f>
        <v>0</v>
      </c>
      <c r="L59" s="325" t="str">
        <f>IFERROR(__xludf.DUMMYFUNCTION("""COMPUTED_VALUE"""),"%")</f>
        <v>%</v>
      </c>
      <c r="M59" s="326">
        <f>IFERROR(__xludf.DUMMYFUNCTION("""COMPUTED_VALUE"""),1.0)</f>
        <v>1</v>
      </c>
      <c r="N59" s="324" t="str">
        <f>IFERROR(__xludf.DUMMYFUNCTION("""COMPUTED_VALUE"""),"")</f>
        <v/>
      </c>
      <c r="O59" s="327" t="str">
        <f>IFERROR(__xludf.DUMMYFUNCTION("""COMPUTED_VALUE"""),"")</f>
        <v/>
      </c>
      <c r="P59" s="324" t="str">
        <f>IFERROR(__xludf.DUMMYFUNCTION("""COMPUTED_VALUE"""),"")</f>
        <v/>
      </c>
      <c r="Q59" s="325" t="str">
        <f>IFERROR(__xludf.DUMMYFUNCTION("""COMPUTED_VALUE"""),"AP")</f>
        <v>AP</v>
      </c>
      <c r="R59" s="324">
        <f>IFERROR(__xludf.DUMMYFUNCTION("""COMPUTED_VALUE"""),0.0)</f>
        <v>0</v>
      </c>
      <c r="S59" s="325" t="str">
        <f>IFERROR(__xludf.DUMMYFUNCTION("""COMPUTED_VALUE"""),"%")</f>
        <v>%</v>
      </c>
      <c r="T59" s="326">
        <f>IFERROR(__xludf.DUMMYFUNCTION("""COMPUTED_VALUE"""),2.0)</f>
        <v>2</v>
      </c>
      <c r="U59" s="324" t="str">
        <f>IFERROR(__xludf.DUMMYFUNCTION("""COMPUTED_VALUE"""),"")</f>
        <v/>
      </c>
      <c r="V59" s="327" t="str">
        <f>IFERROR(__xludf.DUMMYFUNCTION("""COMPUTED_VALUE"""),"")</f>
        <v/>
      </c>
      <c r="W59" s="324" t="str">
        <f>IFERROR(__xludf.DUMMYFUNCTION("""COMPUTED_VALUE"""),"")</f>
        <v/>
      </c>
      <c r="X59" s="325" t="str">
        <f>IFERROR(__xludf.DUMMYFUNCTION("""COMPUTED_VALUE"""),"AP")</f>
        <v>AP</v>
      </c>
      <c r="Y59" s="324">
        <f>IFERROR(__xludf.DUMMYFUNCTION("""COMPUTED_VALUE"""),0.0)</f>
        <v>0</v>
      </c>
      <c r="Z59" s="325" t="str">
        <f>IFERROR(__xludf.DUMMYFUNCTION("""COMPUTED_VALUE"""),"%")</f>
        <v>%</v>
      </c>
      <c r="AA59" s="326">
        <f>IFERROR(__xludf.DUMMYFUNCTION("""COMPUTED_VALUE"""),3.0)</f>
        <v>3</v>
      </c>
      <c r="AB59" s="324" t="str">
        <f>IFERROR(__xludf.DUMMYFUNCTION("""COMPUTED_VALUE"""),"")</f>
        <v/>
      </c>
      <c r="AC59" s="327" t="str">
        <f>IFERROR(__xludf.DUMMYFUNCTION("""COMPUTED_VALUE"""),"")</f>
        <v/>
      </c>
      <c r="AD59" s="324" t="str">
        <f>IFERROR(__xludf.DUMMYFUNCTION("""COMPUTED_VALUE"""),"")</f>
        <v/>
      </c>
      <c r="AE59" s="325" t="str">
        <f>IFERROR(__xludf.DUMMYFUNCTION("""COMPUTED_VALUE"""),"AP")</f>
        <v>AP</v>
      </c>
      <c r="AF59" s="324">
        <f>IFERROR(__xludf.DUMMYFUNCTION("""COMPUTED_VALUE"""),0.0)</f>
        <v>0</v>
      </c>
      <c r="AG59" s="325" t="str">
        <f>IFERROR(__xludf.DUMMYFUNCTION("""COMPUTED_VALUE"""),"%")</f>
        <v>%</v>
      </c>
      <c r="AH59" s="321" t="str">
        <f>IFERROR(__xludf.DUMMYFUNCTION("""COMPUTED_VALUE"""),"")</f>
        <v/>
      </c>
      <c r="AI59" s="322" t="str">
        <f>IFERROR(__xludf.DUMMYFUNCTION("""COMPUTED_VALUE"""),"")</f>
        <v/>
      </c>
      <c r="AJ59" s="320" t="str">
        <f>IFERROR(__xludf.DUMMYFUNCTION("""COMPUTED_VALUE"""),"")</f>
        <v/>
      </c>
    </row>
    <row r="60" ht="24.75" customHeight="1">
      <c r="A60" s="328">
        <f>IFERROR(__xludf.DUMMYFUNCTION("""COMPUTED_VALUE"""),4.0)</f>
        <v>4</v>
      </c>
      <c r="B60" s="328" t="str">
        <f>IFERROR(__xludf.DUMMYFUNCTION("""COMPUTED_VALUE"""),"A106")</f>
        <v>A106</v>
      </c>
      <c r="C60" s="328" t="str">
        <f>IFERROR(__xludf.DUMMYFUNCTION("""COMPUTED_VALUE"""),"")</f>
        <v/>
      </c>
      <c r="D60" s="329" t="str">
        <f>IFERROR(__xludf.DUMMYFUNCTION("""COMPUTED_VALUE"""),"")</f>
        <v/>
      </c>
      <c r="E60" s="330" t="str">
        <f>IFERROR(__xludf.DUMMYFUNCTION("""COMPUTED_VALUE"""),"")</f>
        <v/>
      </c>
      <c r="F60" s="331" t="str">
        <f>IFERROR(__xludf.DUMMYFUNCTION("""COMPUTED_VALUE"""),"")</f>
        <v/>
      </c>
      <c r="G60" s="331" t="str">
        <f>IFERROR(__xludf.DUMMYFUNCTION("""COMPUTED_VALUE"""),"")</f>
        <v/>
      </c>
      <c r="H60" s="323" t="str">
        <f>IFERROR(__xludf.DUMMYFUNCTION("""COMPUTED_VALUE""")," ")</f>
        <v> </v>
      </c>
      <c r="I60" s="332" t="str">
        <f>IFERROR(__xludf.DUMMYFUNCTION("""COMPUTED_VALUE"""),"")</f>
        <v/>
      </c>
      <c r="J60" s="333" t="str">
        <f>IFERROR(__xludf.DUMMYFUNCTION("""COMPUTED_VALUE"""),"AP")</f>
        <v>AP</v>
      </c>
      <c r="K60" s="332">
        <f>IFERROR(__xludf.DUMMYFUNCTION("""COMPUTED_VALUE"""),0.0)</f>
        <v>0</v>
      </c>
      <c r="L60" s="334" t="str">
        <f>IFERROR(__xludf.DUMMYFUNCTION("""COMPUTED_VALUE"""),"%")</f>
        <v>%</v>
      </c>
      <c r="M60" s="335">
        <f>IFERROR(__xludf.DUMMYFUNCTION("""COMPUTED_VALUE"""),1.0)</f>
        <v>1</v>
      </c>
      <c r="N60" s="332" t="str">
        <f>IFERROR(__xludf.DUMMYFUNCTION("""COMPUTED_VALUE"""),"")</f>
        <v/>
      </c>
      <c r="O60" s="327" t="str">
        <f>IFERROR(__xludf.DUMMYFUNCTION("""COMPUTED_VALUE"""),"")</f>
        <v/>
      </c>
      <c r="P60" s="332" t="str">
        <f>IFERROR(__xludf.DUMMYFUNCTION("""COMPUTED_VALUE"""),"")</f>
        <v/>
      </c>
      <c r="Q60" s="333" t="str">
        <f>IFERROR(__xludf.DUMMYFUNCTION("""COMPUTED_VALUE"""),"AP")</f>
        <v>AP</v>
      </c>
      <c r="R60" s="332">
        <f>IFERROR(__xludf.DUMMYFUNCTION("""COMPUTED_VALUE"""),0.0)</f>
        <v>0</v>
      </c>
      <c r="S60" s="334" t="str">
        <f>IFERROR(__xludf.DUMMYFUNCTION("""COMPUTED_VALUE"""),"%")</f>
        <v>%</v>
      </c>
      <c r="T60" s="335">
        <f>IFERROR(__xludf.DUMMYFUNCTION("""COMPUTED_VALUE"""),2.0)</f>
        <v>2</v>
      </c>
      <c r="U60" s="332" t="str">
        <f>IFERROR(__xludf.DUMMYFUNCTION("""COMPUTED_VALUE"""),"")</f>
        <v/>
      </c>
      <c r="V60" s="327" t="str">
        <f>IFERROR(__xludf.DUMMYFUNCTION("""COMPUTED_VALUE"""),"")</f>
        <v/>
      </c>
      <c r="W60" s="332" t="str">
        <f>IFERROR(__xludf.DUMMYFUNCTION("""COMPUTED_VALUE"""),"")</f>
        <v/>
      </c>
      <c r="X60" s="333" t="str">
        <f>IFERROR(__xludf.DUMMYFUNCTION("""COMPUTED_VALUE"""),"AP")</f>
        <v>AP</v>
      </c>
      <c r="Y60" s="332">
        <f>IFERROR(__xludf.DUMMYFUNCTION("""COMPUTED_VALUE"""),0.0)</f>
        <v>0</v>
      </c>
      <c r="Z60" s="334" t="str">
        <f>IFERROR(__xludf.DUMMYFUNCTION("""COMPUTED_VALUE"""),"%")</f>
        <v>%</v>
      </c>
      <c r="AA60" s="335">
        <f>IFERROR(__xludf.DUMMYFUNCTION("""COMPUTED_VALUE"""),3.0)</f>
        <v>3</v>
      </c>
      <c r="AB60" s="332" t="str">
        <f>IFERROR(__xludf.DUMMYFUNCTION("""COMPUTED_VALUE"""),"")</f>
        <v/>
      </c>
      <c r="AC60" s="327" t="str">
        <f>IFERROR(__xludf.DUMMYFUNCTION("""COMPUTED_VALUE"""),"")</f>
        <v/>
      </c>
      <c r="AD60" s="332" t="str">
        <f>IFERROR(__xludf.DUMMYFUNCTION("""COMPUTED_VALUE"""),"")</f>
        <v/>
      </c>
      <c r="AE60" s="333" t="str">
        <f>IFERROR(__xludf.DUMMYFUNCTION("""COMPUTED_VALUE"""),"AP")</f>
        <v>AP</v>
      </c>
      <c r="AF60" s="332">
        <f>IFERROR(__xludf.DUMMYFUNCTION("""COMPUTED_VALUE"""),0.0)</f>
        <v>0</v>
      </c>
      <c r="AG60" s="334" t="str">
        <f>IFERROR(__xludf.DUMMYFUNCTION("""COMPUTED_VALUE"""),"%")</f>
        <v>%</v>
      </c>
      <c r="AH60" s="330" t="str">
        <f>IFERROR(__xludf.DUMMYFUNCTION("""COMPUTED_VALUE"""),"")</f>
        <v/>
      </c>
      <c r="AI60" s="331" t="str">
        <f>IFERROR(__xludf.DUMMYFUNCTION("""COMPUTED_VALUE"""),"")</f>
        <v/>
      </c>
      <c r="AJ60" s="329" t="str">
        <f>IFERROR(__xludf.DUMMYFUNCTION("""COMPUTED_VALUE"""),"")</f>
        <v/>
      </c>
    </row>
    <row r="61" ht="24.75" customHeight="1">
      <c r="A61" s="319">
        <f>IFERROR(__xludf.DUMMYFUNCTION("""COMPUTED_VALUE"""),5.0)</f>
        <v>5</v>
      </c>
      <c r="B61" s="319" t="str">
        <f>IFERROR(__xludf.DUMMYFUNCTION("""COMPUTED_VALUE"""),"A106")</f>
        <v>A106</v>
      </c>
      <c r="C61" s="319" t="str">
        <f>IFERROR(__xludf.DUMMYFUNCTION("""COMPUTED_VALUE"""),"")</f>
        <v/>
      </c>
      <c r="D61" s="320" t="str">
        <f>IFERROR(__xludf.DUMMYFUNCTION("""COMPUTED_VALUE"""),"")</f>
        <v/>
      </c>
      <c r="E61" s="321" t="str">
        <f>IFERROR(__xludf.DUMMYFUNCTION("""COMPUTED_VALUE"""),"")</f>
        <v/>
      </c>
      <c r="F61" s="322" t="str">
        <f>IFERROR(__xludf.DUMMYFUNCTION("""COMPUTED_VALUE"""),"")</f>
        <v/>
      </c>
      <c r="G61" s="322" t="str">
        <f>IFERROR(__xludf.DUMMYFUNCTION("""COMPUTED_VALUE"""),"")</f>
        <v/>
      </c>
      <c r="H61" s="323" t="str">
        <f>IFERROR(__xludf.DUMMYFUNCTION("""COMPUTED_VALUE""")," ")</f>
        <v> </v>
      </c>
      <c r="I61" s="324" t="str">
        <f>IFERROR(__xludf.DUMMYFUNCTION("""COMPUTED_VALUE"""),"")</f>
        <v/>
      </c>
      <c r="J61" s="325" t="str">
        <f>IFERROR(__xludf.DUMMYFUNCTION("""COMPUTED_VALUE"""),"AP")</f>
        <v>AP</v>
      </c>
      <c r="K61" s="324">
        <f>IFERROR(__xludf.DUMMYFUNCTION("""COMPUTED_VALUE"""),0.0)</f>
        <v>0</v>
      </c>
      <c r="L61" s="325" t="str">
        <f>IFERROR(__xludf.DUMMYFUNCTION("""COMPUTED_VALUE"""),"%")</f>
        <v>%</v>
      </c>
      <c r="M61" s="326">
        <f>IFERROR(__xludf.DUMMYFUNCTION("""COMPUTED_VALUE"""),1.0)</f>
        <v>1</v>
      </c>
      <c r="N61" s="324" t="str">
        <f>IFERROR(__xludf.DUMMYFUNCTION("""COMPUTED_VALUE"""),"")</f>
        <v/>
      </c>
      <c r="O61" s="327" t="str">
        <f>IFERROR(__xludf.DUMMYFUNCTION("""COMPUTED_VALUE"""),"")</f>
        <v/>
      </c>
      <c r="P61" s="324" t="str">
        <f>IFERROR(__xludf.DUMMYFUNCTION("""COMPUTED_VALUE"""),"")</f>
        <v/>
      </c>
      <c r="Q61" s="325" t="str">
        <f>IFERROR(__xludf.DUMMYFUNCTION("""COMPUTED_VALUE"""),"AP")</f>
        <v>AP</v>
      </c>
      <c r="R61" s="324">
        <f>IFERROR(__xludf.DUMMYFUNCTION("""COMPUTED_VALUE"""),0.0)</f>
        <v>0</v>
      </c>
      <c r="S61" s="325" t="str">
        <f>IFERROR(__xludf.DUMMYFUNCTION("""COMPUTED_VALUE"""),"%")</f>
        <v>%</v>
      </c>
      <c r="T61" s="326">
        <f>IFERROR(__xludf.DUMMYFUNCTION("""COMPUTED_VALUE"""),2.0)</f>
        <v>2</v>
      </c>
      <c r="U61" s="324" t="str">
        <f>IFERROR(__xludf.DUMMYFUNCTION("""COMPUTED_VALUE"""),"")</f>
        <v/>
      </c>
      <c r="V61" s="327" t="str">
        <f>IFERROR(__xludf.DUMMYFUNCTION("""COMPUTED_VALUE"""),"")</f>
        <v/>
      </c>
      <c r="W61" s="324" t="str">
        <f>IFERROR(__xludf.DUMMYFUNCTION("""COMPUTED_VALUE"""),"")</f>
        <v/>
      </c>
      <c r="X61" s="325" t="str">
        <f>IFERROR(__xludf.DUMMYFUNCTION("""COMPUTED_VALUE"""),"AP")</f>
        <v>AP</v>
      </c>
      <c r="Y61" s="324">
        <f>IFERROR(__xludf.DUMMYFUNCTION("""COMPUTED_VALUE"""),0.0)</f>
        <v>0</v>
      </c>
      <c r="Z61" s="325" t="str">
        <f>IFERROR(__xludf.DUMMYFUNCTION("""COMPUTED_VALUE"""),"%")</f>
        <v>%</v>
      </c>
      <c r="AA61" s="326">
        <f>IFERROR(__xludf.DUMMYFUNCTION("""COMPUTED_VALUE"""),3.0)</f>
        <v>3</v>
      </c>
      <c r="AB61" s="324" t="str">
        <f>IFERROR(__xludf.DUMMYFUNCTION("""COMPUTED_VALUE"""),"")</f>
        <v/>
      </c>
      <c r="AC61" s="327" t="str">
        <f>IFERROR(__xludf.DUMMYFUNCTION("""COMPUTED_VALUE"""),"")</f>
        <v/>
      </c>
      <c r="AD61" s="324" t="str">
        <f>IFERROR(__xludf.DUMMYFUNCTION("""COMPUTED_VALUE"""),"")</f>
        <v/>
      </c>
      <c r="AE61" s="325" t="str">
        <f>IFERROR(__xludf.DUMMYFUNCTION("""COMPUTED_VALUE"""),"AP")</f>
        <v>AP</v>
      </c>
      <c r="AF61" s="324">
        <f>IFERROR(__xludf.DUMMYFUNCTION("""COMPUTED_VALUE"""),0.0)</f>
        <v>0</v>
      </c>
      <c r="AG61" s="325" t="str">
        <f>IFERROR(__xludf.DUMMYFUNCTION("""COMPUTED_VALUE"""),"%")</f>
        <v>%</v>
      </c>
      <c r="AH61" s="321" t="str">
        <f>IFERROR(__xludf.DUMMYFUNCTION("""COMPUTED_VALUE"""),"")</f>
        <v/>
      </c>
      <c r="AI61" s="322" t="str">
        <f>IFERROR(__xludf.DUMMYFUNCTION("""COMPUTED_VALUE"""),"")</f>
        <v/>
      </c>
      <c r="AJ61" s="320" t="str">
        <f>IFERROR(__xludf.DUMMYFUNCTION("""COMPUTED_VALUE"""),"")</f>
        <v/>
      </c>
    </row>
    <row r="62">
      <c r="A62" s="336" t="str">
        <f>IFERROR(__xludf.DUMMYFUNCTION("""COMPUTED_VALUE"""),"")</f>
        <v/>
      </c>
      <c r="B62" s="337" t="str">
        <f>IFERROR(__xludf.DUMMYFUNCTION("""COMPUTED_VALUE"""),"")</f>
        <v/>
      </c>
      <c r="C62" s="338" t="str">
        <f>IFERROR(__xludf.DUMMYFUNCTION("""COMPUTED_VALUE"""),"")</f>
        <v/>
      </c>
      <c r="D62" s="339" t="str">
        <f>IFERROR(__xludf.DUMMYFUNCTION("""COMPUTED_VALUE"""),"")</f>
        <v/>
      </c>
      <c r="E62" s="337" t="str">
        <f>IFERROR(__xludf.DUMMYFUNCTION("""COMPUTED_VALUE"""),"")</f>
        <v/>
      </c>
      <c r="F62" s="337" t="str">
        <f>IFERROR(__xludf.DUMMYFUNCTION("""COMPUTED_VALUE"""),"")</f>
        <v/>
      </c>
      <c r="G62" s="337" t="str">
        <f>IFERROR(__xludf.DUMMYFUNCTION("""COMPUTED_VALUE"""),"")</f>
        <v/>
      </c>
      <c r="H62" s="337" t="str">
        <f>IFERROR(__xludf.DUMMYFUNCTION("""COMPUTED_VALUE"""),"")</f>
        <v/>
      </c>
      <c r="I62" s="337" t="str">
        <f>IFERROR(__xludf.DUMMYFUNCTION("""COMPUTED_VALUE"""),"")</f>
        <v/>
      </c>
      <c r="J62" s="341" t="str">
        <f>IFERROR(__xludf.DUMMYFUNCTION("""COMPUTED_VALUE"""),"")</f>
        <v/>
      </c>
      <c r="K62" s="337" t="str">
        <f>IFERROR(__xludf.DUMMYFUNCTION("""COMPUTED_VALUE"""),"")</f>
        <v/>
      </c>
      <c r="L62" s="341" t="str">
        <f>IFERROR(__xludf.DUMMYFUNCTION("""COMPUTED_VALUE"""),"")</f>
        <v/>
      </c>
      <c r="M62" s="337" t="str">
        <f>IFERROR(__xludf.DUMMYFUNCTION("""COMPUTED_VALUE"""),"")</f>
        <v/>
      </c>
      <c r="N62" s="337" t="str">
        <f>IFERROR(__xludf.DUMMYFUNCTION("""COMPUTED_VALUE"""),"")</f>
        <v/>
      </c>
      <c r="O62" s="337" t="str">
        <f>IFERROR(__xludf.DUMMYFUNCTION("""COMPUTED_VALUE"""),"")</f>
        <v/>
      </c>
      <c r="P62" s="337" t="str">
        <f>IFERROR(__xludf.DUMMYFUNCTION("""COMPUTED_VALUE"""),"")</f>
        <v/>
      </c>
      <c r="Q62" s="341" t="str">
        <f>IFERROR(__xludf.DUMMYFUNCTION("""COMPUTED_VALUE"""),"")</f>
        <v/>
      </c>
      <c r="R62" s="337" t="str">
        <f>IFERROR(__xludf.DUMMYFUNCTION("""COMPUTED_VALUE"""),"")</f>
        <v/>
      </c>
      <c r="S62" s="341" t="str">
        <f>IFERROR(__xludf.DUMMYFUNCTION("""COMPUTED_VALUE"""),"")</f>
        <v/>
      </c>
      <c r="T62" s="337" t="str">
        <f>IFERROR(__xludf.DUMMYFUNCTION("""COMPUTED_VALUE"""),"")</f>
        <v/>
      </c>
      <c r="U62" s="337" t="str">
        <f>IFERROR(__xludf.DUMMYFUNCTION("""COMPUTED_VALUE"""),"")</f>
        <v/>
      </c>
      <c r="V62" s="337" t="str">
        <f>IFERROR(__xludf.DUMMYFUNCTION("""COMPUTED_VALUE"""),"")</f>
        <v/>
      </c>
      <c r="W62" s="337" t="str">
        <f>IFERROR(__xludf.DUMMYFUNCTION("""COMPUTED_VALUE"""),"")</f>
        <v/>
      </c>
      <c r="X62" s="341" t="str">
        <f>IFERROR(__xludf.DUMMYFUNCTION("""COMPUTED_VALUE"""),"")</f>
        <v/>
      </c>
      <c r="Y62" s="337" t="str">
        <f>IFERROR(__xludf.DUMMYFUNCTION("""COMPUTED_VALUE"""),"")</f>
        <v/>
      </c>
      <c r="Z62" s="341" t="str">
        <f>IFERROR(__xludf.DUMMYFUNCTION("""COMPUTED_VALUE"""),"")</f>
        <v/>
      </c>
      <c r="AA62" s="337" t="str">
        <f>IFERROR(__xludf.DUMMYFUNCTION("""COMPUTED_VALUE"""),"")</f>
        <v/>
      </c>
      <c r="AB62" s="337" t="str">
        <f>IFERROR(__xludf.DUMMYFUNCTION("""COMPUTED_VALUE"""),"")</f>
        <v/>
      </c>
      <c r="AC62" s="337" t="str">
        <f>IFERROR(__xludf.DUMMYFUNCTION("""COMPUTED_VALUE"""),"")</f>
        <v/>
      </c>
      <c r="AD62" s="337" t="str">
        <f>IFERROR(__xludf.DUMMYFUNCTION("""COMPUTED_VALUE"""),"")</f>
        <v/>
      </c>
      <c r="AE62" s="341" t="str">
        <f>IFERROR(__xludf.DUMMYFUNCTION("""COMPUTED_VALUE"""),"")</f>
        <v/>
      </c>
      <c r="AF62" s="337" t="str">
        <f>IFERROR(__xludf.DUMMYFUNCTION("""COMPUTED_VALUE"""),"")</f>
        <v/>
      </c>
      <c r="AG62" s="341" t="str">
        <f>IFERROR(__xludf.DUMMYFUNCTION("""COMPUTED_VALUE"""),"")</f>
        <v/>
      </c>
      <c r="AH62" s="337" t="str">
        <f>IFERROR(__xludf.DUMMYFUNCTION("""COMPUTED_VALUE"""),"")</f>
        <v/>
      </c>
      <c r="AI62" s="337" t="str">
        <f>IFERROR(__xludf.DUMMYFUNCTION("""COMPUTED_VALUE"""),"")</f>
        <v/>
      </c>
      <c r="AJ62" s="342" t="str">
        <f>IFERROR(__xludf.DUMMYFUNCTION("""COMPUTED_VALUE"""),"")</f>
        <v/>
      </c>
    </row>
    <row r="63">
      <c r="A63" s="343" t="str">
        <f>IFERROR(__xludf.DUMMYFUNCTION("""COMPUTED_VALUE"""),"")</f>
        <v/>
      </c>
      <c r="B63" s="344" t="str">
        <f>IFERROR(__xludf.DUMMYFUNCTION("""COMPUTED_VALUE"""),"")</f>
        <v/>
      </c>
      <c r="C63" s="345" t="str">
        <f>IFERROR(__xludf.DUMMYFUNCTION("""COMPUTED_VALUE"""),"")</f>
        <v/>
      </c>
      <c r="D63" s="346" t="str">
        <f>IFERROR(__xludf.DUMMYFUNCTION("""COMPUTED_VALUE"""),"")</f>
        <v/>
      </c>
      <c r="E63" s="344" t="str">
        <f>IFERROR(__xludf.DUMMYFUNCTION("""COMPUTED_VALUE"""),"")</f>
        <v/>
      </c>
      <c r="F63" s="344" t="str">
        <f>IFERROR(__xludf.DUMMYFUNCTION("""COMPUTED_VALUE"""),"")</f>
        <v/>
      </c>
      <c r="G63" s="344" t="str">
        <f>IFERROR(__xludf.DUMMYFUNCTION("""COMPUTED_VALUE"""),"")</f>
        <v/>
      </c>
      <c r="H63" s="344" t="str">
        <f>IFERROR(__xludf.DUMMYFUNCTION("""COMPUTED_VALUE"""),"")</f>
        <v/>
      </c>
      <c r="I63" s="344" t="str">
        <f>IFERROR(__xludf.DUMMYFUNCTION("""COMPUTED_VALUE"""),"")</f>
        <v/>
      </c>
      <c r="J63" s="347" t="str">
        <f>IFERROR(__xludf.DUMMYFUNCTION("""COMPUTED_VALUE"""),"")</f>
        <v/>
      </c>
      <c r="K63" s="344" t="str">
        <f>IFERROR(__xludf.DUMMYFUNCTION("""COMPUTED_VALUE"""),"")</f>
        <v/>
      </c>
      <c r="L63" s="347" t="str">
        <f>IFERROR(__xludf.DUMMYFUNCTION("""COMPUTED_VALUE"""),"")</f>
        <v/>
      </c>
      <c r="M63" s="344" t="str">
        <f>IFERROR(__xludf.DUMMYFUNCTION("""COMPUTED_VALUE"""),"")</f>
        <v/>
      </c>
      <c r="N63" s="344" t="str">
        <f>IFERROR(__xludf.DUMMYFUNCTION("""COMPUTED_VALUE"""),"")</f>
        <v/>
      </c>
      <c r="O63" s="344" t="str">
        <f>IFERROR(__xludf.DUMMYFUNCTION("""COMPUTED_VALUE"""),"")</f>
        <v/>
      </c>
      <c r="P63" s="344" t="str">
        <f>IFERROR(__xludf.DUMMYFUNCTION("""COMPUTED_VALUE"""),"")</f>
        <v/>
      </c>
      <c r="Q63" s="347" t="str">
        <f>IFERROR(__xludf.DUMMYFUNCTION("""COMPUTED_VALUE"""),"")</f>
        <v/>
      </c>
      <c r="R63" s="344" t="str">
        <f>IFERROR(__xludf.DUMMYFUNCTION("""COMPUTED_VALUE"""),"")</f>
        <v/>
      </c>
      <c r="S63" s="347" t="str">
        <f>IFERROR(__xludf.DUMMYFUNCTION("""COMPUTED_VALUE"""),"")</f>
        <v/>
      </c>
      <c r="T63" s="344" t="str">
        <f>IFERROR(__xludf.DUMMYFUNCTION("""COMPUTED_VALUE"""),"")</f>
        <v/>
      </c>
      <c r="U63" s="344" t="str">
        <f>IFERROR(__xludf.DUMMYFUNCTION("""COMPUTED_VALUE"""),"")</f>
        <v/>
      </c>
      <c r="V63" s="344" t="str">
        <f>IFERROR(__xludf.DUMMYFUNCTION("""COMPUTED_VALUE"""),"")</f>
        <v/>
      </c>
      <c r="W63" s="344" t="str">
        <f>IFERROR(__xludf.DUMMYFUNCTION("""COMPUTED_VALUE"""),"")</f>
        <v/>
      </c>
      <c r="X63" s="347" t="str">
        <f>IFERROR(__xludf.DUMMYFUNCTION("""COMPUTED_VALUE"""),"")</f>
        <v/>
      </c>
      <c r="Y63" s="344" t="str">
        <f>IFERROR(__xludf.DUMMYFUNCTION("""COMPUTED_VALUE"""),"")</f>
        <v/>
      </c>
      <c r="Z63" s="347" t="str">
        <f>IFERROR(__xludf.DUMMYFUNCTION("""COMPUTED_VALUE"""),"")</f>
        <v/>
      </c>
      <c r="AA63" s="344" t="str">
        <f>IFERROR(__xludf.DUMMYFUNCTION("""COMPUTED_VALUE"""),"")</f>
        <v/>
      </c>
      <c r="AB63" s="344" t="str">
        <f>IFERROR(__xludf.DUMMYFUNCTION("""COMPUTED_VALUE"""),"")</f>
        <v/>
      </c>
      <c r="AC63" s="344" t="str">
        <f>IFERROR(__xludf.DUMMYFUNCTION("""COMPUTED_VALUE"""),"")</f>
        <v/>
      </c>
      <c r="AD63" s="344" t="str">
        <f>IFERROR(__xludf.DUMMYFUNCTION("""COMPUTED_VALUE"""),"")</f>
        <v/>
      </c>
      <c r="AE63" s="347" t="str">
        <f>IFERROR(__xludf.DUMMYFUNCTION("""COMPUTED_VALUE"""),"")</f>
        <v/>
      </c>
      <c r="AF63" s="344" t="str">
        <f>IFERROR(__xludf.DUMMYFUNCTION("""COMPUTED_VALUE"""),"")</f>
        <v/>
      </c>
      <c r="AG63" s="347" t="str">
        <f>IFERROR(__xludf.DUMMYFUNCTION("""COMPUTED_VALUE"""),"")</f>
        <v/>
      </c>
      <c r="AH63" s="344" t="str">
        <f>IFERROR(__xludf.DUMMYFUNCTION("""COMPUTED_VALUE"""),"")</f>
        <v/>
      </c>
      <c r="AI63" s="344" t="str">
        <f>IFERROR(__xludf.DUMMYFUNCTION("""COMPUTED_VALUE"""),"")</f>
        <v/>
      </c>
      <c r="AJ63" s="348" t="str">
        <f>IFERROR(__xludf.DUMMYFUNCTION("""COMPUTED_VALUE"""),"")</f>
        <v/>
      </c>
    </row>
    <row r="64" ht="16.5" customHeight="1">
      <c r="A64" s="349">
        <f>IFERROR(__xludf.DUMMYFUNCTION("""COMPUTED_VALUE"""),8.0)</f>
        <v>8</v>
      </c>
      <c r="B64" s="313" t="str">
        <f>IFERROR(__xludf.DUMMYFUNCTION("""COMPUTED_VALUE"""),"A107")</f>
        <v>A107</v>
      </c>
      <c r="C64" s="314" t="str">
        <f>IFERROR(__xludf.DUMMYFUNCTION("""COMPUTED_VALUE"""),"")</f>
        <v/>
      </c>
      <c r="D64" s="350" t="str">
        <f>IFERROR(__xludf.DUMMYFUNCTION("""COMPUTED_VALUE"""),"Black Beast Grease")</f>
        <v>Black Beast Grease</v>
      </c>
      <c r="E64" s="351" t="str">
        <f>IFERROR(__xludf.DUMMYFUNCTION("""COMPUTED_VALUE"""),"AP")</f>
        <v>AP</v>
      </c>
      <c r="F64" s="351" t="str">
        <f>IFERROR(__xludf.DUMMYFUNCTION("""COMPUTED_VALUE"""),"Runs")</f>
        <v>Runs</v>
      </c>
      <c r="G64" s="351" t="str">
        <f>IFERROR(__xludf.DUMMYFUNCTION("""COMPUTED_VALUE"""),"Status")</f>
        <v>Status</v>
      </c>
      <c r="H64" s="351" t="str">
        <f>IFERROR(__xludf.DUMMYFUNCTION("""COMPUTED_VALUE"""),"Mat")</f>
        <v>Mat</v>
      </c>
      <c r="I64" s="351" t="str">
        <f>IFERROR(__xludf.DUMMYFUNCTION("""COMPUTED_VALUE"""),"AP/Drop")</f>
        <v>AP/Drop</v>
      </c>
      <c r="J64" s="351" t="str">
        <f>IFERROR(__xludf.DUMMYFUNCTION("""COMPUTED_VALUE"""),"")</f>
        <v/>
      </c>
      <c r="K64" s="351" t="str">
        <f>IFERROR(__xludf.DUMMYFUNCTION("""COMPUTED_VALUE"""),"Droprate")</f>
        <v>Droprate</v>
      </c>
      <c r="L64" s="351" t="str">
        <f>IFERROR(__xludf.DUMMYFUNCTION("""COMPUTED_VALUE"""),"")</f>
        <v/>
      </c>
      <c r="M64" s="351" t="str">
        <f>IFERROR(__xludf.DUMMYFUNCTION("""COMPUTED_VALUE"""),"#2")</f>
        <v>#2</v>
      </c>
      <c r="N64" s="351" t="str">
        <f>IFERROR(__xludf.DUMMYFUNCTION("""COMPUTED_VALUE"""),"Item 2 ID")</f>
        <v>Item 2 ID</v>
      </c>
      <c r="O64" s="351" t="str">
        <f>IFERROR(__xludf.DUMMYFUNCTION("""COMPUTED_VALUE"""),"Mat")</f>
        <v>Mat</v>
      </c>
      <c r="P64" s="351" t="str">
        <f>IFERROR(__xludf.DUMMYFUNCTION("""COMPUTED_VALUE"""),"AP/Drop")</f>
        <v>AP/Drop</v>
      </c>
      <c r="Q64" s="351" t="str">
        <f>IFERROR(__xludf.DUMMYFUNCTION("""COMPUTED_VALUE"""),"")</f>
        <v/>
      </c>
      <c r="R64" s="351" t="str">
        <f>IFERROR(__xludf.DUMMYFUNCTION("""COMPUTED_VALUE"""),"Droprate")</f>
        <v>Droprate</v>
      </c>
      <c r="S64" s="351" t="str">
        <f>IFERROR(__xludf.DUMMYFUNCTION("""COMPUTED_VALUE"""),"")</f>
        <v/>
      </c>
      <c r="T64" s="351" t="str">
        <f>IFERROR(__xludf.DUMMYFUNCTION("""COMPUTED_VALUE"""),"#3")</f>
        <v>#3</v>
      </c>
      <c r="U64" s="351" t="str">
        <f>IFERROR(__xludf.DUMMYFUNCTION("""COMPUTED_VALUE"""),"Item 2 ID")</f>
        <v>Item 2 ID</v>
      </c>
      <c r="V64" s="351" t="str">
        <f>IFERROR(__xludf.DUMMYFUNCTION("""COMPUTED_VALUE"""),"Mat")</f>
        <v>Mat</v>
      </c>
      <c r="W64" s="351" t="str">
        <f>IFERROR(__xludf.DUMMYFUNCTION("""COMPUTED_VALUE"""),"AP/Drop")</f>
        <v>AP/Drop</v>
      </c>
      <c r="X64" s="351" t="str">
        <f>IFERROR(__xludf.DUMMYFUNCTION("""COMPUTED_VALUE"""),"")</f>
        <v/>
      </c>
      <c r="Y64" s="351" t="str">
        <f>IFERROR(__xludf.DUMMYFUNCTION("""COMPUTED_VALUE"""),"Droprate")</f>
        <v>Droprate</v>
      </c>
      <c r="Z64" s="351" t="str">
        <f>IFERROR(__xludf.DUMMYFUNCTION("""COMPUTED_VALUE"""),"")</f>
        <v/>
      </c>
      <c r="AA64" s="351" t="str">
        <f>IFERROR(__xludf.DUMMYFUNCTION("""COMPUTED_VALUE"""),"#4")</f>
        <v>#4</v>
      </c>
      <c r="AB64" s="351" t="str">
        <f>IFERROR(__xludf.DUMMYFUNCTION("""COMPUTED_VALUE"""),"Item 3 ID")</f>
        <v>Item 3 ID</v>
      </c>
      <c r="AC64" s="351" t="str">
        <f>IFERROR(__xludf.DUMMYFUNCTION("""COMPUTED_VALUE"""),"Mat")</f>
        <v>Mat</v>
      </c>
      <c r="AD64" s="351" t="str">
        <f>IFERROR(__xludf.DUMMYFUNCTION("""COMPUTED_VALUE"""),"AP/Drop")</f>
        <v>AP/Drop</v>
      </c>
      <c r="AE64" s="351" t="str">
        <f>IFERROR(__xludf.DUMMYFUNCTION("""COMPUTED_VALUE"""),"")</f>
        <v/>
      </c>
      <c r="AF64" s="351" t="str">
        <f>IFERROR(__xludf.DUMMYFUNCTION("""COMPUTED_VALUE"""),"Droprate")</f>
        <v>Droprate</v>
      </c>
      <c r="AG64" s="351" t="str">
        <f>IFERROR(__xludf.DUMMYFUNCTION("""COMPUTED_VALUE"""),"")</f>
        <v/>
      </c>
      <c r="AH64" s="351" t="str">
        <f>IFERROR(__xludf.DUMMYFUNCTION("""COMPUTED_VALUE"""),"AP")</f>
        <v>AP</v>
      </c>
      <c r="AI64" s="351" t="str">
        <f>IFERROR(__xludf.DUMMYFUNCTION("""COMPUTED_VALUE"""),"Runs")</f>
        <v>Runs</v>
      </c>
      <c r="AJ64" s="351" t="str">
        <f>IFERROR(__xludf.DUMMYFUNCTION("""COMPUTED_VALUE"""),"Node Name")</f>
        <v>Node Name</v>
      </c>
    </row>
    <row r="65" ht="16.5" customHeight="1">
      <c r="D65" s="317" t="str">
        <f>IFERROR(__xludf.DUMMYFUNCTION("""COMPUTED_VALUE"""),"#N/A")</f>
        <v>#N/A</v>
      </c>
      <c r="E65" s="318"/>
      <c r="F65" s="318"/>
      <c r="G65" s="318"/>
      <c r="H65" s="318"/>
      <c r="I65" s="318"/>
      <c r="J65" s="318"/>
      <c r="K65" s="318"/>
      <c r="L65" s="318"/>
      <c r="M65" s="318"/>
      <c r="N65" s="318"/>
      <c r="O65" s="318"/>
      <c r="P65" s="318"/>
      <c r="Q65" s="318"/>
      <c r="R65" s="318"/>
      <c r="S65" s="318"/>
      <c r="T65" s="318"/>
      <c r="U65" s="318"/>
      <c r="V65" s="318"/>
      <c r="W65" s="318"/>
      <c r="X65" s="318"/>
      <c r="Y65" s="318"/>
      <c r="Z65" s="318"/>
      <c r="AA65" s="318"/>
      <c r="AB65" s="318"/>
      <c r="AC65" s="318"/>
      <c r="AD65" s="318"/>
      <c r="AE65" s="318"/>
      <c r="AF65" s="318"/>
      <c r="AG65" s="318"/>
      <c r="AH65" s="318"/>
      <c r="AI65" s="318"/>
      <c r="AJ65" s="318"/>
    </row>
    <row r="66" ht="24.75" customHeight="1">
      <c r="A66" s="319">
        <f>IFERROR(__xludf.DUMMYFUNCTION("""COMPUTED_VALUE"""),1.0)</f>
        <v>1</v>
      </c>
      <c r="B66" s="319" t="str">
        <f>IFERROR(__xludf.DUMMYFUNCTION("""COMPUTED_VALUE"""),"A107")</f>
        <v>A107</v>
      </c>
      <c r="C66" s="319">
        <f>IFERROR(__xludf.DUMMYFUNCTION("""COMPUTED_VALUE"""),19.0)</f>
        <v>19</v>
      </c>
      <c r="D66" s="320" t="str">
        <f>IFERROR(__xludf.DUMMYFUNCTION("""COMPUTED_VALUE"""),"Stone Drop Window")</f>
        <v>Stone Drop Window</v>
      </c>
      <c r="E66" s="321">
        <f>IFERROR(__xludf.DUMMYFUNCTION("""COMPUTED_VALUE"""),30.0)</f>
        <v>30</v>
      </c>
      <c r="F66" s="322">
        <f>IFERROR(__xludf.DUMMYFUNCTION("""COMPUTED_VALUE"""),58.0)</f>
        <v>58</v>
      </c>
      <c r="G66" s="322" t="str">
        <f>IFERROR(__xludf.DUMMYFUNCTION("""COMPUTED_VALUE"""),"Open")</f>
        <v>Open</v>
      </c>
      <c r="H66" s="323" t="str">
        <f>IFERROR(__xludf.DUMMYFUNCTION("""COMPUTED_VALUE"""),"")</f>
        <v/>
      </c>
      <c r="I66" s="324">
        <f>IFERROR(__xludf.DUMMYFUNCTION("""COMPUTED_VALUE"""),174.0)</f>
        <v>174</v>
      </c>
      <c r="J66" s="325" t="str">
        <f>IFERROR(__xludf.DUMMYFUNCTION("""COMPUTED_VALUE"""),"AP")</f>
        <v>AP</v>
      </c>
      <c r="K66" s="324">
        <f>IFERROR(__xludf.DUMMYFUNCTION("""COMPUTED_VALUE"""),17.24137931034483)</f>
        <v>17.24137931</v>
      </c>
      <c r="L66" s="325" t="str">
        <f>IFERROR(__xludf.DUMMYFUNCTION("""COMPUTED_VALUE"""),"%")</f>
        <v>%</v>
      </c>
      <c r="M66" s="326">
        <f>IFERROR(__xludf.DUMMYFUNCTION("""COMPUTED_VALUE"""),1.0)</f>
        <v>1</v>
      </c>
      <c r="N66" s="324" t="str">
        <f>IFERROR(__xludf.DUMMYFUNCTION("""COMPUTED_VALUE"""),"A209")</f>
        <v>A209</v>
      </c>
      <c r="O66" s="327" t="str">
        <f>IFERROR(__xludf.DUMMYFUNCTION("""COMPUTED_VALUE"""),"")</f>
        <v/>
      </c>
      <c r="P66" s="324">
        <f>IFERROR(__xludf.DUMMYFUNCTION("""COMPUTED_VALUE"""),102.3529411764706)</f>
        <v>102.3529412</v>
      </c>
      <c r="Q66" s="325" t="str">
        <f>IFERROR(__xludf.DUMMYFUNCTION("""COMPUTED_VALUE"""),"AP")</f>
        <v>AP</v>
      </c>
      <c r="R66" s="324">
        <f>IFERROR(__xludf.DUMMYFUNCTION("""COMPUTED_VALUE"""),29.310344827586203)</f>
        <v>29.31034483</v>
      </c>
      <c r="S66" s="325" t="str">
        <f>IFERROR(__xludf.DUMMYFUNCTION("""COMPUTED_VALUE"""),"%")</f>
        <v>%</v>
      </c>
      <c r="T66" s="326">
        <f>IFERROR(__xludf.DUMMYFUNCTION("""COMPUTED_VALUE"""),2.0)</f>
        <v>2</v>
      </c>
      <c r="U66" s="324" t="str">
        <f>IFERROR(__xludf.DUMMYFUNCTION("""COMPUTED_VALUE"""),"B116")</f>
        <v>B116</v>
      </c>
      <c r="V66" s="327" t="str">
        <f>IFERROR(__xludf.DUMMYFUNCTION("""COMPUTED_VALUE"""),"")</f>
        <v/>
      </c>
      <c r="W66" s="324">
        <f>IFERROR(__xludf.DUMMYFUNCTION("""COMPUTED_VALUE"""),124.28571428571428)</f>
        <v>124.2857143</v>
      </c>
      <c r="X66" s="325" t="str">
        <f>IFERROR(__xludf.DUMMYFUNCTION("""COMPUTED_VALUE"""),"AP")</f>
        <v>AP</v>
      </c>
      <c r="Y66" s="324">
        <f>IFERROR(__xludf.DUMMYFUNCTION("""COMPUTED_VALUE"""),24.137931034482758)</f>
        <v>24.13793103</v>
      </c>
      <c r="Z66" s="325" t="str">
        <f>IFERROR(__xludf.DUMMYFUNCTION("""COMPUTED_VALUE"""),"%")</f>
        <v>%</v>
      </c>
      <c r="AA66" s="326">
        <f>IFERROR(__xludf.DUMMYFUNCTION("""COMPUTED_VALUE"""),3.0)</f>
        <v>3</v>
      </c>
      <c r="AB66" s="324" t="str">
        <f>IFERROR(__xludf.DUMMYFUNCTION("""COMPUTED_VALUE"""),"")</f>
        <v/>
      </c>
      <c r="AC66" s="327" t="str">
        <f>IFERROR(__xludf.DUMMYFUNCTION("""COMPUTED_VALUE"""),"")</f>
        <v/>
      </c>
      <c r="AD66" s="324" t="str">
        <f>IFERROR(__xludf.DUMMYFUNCTION("""COMPUTED_VALUE"""),"")</f>
        <v/>
      </c>
      <c r="AE66" s="325" t="str">
        <f>IFERROR(__xludf.DUMMYFUNCTION("""COMPUTED_VALUE"""),"AP")</f>
        <v>AP</v>
      </c>
      <c r="AF66" s="324">
        <f>IFERROR(__xludf.DUMMYFUNCTION("""COMPUTED_VALUE"""),0.0)</f>
        <v>0</v>
      </c>
      <c r="AG66" s="325" t="str">
        <f>IFERROR(__xludf.DUMMYFUNCTION("""COMPUTED_VALUE"""),"%")</f>
        <v>%</v>
      </c>
      <c r="AH66" s="321">
        <f>IFERROR(__xludf.DUMMYFUNCTION("""COMPUTED_VALUE"""),30.0)</f>
        <v>30</v>
      </c>
      <c r="AI66" s="322">
        <f>IFERROR(__xludf.DUMMYFUNCTION("""COMPUTED_VALUE"""),58.0)</f>
        <v>58</v>
      </c>
      <c r="AJ66" s="320" t="str">
        <f>IFERROR(__xludf.DUMMYFUNCTION("""COMPUTED_VALUE"""),"Stone Drop Window")</f>
        <v>Stone Drop Window</v>
      </c>
    </row>
    <row r="67" ht="24.75" customHeight="1">
      <c r="A67" s="328">
        <f>IFERROR(__xludf.DUMMYFUNCTION("""COMPUTED_VALUE"""),2.0)</f>
        <v>2</v>
      </c>
      <c r="B67" s="328" t="str">
        <f>IFERROR(__xludf.DUMMYFUNCTION("""COMPUTED_VALUE"""),"A107")</f>
        <v>A107</v>
      </c>
      <c r="C67" s="328">
        <f>IFERROR(__xludf.DUMMYFUNCTION("""COMPUTED_VALUE"""),22.0)</f>
        <v>22</v>
      </c>
      <c r="D67" s="329" t="str">
        <f>IFERROR(__xludf.DUMMYFUNCTION("""COMPUTED_VALUE"""),"High Windows")</f>
        <v>High Windows</v>
      </c>
      <c r="E67" s="330">
        <f>IFERROR(__xludf.DUMMYFUNCTION("""COMPUTED_VALUE"""),20.0)</f>
        <v>20</v>
      </c>
      <c r="F67" s="331">
        <f>IFERROR(__xludf.DUMMYFUNCTION("""COMPUTED_VALUE"""),60.0)</f>
        <v>60</v>
      </c>
      <c r="G67" s="331" t="str">
        <f>IFERROR(__xludf.DUMMYFUNCTION("""COMPUTED_VALUE"""),"Open")</f>
        <v>Open</v>
      </c>
      <c r="H67" s="323" t="str">
        <f>IFERROR(__xludf.DUMMYFUNCTION("""COMPUTED_VALUE"""),"")</f>
        <v/>
      </c>
      <c r="I67" s="332">
        <f>IFERROR(__xludf.DUMMYFUNCTION("""COMPUTED_VALUE"""),400.0)</f>
        <v>400</v>
      </c>
      <c r="J67" s="333" t="str">
        <f>IFERROR(__xludf.DUMMYFUNCTION("""COMPUTED_VALUE"""),"AP")</f>
        <v>AP</v>
      </c>
      <c r="K67" s="332">
        <f>IFERROR(__xludf.DUMMYFUNCTION("""COMPUTED_VALUE"""),5.0)</f>
        <v>5</v>
      </c>
      <c r="L67" s="334" t="str">
        <f>IFERROR(__xludf.DUMMYFUNCTION("""COMPUTED_VALUE"""),"%")</f>
        <v>%</v>
      </c>
      <c r="M67" s="335">
        <f>IFERROR(__xludf.DUMMYFUNCTION("""COMPUTED_VALUE"""),1.0)</f>
        <v>1</v>
      </c>
      <c r="N67" s="332" t="str">
        <f>IFERROR(__xludf.DUMMYFUNCTION("""COMPUTED_VALUE"""),"A208")</f>
        <v>A208</v>
      </c>
      <c r="O67" s="327" t="str">
        <f>IFERROR(__xludf.DUMMYFUNCTION("""COMPUTED_VALUE"""),"")</f>
        <v/>
      </c>
      <c r="P67" s="332">
        <f>IFERROR(__xludf.DUMMYFUNCTION("""COMPUTED_VALUE"""),150.0)</f>
        <v>150</v>
      </c>
      <c r="Q67" s="333" t="str">
        <f>IFERROR(__xludf.DUMMYFUNCTION("""COMPUTED_VALUE"""),"AP")</f>
        <v>AP</v>
      </c>
      <c r="R67" s="332">
        <f>IFERROR(__xludf.DUMMYFUNCTION("""COMPUTED_VALUE"""),13.333333333333334)</f>
        <v>13.33333333</v>
      </c>
      <c r="S67" s="334" t="str">
        <f>IFERROR(__xludf.DUMMYFUNCTION("""COMPUTED_VALUE"""),"%")</f>
        <v>%</v>
      </c>
      <c r="T67" s="335">
        <f>IFERROR(__xludf.DUMMYFUNCTION("""COMPUTED_VALUE"""),2.0)</f>
        <v>2</v>
      </c>
      <c r="U67" s="332" t="str">
        <f>IFERROR(__xludf.DUMMYFUNCTION("""COMPUTED_VALUE"""),"B116")</f>
        <v>B116</v>
      </c>
      <c r="V67" s="327" t="str">
        <f>IFERROR(__xludf.DUMMYFUNCTION("""COMPUTED_VALUE"""),"")</f>
        <v/>
      </c>
      <c r="W67" s="332">
        <f>IFERROR(__xludf.DUMMYFUNCTION("""COMPUTED_VALUE"""),100.0)</f>
        <v>100</v>
      </c>
      <c r="X67" s="333" t="str">
        <f>IFERROR(__xludf.DUMMYFUNCTION("""COMPUTED_VALUE"""),"AP")</f>
        <v>AP</v>
      </c>
      <c r="Y67" s="332">
        <f>IFERROR(__xludf.DUMMYFUNCTION("""COMPUTED_VALUE"""),20.0)</f>
        <v>20</v>
      </c>
      <c r="Z67" s="334" t="str">
        <f>IFERROR(__xludf.DUMMYFUNCTION("""COMPUTED_VALUE"""),"%")</f>
        <v>%</v>
      </c>
      <c r="AA67" s="335">
        <f>IFERROR(__xludf.DUMMYFUNCTION("""COMPUTED_VALUE"""),3.0)</f>
        <v>3</v>
      </c>
      <c r="AB67" s="332" t="str">
        <f>IFERROR(__xludf.DUMMYFUNCTION("""COMPUTED_VALUE"""),"")</f>
        <v/>
      </c>
      <c r="AC67" s="327" t="str">
        <f>IFERROR(__xludf.DUMMYFUNCTION("""COMPUTED_VALUE"""),"")</f>
        <v/>
      </c>
      <c r="AD67" s="332" t="str">
        <f>IFERROR(__xludf.DUMMYFUNCTION("""COMPUTED_VALUE"""),"")</f>
        <v/>
      </c>
      <c r="AE67" s="333" t="str">
        <f>IFERROR(__xludf.DUMMYFUNCTION("""COMPUTED_VALUE"""),"AP")</f>
        <v>AP</v>
      </c>
      <c r="AF67" s="332">
        <f>IFERROR(__xludf.DUMMYFUNCTION("""COMPUTED_VALUE"""),0.0)</f>
        <v>0</v>
      </c>
      <c r="AG67" s="334" t="str">
        <f>IFERROR(__xludf.DUMMYFUNCTION("""COMPUTED_VALUE"""),"%")</f>
        <v>%</v>
      </c>
      <c r="AH67" s="330">
        <f>IFERROR(__xludf.DUMMYFUNCTION("""COMPUTED_VALUE"""),20.0)</f>
        <v>20</v>
      </c>
      <c r="AI67" s="331">
        <f>IFERROR(__xludf.DUMMYFUNCTION("""COMPUTED_VALUE"""),60.0)</f>
        <v>60</v>
      </c>
      <c r="AJ67" s="329" t="str">
        <f>IFERROR(__xludf.DUMMYFUNCTION("""COMPUTED_VALUE"""),"High Windows")</f>
        <v>High Windows</v>
      </c>
    </row>
    <row r="68" ht="24.75" customHeight="1">
      <c r="A68" s="319">
        <f>IFERROR(__xludf.DUMMYFUNCTION("""COMPUTED_VALUE"""),3.0)</f>
        <v>3</v>
      </c>
      <c r="B68" s="319" t="str">
        <f>IFERROR(__xludf.DUMMYFUNCTION("""COMPUTED_VALUE"""),"A107")</f>
        <v>A107</v>
      </c>
      <c r="C68" s="319" t="str">
        <f>IFERROR(__xludf.DUMMYFUNCTION("""COMPUTED_VALUE"""),"")</f>
        <v/>
      </c>
      <c r="D68" s="320" t="str">
        <f>IFERROR(__xludf.DUMMYFUNCTION("""COMPUTED_VALUE"""),"")</f>
        <v/>
      </c>
      <c r="E68" s="321" t="str">
        <f>IFERROR(__xludf.DUMMYFUNCTION("""COMPUTED_VALUE"""),"")</f>
        <v/>
      </c>
      <c r="F68" s="322" t="str">
        <f>IFERROR(__xludf.DUMMYFUNCTION("""COMPUTED_VALUE"""),"")</f>
        <v/>
      </c>
      <c r="G68" s="322" t="str">
        <f>IFERROR(__xludf.DUMMYFUNCTION("""COMPUTED_VALUE"""),"")</f>
        <v/>
      </c>
      <c r="H68" s="323" t="str">
        <f>IFERROR(__xludf.DUMMYFUNCTION("""COMPUTED_VALUE""")," ")</f>
        <v> </v>
      </c>
      <c r="I68" s="324" t="str">
        <f>IFERROR(__xludf.DUMMYFUNCTION("""COMPUTED_VALUE"""),"")</f>
        <v/>
      </c>
      <c r="J68" s="325" t="str">
        <f>IFERROR(__xludf.DUMMYFUNCTION("""COMPUTED_VALUE"""),"AP")</f>
        <v>AP</v>
      </c>
      <c r="K68" s="324">
        <f>IFERROR(__xludf.DUMMYFUNCTION("""COMPUTED_VALUE"""),0.0)</f>
        <v>0</v>
      </c>
      <c r="L68" s="325" t="str">
        <f>IFERROR(__xludf.DUMMYFUNCTION("""COMPUTED_VALUE"""),"%")</f>
        <v>%</v>
      </c>
      <c r="M68" s="326">
        <f>IFERROR(__xludf.DUMMYFUNCTION("""COMPUTED_VALUE"""),1.0)</f>
        <v>1</v>
      </c>
      <c r="N68" s="324" t="str">
        <f>IFERROR(__xludf.DUMMYFUNCTION("""COMPUTED_VALUE"""),"")</f>
        <v/>
      </c>
      <c r="O68" s="327" t="str">
        <f>IFERROR(__xludf.DUMMYFUNCTION("""COMPUTED_VALUE"""),"")</f>
        <v/>
      </c>
      <c r="P68" s="324" t="str">
        <f>IFERROR(__xludf.DUMMYFUNCTION("""COMPUTED_VALUE"""),"")</f>
        <v/>
      </c>
      <c r="Q68" s="325" t="str">
        <f>IFERROR(__xludf.DUMMYFUNCTION("""COMPUTED_VALUE"""),"AP")</f>
        <v>AP</v>
      </c>
      <c r="R68" s="324">
        <f>IFERROR(__xludf.DUMMYFUNCTION("""COMPUTED_VALUE"""),0.0)</f>
        <v>0</v>
      </c>
      <c r="S68" s="325" t="str">
        <f>IFERROR(__xludf.DUMMYFUNCTION("""COMPUTED_VALUE"""),"%")</f>
        <v>%</v>
      </c>
      <c r="T68" s="326">
        <f>IFERROR(__xludf.DUMMYFUNCTION("""COMPUTED_VALUE"""),2.0)</f>
        <v>2</v>
      </c>
      <c r="U68" s="324" t="str">
        <f>IFERROR(__xludf.DUMMYFUNCTION("""COMPUTED_VALUE"""),"")</f>
        <v/>
      </c>
      <c r="V68" s="327" t="str">
        <f>IFERROR(__xludf.DUMMYFUNCTION("""COMPUTED_VALUE"""),"")</f>
        <v/>
      </c>
      <c r="W68" s="324" t="str">
        <f>IFERROR(__xludf.DUMMYFUNCTION("""COMPUTED_VALUE"""),"")</f>
        <v/>
      </c>
      <c r="X68" s="325" t="str">
        <f>IFERROR(__xludf.DUMMYFUNCTION("""COMPUTED_VALUE"""),"AP")</f>
        <v>AP</v>
      </c>
      <c r="Y68" s="324">
        <f>IFERROR(__xludf.DUMMYFUNCTION("""COMPUTED_VALUE"""),0.0)</f>
        <v>0</v>
      </c>
      <c r="Z68" s="325" t="str">
        <f>IFERROR(__xludf.DUMMYFUNCTION("""COMPUTED_VALUE"""),"%")</f>
        <v>%</v>
      </c>
      <c r="AA68" s="326">
        <f>IFERROR(__xludf.DUMMYFUNCTION("""COMPUTED_VALUE"""),3.0)</f>
        <v>3</v>
      </c>
      <c r="AB68" s="324" t="str">
        <f>IFERROR(__xludf.DUMMYFUNCTION("""COMPUTED_VALUE"""),"")</f>
        <v/>
      </c>
      <c r="AC68" s="327" t="str">
        <f>IFERROR(__xludf.DUMMYFUNCTION("""COMPUTED_VALUE"""),"")</f>
        <v/>
      </c>
      <c r="AD68" s="324" t="str">
        <f>IFERROR(__xludf.DUMMYFUNCTION("""COMPUTED_VALUE"""),"")</f>
        <v/>
      </c>
      <c r="AE68" s="325" t="str">
        <f>IFERROR(__xludf.DUMMYFUNCTION("""COMPUTED_VALUE"""),"AP")</f>
        <v>AP</v>
      </c>
      <c r="AF68" s="324">
        <f>IFERROR(__xludf.DUMMYFUNCTION("""COMPUTED_VALUE"""),0.0)</f>
        <v>0</v>
      </c>
      <c r="AG68" s="325" t="str">
        <f>IFERROR(__xludf.DUMMYFUNCTION("""COMPUTED_VALUE"""),"%")</f>
        <v>%</v>
      </c>
      <c r="AH68" s="321" t="str">
        <f>IFERROR(__xludf.DUMMYFUNCTION("""COMPUTED_VALUE"""),"")</f>
        <v/>
      </c>
      <c r="AI68" s="322" t="str">
        <f>IFERROR(__xludf.DUMMYFUNCTION("""COMPUTED_VALUE"""),"")</f>
        <v/>
      </c>
      <c r="AJ68" s="320" t="str">
        <f>IFERROR(__xludf.DUMMYFUNCTION("""COMPUTED_VALUE"""),"")</f>
        <v/>
      </c>
    </row>
    <row r="69" ht="24.75" customHeight="1">
      <c r="A69" s="328">
        <f>IFERROR(__xludf.DUMMYFUNCTION("""COMPUTED_VALUE"""),4.0)</f>
        <v>4</v>
      </c>
      <c r="B69" s="328" t="str">
        <f>IFERROR(__xludf.DUMMYFUNCTION("""COMPUTED_VALUE"""),"A107")</f>
        <v>A107</v>
      </c>
      <c r="C69" s="328" t="str">
        <f>IFERROR(__xludf.DUMMYFUNCTION("""COMPUTED_VALUE"""),"")</f>
        <v/>
      </c>
      <c r="D69" s="329" t="str">
        <f>IFERROR(__xludf.DUMMYFUNCTION("""COMPUTED_VALUE"""),"")</f>
        <v/>
      </c>
      <c r="E69" s="330" t="str">
        <f>IFERROR(__xludf.DUMMYFUNCTION("""COMPUTED_VALUE"""),"")</f>
        <v/>
      </c>
      <c r="F69" s="331" t="str">
        <f>IFERROR(__xludf.DUMMYFUNCTION("""COMPUTED_VALUE"""),"")</f>
        <v/>
      </c>
      <c r="G69" s="331" t="str">
        <f>IFERROR(__xludf.DUMMYFUNCTION("""COMPUTED_VALUE"""),"")</f>
        <v/>
      </c>
      <c r="H69" s="323" t="str">
        <f>IFERROR(__xludf.DUMMYFUNCTION("""COMPUTED_VALUE""")," ")</f>
        <v> </v>
      </c>
      <c r="I69" s="332" t="str">
        <f>IFERROR(__xludf.DUMMYFUNCTION("""COMPUTED_VALUE"""),"")</f>
        <v/>
      </c>
      <c r="J69" s="333" t="str">
        <f>IFERROR(__xludf.DUMMYFUNCTION("""COMPUTED_VALUE"""),"AP")</f>
        <v>AP</v>
      </c>
      <c r="K69" s="332">
        <f>IFERROR(__xludf.DUMMYFUNCTION("""COMPUTED_VALUE"""),0.0)</f>
        <v>0</v>
      </c>
      <c r="L69" s="334" t="str">
        <f>IFERROR(__xludf.DUMMYFUNCTION("""COMPUTED_VALUE"""),"%")</f>
        <v>%</v>
      </c>
      <c r="M69" s="335">
        <f>IFERROR(__xludf.DUMMYFUNCTION("""COMPUTED_VALUE"""),1.0)</f>
        <v>1</v>
      </c>
      <c r="N69" s="332" t="str">
        <f>IFERROR(__xludf.DUMMYFUNCTION("""COMPUTED_VALUE"""),"")</f>
        <v/>
      </c>
      <c r="O69" s="327" t="str">
        <f>IFERROR(__xludf.DUMMYFUNCTION("""COMPUTED_VALUE"""),"")</f>
        <v/>
      </c>
      <c r="P69" s="332" t="str">
        <f>IFERROR(__xludf.DUMMYFUNCTION("""COMPUTED_VALUE"""),"")</f>
        <v/>
      </c>
      <c r="Q69" s="333" t="str">
        <f>IFERROR(__xludf.DUMMYFUNCTION("""COMPUTED_VALUE"""),"AP")</f>
        <v>AP</v>
      </c>
      <c r="R69" s="332">
        <f>IFERROR(__xludf.DUMMYFUNCTION("""COMPUTED_VALUE"""),0.0)</f>
        <v>0</v>
      </c>
      <c r="S69" s="334" t="str">
        <f>IFERROR(__xludf.DUMMYFUNCTION("""COMPUTED_VALUE"""),"%")</f>
        <v>%</v>
      </c>
      <c r="T69" s="335">
        <f>IFERROR(__xludf.DUMMYFUNCTION("""COMPUTED_VALUE"""),2.0)</f>
        <v>2</v>
      </c>
      <c r="U69" s="332" t="str">
        <f>IFERROR(__xludf.DUMMYFUNCTION("""COMPUTED_VALUE"""),"")</f>
        <v/>
      </c>
      <c r="V69" s="327" t="str">
        <f>IFERROR(__xludf.DUMMYFUNCTION("""COMPUTED_VALUE"""),"")</f>
        <v/>
      </c>
      <c r="W69" s="332" t="str">
        <f>IFERROR(__xludf.DUMMYFUNCTION("""COMPUTED_VALUE"""),"")</f>
        <v/>
      </c>
      <c r="X69" s="333" t="str">
        <f>IFERROR(__xludf.DUMMYFUNCTION("""COMPUTED_VALUE"""),"AP")</f>
        <v>AP</v>
      </c>
      <c r="Y69" s="332">
        <f>IFERROR(__xludf.DUMMYFUNCTION("""COMPUTED_VALUE"""),0.0)</f>
        <v>0</v>
      </c>
      <c r="Z69" s="334" t="str">
        <f>IFERROR(__xludf.DUMMYFUNCTION("""COMPUTED_VALUE"""),"%")</f>
        <v>%</v>
      </c>
      <c r="AA69" s="335">
        <f>IFERROR(__xludf.DUMMYFUNCTION("""COMPUTED_VALUE"""),3.0)</f>
        <v>3</v>
      </c>
      <c r="AB69" s="332" t="str">
        <f>IFERROR(__xludf.DUMMYFUNCTION("""COMPUTED_VALUE"""),"")</f>
        <v/>
      </c>
      <c r="AC69" s="327" t="str">
        <f>IFERROR(__xludf.DUMMYFUNCTION("""COMPUTED_VALUE"""),"")</f>
        <v/>
      </c>
      <c r="AD69" s="332" t="str">
        <f>IFERROR(__xludf.DUMMYFUNCTION("""COMPUTED_VALUE"""),"")</f>
        <v/>
      </c>
      <c r="AE69" s="333" t="str">
        <f>IFERROR(__xludf.DUMMYFUNCTION("""COMPUTED_VALUE"""),"AP")</f>
        <v>AP</v>
      </c>
      <c r="AF69" s="332">
        <f>IFERROR(__xludf.DUMMYFUNCTION("""COMPUTED_VALUE"""),0.0)</f>
        <v>0</v>
      </c>
      <c r="AG69" s="334" t="str">
        <f>IFERROR(__xludf.DUMMYFUNCTION("""COMPUTED_VALUE"""),"%")</f>
        <v>%</v>
      </c>
      <c r="AH69" s="330" t="str">
        <f>IFERROR(__xludf.DUMMYFUNCTION("""COMPUTED_VALUE"""),"")</f>
        <v/>
      </c>
      <c r="AI69" s="331" t="str">
        <f>IFERROR(__xludf.DUMMYFUNCTION("""COMPUTED_VALUE"""),"")</f>
        <v/>
      </c>
      <c r="AJ69" s="329" t="str">
        <f>IFERROR(__xludf.DUMMYFUNCTION("""COMPUTED_VALUE"""),"")</f>
        <v/>
      </c>
    </row>
    <row r="70" ht="24.75" customHeight="1">
      <c r="A70" s="319">
        <f>IFERROR(__xludf.DUMMYFUNCTION("""COMPUTED_VALUE"""),5.0)</f>
        <v>5</v>
      </c>
      <c r="B70" s="319" t="str">
        <f>IFERROR(__xludf.DUMMYFUNCTION("""COMPUTED_VALUE"""),"A107")</f>
        <v>A107</v>
      </c>
      <c r="C70" s="319" t="str">
        <f>IFERROR(__xludf.DUMMYFUNCTION("""COMPUTED_VALUE"""),"")</f>
        <v/>
      </c>
      <c r="D70" s="320" t="str">
        <f>IFERROR(__xludf.DUMMYFUNCTION("""COMPUTED_VALUE"""),"")</f>
        <v/>
      </c>
      <c r="E70" s="321" t="str">
        <f>IFERROR(__xludf.DUMMYFUNCTION("""COMPUTED_VALUE"""),"")</f>
        <v/>
      </c>
      <c r="F70" s="322" t="str">
        <f>IFERROR(__xludf.DUMMYFUNCTION("""COMPUTED_VALUE"""),"")</f>
        <v/>
      </c>
      <c r="G70" s="322" t="str">
        <f>IFERROR(__xludf.DUMMYFUNCTION("""COMPUTED_VALUE"""),"")</f>
        <v/>
      </c>
      <c r="H70" s="323" t="str">
        <f>IFERROR(__xludf.DUMMYFUNCTION("""COMPUTED_VALUE""")," ")</f>
        <v> </v>
      </c>
      <c r="I70" s="324" t="str">
        <f>IFERROR(__xludf.DUMMYFUNCTION("""COMPUTED_VALUE"""),"")</f>
        <v/>
      </c>
      <c r="J70" s="325" t="str">
        <f>IFERROR(__xludf.DUMMYFUNCTION("""COMPUTED_VALUE"""),"AP")</f>
        <v>AP</v>
      </c>
      <c r="K70" s="324">
        <f>IFERROR(__xludf.DUMMYFUNCTION("""COMPUTED_VALUE"""),0.0)</f>
        <v>0</v>
      </c>
      <c r="L70" s="325" t="str">
        <f>IFERROR(__xludf.DUMMYFUNCTION("""COMPUTED_VALUE"""),"%")</f>
        <v>%</v>
      </c>
      <c r="M70" s="326">
        <f>IFERROR(__xludf.DUMMYFUNCTION("""COMPUTED_VALUE"""),1.0)</f>
        <v>1</v>
      </c>
      <c r="N70" s="324" t="str">
        <f>IFERROR(__xludf.DUMMYFUNCTION("""COMPUTED_VALUE"""),"")</f>
        <v/>
      </c>
      <c r="O70" s="327" t="str">
        <f>IFERROR(__xludf.DUMMYFUNCTION("""COMPUTED_VALUE"""),"")</f>
        <v/>
      </c>
      <c r="P70" s="324" t="str">
        <f>IFERROR(__xludf.DUMMYFUNCTION("""COMPUTED_VALUE"""),"")</f>
        <v/>
      </c>
      <c r="Q70" s="325" t="str">
        <f>IFERROR(__xludf.DUMMYFUNCTION("""COMPUTED_VALUE"""),"AP")</f>
        <v>AP</v>
      </c>
      <c r="R70" s="324">
        <f>IFERROR(__xludf.DUMMYFUNCTION("""COMPUTED_VALUE"""),0.0)</f>
        <v>0</v>
      </c>
      <c r="S70" s="325" t="str">
        <f>IFERROR(__xludf.DUMMYFUNCTION("""COMPUTED_VALUE"""),"%")</f>
        <v>%</v>
      </c>
      <c r="T70" s="326">
        <f>IFERROR(__xludf.DUMMYFUNCTION("""COMPUTED_VALUE"""),2.0)</f>
        <v>2</v>
      </c>
      <c r="U70" s="324" t="str">
        <f>IFERROR(__xludf.DUMMYFUNCTION("""COMPUTED_VALUE"""),"")</f>
        <v/>
      </c>
      <c r="V70" s="327" t="str">
        <f>IFERROR(__xludf.DUMMYFUNCTION("""COMPUTED_VALUE"""),"")</f>
        <v/>
      </c>
      <c r="W70" s="324" t="str">
        <f>IFERROR(__xludf.DUMMYFUNCTION("""COMPUTED_VALUE"""),"")</f>
        <v/>
      </c>
      <c r="X70" s="325" t="str">
        <f>IFERROR(__xludf.DUMMYFUNCTION("""COMPUTED_VALUE"""),"AP")</f>
        <v>AP</v>
      </c>
      <c r="Y70" s="324">
        <f>IFERROR(__xludf.DUMMYFUNCTION("""COMPUTED_VALUE"""),0.0)</f>
        <v>0</v>
      </c>
      <c r="Z70" s="325" t="str">
        <f>IFERROR(__xludf.DUMMYFUNCTION("""COMPUTED_VALUE"""),"%")</f>
        <v>%</v>
      </c>
      <c r="AA70" s="326">
        <f>IFERROR(__xludf.DUMMYFUNCTION("""COMPUTED_VALUE"""),3.0)</f>
        <v>3</v>
      </c>
      <c r="AB70" s="324" t="str">
        <f>IFERROR(__xludf.DUMMYFUNCTION("""COMPUTED_VALUE"""),"")</f>
        <v/>
      </c>
      <c r="AC70" s="327" t="str">
        <f>IFERROR(__xludf.DUMMYFUNCTION("""COMPUTED_VALUE"""),"")</f>
        <v/>
      </c>
      <c r="AD70" s="324" t="str">
        <f>IFERROR(__xludf.DUMMYFUNCTION("""COMPUTED_VALUE"""),"")</f>
        <v/>
      </c>
      <c r="AE70" s="325" t="str">
        <f>IFERROR(__xludf.DUMMYFUNCTION("""COMPUTED_VALUE"""),"AP")</f>
        <v>AP</v>
      </c>
      <c r="AF70" s="324">
        <f>IFERROR(__xludf.DUMMYFUNCTION("""COMPUTED_VALUE"""),0.0)</f>
        <v>0</v>
      </c>
      <c r="AG70" s="325" t="str">
        <f>IFERROR(__xludf.DUMMYFUNCTION("""COMPUTED_VALUE"""),"%")</f>
        <v>%</v>
      </c>
      <c r="AH70" s="321" t="str">
        <f>IFERROR(__xludf.DUMMYFUNCTION("""COMPUTED_VALUE"""),"")</f>
        <v/>
      </c>
      <c r="AI70" s="322" t="str">
        <f>IFERROR(__xludf.DUMMYFUNCTION("""COMPUTED_VALUE"""),"")</f>
        <v/>
      </c>
      <c r="AJ70" s="320" t="str">
        <f>IFERROR(__xludf.DUMMYFUNCTION("""COMPUTED_VALUE"""),"")</f>
        <v/>
      </c>
    </row>
    <row r="71">
      <c r="A71" s="336" t="str">
        <f>IFERROR(__xludf.DUMMYFUNCTION("""COMPUTED_VALUE"""),"")</f>
        <v/>
      </c>
      <c r="B71" s="337" t="str">
        <f>IFERROR(__xludf.DUMMYFUNCTION("""COMPUTED_VALUE"""),"")</f>
        <v/>
      </c>
      <c r="C71" s="338" t="str">
        <f>IFERROR(__xludf.DUMMYFUNCTION("""COMPUTED_VALUE"""),"")</f>
        <v/>
      </c>
      <c r="D71" s="339" t="str">
        <f>IFERROR(__xludf.DUMMYFUNCTION("""COMPUTED_VALUE"""),"")</f>
        <v/>
      </c>
      <c r="E71" s="337" t="str">
        <f>IFERROR(__xludf.DUMMYFUNCTION("""COMPUTED_VALUE"""),"")</f>
        <v/>
      </c>
      <c r="F71" s="337" t="str">
        <f>IFERROR(__xludf.DUMMYFUNCTION("""COMPUTED_VALUE"""),"")</f>
        <v/>
      </c>
      <c r="G71" s="337" t="str">
        <f>IFERROR(__xludf.DUMMYFUNCTION("""COMPUTED_VALUE"""),"")</f>
        <v/>
      </c>
      <c r="H71" s="337" t="str">
        <f>IFERROR(__xludf.DUMMYFUNCTION("""COMPUTED_VALUE"""),"")</f>
        <v/>
      </c>
      <c r="I71" s="337" t="str">
        <f>IFERROR(__xludf.DUMMYFUNCTION("""COMPUTED_VALUE"""),"")</f>
        <v/>
      </c>
      <c r="J71" s="341" t="str">
        <f>IFERROR(__xludf.DUMMYFUNCTION("""COMPUTED_VALUE"""),"")</f>
        <v/>
      </c>
      <c r="K71" s="337" t="str">
        <f>IFERROR(__xludf.DUMMYFUNCTION("""COMPUTED_VALUE"""),"")</f>
        <v/>
      </c>
      <c r="L71" s="341" t="str">
        <f>IFERROR(__xludf.DUMMYFUNCTION("""COMPUTED_VALUE"""),"")</f>
        <v/>
      </c>
      <c r="M71" s="337" t="str">
        <f>IFERROR(__xludf.DUMMYFUNCTION("""COMPUTED_VALUE"""),"")</f>
        <v/>
      </c>
      <c r="N71" s="337" t="str">
        <f>IFERROR(__xludf.DUMMYFUNCTION("""COMPUTED_VALUE"""),"")</f>
        <v/>
      </c>
      <c r="O71" s="337" t="str">
        <f>IFERROR(__xludf.DUMMYFUNCTION("""COMPUTED_VALUE"""),"")</f>
        <v/>
      </c>
      <c r="P71" s="337" t="str">
        <f>IFERROR(__xludf.DUMMYFUNCTION("""COMPUTED_VALUE"""),"")</f>
        <v/>
      </c>
      <c r="Q71" s="341" t="str">
        <f>IFERROR(__xludf.DUMMYFUNCTION("""COMPUTED_VALUE"""),"")</f>
        <v/>
      </c>
      <c r="R71" s="337" t="str">
        <f>IFERROR(__xludf.DUMMYFUNCTION("""COMPUTED_VALUE"""),"")</f>
        <v/>
      </c>
      <c r="S71" s="341" t="str">
        <f>IFERROR(__xludf.DUMMYFUNCTION("""COMPUTED_VALUE"""),"")</f>
        <v/>
      </c>
      <c r="T71" s="337" t="str">
        <f>IFERROR(__xludf.DUMMYFUNCTION("""COMPUTED_VALUE"""),"")</f>
        <v/>
      </c>
      <c r="U71" s="337" t="str">
        <f>IFERROR(__xludf.DUMMYFUNCTION("""COMPUTED_VALUE"""),"")</f>
        <v/>
      </c>
      <c r="V71" s="337" t="str">
        <f>IFERROR(__xludf.DUMMYFUNCTION("""COMPUTED_VALUE"""),"")</f>
        <v/>
      </c>
      <c r="W71" s="337" t="str">
        <f>IFERROR(__xludf.DUMMYFUNCTION("""COMPUTED_VALUE"""),"")</f>
        <v/>
      </c>
      <c r="X71" s="341" t="str">
        <f>IFERROR(__xludf.DUMMYFUNCTION("""COMPUTED_VALUE"""),"")</f>
        <v/>
      </c>
      <c r="Y71" s="337" t="str">
        <f>IFERROR(__xludf.DUMMYFUNCTION("""COMPUTED_VALUE"""),"")</f>
        <v/>
      </c>
      <c r="Z71" s="341" t="str">
        <f>IFERROR(__xludf.DUMMYFUNCTION("""COMPUTED_VALUE"""),"")</f>
        <v/>
      </c>
      <c r="AA71" s="337" t="str">
        <f>IFERROR(__xludf.DUMMYFUNCTION("""COMPUTED_VALUE"""),"")</f>
        <v/>
      </c>
      <c r="AB71" s="337" t="str">
        <f>IFERROR(__xludf.DUMMYFUNCTION("""COMPUTED_VALUE"""),"")</f>
        <v/>
      </c>
      <c r="AC71" s="337" t="str">
        <f>IFERROR(__xludf.DUMMYFUNCTION("""COMPUTED_VALUE"""),"")</f>
        <v/>
      </c>
      <c r="AD71" s="337" t="str">
        <f>IFERROR(__xludf.DUMMYFUNCTION("""COMPUTED_VALUE"""),"")</f>
        <v/>
      </c>
      <c r="AE71" s="341" t="str">
        <f>IFERROR(__xludf.DUMMYFUNCTION("""COMPUTED_VALUE"""),"")</f>
        <v/>
      </c>
      <c r="AF71" s="337" t="str">
        <f>IFERROR(__xludf.DUMMYFUNCTION("""COMPUTED_VALUE"""),"")</f>
        <v/>
      </c>
      <c r="AG71" s="341" t="str">
        <f>IFERROR(__xludf.DUMMYFUNCTION("""COMPUTED_VALUE"""),"")</f>
        <v/>
      </c>
      <c r="AH71" s="337" t="str">
        <f>IFERROR(__xludf.DUMMYFUNCTION("""COMPUTED_VALUE"""),"")</f>
        <v/>
      </c>
      <c r="AI71" s="337" t="str">
        <f>IFERROR(__xludf.DUMMYFUNCTION("""COMPUTED_VALUE"""),"")</f>
        <v/>
      </c>
      <c r="AJ71" s="342" t="str">
        <f>IFERROR(__xludf.DUMMYFUNCTION("""COMPUTED_VALUE"""),"")</f>
        <v/>
      </c>
    </row>
    <row r="72">
      <c r="A72" s="343" t="str">
        <f>IFERROR(__xludf.DUMMYFUNCTION("""COMPUTED_VALUE"""),"")</f>
        <v/>
      </c>
      <c r="B72" s="344" t="str">
        <f>IFERROR(__xludf.DUMMYFUNCTION("""COMPUTED_VALUE"""),"")</f>
        <v/>
      </c>
      <c r="C72" s="345" t="str">
        <f>IFERROR(__xludf.DUMMYFUNCTION("""COMPUTED_VALUE"""),"")</f>
        <v/>
      </c>
      <c r="D72" s="346" t="str">
        <f>IFERROR(__xludf.DUMMYFUNCTION("""COMPUTED_VALUE"""),"")</f>
        <v/>
      </c>
      <c r="E72" s="344" t="str">
        <f>IFERROR(__xludf.DUMMYFUNCTION("""COMPUTED_VALUE"""),"")</f>
        <v/>
      </c>
      <c r="F72" s="344" t="str">
        <f>IFERROR(__xludf.DUMMYFUNCTION("""COMPUTED_VALUE"""),"")</f>
        <v/>
      </c>
      <c r="G72" s="344" t="str">
        <f>IFERROR(__xludf.DUMMYFUNCTION("""COMPUTED_VALUE"""),"")</f>
        <v/>
      </c>
      <c r="H72" s="344" t="str">
        <f>IFERROR(__xludf.DUMMYFUNCTION("""COMPUTED_VALUE"""),"")</f>
        <v/>
      </c>
      <c r="I72" s="344" t="str">
        <f>IFERROR(__xludf.DUMMYFUNCTION("""COMPUTED_VALUE"""),"")</f>
        <v/>
      </c>
      <c r="J72" s="347" t="str">
        <f>IFERROR(__xludf.DUMMYFUNCTION("""COMPUTED_VALUE"""),"")</f>
        <v/>
      </c>
      <c r="K72" s="344" t="str">
        <f>IFERROR(__xludf.DUMMYFUNCTION("""COMPUTED_VALUE"""),"")</f>
        <v/>
      </c>
      <c r="L72" s="347" t="str">
        <f>IFERROR(__xludf.DUMMYFUNCTION("""COMPUTED_VALUE"""),"")</f>
        <v/>
      </c>
      <c r="M72" s="344" t="str">
        <f>IFERROR(__xludf.DUMMYFUNCTION("""COMPUTED_VALUE"""),"")</f>
        <v/>
      </c>
      <c r="N72" s="344" t="str">
        <f>IFERROR(__xludf.DUMMYFUNCTION("""COMPUTED_VALUE"""),"")</f>
        <v/>
      </c>
      <c r="O72" s="344" t="str">
        <f>IFERROR(__xludf.DUMMYFUNCTION("""COMPUTED_VALUE"""),"")</f>
        <v/>
      </c>
      <c r="P72" s="344" t="str">
        <f>IFERROR(__xludf.DUMMYFUNCTION("""COMPUTED_VALUE"""),"")</f>
        <v/>
      </c>
      <c r="Q72" s="347" t="str">
        <f>IFERROR(__xludf.DUMMYFUNCTION("""COMPUTED_VALUE"""),"")</f>
        <v/>
      </c>
      <c r="R72" s="344" t="str">
        <f>IFERROR(__xludf.DUMMYFUNCTION("""COMPUTED_VALUE"""),"")</f>
        <v/>
      </c>
      <c r="S72" s="347" t="str">
        <f>IFERROR(__xludf.DUMMYFUNCTION("""COMPUTED_VALUE"""),"")</f>
        <v/>
      </c>
      <c r="T72" s="344" t="str">
        <f>IFERROR(__xludf.DUMMYFUNCTION("""COMPUTED_VALUE"""),"")</f>
        <v/>
      </c>
      <c r="U72" s="344" t="str">
        <f>IFERROR(__xludf.DUMMYFUNCTION("""COMPUTED_VALUE"""),"")</f>
        <v/>
      </c>
      <c r="V72" s="344" t="str">
        <f>IFERROR(__xludf.DUMMYFUNCTION("""COMPUTED_VALUE"""),"")</f>
        <v/>
      </c>
      <c r="W72" s="344" t="str">
        <f>IFERROR(__xludf.DUMMYFUNCTION("""COMPUTED_VALUE"""),"")</f>
        <v/>
      </c>
      <c r="X72" s="347" t="str">
        <f>IFERROR(__xludf.DUMMYFUNCTION("""COMPUTED_VALUE"""),"")</f>
        <v/>
      </c>
      <c r="Y72" s="344" t="str">
        <f>IFERROR(__xludf.DUMMYFUNCTION("""COMPUTED_VALUE"""),"")</f>
        <v/>
      </c>
      <c r="Z72" s="347" t="str">
        <f>IFERROR(__xludf.DUMMYFUNCTION("""COMPUTED_VALUE"""),"")</f>
        <v/>
      </c>
      <c r="AA72" s="344" t="str">
        <f>IFERROR(__xludf.DUMMYFUNCTION("""COMPUTED_VALUE"""),"")</f>
        <v/>
      </c>
      <c r="AB72" s="344" t="str">
        <f>IFERROR(__xludf.DUMMYFUNCTION("""COMPUTED_VALUE"""),"")</f>
        <v/>
      </c>
      <c r="AC72" s="344" t="str">
        <f>IFERROR(__xludf.DUMMYFUNCTION("""COMPUTED_VALUE"""),"")</f>
        <v/>
      </c>
      <c r="AD72" s="344" t="str">
        <f>IFERROR(__xludf.DUMMYFUNCTION("""COMPUTED_VALUE"""),"")</f>
        <v/>
      </c>
      <c r="AE72" s="347" t="str">
        <f>IFERROR(__xludf.DUMMYFUNCTION("""COMPUTED_VALUE"""),"")</f>
        <v/>
      </c>
      <c r="AF72" s="344" t="str">
        <f>IFERROR(__xludf.DUMMYFUNCTION("""COMPUTED_VALUE"""),"")</f>
        <v/>
      </c>
      <c r="AG72" s="347" t="str">
        <f>IFERROR(__xludf.DUMMYFUNCTION("""COMPUTED_VALUE"""),"")</f>
        <v/>
      </c>
      <c r="AH72" s="344" t="str">
        <f>IFERROR(__xludf.DUMMYFUNCTION("""COMPUTED_VALUE"""),"")</f>
        <v/>
      </c>
      <c r="AI72" s="344" t="str">
        <f>IFERROR(__xludf.DUMMYFUNCTION("""COMPUTED_VALUE"""),"")</f>
        <v/>
      </c>
      <c r="AJ72" s="348" t="str">
        <f>IFERROR(__xludf.DUMMYFUNCTION("""COMPUTED_VALUE"""),"")</f>
        <v/>
      </c>
    </row>
    <row r="73" ht="16.5" customHeight="1">
      <c r="A73" s="349">
        <f>IFERROR(__xludf.DUMMYFUNCTION("""COMPUTED_VALUE"""),9.0)</f>
        <v>9</v>
      </c>
      <c r="B73" s="313" t="str">
        <f>IFERROR(__xludf.DUMMYFUNCTION("""COMPUTED_VALUE"""),"A109")</f>
        <v>A109</v>
      </c>
      <c r="C73" s="314" t="str">
        <f>IFERROR(__xludf.DUMMYFUNCTION("""COMPUTED_VALUE"""),"")</f>
        <v/>
      </c>
      <c r="D73" s="350" t="str">
        <f>IFERROR(__xludf.DUMMYFUNCTION("""COMPUTED_VALUE"""),"Scarab of Wisdom")</f>
        <v>Scarab of Wisdom</v>
      </c>
      <c r="E73" s="351" t="str">
        <f>IFERROR(__xludf.DUMMYFUNCTION("""COMPUTED_VALUE"""),"AP")</f>
        <v>AP</v>
      </c>
      <c r="F73" s="351" t="str">
        <f>IFERROR(__xludf.DUMMYFUNCTION("""COMPUTED_VALUE"""),"Runs")</f>
        <v>Runs</v>
      </c>
      <c r="G73" s="316" t="str">
        <f>IFERROR(__xludf.DUMMYFUNCTION("""COMPUTED_VALUE"""),"Status")</f>
        <v>Status</v>
      </c>
      <c r="H73" s="351" t="str">
        <f>IFERROR(__xludf.DUMMYFUNCTION("""COMPUTED_VALUE"""),"Mat")</f>
        <v>Mat</v>
      </c>
      <c r="I73" s="351" t="str">
        <f>IFERROR(__xludf.DUMMYFUNCTION("""COMPUTED_VALUE"""),"AP/Drop")</f>
        <v>AP/Drop</v>
      </c>
      <c r="J73" s="351" t="str">
        <f>IFERROR(__xludf.DUMMYFUNCTION("""COMPUTED_VALUE"""),"")</f>
        <v/>
      </c>
      <c r="K73" s="351" t="str">
        <f>IFERROR(__xludf.DUMMYFUNCTION("""COMPUTED_VALUE"""),"Droprate")</f>
        <v>Droprate</v>
      </c>
      <c r="L73" s="351" t="str">
        <f>IFERROR(__xludf.DUMMYFUNCTION("""COMPUTED_VALUE"""),"")</f>
        <v/>
      </c>
      <c r="M73" s="351" t="str">
        <f>IFERROR(__xludf.DUMMYFUNCTION("""COMPUTED_VALUE"""),"#2")</f>
        <v>#2</v>
      </c>
      <c r="N73" s="351" t="str">
        <f>IFERROR(__xludf.DUMMYFUNCTION("""COMPUTED_VALUE"""),"Item 2 ID")</f>
        <v>Item 2 ID</v>
      </c>
      <c r="O73" s="351" t="str">
        <f>IFERROR(__xludf.DUMMYFUNCTION("""COMPUTED_VALUE"""),"Mat")</f>
        <v>Mat</v>
      </c>
      <c r="P73" s="351" t="str">
        <f>IFERROR(__xludf.DUMMYFUNCTION("""COMPUTED_VALUE"""),"AP/Drop")</f>
        <v>AP/Drop</v>
      </c>
      <c r="Q73" s="351" t="str">
        <f>IFERROR(__xludf.DUMMYFUNCTION("""COMPUTED_VALUE"""),"")</f>
        <v/>
      </c>
      <c r="R73" s="351" t="str">
        <f>IFERROR(__xludf.DUMMYFUNCTION("""COMPUTED_VALUE"""),"Droprate")</f>
        <v>Droprate</v>
      </c>
      <c r="S73" s="351" t="str">
        <f>IFERROR(__xludf.DUMMYFUNCTION("""COMPUTED_VALUE"""),"")</f>
        <v/>
      </c>
      <c r="T73" s="351" t="str">
        <f>IFERROR(__xludf.DUMMYFUNCTION("""COMPUTED_VALUE"""),"#3")</f>
        <v>#3</v>
      </c>
      <c r="U73" s="351" t="str">
        <f>IFERROR(__xludf.DUMMYFUNCTION("""COMPUTED_VALUE"""),"Item 2 ID")</f>
        <v>Item 2 ID</v>
      </c>
      <c r="V73" s="351" t="str">
        <f>IFERROR(__xludf.DUMMYFUNCTION("""COMPUTED_VALUE"""),"Mat")</f>
        <v>Mat</v>
      </c>
      <c r="W73" s="351" t="str">
        <f>IFERROR(__xludf.DUMMYFUNCTION("""COMPUTED_VALUE"""),"AP/Drop")</f>
        <v>AP/Drop</v>
      </c>
      <c r="X73" s="351" t="str">
        <f>IFERROR(__xludf.DUMMYFUNCTION("""COMPUTED_VALUE"""),"")</f>
        <v/>
      </c>
      <c r="Y73" s="351" t="str">
        <f>IFERROR(__xludf.DUMMYFUNCTION("""COMPUTED_VALUE"""),"Droprate")</f>
        <v>Droprate</v>
      </c>
      <c r="Z73" s="351" t="str">
        <f>IFERROR(__xludf.DUMMYFUNCTION("""COMPUTED_VALUE"""),"")</f>
        <v/>
      </c>
      <c r="AA73" s="351" t="str">
        <f>IFERROR(__xludf.DUMMYFUNCTION("""COMPUTED_VALUE"""),"#4")</f>
        <v>#4</v>
      </c>
      <c r="AB73" s="351" t="str">
        <f>IFERROR(__xludf.DUMMYFUNCTION("""COMPUTED_VALUE"""),"Item 3 ID")</f>
        <v>Item 3 ID</v>
      </c>
      <c r="AC73" s="351" t="str">
        <f>IFERROR(__xludf.DUMMYFUNCTION("""COMPUTED_VALUE"""),"Mat")</f>
        <v>Mat</v>
      </c>
      <c r="AD73" s="351" t="str">
        <f>IFERROR(__xludf.DUMMYFUNCTION("""COMPUTED_VALUE"""),"AP/Drop")</f>
        <v>AP/Drop</v>
      </c>
      <c r="AE73" s="351" t="str">
        <f>IFERROR(__xludf.DUMMYFUNCTION("""COMPUTED_VALUE"""),"")</f>
        <v/>
      </c>
      <c r="AF73" s="351" t="str">
        <f>IFERROR(__xludf.DUMMYFUNCTION("""COMPUTED_VALUE"""),"Droprate")</f>
        <v>Droprate</v>
      </c>
      <c r="AG73" s="351" t="str">
        <f>IFERROR(__xludf.DUMMYFUNCTION("""COMPUTED_VALUE"""),"")</f>
        <v/>
      </c>
      <c r="AH73" s="351" t="str">
        <f>IFERROR(__xludf.DUMMYFUNCTION("""COMPUTED_VALUE"""),"AP")</f>
        <v>AP</v>
      </c>
      <c r="AI73" s="351" t="str">
        <f>IFERROR(__xludf.DUMMYFUNCTION("""COMPUTED_VALUE"""),"Runs")</f>
        <v>Runs</v>
      </c>
      <c r="AJ73" s="351" t="str">
        <f>IFERROR(__xludf.DUMMYFUNCTION("""COMPUTED_VALUE"""),"Node Name")</f>
        <v>Node Name</v>
      </c>
    </row>
    <row r="74" ht="16.5" customHeight="1">
      <c r="D74" s="317" t="str">
        <f>IFERROR(__xludf.DUMMYFUNCTION("""COMPUTED_VALUE"""),"#N/A")</f>
        <v>#N/A</v>
      </c>
      <c r="E74" s="318"/>
      <c r="F74" s="318"/>
      <c r="G74" s="318"/>
      <c r="H74" s="318"/>
      <c r="I74" s="318"/>
      <c r="J74" s="318"/>
      <c r="K74" s="318"/>
      <c r="L74" s="318"/>
      <c r="M74" s="318"/>
      <c r="N74" s="318"/>
      <c r="O74" s="318"/>
      <c r="P74" s="318"/>
      <c r="Q74" s="318"/>
      <c r="R74" s="318"/>
      <c r="S74" s="318"/>
      <c r="T74" s="318"/>
      <c r="U74" s="318"/>
      <c r="V74" s="318"/>
      <c r="W74" s="318"/>
      <c r="X74" s="318"/>
      <c r="Y74" s="318"/>
      <c r="Z74" s="318"/>
      <c r="AA74" s="318"/>
      <c r="AB74" s="318"/>
      <c r="AC74" s="318"/>
      <c r="AD74" s="318"/>
      <c r="AE74" s="318"/>
      <c r="AF74" s="318"/>
      <c r="AG74" s="318"/>
      <c r="AH74" s="318"/>
      <c r="AI74" s="318"/>
      <c r="AJ74" s="318"/>
    </row>
    <row r="75" ht="24.75" customHeight="1">
      <c r="A75" s="319">
        <f>IFERROR(__xludf.DUMMYFUNCTION("""COMPUTED_VALUE"""),1.0)</f>
        <v>1</v>
      </c>
      <c r="B75" s="319" t="str">
        <f>IFERROR(__xludf.DUMMYFUNCTION("""COMPUTED_VALUE"""),"A109")</f>
        <v>A109</v>
      </c>
      <c r="C75" s="319" t="str">
        <f>IFERROR(__xludf.DUMMYFUNCTION("""COMPUTED_VALUE"""),"")</f>
        <v/>
      </c>
      <c r="D75" s="320" t="str">
        <f>IFERROR(__xludf.DUMMYFUNCTION("""COMPUTED_VALUE"""),"")</f>
        <v/>
      </c>
      <c r="E75" s="321" t="str">
        <f>IFERROR(__xludf.DUMMYFUNCTION("""COMPUTED_VALUE"""),"")</f>
        <v/>
      </c>
      <c r="F75" s="322" t="str">
        <f>IFERROR(__xludf.DUMMYFUNCTION("""COMPUTED_VALUE"""),"")</f>
        <v/>
      </c>
      <c r="G75" s="322" t="str">
        <f>IFERROR(__xludf.DUMMYFUNCTION("""COMPUTED_VALUE"""),"")</f>
        <v/>
      </c>
      <c r="H75" s="323" t="str">
        <f>IFERROR(__xludf.DUMMYFUNCTION("""COMPUTED_VALUE""")," ")</f>
        <v> </v>
      </c>
      <c r="I75" s="324" t="str">
        <f>IFERROR(__xludf.DUMMYFUNCTION("""COMPUTED_VALUE"""),"")</f>
        <v/>
      </c>
      <c r="J75" s="325" t="str">
        <f>IFERROR(__xludf.DUMMYFUNCTION("""COMPUTED_VALUE"""),"AP")</f>
        <v>AP</v>
      </c>
      <c r="K75" s="324">
        <f>IFERROR(__xludf.DUMMYFUNCTION("""COMPUTED_VALUE"""),0.0)</f>
        <v>0</v>
      </c>
      <c r="L75" s="325" t="str">
        <f>IFERROR(__xludf.DUMMYFUNCTION("""COMPUTED_VALUE"""),"%")</f>
        <v>%</v>
      </c>
      <c r="M75" s="326">
        <f>IFERROR(__xludf.DUMMYFUNCTION("""COMPUTED_VALUE"""),1.0)</f>
        <v>1</v>
      </c>
      <c r="N75" s="324" t="str">
        <f>IFERROR(__xludf.DUMMYFUNCTION("""COMPUTED_VALUE"""),"")</f>
        <v/>
      </c>
      <c r="O75" s="327" t="str">
        <f>IFERROR(__xludf.DUMMYFUNCTION("""COMPUTED_VALUE"""),"")</f>
        <v/>
      </c>
      <c r="P75" s="324" t="str">
        <f>IFERROR(__xludf.DUMMYFUNCTION("""COMPUTED_VALUE"""),"")</f>
        <v/>
      </c>
      <c r="Q75" s="325" t="str">
        <f>IFERROR(__xludf.DUMMYFUNCTION("""COMPUTED_VALUE"""),"AP")</f>
        <v>AP</v>
      </c>
      <c r="R75" s="324">
        <f>IFERROR(__xludf.DUMMYFUNCTION("""COMPUTED_VALUE"""),0.0)</f>
        <v>0</v>
      </c>
      <c r="S75" s="325" t="str">
        <f>IFERROR(__xludf.DUMMYFUNCTION("""COMPUTED_VALUE"""),"%")</f>
        <v>%</v>
      </c>
      <c r="T75" s="326">
        <f>IFERROR(__xludf.DUMMYFUNCTION("""COMPUTED_VALUE"""),2.0)</f>
        <v>2</v>
      </c>
      <c r="U75" s="324" t="str">
        <f>IFERROR(__xludf.DUMMYFUNCTION("""COMPUTED_VALUE"""),"")</f>
        <v/>
      </c>
      <c r="V75" s="327" t="str">
        <f>IFERROR(__xludf.DUMMYFUNCTION("""COMPUTED_VALUE"""),"")</f>
        <v/>
      </c>
      <c r="W75" s="324" t="str">
        <f>IFERROR(__xludf.DUMMYFUNCTION("""COMPUTED_VALUE"""),"")</f>
        <v/>
      </c>
      <c r="X75" s="325" t="str">
        <f>IFERROR(__xludf.DUMMYFUNCTION("""COMPUTED_VALUE"""),"AP")</f>
        <v>AP</v>
      </c>
      <c r="Y75" s="324">
        <f>IFERROR(__xludf.DUMMYFUNCTION("""COMPUTED_VALUE"""),0.0)</f>
        <v>0</v>
      </c>
      <c r="Z75" s="325" t="str">
        <f>IFERROR(__xludf.DUMMYFUNCTION("""COMPUTED_VALUE"""),"%")</f>
        <v>%</v>
      </c>
      <c r="AA75" s="326">
        <f>IFERROR(__xludf.DUMMYFUNCTION("""COMPUTED_VALUE"""),3.0)</f>
        <v>3</v>
      </c>
      <c r="AB75" s="324" t="str">
        <f>IFERROR(__xludf.DUMMYFUNCTION("""COMPUTED_VALUE"""),"")</f>
        <v/>
      </c>
      <c r="AC75" s="327" t="str">
        <f>IFERROR(__xludf.DUMMYFUNCTION("""COMPUTED_VALUE"""),"")</f>
        <v/>
      </c>
      <c r="AD75" s="324" t="str">
        <f>IFERROR(__xludf.DUMMYFUNCTION("""COMPUTED_VALUE"""),"")</f>
        <v/>
      </c>
      <c r="AE75" s="325" t="str">
        <f>IFERROR(__xludf.DUMMYFUNCTION("""COMPUTED_VALUE"""),"AP")</f>
        <v>AP</v>
      </c>
      <c r="AF75" s="324">
        <f>IFERROR(__xludf.DUMMYFUNCTION("""COMPUTED_VALUE"""),0.0)</f>
        <v>0</v>
      </c>
      <c r="AG75" s="325" t="str">
        <f>IFERROR(__xludf.DUMMYFUNCTION("""COMPUTED_VALUE"""),"%")</f>
        <v>%</v>
      </c>
      <c r="AH75" s="321" t="str">
        <f>IFERROR(__xludf.DUMMYFUNCTION("""COMPUTED_VALUE"""),"")</f>
        <v/>
      </c>
      <c r="AI75" s="322" t="str">
        <f>IFERROR(__xludf.DUMMYFUNCTION("""COMPUTED_VALUE"""),"")</f>
        <v/>
      </c>
      <c r="AJ75" s="320" t="str">
        <f>IFERROR(__xludf.DUMMYFUNCTION("""COMPUTED_VALUE"""),"")</f>
        <v/>
      </c>
    </row>
    <row r="76" ht="24.75" customHeight="1">
      <c r="A76" s="328">
        <f>IFERROR(__xludf.DUMMYFUNCTION("""COMPUTED_VALUE"""),2.0)</f>
        <v>2</v>
      </c>
      <c r="B76" s="328" t="str">
        <f>IFERROR(__xludf.DUMMYFUNCTION("""COMPUTED_VALUE"""),"A109")</f>
        <v>A109</v>
      </c>
      <c r="C76" s="328" t="str">
        <f>IFERROR(__xludf.DUMMYFUNCTION("""COMPUTED_VALUE"""),"")</f>
        <v/>
      </c>
      <c r="D76" s="329" t="str">
        <f>IFERROR(__xludf.DUMMYFUNCTION("""COMPUTED_VALUE"""),"")</f>
        <v/>
      </c>
      <c r="E76" s="330" t="str">
        <f>IFERROR(__xludf.DUMMYFUNCTION("""COMPUTED_VALUE"""),"")</f>
        <v/>
      </c>
      <c r="F76" s="331" t="str">
        <f>IFERROR(__xludf.DUMMYFUNCTION("""COMPUTED_VALUE"""),"")</f>
        <v/>
      </c>
      <c r="G76" s="331" t="str">
        <f>IFERROR(__xludf.DUMMYFUNCTION("""COMPUTED_VALUE"""),"")</f>
        <v/>
      </c>
      <c r="H76" s="323" t="str">
        <f>IFERROR(__xludf.DUMMYFUNCTION("""COMPUTED_VALUE""")," ")</f>
        <v> </v>
      </c>
      <c r="I76" s="332" t="str">
        <f>IFERROR(__xludf.DUMMYFUNCTION("""COMPUTED_VALUE"""),"")</f>
        <v/>
      </c>
      <c r="J76" s="333" t="str">
        <f>IFERROR(__xludf.DUMMYFUNCTION("""COMPUTED_VALUE"""),"AP")</f>
        <v>AP</v>
      </c>
      <c r="K76" s="332">
        <f>IFERROR(__xludf.DUMMYFUNCTION("""COMPUTED_VALUE"""),0.0)</f>
        <v>0</v>
      </c>
      <c r="L76" s="334" t="str">
        <f>IFERROR(__xludf.DUMMYFUNCTION("""COMPUTED_VALUE"""),"%")</f>
        <v>%</v>
      </c>
      <c r="M76" s="335">
        <f>IFERROR(__xludf.DUMMYFUNCTION("""COMPUTED_VALUE"""),1.0)</f>
        <v>1</v>
      </c>
      <c r="N76" s="332" t="str">
        <f>IFERROR(__xludf.DUMMYFUNCTION("""COMPUTED_VALUE"""),"")</f>
        <v/>
      </c>
      <c r="O76" s="327" t="str">
        <f>IFERROR(__xludf.DUMMYFUNCTION("""COMPUTED_VALUE"""),"")</f>
        <v/>
      </c>
      <c r="P76" s="332" t="str">
        <f>IFERROR(__xludf.DUMMYFUNCTION("""COMPUTED_VALUE"""),"")</f>
        <v/>
      </c>
      <c r="Q76" s="333" t="str">
        <f>IFERROR(__xludf.DUMMYFUNCTION("""COMPUTED_VALUE"""),"AP")</f>
        <v>AP</v>
      </c>
      <c r="R76" s="332">
        <f>IFERROR(__xludf.DUMMYFUNCTION("""COMPUTED_VALUE"""),0.0)</f>
        <v>0</v>
      </c>
      <c r="S76" s="334" t="str">
        <f>IFERROR(__xludf.DUMMYFUNCTION("""COMPUTED_VALUE"""),"%")</f>
        <v>%</v>
      </c>
      <c r="T76" s="335">
        <f>IFERROR(__xludf.DUMMYFUNCTION("""COMPUTED_VALUE"""),2.0)</f>
        <v>2</v>
      </c>
      <c r="U76" s="332" t="str">
        <f>IFERROR(__xludf.DUMMYFUNCTION("""COMPUTED_VALUE"""),"")</f>
        <v/>
      </c>
      <c r="V76" s="327" t="str">
        <f>IFERROR(__xludf.DUMMYFUNCTION("""COMPUTED_VALUE"""),"")</f>
        <v/>
      </c>
      <c r="W76" s="332" t="str">
        <f>IFERROR(__xludf.DUMMYFUNCTION("""COMPUTED_VALUE"""),"")</f>
        <v/>
      </c>
      <c r="X76" s="333" t="str">
        <f>IFERROR(__xludf.DUMMYFUNCTION("""COMPUTED_VALUE"""),"AP")</f>
        <v>AP</v>
      </c>
      <c r="Y76" s="332">
        <f>IFERROR(__xludf.DUMMYFUNCTION("""COMPUTED_VALUE"""),0.0)</f>
        <v>0</v>
      </c>
      <c r="Z76" s="334" t="str">
        <f>IFERROR(__xludf.DUMMYFUNCTION("""COMPUTED_VALUE"""),"%")</f>
        <v>%</v>
      </c>
      <c r="AA76" s="335">
        <f>IFERROR(__xludf.DUMMYFUNCTION("""COMPUTED_VALUE"""),3.0)</f>
        <v>3</v>
      </c>
      <c r="AB76" s="332" t="str">
        <f>IFERROR(__xludf.DUMMYFUNCTION("""COMPUTED_VALUE"""),"")</f>
        <v/>
      </c>
      <c r="AC76" s="327" t="str">
        <f>IFERROR(__xludf.DUMMYFUNCTION("""COMPUTED_VALUE"""),"")</f>
        <v/>
      </c>
      <c r="AD76" s="332" t="str">
        <f>IFERROR(__xludf.DUMMYFUNCTION("""COMPUTED_VALUE"""),"")</f>
        <v/>
      </c>
      <c r="AE76" s="333" t="str">
        <f>IFERROR(__xludf.DUMMYFUNCTION("""COMPUTED_VALUE"""),"AP")</f>
        <v>AP</v>
      </c>
      <c r="AF76" s="332">
        <f>IFERROR(__xludf.DUMMYFUNCTION("""COMPUTED_VALUE"""),0.0)</f>
        <v>0</v>
      </c>
      <c r="AG76" s="334" t="str">
        <f>IFERROR(__xludf.DUMMYFUNCTION("""COMPUTED_VALUE"""),"%")</f>
        <v>%</v>
      </c>
      <c r="AH76" s="330" t="str">
        <f>IFERROR(__xludf.DUMMYFUNCTION("""COMPUTED_VALUE"""),"")</f>
        <v/>
      </c>
      <c r="AI76" s="331" t="str">
        <f>IFERROR(__xludf.DUMMYFUNCTION("""COMPUTED_VALUE"""),"")</f>
        <v/>
      </c>
      <c r="AJ76" s="329" t="str">
        <f>IFERROR(__xludf.DUMMYFUNCTION("""COMPUTED_VALUE"""),"")</f>
        <v/>
      </c>
    </row>
    <row r="77" ht="24.75" customHeight="1">
      <c r="A77" s="319">
        <f>IFERROR(__xludf.DUMMYFUNCTION("""COMPUTED_VALUE"""),3.0)</f>
        <v>3</v>
      </c>
      <c r="B77" s="319" t="str">
        <f>IFERROR(__xludf.DUMMYFUNCTION("""COMPUTED_VALUE"""),"A109")</f>
        <v>A109</v>
      </c>
      <c r="C77" s="319" t="str">
        <f>IFERROR(__xludf.DUMMYFUNCTION("""COMPUTED_VALUE"""),"")</f>
        <v/>
      </c>
      <c r="D77" s="320" t="str">
        <f>IFERROR(__xludf.DUMMYFUNCTION("""COMPUTED_VALUE"""),"")</f>
        <v/>
      </c>
      <c r="E77" s="321" t="str">
        <f>IFERROR(__xludf.DUMMYFUNCTION("""COMPUTED_VALUE"""),"")</f>
        <v/>
      </c>
      <c r="F77" s="322" t="str">
        <f>IFERROR(__xludf.DUMMYFUNCTION("""COMPUTED_VALUE"""),"")</f>
        <v/>
      </c>
      <c r="G77" s="322" t="str">
        <f>IFERROR(__xludf.DUMMYFUNCTION("""COMPUTED_VALUE"""),"")</f>
        <v/>
      </c>
      <c r="H77" s="323" t="str">
        <f>IFERROR(__xludf.DUMMYFUNCTION("""COMPUTED_VALUE""")," ")</f>
        <v> </v>
      </c>
      <c r="I77" s="324" t="str">
        <f>IFERROR(__xludf.DUMMYFUNCTION("""COMPUTED_VALUE"""),"")</f>
        <v/>
      </c>
      <c r="J77" s="325" t="str">
        <f>IFERROR(__xludf.DUMMYFUNCTION("""COMPUTED_VALUE"""),"AP")</f>
        <v>AP</v>
      </c>
      <c r="K77" s="324">
        <f>IFERROR(__xludf.DUMMYFUNCTION("""COMPUTED_VALUE"""),0.0)</f>
        <v>0</v>
      </c>
      <c r="L77" s="325" t="str">
        <f>IFERROR(__xludf.DUMMYFUNCTION("""COMPUTED_VALUE"""),"%")</f>
        <v>%</v>
      </c>
      <c r="M77" s="326">
        <f>IFERROR(__xludf.DUMMYFUNCTION("""COMPUTED_VALUE"""),1.0)</f>
        <v>1</v>
      </c>
      <c r="N77" s="324" t="str">
        <f>IFERROR(__xludf.DUMMYFUNCTION("""COMPUTED_VALUE"""),"")</f>
        <v/>
      </c>
      <c r="O77" s="327" t="str">
        <f>IFERROR(__xludf.DUMMYFUNCTION("""COMPUTED_VALUE"""),"")</f>
        <v/>
      </c>
      <c r="P77" s="324" t="str">
        <f>IFERROR(__xludf.DUMMYFUNCTION("""COMPUTED_VALUE"""),"")</f>
        <v/>
      </c>
      <c r="Q77" s="325" t="str">
        <f>IFERROR(__xludf.DUMMYFUNCTION("""COMPUTED_VALUE"""),"AP")</f>
        <v>AP</v>
      </c>
      <c r="R77" s="324">
        <f>IFERROR(__xludf.DUMMYFUNCTION("""COMPUTED_VALUE"""),0.0)</f>
        <v>0</v>
      </c>
      <c r="S77" s="325" t="str">
        <f>IFERROR(__xludf.DUMMYFUNCTION("""COMPUTED_VALUE"""),"%")</f>
        <v>%</v>
      </c>
      <c r="T77" s="326">
        <f>IFERROR(__xludf.DUMMYFUNCTION("""COMPUTED_VALUE"""),2.0)</f>
        <v>2</v>
      </c>
      <c r="U77" s="324" t="str">
        <f>IFERROR(__xludf.DUMMYFUNCTION("""COMPUTED_VALUE"""),"")</f>
        <v/>
      </c>
      <c r="V77" s="327" t="str">
        <f>IFERROR(__xludf.DUMMYFUNCTION("""COMPUTED_VALUE"""),"")</f>
        <v/>
      </c>
      <c r="W77" s="324" t="str">
        <f>IFERROR(__xludf.DUMMYFUNCTION("""COMPUTED_VALUE"""),"")</f>
        <v/>
      </c>
      <c r="X77" s="325" t="str">
        <f>IFERROR(__xludf.DUMMYFUNCTION("""COMPUTED_VALUE"""),"AP")</f>
        <v>AP</v>
      </c>
      <c r="Y77" s="324">
        <f>IFERROR(__xludf.DUMMYFUNCTION("""COMPUTED_VALUE"""),0.0)</f>
        <v>0</v>
      </c>
      <c r="Z77" s="325" t="str">
        <f>IFERROR(__xludf.DUMMYFUNCTION("""COMPUTED_VALUE"""),"%")</f>
        <v>%</v>
      </c>
      <c r="AA77" s="326">
        <f>IFERROR(__xludf.DUMMYFUNCTION("""COMPUTED_VALUE"""),3.0)</f>
        <v>3</v>
      </c>
      <c r="AB77" s="324" t="str">
        <f>IFERROR(__xludf.DUMMYFUNCTION("""COMPUTED_VALUE"""),"")</f>
        <v/>
      </c>
      <c r="AC77" s="327" t="str">
        <f>IFERROR(__xludf.DUMMYFUNCTION("""COMPUTED_VALUE"""),"")</f>
        <v/>
      </c>
      <c r="AD77" s="324" t="str">
        <f>IFERROR(__xludf.DUMMYFUNCTION("""COMPUTED_VALUE"""),"")</f>
        <v/>
      </c>
      <c r="AE77" s="325" t="str">
        <f>IFERROR(__xludf.DUMMYFUNCTION("""COMPUTED_VALUE"""),"AP")</f>
        <v>AP</v>
      </c>
      <c r="AF77" s="324">
        <f>IFERROR(__xludf.DUMMYFUNCTION("""COMPUTED_VALUE"""),0.0)</f>
        <v>0</v>
      </c>
      <c r="AG77" s="325" t="str">
        <f>IFERROR(__xludf.DUMMYFUNCTION("""COMPUTED_VALUE"""),"%")</f>
        <v>%</v>
      </c>
      <c r="AH77" s="321" t="str">
        <f>IFERROR(__xludf.DUMMYFUNCTION("""COMPUTED_VALUE"""),"")</f>
        <v/>
      </c>
      <c r="AI77" s="322" t="str">
        <f>IFERROR(__xludf.DUMMYFUNCTION("""COMPUTED_VALUE"""),"")</f>
        <v/>
      </c>
      <c r="AJ77" s="320" t="str">
        <f>IFERROR(__xludf.DUMMYFUNCTION("""COMPUTED_VALUE"""),"")</f>
        <v/>
      </c>
    </row>
    <row r="78" ht="24.75" customHeight="1">
      <c r="A78" s="328">
        <f>IFERROR(__xludf.DUMMYFUNCTION("""COMPUTED_VALUE"""),4.0)</f>
        <v>4</v>
      </c>
      <c r="B78" s="328" t="str">
        <f>IFERROR(__xludf.DUMMYFUNCTION("""COMPUTED_VALUE"""),"A109")</f>
        <v>A109</v>
      </c>
      <c r="C78" s="328" t="str">
        <f>IFERROR(__xludf.DUMMYFUNCTION("""COMPUTED_VALUE"""),"")</f>
        <v/>
      </c>
      <c r="D78" s="329" t="str">
        <f>IFERROR(__xludf.DUMMYFUNCTION("""COMPUTED_VALUE"""),"")</f>
        <v/>
      </c>
      <c r="E78" s="330" t="str">
        <f>IFERROR(__xludf.DUMMYFUNCTION("""COMPUTED_VALUE"""),"")</f>
        <v/>
      </c>
      <c r="F78" s="331" t="str">
        <f>IFERROR(__xludf.DUMMYFUNCTION("""COMPUTED_VALUE"""),"")</f>
        <v/>
      </c>
      <c r="G78" s="331" t="str">
        <f>IFERROR(__xludf.DUMMYFUNCTION("""COMPUTED_VALUE"""),"")</f>
        <v/>
      </c>
      <c r="H78" s="323" t="str">
        <f>IFERROR(__xludf.DUMMYFUNCTION("""COMPUTED_VALUE""")," ")</f>
        <v> </v>
      </c>
      <c r="I78" s="332" t="str">
        <f>IFERROR(__xludf.DUMMYFUNCTION("""COMPUTED_VALUE"""),"")</f>
        <v/>
      </c>
      <c r="J78" s="333" t="str">
        <f>IFERROR(__xludf.DUMMYFUNCTION("""COMPUTED_VALUE"""),"AP")</f>
        <v>AP</v>
      </c>
      <c r="K78" s="332">
        <f>IFERROR(__xludf.DUMMYFUNCTION("""COMPUTED_VALUE"""),0.0)</f>
        <v>0</v>
      </c>
      <c r="L78" s="334" t="str">
        <f>IFERROR(__xludf.DUMMYFUNCTION("""COMPUTED_VALUE"""),"%")</f>
        <v>%</v>
      </c>
      <c r="M78" s="335">
        <f>IFERROR(__xludf.DUMMYFUNCTION("""COMPUTED_VALUE"""),1.0)</f>
        <v>1</v>
      </c>
      <c r="N78" s="332" t="str">
        <f>IFERROR(__xludf.DUMMYFUNCTION("""COMPUTED_VALUE"""),"")</f>
        <v/>
      </c>
      <c r="O78" s="327" t="str">
        <f>IFERROR(__xludf.DUMMYFUNCTION("""COMPUTED_VALUE"""),"")</f>
        <v/>
      </c>
      <c r="P78" s="332" t="str">
        <f>IFERROR(__xludf.DUMMYFUNCTION("""COMPUTED_VALUE"""),"")</f>
        <v/>
      </c>
      <c r="Q78" s="333" t="str">
        <f>IFERROR(__xludf.DUMMYFUNCTION("""COMPUTED_VALUE"""),"AP")</f>
        <v>AP</v>
      </c>
      <c r="R78" s="332">
        <f>IFERROR(__xludf.DUMMYFUNCTION("""COMPUTED_VALUE"""),0.0)</f>
        <v>0</v>
      </c>
      <c r="S78" s="334" t="str">
        <f>IFERROR(__xludf.DUMMYFUNCTION("""COMPUTED_VALUE"""),"%")</f>
        <v>%</v>
      </c>
      <c r="T78" s="335">
        <f>IFERROR(__xludf.DUMMYFUNCTION("""COMPUTED_VALUE"""),2.0)</f>
        <v>2</v>
      </c>
      <c r="U78" s="332" t="str">
        <f>IFERROR(__xludf.DUMMYFUNCTION("""COMPUTED_VALUE"""),"")</f>
        <v/>
      </c>
      <c r="V78" s="327" t="str">
        <f>IFERROR(__xludf.DUMMYFUNCTION("""COMPUTED_VALUE"""),"")</f>
        <v/>
      </c>
      <c r="W78" s="332" t="str">
        <f>IFERROR(__xludf.DUMMYFUNCTION("""COMPUTED_VALUE"""),"")</f>
        <v/>
      </c>
      <c r="X78" s="333" t="str">
        <f>IFERROR(__xludf.DUMMYFUNCTION("""COMPUTED_VALUE"""),"AP")</f>
        <v>AP</v>
      </c>
      <c r="Y78" s="332">
        <f>IFERROR(__xludf.DUMMYFUNCTION("""COMPUTED_VALUE"""),0.0)</f>
        <v>0</v>
      </c>
      <c r="Z78" s="334" t="str">
        <f>IFERROR(__xludf.DUMMYFUNCTION("""COMPUTED_VALUE"""),"%")</f>
        <v>%</v>
      </c>
      <c r="AA78" s="335">
        <f>IFERROR(__xludf.DUMMYFUNCTION("""COMPUTED_VALUE"""),3.0)</f>
        <v>3</v>
      </c>
      <c r="AB78" s="332" t="str">
        <f>IFERROR(__xludf.DUMMYFUNCTION("""COMPUTED_VALUE"""),"")</f>
        <v/>
      </c>
      <c r="AC78" s="327" t="str">
        <f>IFERROR(__xludf.DUMMYFUNCTION("""COMPUTED_VALUE"""),"")</f>
        <v/>
      </c>
      <c r="AD78" s="332" t="str">
        <f>IFERROR(__xludf.DUMMYFUNCTION("""COMPUTED_VALUE"""),"")</f>
        <v/>
      </c>
      <c r="AE78" s="333" t="str">
        <f>IFERROR(__xludf.DUMMYFUNCTION("""COMPUTED_VALUE"""),"AP")</f>
        <v>AP</v>
      </c>
      <c r="AF78" s="332">
        <f>IFERROR(__xludf.DUMMYFUNCTION("""COMPUTED_VALUE"""),0.0)</f>
        <v>0</v>
      </c>
      <c r="AG78" s="334" t="str">
        <f>IFERROR(__xludf.DUMMYFUNCTION("""COMPUTED_VALUE"""),"%")</f>
        <v>%</v>
      </c>
      <c r="AH78" s="330" t="str">
        <f>IFERROR(__xludf.DUMMYFUNCTION("""COMPUTED_VALUE"""),"")</f>
        <v/>
      </c>
      <c r="AI78" s="331" t="str">
        <f>IFERROR(__xludf.DUMMYFUNCTION("""COMPUTED_VALUE"""),"")</f>
        <v/>
      </c>
      <c r="AJ78" s="329" t="str">
        <f>IFERROR(__xludf.DUMMYFUNCTION("""COMPUTED_VALUE"""),"")</f>
        <v/>
      </c>
    </row>
    <row r="79" ht="24.75" customHeight="1">
      <c r="A79" s="319">
        <f>IFERROR(__xludf.DUMMYFUNCTION("""COMPUTED_VALUE"""),5.0)</f>
        <v>5</v>
      </c>
      <c r="B79" s="319" t="str">
        <f>IFERROR(__xludf.DUMMYFUNCTION("""COMPUTED_VALUE"""),"A109")</f>
        <v>A109</v>
      </c>
      <c r="C79" s="319" t="str">
        <f>IFERROR(__xludf.DUMMYFUNCTION("""COMPUTED_VALUE"""),"")</f>
        <v/>
      </c>
      <c r="D79" s="320" t="str">
        <f>IFERROR(__xludf.DUMMYFUNCTION("""COMPUTED_VALUE"""),"")</f>
        <v/>
      </c>
      <c r="E79" s="321" t="str">
        <f>IFERROR(__xludf.DUMMYFUNCTION("""COMPUTED_VALUE"""),"")</f>
        <v/>
      </c>
      <c r="F79" s="322" t="str">
        <f>IFERROR(__xludf.DUMMYFUNCTION("""COMPUTED_VALUE"""),"")</f>
        <v/>
      </c>
      <c r="G79" s="322" t="str">
        <f>IFERROR(__xludf.DUMMYFUNCTION("""COMPUTED_VALUE"""),"")</f>
        <v/>
      </c>
      <c r="H79" s="323" t="str">
        <f>IFERROR(__xludf.DUMMYFUNCTION("""COMPUTED_VALUE""")," ")</f>
        <v> </v>
      </c>
      <c r="I79" s="324" t="str">
        <f>IFERROR(__xludf.DUMMYFUNCTION("""COMPUTED_VALUE"""),"")</f>
        <v/>
      </c>
      <c r="J79" s="325" t="str">
        <f>IFERROR(__xludf.DUMMYFUNCTION("""COMPUTED_VALUE"""),"AP")</f>
        <v>AP</v>
      </c>
      <c r="K79" s="324">
        <f>IFERROR(__xludf.DUMMYFUNCTION("""COMPUTED_VALUE"""),0.0)</f>
        <v>0</v>
      </c>
      <c r="L79" s="325" t="str">
        <f>IFERROR(__xludf.DUMMYFUNCTION("""COMPUTED_VALUE"""),"%")</f>
        <v>%</v>
      </c>
      <c r="M79" s="326">
        <f>IFERROR(__xludf.DUMMYFUNCTION("""COMPUTED_VALUE"""),1.0)</f>
        <v>1</v>
      </c>
      <c r="N79" s="324" t="str">
        <f>IFERROR(__xludf.DUMMYFUNCTION("""COMPUTED_VALUE"""),"")</f>
        <v/>
      </c>
      <c r="O79" s="327" t="str">
        <f>IFERROR(__xludf.DUMMYFUNCTION("""COMPUTED_VALUE"""),"")</f>
        <v/>
      </c>
      <c r="P79" s="324" t="str">
        <f>IFERROR(__xludf.DUMMYFUNCTION("""COMPUTED_VALUE"""),"")</f>
        <v/>
      </c>
      <c r="Q79" s="325" t="str">
        <f>IFERROR(__xludf.DUMMYFUNCTION("""COMPUTED_VALUE"""),"AP")</f>
        <v>AP</v>
      </c>
      <c r="R79" s="324">
        <f>IFERROR(__xludf.DUMMYFUNCTION("""COMPUTED_VALUE"""),0.0)</f>
        <v>0</v>
      </c>
      <c r="S79" s="325" t="str">
        <f>IFERROR(__xludf.DUMMYFUNCTION("""COMPUTED_VALUE"""),"%")</f>
        <v>%</v>
      </c>
      <c r="T79" s="326">
        <f>IFERROR(__xludf.DUMMYFUNCTION("""COMPUTED_VALUE"""),2.0)</f>
        <v>2</v>
      </c>
      <c r="U79" s="324" t="str">
        <f>IFERROR(__xludf.DUMMYFUNCTION("""COMPUTED_VALUE"""),"")</f>
        <v/>
      </c>
      <c r="V79" s="327" t="str">
        <f>IFERROR(__xludf.DUMMYFUNCTION("""COMPUTED_VALUE"""),"")</f>
        <v/>
      </c>
      <c r="W79" s="324" t="str">
        <f>IFERROR(__xludf.DUMMYFUNCTION("""COMPUTED_VALUE"""),"")</f>
        <v/>
      </c>
      <c r="X79" s="325" t="str">
        <f>IFERROR(__xludf.DUMMYFUNCTION("""COMPUTED_VALUE"""),"AP")</f>
        <v>AP</v>
      </c>
      <c r="Y79" s="324">
        <f>IFERROR(__xludf.DUMMYFUNCTION("""COMPUTED_VALUE"""),0.0)</f>
        <v>0</v>
      </c>
      <c r="Z79" s="325" t="str">
        <f>IFERROR(__xludf.DUMMYFUNCTION("""COMPUTED_VALUE"""),"%")</f>
        <v>%</v>
      </c>
      <c r="AA79" s="326">
        <f>IFERROR(__xludf.DUMMYFUNCTION("""COMPUTED_VALUE"""),3.0)</f>
        <v>3</v>
      </c>
      <c r="AB79" s="324" t="str">
        <f>IFERROR(__xludf.DUMMYFUNCTION("""COMPUTED_VALUE"""),"")</f>
        <v/>
      </c>
      <c r="AC79" s="327" t="str">
        <f>IFERROR(__xludf.DUMMYFUNCTION("""COMPUTED_VALUE"""),"")</f>
        <v/>
      </c>
      <c r="AD79" s="324" t="str">
        <f>IFERROR(__xludf.DUMMYFUNCTION("""COMPUTED_VALUE"""),"")</f>
        <v/>
      </c>
      <c r="AE79" s="325" t="str">
        <f>IFERROR(__xludf.DUMMYFUNCTION("""COMPUTED_VALUE"""),"AP")</f>
        <v>AP</v>
      </c>
      <c r="AF79" s="324">
        <f>IFERROR(__xludf.DUMMYFUNCTION("""COMPUTED_VALUE"""),0.0)</f>
        <v>0</v>
      </c>
      <c r="AG79" s="325" t="str">
        <f>IFERROR(__xludf.DUMMYFUNCTION("""COMPUTED_VALUE"""),"%")</f>
        <v>%</v>
      </c>
      <c r="AH79" s="321" t="str">
        <f>IFERROR(__xludf.DUMMYFUNCTION("""COMPUTED_VALUE"""),"")</f>
        <v/>
      </c>
      <c r="AI79" s="322" t="str">
        <f>IFERROR(__xludf.DUMMYFUNCTION("""COMPUTED_VALUE"""),"")</f>
        <v/>
      </c>
      <c r="AJ79" s="320" t="str">
        <f>IFERROR(__xludf.DUMMYFUNCTION("""COMPUTED_VALUE"""),"")</f>
        <v/>
      </c>
    </row>
    <row r="80">
      <c r="A80" s="336" t="str">
        <f>IFERROR(__xludf.DUMMYFUNCTION("""COMPUTED_VALUE"""),"")</f>
        <v/>
      </c>
      <c r="B80" s="337" t="str">
        <f>IFERROR(__xludf.DUMMYFUNCTION("""COMPUTED_VALUE"""),"")</f>
        <v/>
      </c>
      <c r="C80" s="338" t="str">
        <f>IFERROR(__xludf.DUMMYFUNCTION("""COMPUTED_VALUE"""),"")</f>
        <v/>
      </c>
      <c r="D80" s="339" t="str">
        <f>IFERROR(__xludf.DUMMYFUNCTION("""COMPUTED_VALUE"""),"")</f>
        <v/>
      </c>
      <c r="E80" s="337" t="str">
        <f>IFERROR(__xludf.DUMMYFUNCTION("""COMPUTED_VALUE"""),"")</f>
        <v/>
      </c>
      <c r="F80" s="337" t="str">
        <f>IFERROR(__xludf.DUMMYFUNCTION("""COMPUTED_VALUE"""),"")</f>
        <v/>
      </c>
      <c r="G80" s="337" t="str">
        <f>IFERROR(__xludf.DUMMYFUNCTION("""COMPUTED_VALUE"""),"")</f>
        <v/>
      </c>
      <c r="H80" s="337" t="str">
        <f>IFERROR(__xludf.DUMMYFUNCTION("""COMPUTED_VALUE"""),"")</f>
        <v/>
      </c>
      <c r="I80" s="337" t="str">
        <f>IFERROR(__xludf.DUMMYFUNCTION("""COMPUTED_VALUE"""),"")</f>
        <v/>
      </c>
      <c r="J80" s="341" t="str">
        <f>IFERROR(__xludf.DUMMYFUNCTION("""COMPUTED_VALUE"""),"")</f>
        <v/>
      </c>
      <c r="K80" s="337" t="str">
        <f>IFERROR(__xludf.DUMMYFUNCTION("""COMPUTED_VALUE"""),"")</f>
        <v/>
      </c>
      <c r="L80" s="341" t="str">
        <f>IFERROR(__xludf.DUMMYFUNCTION("""COMPUTED_VALUE"""),"")</f>
        <v/>
      </c>
      <c r="M80" s="337" t="str">
        <f>IFERROR(__xludf.DUMMYFUNCTION("""COMPUTED_VALUE"""),"")</f>
        <v/>
      </c>
      <c r="N80" s="337" t="str">
        <f>IFERROR(__xludf.DUMMYFUNCTION("""COMPUTED_VALUE"""),"")</f>
        <v/>
      </c>
      <c r="O80" s="337" t="str">
        <f>IFERROR(__xludf.DUMMYFUNCTION("""COMPUTED_VALUE"""),"")</f>
        <v/>
      </c>
      <c r="P80" s="337" t="str">
        <f>IFERROR(__xludf.DUMMYFUNCTION("""COMPUTED_VALUE"""),"")</f>
        <v/>
      </c>
      <c r="Q80" s="341" t="str">
        <f>IFERROR(__xludf.DUMMYFUNCTION("""COMPUTED_VALUE"""),"")</f>
        <v/>
      </c>
      <c r="R80" s="337" t="str">
        <f>IFERROR(__xludf.DUMMYFUNCTION("""COMPUTED_VALUE"""),"")</f>
        <v/>
      </c>
      <c r="S80" s="341" t="str">
        <f>IFERROR(__xludf.DUMMYFUNCTION("""COMPUTED_VALUE"""),"")</f>
        <v/>
      </c>
      <c r="T80" s="337" t="str">
        <f>IFERROR(__xludf.DUMMYFUNCTION("""COMPUTED_VALUE"""),"")</f>
        <v/>
      </c>
      <c r="U80" s="337" t="str">
        <f>IFERROR(__xludf.DUMMYFUNCTION("""COMPUTED_VALUE"""),"")</f>
        <v/>
      </c>
      <c r="V80" s="337" t="str">
        <f>IFERROR(__xludf.DUMMYFUNCTION("""COMPUTED_VALUE"""),"")</f>
        <v/>
      </c>
      <c r="W80" s="337" t="str">
        <f>IFERROR(__xludf.DUMMYFUNCTION("""COMPUTED_VALUE"""),"")</f>
        <v/>
      </c>
      <c r="X80" s="341" t="str">
        <f>IFERROR(__xludf.DUMMYFUNCTION("""COMPUTED_VALUE"""),"")</f>
        <v/>
      </c>
      <c r="Y80" s="337" t="str">
        <f>IFERROR(__xludf.DUMMYFUNCTION("""COMPUTED_VALUE"""),"")</f>
        <v/>
      </c>
      <c r="Z80" s="341" t="str">
        <f>IFERROR(__xludf.DUMMYFUNCTION("""COMPUTED_VALUE"""),"")</f>
        <v/>
      </c>
      <c r="AA80" s="337" t="str">
        <f>IFERROR(__xludf.DUMMYFUNCTION("""COMPUTED_VALUE"""),"")</f>
        <v/>
      </c>
      <c r="AB80" s="337" t="str">
        <f>IFERROR(__xludf.DUMMYFUNCTION("""COMPUTED_VALUE"""),"")</f>
        <v/>
      </c>
      <c r="AC80" s="337" t="str">
        <f>IFERROR(__xludf.DUMMYFUNCTION("""COMPUTED_VALUE"""),"")</f>
        <v/>
      </c>
      <c r="AD80" s="337" t="str">
        <f>IFERROR(__xludf.DUMMYFUNCTION("""COMPUTED_VALUE"""),"")</f>
        <v/>
      </c>
      <c r="AE80" s="341" t="str">
        <f>IFERROR(__xludf.DUMMYFUNCTION("""COMPUTED_VALUE"""),"")</f>
        <v/>
      </c>
      <c r="AF80" s="337" t="str">
        <f>IFERROR(__xludf.DUMMYFUNCTION("""COMPUTED_VALUE"""),"")</f>
        <v/>
      </c>
      <c r="AG80" s="341" t="str">
        <f>IFERROR(__xludf.DUMMYFUNCTION("""COMPUTED_VALUE"""),"")</f>
        <v/>
      </c>
      <c r="AH80" s="337" t="str">
        <f>IFERROR(__xludf.DUMMYFUNCTION("""COMPUTED_VALUE"""),"")</f>
        <v/>
      </c>
      <c r="AI80" s="337" t="str">
        <f>IFERROR(__xludf.DUMMYFUNCTION("""COMPUTED_VALUE"""),"")</f>
        <v/>
      </c>
      <c r="AJ80" s="342" t="str">
        <f>IFERROR(__xludf.DUMMYFUNCTION("""COMPUTED_VALUE"""),"")</f>
        <v/>
      </c>
    </row>
    <row r="81">
      <c r="A81" s="343" t="str">
        <f>IFERROR(__xludf.DUMMYFUNCTION("""COMPUTED_VALUE"""),"")</f>
        <v/>
      </c>
      <c r="B81" s="344" t="str">
        <f>IFERROR(__xludf.DUMMYFUNCTION("""COMPUTED_VALUE"""),"")</f>
        <v/>
      </c>
      <c r="C81" s="345" t="str">
        <f>IFERROR(__xludf.DUMMYFUNCTION("""COMPUTED_VALUE"""),"")</f>
        <v/>
      </c>
      <c r="D81" s="346" t="str">
        <f>IFERROR(__xludf.DUMMYFUNCTION("""COMPUTED_VALUE"""),"")</f>
        <v/>
      </c>
      <c r="E81" s="344" t="str">
        <f>IFERROR(__xludf.DUMMYFUNCTION("""COMPUTED_VALUE"""),"")</f>
        <v/>
      </c>
      <c r="F81" s="344" t="str">
        <f>IFERROR(__xludf.DUMMYFUNCTION("""COMPUTED_VALUE"""),"")</f>
        <v/>
      </c>
      <c r="G81" s="344" t="str">
        <f>IFERROR(__xludf.DUMMYFUNCTION("""COMPUTED_VALUE"""),"")</f>
        <v/>
      </c>
      <c r="H81" s="344" t="str">
        <f>IFERROR(__xludf.DUMMYFUNCTION("""COMPUTED_VALUE"""),"")</f>
        <v/>
      </c>
      <c r="I81" s="344" t="str">
        <f>IFERROR(__xludf.DUMMYFUNCTION("""COMPUTED_VALUE"""),"")</f>
        <v/>
      </c>
      <c r="J81" s="347" t="str">
        <f>IFERROR(__xludf.DUMMYFUNCTION("""COMPUTED_VALUE"""),"")</f>
        <v/>
      </c>
      <c r="K81" s="344" t="str">
        <f>IFERROR(__xludf.DUMMYFUNCTION("""COMPUTED_VALUE"""),"")</f>
        <v/>
      </c>
      <c r="L81" s="347" t="str">
        <f>IFERROR(__xludf.DUMMYFUNCTION("""COMPUTED_VALUE"""),"")</f>
        <v/>
      </c>
      <c r="M81" s="344" t="str">
        <f>IFERROR(__xludf.DUMMYFUNCTION("""COMPUTED_VALUE"""),"")</f>
        <v/>
      </c>
      <c r="N81" s="344" t="str">
        <f>IFERROR(__xludf.DUMMYFUNCTION("""COMPUTED_VALUE"""),"")</f>
        <v/>
      </c>
      <c r="O81" s="344" t="str">
        <f>IFERROR(__xludf.DUMMYFUNCTION("""COMPUTED_VALUE"""),"")</f>
        <v/>
      </c>
      <c r="P81" s="344" t="str">
        <f>IFERROR(__xludf.DUMMYFUNCTION("""COMPUTED_VALUE"""),"")</f>
        <v/>
      </c>
      <c r="Q81" s="347" t="str">
        <f>IFERROR(__xludf.DUMMYFUNCTION("""COMPUTED_VALUE"""),"")</f>
        <v/>
      </c>
      <c r="R81" s="344" t="str">
        <f>IFERROR(__xludf.DUMMYFUNCTION("""COMPUTED_VALUE"""),"")</f>
        <v/>
      </c>
      <c r="S81" s="347" t="str">
        <f>IFERROR(__xludf.DUMMYFUNCTION("""COMPUTED_VALUE"""),"")</f>
        <v/>
      </c>
      <c r="T81" s="344" t="str">
        <f>IFERROR(__xludf.DUMMYFUNCTION("""COMPUTED_VALUE"""),"")</f>
        <v/>
      </c>
      <c r="U81" s="344" t="str">
        <f>IFERROR(__xludf.DUMMYFUNCTION("""COMPUTED_VALUE"""),"")</f>
        <v/>
      </c>
      <c r="V81" s="344" t="str">
        <f>IFERROR(__xludf.DUMMYFUNCTION("""COMPUTED_VALUE"""),"")</f>
        <v/>
      </c>
      <c r="W81" s="344" t="str">
        <f>IFERROR(__xludf.DUMMYFUNCTION("""COMPUTED_VALUE"""),"")</f>
        <v/>
      </c>
      <c r="X81" s="347" t="str">
        <f>IFERROR(__xludf.DUMMYFUNCTION("""COMPUTED_VALUE"""),"")</f>
        <v/>
      </c>
      <c r="Y81" s="344" t="str">
        <f>IFERROR(__xludf.DUMMYFUNCTION("""COMPUTED_VALUE"""),"")</f>
        <v/>
      </c>
      <c r="Z81" s="347" t="str">
        <f>IFERROR(__xludf.DUMMYFUNCTION("""COMPUTED_VALUE"""),"")</f>
        <v/>
      </c>
      <c r="AA81" s="344" t="str">
        <f>IFERROR(__xludf.DUMMYFUNCTION("""COMPUTED_VALUE"""),"")</f>
        <v/>
      </c>
      <c r="AB81" s="344" t="str">
        <f>IFERROR(__xludf.DUMMYFUNCTION("""COMPUTED_VALUE"""),"")</f>
        <v/>
      </c>
      <c r="AC81" s="344" t="str">
        <f>IFERROR(__xludf.DUMMYFUNCTION("""COMPUTED_VALUE"""),"")</f>
        <v/>
      </c>
      <c r="AD81" s="344" t="str">
        <f>IFERROR(__xludf.DUMMYFUNCTION("""COMPUTED_VALUE"""),"")</f>
        <v/>
      </c>
      <c r="AE81" s="347" t="str">
        <f>IFERROR(__xludf.DUMMYFUNCTION("""COMPUTED_VALUE"""),"")</f>
        <v/>
      </c>
      <c r="AF81" s="344" t="str">
        <f>IFERROR(__xludf.DUMMYFUNCTION("""COMPUTED_VALUE"""),"")</f>
        <v/>
      </c>
      <c r="AG81" s="347" t="str">
        <f>IFERROR(__xludf.DUMMYFUNCTION("""COMPUTED_VALUE"""),"")</f>
        <v/>
      </c>
      <c r="AH81" s="344" t="str">
        <f>IFERROR(__xludf.DUMMYFUNCTION("""COMPUTED_VALUE"""),"")</f>
        <v/>
      </c>
      <c r="AI81" s="344" t="str">
        <f>IFERROR(__xludf.DUMMYFUNCTION("""COMPUTED_VALUE"""),"")</f>
        <v/>
      </c>
      <c r="AJ81" s="348" t="str">
        <f>IFERROR(__xludf.DUMMYFUNCTION("""COMPUTED_VALUE"""),"")</f>
        <v/>
      </c>
    </row>
    <row r="82" ht="16.5" customHeight="1">
      <c r="A82" s="349">
        <f>IFERROR(__xludf.DUMMYFUNCTION("""COMPUTED_VALUE"""),10.0)</f>
        <v>10</v>
      </c>
      <c r="B82" s="313" t="str">
        <f>IFERROR(__xludf.DUMMYFUNCTION("""COMPUTED_VALUE"""),"A110")</f>
        <v>A110</v>
      </c>
      <c r="C82" s="314" t="str">
        <f>IFERROR(__xludf.DUMMYFUNCTION("""COMPUTED_VALUE"""),"")</f>
        <v/>
      </c>
      <c r="D82" s="350" t="str">
        <f>IFERROR(__xludf.DUMMYFUNCTION("""COMPUTED_VALUE"""),"Primordial Lanugo")</f>
        <v>Primordial Lanugo</v>
      </c>
      <c r="E82" s="351" t="str">
        <f>IFERROR(__xludf.DUMMYFUNCTION("""COMPUTED_VALUE"""),"AP")</f>
        <v>AP</v>
      </c>
      <c r="F82" s="351" t="str">
        <f>IFERROR(__xludf.DUMMYFUNCTION("""COMPUTED_VALUE"""),"Runs")</f>
        <v>Runs</v>
      </c>
      <c r="G82" s="316" t="str">
        <f>IFERROR(__xludf.DUMMYFUNCTION("""COMPUTED_VALUE"""),"Status")</f>
        <v>Status</v>
      </c>
      <c r="H82" s="351" t="str">
        <f>IFERROR(__xludf.DUMMYFUNCTION("""COMPUTED_VALUE"""),"Mat")</f>
        <v>Mat</v>
      </c>
      <c r="I82" s="351" t="str">
        <f>IFERROR(__xludf.DUMMYFUNCTION("""COMPUTED_VALUE"""),"AP/Drop")</f>
        <v>AP/Drop</v>
      </c>
      <c r="J82" s="351" t="str">
        <f>IFERROR(__xludf.DUMMYFUNCTION("""COMPUTED_VALUE"""),"")</f>
        <v/>
      </c>
      <c r="K82" s="351" t="str">
        <f>IFERROR(__xludf.DUMMYFUNCTION("""COMPUTED_VALUE"""),"Droprate")</f>
        <v>Droprate</v>
      </c>
      <c r="L82" s="351" t="str">
        <f>IFERROR(__xludf.DUMMYFUNCTION("""COMPUTED_VALUE"""),"")</f>
        <v/>
      </c>
      <c r="M82" s="351" t="str">
        <f>IFERROR(__xludf.DUMMYFUNCTION("""COMPUTED_VALUE"""),"#2")</f>
        <v>#2</v>
      </c>
      <c r="N82" s="351" t="str">
        <f>IFERROR(__xludf.DUMMYFUNCTION("""COMPUTED_VALUE"""),"Item 2 ID")</f>
        <v>Item 2 ID</v>
      </c>
      <c r="O82" s="351" t="str">
        <f>IFERROR(__xludf.DUMMYFUNCTION("""COMPUTED_VALUE"""),"Mat")</f>
        <v>Mat</v>
      </c>
      <c r="P82" s="351" t="str">
        <f>IFERROR(__xludf.DUMMYFUNCTION("""COMPUTED_VALUE"""),"AP/Drop")</f>
        <v>AP/Drop</v>
      </c>
      <c r="Q82" s="351" t="str">
        <f>IFERROR(__xludf.DUMMYFUNCTION("""COMPUTED_VALUE"""),"")</f>
        <v/>
      </c>
      <c r="R82" s="351" t="str">
        <f>IFERROR(__xludf.DUMMYFUNCTION("""COMPUTED_VALUE"""),"Droprate")</f>
        <v>Droprate</v>
      </c>
      <c r="S82" s="351" t="str">
        <f>IFERROR(__xludf.DUMMYFUNCTION("""COMPUTED_VALUE"""),"")</f>
        <v/>
      </c>
      <c r="T82" s="351" t="str">
        <f>IFERROR(__xludf.DUMMYFUNCTION("""COMPUTED_VALUE"""),"#3")</f>
        <v>#3</v>
      </c>
      <c r="U82" s="351" t="str">
        <f>IFERROR(__xludf.DUMMYFUNCTION("""COMPUTED_VALUE"""),"Item 2 ID")</f>
        <v>Item 2 ID</v>
      </c>
      <c r="V82" s="351" t="str">
        <f>IFERROR(__xludf.DUMMYFUNCTION("""COMPUTED_VALUE"""),"Mat")</f>
        <v>Mat</v>
      </c>
      <c r="W82" s="351" t="str">
        <f>IFERROR(__xludf.DUMMYFUNCTION("""COMPUTED_VALUE"""),"AP/Drop")</f>
        <v>AP/Drop</v>
      </c>
      <c r="X82" s="351" t="str">
        <f>IFERROR(__xludf.DUMMYFUNCTION("""COMPUTED_VALUE"""),"")</f>
        <v/>
      </c>
      <c r="Y82" s="351" t="str">
        <f>IFERROR(__xludf.DUMMYFUNCTION("""COMPUTED_VALUE"""),"Droprate")</f>
        <v>Droprate</v>
      </c>
      <c r="Z82" s="351" t="str">
        <f>IFERROR(__xludf.DUMMYFUNCTION("""COMPUTED_VALUE"""),"")</f>
        <v/>
      </c>
      <c r="AA82" s="351" t="str">
        <f>IFERROR(__xludf.DUMMYFUNCTION("""COMPUTED_VALUE"""),"#4")</f>
        <v>#4</v>
      </c>
      <c r="AB82" s="351" t="str">
        <f>IFERROR(__xludf.DUMMYFUNCTION("""COMPUTED_VALUE"""),"Item 3 ID")</f>
        <v>Item 3 ID</v>
      </c>
      <c r="AC82" s="351" t="str">
        <f>IFERROR(__xludf.DUMMYFUNCTION("""COMPUTED_VALUE"""),"Mat")</f>
        <v>Mat</v>
      </c>
      <c r="AD82" s="351" t="str">
        <f>IFERROR(__xludf.DUMMYFUNCTION("""COMPUTED_VALUE"""),"AP/Drop")</f>
        <v>AP/Drop</v>
      </c>
      <c r="AE82" s="351" t="str">
        <f>IFERROR(__xludf.DUMMYFUNCTION("""COMPUTED_VALUE"""),"")</f>
        <v/>
      </c>
      <c r="AF82" s="351" t="str">
        <f>IFERROR(__xludf.DUMMYFUNCTION("""COMPUTED_VALUE"""),"Droprate")</f>
        <v>Droprate</v>
      </c>
      <c r="AG82" s="351" t="str">
        <f>IFERROR(__xludf.DUMMYFUNCTION("""COMPUTED_VALUE"""),"")</f>
        <v/>
      </c>
      <c r="AH82" s="351" t="str">
        <f>IFERROR(__xludf.DUMMYFUNCTION("""COMPUTED_VALUE"""),"AP")</f>
        <v>AP</v>
      </c>
      <c r="AI82" s="351" t="str">
        <f>IFERROR(__xludf.DUMMYFUNCTION("""COMPUTED_VALUE"""),"Runs")</f>
        <v>Runs</v>
      </c>
      <c r="AJ82" s="351" t="str">
        <f>IFERROR(__xludf.DUMMYFUNCTION("""COMPUTED_VALUE"""),"Node Name")</f>
        <v>Node Name</v>
      </c>
    </row>
    <row r="83" ht="16.5" customHeight="1">
      <c r="D83" s="317" t="str">
        <f>IFERROR(__xludf.DUMMYFUNCTION("""COMPUTED_VALUE"""),"#N/A")</f>
        <v>#N/A</v>
      </c>
      <c r="E83" s="318"/>
      <c r="F83" s="318"/>
      <c r="G83" s="318"/>
      <c r="H83" s="318"/>
      <c r="I83" s="318"/>
      <c r="J83" s="318"/>
      <c r="K83" s="318"/>
      <c r="L83" s="318"/>
      <c r="M83" s="318"/>
      <c r="N83" s="318"/>
      <c r="O83" s="318"/>
      <c r="P83" s="318"/>
      <c r="Q83" s="318"/>
      <c r="R83" s="318"/>
      <c r="S83" s="318"/>
      <c r="T83" s="318"/>
      <c r="U83" s="318"/>
      <c r="V83" s="318"/>
      <c r="W83" s="318"/>
      <c r="X83" s="318"/>
      <c r="Y83" s="318"/>
      <c r="Z83" s="318"/>
      <c r="AA83" s="318"/>
      <c r="AB83" s="318"/>
      <c r="AC83" s="318"/>
      <c r="AD83" s="318"/>
      <c r="AE83" s="318"/>
      <c r="AF83" s="318"/>
      <c r="AG83" s="318"/>
      <c r="AH83" s="318"/>
      <c r="AI83" s="318"/>
      <c r="AJ83" s="318"/>
    </row>
    <row r="84" ht="24.75" customHeight="1">
      <c r="A84" s="319">
        <f>IFERROR(__xludf.DUMMYFUNCTION("""COMPUTED_VALUE"""),1.0)</f>
        <v>1</v>
      </c>
      <c r="B84" s="319" t="str">
        <f>IFERROR(__xludf.DUMMYFUNCTION("""COMPUTED_VALUE"""),"A110")</f>
        <v>A110</v>
      </c>
      <c r="C84" s="319">
        <f>IFERROR(__xludf.DUMMYFUNCTION("""COMPUTED_VALUE"""),9.0)</f>
        <v>9</v>
      </c>
      <c r="D84" s="320" t="str">
        <f>IFERROR(__xludf.DUMMYFUNCTION("""COMPUTED_VALUE"""),"Burial Chamber")</f>
        <v>Burial Chamber</v>
      </c>
      <c r="E84" s="321">
        <f>IFERROR(__xludf.DUMMYFUNCTION("""COMPUTED_VALUE"""),40.0)</f>
        <v>40</v>
      </c>
      <c r="F84" s="322">
        <f>IFERROR(__xludf.DUMMYFUNCTION("""COMPUTED_VALUE"""),108.0)</f>
        <v>108</v>
      </c>
      <c r="G84" s="322" t="str">
        <f>IFERROR(__xludf.DUMMYFUNCTION("""COMPUTED_VALUE"""),"Open")</f>
        <v>Open</v>
      </c>
      <c r="H84" s="323" t="str">
        <f>IFERROR(__xludf.DUMMYFUNCTION("""COMPUTED_VALUE"""),"")</f>
        <v/>
      </c>
      <c r="I84" s="324">
        <f>IFERROR(__xludf.DUMMYFUNCTION("""COMPUTED_VALUE"""),196.36363636363637)</f>
        <v>196.3636364</v>
      </c>
      <c r="J84" s="325" t="str">
        <f>IFERROR(__xludf.DUMMYFUNCTION("""COMPUTED_VALUE"""),"AP")</f>
        <v>AP</v>
      </c>
      <c r="K84" s="324">
        <f>IFERROR(__xludf.DUMMYFUNCTION("""COMPUTED_VALUE"""),20.37037037037037)</f>
        <v>20.37037037</v>
      </c>
      <c r="L84" s="325" t="str">
        <f>IFERROR(__xludf.DUMMYFUNCTION("""COMPUTED_VALUE"""),"%")</f>
        <v>%</v>
      </c>
      <c r="M84" s="326">
        <f>IFERROR(__xludf.DUMMYFUNCTION("""COMPUTED_VALUE"""),1.0)</f>
        <v>1</v>
      </c>
      <c r="N84" s="324" t="str">
        <f>IFERROR(__xludf.DUMMYFUNCTION("""COMPUTED_VALUE"""),"A303")</f>
        <v>A303</v>
      </c>
      <c r="O84" s="327" t="str">
        <f>IFERROR(__xludf.DUMMYFUNCTION("""COMPUTED_VALUE"""),"")</f>
        <v/>
      </c>
      <c r="P84" s="324">
        <f>IFERROR(__xludf.DUMMYFUNCTION("""COMPUTED_VALUE"""),46.4516129032258)</f>
        <v>46.4516129</v>
      </c>
      <c r="Q84" s="325" t="str">
        <f>IFERROR(__xludf.DUMMYFUNCTION("""COMPUTED_VALUE"""),"AP")</f>
        <v>AP</v>
      </c>
      <c r="R84" s="324">
        <f>IFERROR(__xludf.DUMMYFUNCTION("""COMPUTED_VALUE"""),86.11111111111111)</f>
        <v>86.11111111</v>
      </c>
      <c r="S84" s="325" t="str">
        <f>IFERROR(__xludf.DUMMYFUNCTION("""COMPUTED_VALUE"""),"%")</f>
        <v>%</v>
      </c>
      <c r="T84" s="326">
        <f>IFERROR(__xludf.DUMMYFUNCTION("""COMPUTED_VALUE"""),2.0)</f>
        <v>2</v>
      </c>
      <c r="U84" s="324" t="str">
        <f>IFERROR(__xludf.DUMMYFUNCTION("""COMPUTED_VALUE"""),"B104")</f>
        <v>B104</v>
      </c>
      <c r="V84" s="327" t="str">
        <f>IFERROR(__xludf.DUMMYFUNCTION("""COMPUTED_VALUE"""),"")</f>
        <v/>
      </c>
      <c r="W84" s="324">
        <f>IFERROR(__xludf.DUMMYFUNCTION("""COMPUTED_VALUE"""),254.1176470588235)</f>
        <v>254.1176471</v>
      </c>
      <c r="X84" s="325" t="str">
        <f>IFERROR(__xludf.DUMMYFUNCTION("""COMPUTED_VALUE"""),"AP")</f>
        <v>AP</v>
      </c>
      <c r="Y84" s="324">
        <f>IFERROR(__xludf.DUMMYFUNCTION("""COMPUTED_VALUE"""),15.74074074074074)</f>
        <v>15.74074074</v>
      </c>
      <c r="Z84" s="325" t="str">
        <f>IFERROR(__xludf.DUMMYFUNCTION("""COMPUTED_VALUE"""),"%")</f>
        <v>%</v>
      </c>
      <c r="AA84" s="326">
        <f>IFERROR(__xludf.DUMMYFUNCTION("""COMPUTED_VALUE"""),3.0)</f>
        <v>3</v>
      </c>
      <c r="AB84" s="324" t="str">
        <f>IFERROR(__xludf.DUMMYFUNCTION("""COMPUTED_VALUE"""),"")</f>
        <v/>
      </c>
      <c r="AC84" s="327" t="str">
        <f>IFERROR(__xludf.DUMMYFUNCTION("""COMPUTED_VALUE"""),"")</f>
        <v/>
      </c>
      <c r="AD84" s="324" t="str">
        <f>IFERROR(__xludf.DUMMYFUNCTION("""COMPUTED_VALUE"""),"")</f>
        <v/>
      </c>
      <c r="AE84" s="325" t="str">
        <f>IFERROR(__xludf.DUMMYFUNCTION("""COMPUTED_VALUE"""),"AP")</f>
        <v>AP</v>
      </c>
      <c r="AF84" s="324">
        <f>IFERROR(__xludf.DUMMYFUNCTION("""COMPUTED_VALUE"""),0.0)</f>
        <v>0</v>
      </c>
      <c r="AG84" s="325" t="str">
        <f>IFERROR(__xludf.DUMMYFUNCTION("""COMPUTED_VALUE"""),"%")</f>
        <v>%</v>
      </c>
      <c r="AH84" s="321">
        <f>IFERROR(__xludf.DUMMYFUNCTION("""COMPUTED_VALUE"""),40.0)</f>
        <v>40</v>
      </c>
      <c r="AI84" s="322">
        <f>IFERROR(__xludf.DUMMYFUNCTION("""COMPUTED_VALUE"""),108.0)</f>
        <v>108</v>
      </c>
      <c r="AJ84" s="320" t="str">
        <f>IFERROR(__xludf.DUMMYFUNCTION("""COMPUTED_VALUE"""),"Burial Chamber")</f>
        <v>Burial Chamber</v>
      </c>
    </row>
    <row r="85" ht="24.75" customHeight="1">
      <c r="A85" s="328">
        <f>IFERROR(__xludf.DUMMYFUNCTION("""COMPUTED_VALUE"""),2.0)</f>
        <v>2</v>
      </c>
      <c r="B85" s="328" t="str">
        <f>IFERROR(__xludf.DUMMYFUNCTION("""COMPUTED_VALUE"""),"A110")</f>
        <v>A110</v>
      </c>
      <c r="C85" s="328" t="str">
        <f>IFERROR(__xludf.DUMMYFUNCTION("""COMPUTED_VALUE"""),"")</f>
        <v/>
      </c>
      <c r="D85" s="329" t="str">
        <f>IFERROR(__xludf.DUMMYFUNCTION("""COMPUTED_VALUE"""),"")</f>
        <v/>
      </c>
      <c r="E85" s="330" t="str">
        <f>IFERROR(__xludf.DUMMYFUNCTION("""COMPUTED_VALUE"""),"")</f>
        <v/>
      </c>
      <c r="F85" s="331" t="str">
        <f>IFERROR(__xludf.DUMMYFUNCTION("""COMPUTED_VALUE"""),"")</f>
        <v/>
      </c>
      <c r="G85" s="331" t="str">
        <f>IFERROR(__xludf.DUMMYFUNCTION("""COMPUTED_VALUE"""),"")</f>
        <v/>
      </c>
      <c r="H85" s="323" t="str">
        <f>IFERROR(__xludf.DUMMYFUNCTION("""COMPUTED_VALUE""")," ")</f>
        <v> </v>
      </c>
      <c r="I85" s="332" t="str">
        <f>IFERROR(__xludf.DUMMYFUNCTION("""COMPUTED_VALUE"""),"")</f>
        <v/>
      </c>
      <c r="J85" s="333" t="str">
        <f>IFERROR(__xludf.DUMMYFUNCTION("""COMPUTED_VALUE"""),"AP")</f>
        <v>AP</v>
      </c>
      <c r="K85" s="332">
        <f>IFERROR(__xludf.DUMMYFUNCTION("""COMPUTED_VALUE"""),0.0)</f>
        <v>0</v>
      </c>
      <c r="L85" s="334" t="str">
        <f>IFERROR(__xludf.DUMMYFUNCTION("""COMPUTED_VALUE"""),"%")</f>
        <v>%</v>
      </c>
      <c r="M85" s="335">
        <f>IFERROR(__xludf.DUMMYFUNCTION("""COMPUTED_VALUE"""),1.0)</f>
        <v>1</v>
      </c>
      <c r="N85" s="332" t="str">
        <f>IFERROR(__xludf.DUMMYFUNCTION("""COMPUTED_VALUE"""),"")</f>
        <v/>
      </c>
      <c r="O85" s="327" t="str">
        <f>IFERROR(__xludf.DUMMYFUNCTION("""COMPUTED_VALUE"""),"")</f>
        <v/>
      </c>
      <c r="P85" s="332" t="str">
        <f>IFERROR(__xludf.DUMMYFUNCTION("""COMPUTED_VALUE"""),"")</f>
        <v/>
      </c>
      <c r="Q85" s="333" t="str">
        <f>IFERROR(__xludf.DUMMYFUNCTION("""COMPUTED_VALUE"""),"AP")</f>
        <v>AP</v>
      </c>
      <c r="R85" s="332">
        <f>IFERROR(__xludf.DUMMYFUNCTION("""COMPUTED_VALUE"""),0.0)</f>
        <v>0</v>
      </c>
      <c r="S85" s="334" t="str">
        <f>IFERROR(__xludf.DUMMYFUNCTION("""COMPUTED_VALUE"""),"%")</f>
        <v>%</v>
      </c>
      <c r="T85" s="335">
        <f>IFERROR(__xludf.DUMMYFUNCTION("""COMPUTED_VALUE"""),2.0)</f>
        <v>2</v>
      </c>
      <c r="U85" s="332" t="str">
        <f>IFERROR(__xludf.DUMMYFUNCTION("""COMPUTED_VALUE"""),"")</f>
        <v/>
      </c>
      <c r="V85" s="327" t="str">
        <f>IFERROR(__xludf.DUMMYFUNCTION("""COMPUTED_VALUE"""),"")</f>
        <v/>
      </c>
      <c r="W85" s="332" t="str">
        <f>IFERROR(__xludf.DUMMYFUNCTION("""COMPUTED_VALUE"""),"")</f>
        <v/>
      </c>
      <c r="X85" s="333" t="str">
        <f>IFERROR(__xludf.DUMMYFUNCTION("""COMPUTED_VALUE"""),"AP")</f>
        <v>AP</v>
      </c>
      <c r="Y85" s="332">
        <f>IFERROR(__xludf.DUMMYFUNCTION("""COMPUTED_VALUE"""),0.0)</f>
        <v>0</v>
      </c>
      <c r="Z85" s="334" t="str">
        <f>IFERROR(__xludf.DUMMYFUNCTION("""COMPUTED_VALUE"""),"%")</f>
        <v>%</v>
      </c>
      <c r="AA85" s="335">
        <f>IFERROR(__xludf.DUMMYFUNCTION("""COMPUTED_VALUE"""),3.0)</f>
        <v>3</v>
      </c>
      <c r="AB85" s="332" t="str">
        <f>IFERROR(__xludf.DUMMYFUNCTION("""COMPUTED_VALUE"""),"")</f>
        <v/>
      </c>
      <c r="AC85" s="327" t="str">
        <f>IFERROR(__xludf.DUMMYFUNCTION("""COMPUTED_VALUE"""),"")</f>
        <v/>
      </c>
      <c r="AD85" s="332" t="str">
        <f>IFERROR(__xludf.DUMMYFUNCTION("""COMPUTED_VALUE"""),"")</f>
        <v/>
      </c>
      <c r="AE85" s="333" t="str">
        <f>IFERROR(__xludf.DUMMYFUNCTION("""COMPUTED_VALUE"""),"AP")</f>
        <v>AP</v>
      </c>
      <c r="AF85" s="332">
        <f>IFERROR(__xludf.DUMMYFUNCTION("""COMPUTED_VALUE"""),0.0)</f>
        <v>0</v>
      </c>
      <c r="AG85" s="334" t="str">
        <f>IFERROR(__xludf.DUMMYFUNCTION("""COMPUTED_VALUE"""),"%")</f>
        <v>%</v>
      </c>
      <c r="AH85" s="330" t="str">
        <f>IFERROR(__xludf.DUMMYFUNCTION("""COMPUTED_VALUE"""),"")</f>
        <v/>
      </c>
      <c r="AI85" s="331" t="str">
        <f>IFERROR(__xludf.DUMMYFUNCTION("""COMPUTED_VALUE"""),"")</f>
        <v/>
      </c>
      <c r="AJ85" s="329" t="str">
        <f>IFERROR(__xludf.DUMMYFUNCTION("""COMPUTED_VALUE"""),"")</f>
        <v/>
      </c>
    </row>
    <row r="86" ht="24.75" customHeight="1">
      <c r="A86" s="319">
        <f>IFERROR(__xludf.DUMMYFUNCTION("""COMPUTED_VALUE"""),3.0)</f>
        <v>3</v>
      </c>
      <c r="B86" s="319" t="str">
        <f>IFERROR(__xludf.DUMMYFUNCTION("""COMPUTED_VALUE"""),"A110")</f>
        <v>A110</v>
      </c>
      <c r="C86" s="319" t="str">
        <f>IFERROR(__xludf.DUMMYFUNCTION("""COMPUTED_VALUE"""),"")</f>
        <v/>
      </c>
      <c r="D86" s="320" t="str">
        <f>IFERROR(__xludf.DUMMYFUNCTION("""COMPUTED_VALUE"""),"")</f>
        <v/>
      </c>
      <c r="E86" s="321" t="str">
        <f>IFERROR(__xludf.DUMMYFUNCTION("""COMPUTED_VALUE"""),"")</f>
        <v/>
      </c>
      <c r="F86" s="322" t="str">
        <f>IFERROR(__xludf.DUMMYFUNCTION("""COMPUTED_VALUE"""),"")</f>
        <v/>
      </c>
      <c r="G86" s="322" t="str">
        <f>IFERROR(__xludf.DUMMYFUNCTION("""COMPUTED_VALUE"""),"")</f>
        <v/>
      </c>
      <c r="H86" s="323" t="str">
        <f>IFERROR(__xludf.DUMMYFUNCTION("""COMPUTED_VALUE""")," ")</f>
        <v> </v>
      </c>
      <c r="I86" s="324" t="str">
        <f>IFERROR(__xludf.DUMMYFUNCTION("""COMPUTED_VALUE"""),"")</f>
        <v/>
      </c>
      <c r="J86" s="325" t="str">
        <f>IFERROR(__xludf.DUMMYFUNCTION("""COMPUTED_VALUE"""),"AP")</f>
        <v>AP</v>
      </c>
      <c r="K86" s="324">
        <f>IFERROR(__xludf.DUMMYFUNCTION("""COMPUTED_VALUE"""),0.0)</f>
        <v>0</v>
      </c>
      <c r="L86" s="325" t="str">
        <f>IFERROR(__xludf.DUMMYFUNCTION("""COMPUTED_VALUE"""),"%")</f>
        <v>%</v>
      </c>
      <c r="M86" s="326">
        <f>IFERROR(__xludf.DUMMYFUNCTION("""COMPUTED_VALUE"""),1.0)</f>
        <v>1</v>
      </c>
      <c r="N86" s="324" t="str">
        <f>IFERROR(__xludf.DUMMYFUNCTION("""COMPUTED_VALUE"""),"")</f>
        <v/>
      </c>
      <c r="O86" s="327" t="str">
        <f>IFERROR(__xludf.DUMMYFUNCTION("""COMPUTED_VALUE"""),"")</f>
        <v/>
      </c>
      <c r="P86" s="324" t="str">
        <f>IFERROR(__xludf.DUMMYFUNCTION("""COMPUTED_VALUE"""),"")</f>
        <v/>
      </c>
      <c r="Q86" s="325" t="str">
        <f>IFERROR(__xludf.DUMMYFUNCTION("""COMPUTED_VALUE"""),"AP")</f>
        <v>AP</v>
      </c>
      <c r="R86" s="324">
        <f>IFERROR(__xludf.DUMMYFUNCTION("""COMPUTED_VALUE"""),0.0)</f>
        <v>0</v>
      </c>
      <c r="S86" s="325" t="str">
        <f>IFERROR(__xludf.DUMMYFUNCTION("""COMPUTED_VALUE"""),"%")</f>
        <v>%</v>
      </c>
      <c r="T86" s="326">
        <f>IFERROR(__xludf.DUMMYFUNCTION("""COMPUTED_VALUE"""),2.0)</f>
        <v>2</v>
      </c>
      <c r="U86" s="324" t="str">
        <f>IFERROR(__xludf.DUMMYFUNCTION("""COMPUTED_VALUE"""),"")</f>
        <v/>
      </c>
      <c r="V86" s="327" t="str">
        <f>IFERROR(__xludf.DUMMYFUNCTION("""COMPUTED_VALUE"""),"")</f>
        <v/>
      </c>
      <c r="W86" s="324" t="str">
        <f>IFERROR(__xludf.DUMMYFUNCTION("""COMPUTED_VALUE"""),"")</f>
        <v/>
      </c>
      <c r="X86" s="325" t="str">
        <f>IFERROR(__xludf.DUMMYFUNCTION("""COMPUTED_VALUE"""),"AP")</f>
        <v>AP</v>
      </c>
      <c r="Y86" s="324">
        <f>IFERROR(__xludf.DUMMYFUNCTION("""COMPUTED_VALUE"""),0.0)</f>
        <v>0</v>
      </c>
      <c r="Z86" s="325" t="str">
        <f>IFERROR(__xludf.DUMMYFUNCTION("""COMPUTED_VALUE"""),"%")</f>
        <v>%</v>
      </c>
      <c r="AA86" s="326">
        <f>IFERROR(__xludf.DUMMYFUNCTION("""COMPUTED_VALUE"""),3.0)</f>
        <v>3</v>
      </c>
      <c r="AB86" s="324" t="str">
        <f>IFERROR(__xludf.DUMMYFUNCTION("""COMPUTED_VALUE"""),"")</f>
        <v/>
      </c>
      <c r="AC86" s="327" t="str">
        <f>IFERROR(__xludf.DUMMYFUNCTION("""COMPUTED_VALUE"""),"")</f>
        <v/>
      </c>
      <c r="AD86" s="324" t="str">
        <f>IFERROR(__xludf.DUMMYFUNCTION("""COMPUTED_VALUE"""),"")</f>
        <v/>
      </c>
      <c r="AE86" s="325" t="str">
        <f>IFERROR(__xludf.DUMMYFUNCTION("""COMPUTED_VALUE"""),"AP")</f>
        <v>AP</v>
      </c>
      <c r="AF86" s="324">
        <f>IFERROR(__xludf.DUMMYFUNCTION("""COMPUTED_VALUE"""),0.0)</f>
        <v>0</v>
      </c>
      <c r="AG86" s="325" t="str">
        <f>IFERROR(__xludf.DUMMYFUNCTION("""COMPUTED_VALUE"""),"%")</f>
        <v>%</v>
      </c>
      <c r="AH86" s="321" t="str">
        <f>IFERROR(__xludf.DUMMYFUNCTION("""COMPUTED_VALUE"""),"")</f>
        <v/>
      </c>
      <c r="AI86" s="322" t="str">
        <f>IFERROR(__xludf.DUMMYFUNCTION("""COMPUTED_VALUE"""),"")</f>
        <v/>
      </c>
      <c r="AJ86" s="320" t="str">
        <f>IFERROR(__xludf.DUMMYFUNCTION("""COMPUTED_VALUE"""),"")</f>
        <v/>
      </c>
    </row>
    <row r="87" ht="24.75" customHeight="1">
      <c r="A87" s="328">
        <f>IFERROR(__xludf.DUMMYFUNCTION("""COMPUTED_VALUE"""),4.0)</f>
        <v>4</v>
      </c>
      <c r="B87" s="328" t="str">
        <f>IFERROR(__xludf.DUMMYFUNCTION("""COMPUTED_VALUE"""),"A110")</f>
        <v>A110</v>
      </c>
      <c r="C87" s="328" t="str">
        <f>IFERROR(__xludf.DUMMYFUNCTION("""COMPUTED_VALUE"""),"")</f>
        <v/>
      </c>
      <c r="D87" s="329" t="str">
        <f>IFERROR(__xludf.DUMMYFUNCTION("""COMPUTED_VALUE"""),"")</f>
        <v/>
      </c>
      <c r="E87" s="330" t="str">
        <f>IFERROR(__xludf.DUMMYFUNCTION("""COMPUTED_VALUE"""),"")</f>
        <v/>
      </c>
      <c r="F87" s="331" t="str">
        <f>IFERROR(__xludf.DUMMYFUNCTION("""COMPUTED_VALUE"""),"")</f>
        <v/>
      </c>
      <c r="G87" s="331" t="str">
        <f>IFERROR(__xludf.DUMMYFUNCTION("""COMPUTED_VALUE"""),"")</f>
        <v/>
      </c>
      <c r="H87" s="323" t="str">
        <f>IFERROR(__xludf.DUMMYFUNCTION("""COMPUTED_VALUE""")," ")</f>
        <v> </v>
      </c>
      <c r="I87" s="332" t="str">
        <f>IFERROR(__xludf.DUMMYFUNCTION("""COMPUTED_VALUE"""),"")</f>
        <v/>
      </c>
      <c r="J87" s="333" t="str">
        <f>IFERROR(__xludf.DUMMYFUNCTION("""COMPUTED_VALUE"""),"AP")</f>
        <v>AP</v>
      </c>
      <c r="K87" s="332">
        <f>IFERROR(__xludf.DUMMYFUNCTION("""COMPUTED_VALUE"""),0.0)</f>
        <v>0</v>
      </c>
      <c r="L87" s="334" t="str">
        <f>IFERROR(__xludf.DUMMYFUNCTION("""COMPUTED_VALUE"""),"%")</f>
        <v>%</v>
      </c>
      <c r="M87" s="335">
        <f>IFERROR(__xludf.DUMMYFUNCTION("""COMPUTED_VALUE"""),1.0)</f>
        <v>1</v>
      </c>
      <c r="N87" s="332" t="str">
        <f>IFERROR(__xludf.DUMMYFUNCTION("""COMPUTED_VALUE"""),"")</f>
        <v/>
      </c>
      <c r="O87" s="327" t="str">
        <f>IFERROR(__xludf.DUMMYFUNCTION("""COMPUTED_VALUE"""),"")</f>
        <v/>
      </c>
      <c r="P87" s="332" t="str">
        <f>IFERROR(__xludf.DUMMYFUNCTION("""COMPUTED_VALUE"""),"")</f>
        <v/>
      </c>
      <c r="Q87" s="333" t="str">
        <f>IFERROR(__xludf.DUMMYFUNCTION("""COMPUTED_VALUE"""),"AP")</f>
        <v>AP</v>
      </c>
      <c r="R87" s="332">
        <f>IFERROR(__xludf.DUMMYFUNCTION("""COMPUTED_VALUE"""),0.0)</f>
        <v>0</v>
      </c>
      <c r="S87" s="334" t="str">
        <f>IFERROR(__xludf.DUMMYFUNCTION("""COMPUTED_VALUE"""),"%")</f>
        <v>%</v>
      </c>
      <c r="T87" s="335">
        <f>IFERROR(__xludf.DUMMYFUNCTION("""COMPUTED_VALUE"""),2.0)</f>
        <v>2</v>
      </c>
      <c r="U87" s="332" t="str">
        <f>IFERROR(__xludf.DUMMYFUNCTION("""COMPUTED_VALUE"""),"")</f>
        <v/>
      </c>
      <c r="V87" s="327" t="str">
        <f>IFERROR(__xludf.DUMMYFUNCTION("""COMPUTED_VALUE"""),"")</f>
        <v/>
      </c>
      <c r="W87" s="332" t="str">
        <f>IFERROR(__xludf.DUMMYFUNCTION("""COMPUTED_VALUE"""),"")</f>
        <v/>
      </c>
      <c r="X87" s="333" t="str">
        <f>IFERROR(__xludf.DUMMYFUNCTION("""COMPUTED_VALUE"""),"AP")</f>
        <v>AP</v>
      </c>
      <c r="Y87" s="332">
        <f>IFERROR(__xludf.DUMMYFUNCTION("""COMPUTED_VALUE"""),0.0)</f>
        <v>0</v>
      </c>
      <c r="Z87" s="334" t="str">
        <f>IFERROR(__xludf.DUMMYFUNCTION("""COMPUTED_VALUE"""),"%")</f>
        <v>%</v>
      </c>
      <c r="AA87" s="335">
        <f>IFERROR(__xludf.DUMMYFUNCTION("""COMPUTED_VALUE"""),3.0)</f>
        <v>3</v>
      </c>
      <c r="AB87" s="332" t="str">
        <f>IFERROR(__xludf.DUMMYFUNCTION("""COMPUTED_VALUE"""),"")</f>
        <v/>
      </c>
      <c r="AC87" s="327" t="str">
        <f>IFERROR(__xludf.DUMMYFUNCTION("""COMPUTED_VALUE"""),"")</f>
        <v/>
      </c>
      <c r="AD87" s="332" t="str">
        <f>IFERROR(__xludf.DUMMYFUNCTION("""COMPUTED_VALUE"""),"")</f>
        <v/>
      </c>
      <c r="AE87" s="333" t="str">
        <f>IFERROR(__xludf.DUMMYFUNCTION("""COMPUTED_VALUE"""),"AP")</f>
        <v>AP</v>
      </c>
      <c r="AF87" s="332">
        <f>IFERROR(__xludf.DUMMYFUNCTION("""COMPUTED_VALUE"""),0.0)</f>
        <v>0</v>
      </c>
      <c r="AG87" s="334" t="str">
        <f>IFERROR(__xludf.DUMMYFUNCTION("""COMPUTED_VALUE"""),"%")</f>
        <v>%</v>
      </c>
      <c r="AH87" s="330" t="str">
        <f>IFERROR(__xludf.DUMMYFUNCTION("""COMPUTED_VALUE"""),"")</f>
        <v/>
      </c>
      <c r="AI87" s="331" t="str">
        <f>IFERROR(__xludf.DUMMYFUNCTION("""COMPUTED_VALUE"""),"")</f>
        <v/>
      </c>
      <c r="AJ87" s="329" t="str">
        <f>IFERROR(__xludf.DUMMYFUNCTION("""COMPUTED_VALUE"""),"")</f>
        <v/>
      </c>
    </row>
    <row r="88" ht="24.75" customHeight="1">
      <c r="A88" s="319">
        <f>IFERROR(__xludf.DUMMYFUNCTION("""COMPUTED_VALUE"""),5.0)</f>
        <v>5</v>
      </c>
      <c r="B88" s="319" t="str">
        <f>IFERROR(__xludf.DUMMYFUNCTION("""COMPUTED_VALUE"""),"A110")</f>
        <v>A110</v>
      </c>
      <c r="C88" s="319" t="str">
        <f>IFERROR(__xludf.DUMMYFUNCTION("""COMPUTED_VALUE"""),"")</f>
        <v/>
      </c>
      <c r="D88" s="320" t="str">
        <f>IFERROR(__xludf.DUMMYFUNCTION("""COMPUTED_VALUE"""),"")</f>
        <v/>
      </c>
      <c r="E88" s="321" t="str">
        <f>IFERROR(__xludf.DUMMYFUNCTION("""COMPUTED_VALUE"""),"")</f>
        <v/>
      </c>
      <c r="F88" s="322" t="str">
        <f>IFERROR(__xludf.DUMMYFUNCTION("""COMPUTED_VALUE"""),"")</f>
        <v/>
      </c>
      <c r="G88" s="322" t="str">
        <f>IFERROR(__xludf.DUMMYFUNCTION("""COMPUTED_VALUE"""),"")</f>
        <v/>
      </c>
      <c r="H88" s="323" t="str">
        <f>IFERROR(__xludf.DUMMYFUNCTION("""COMPUTED_VALUE""")," ")</f>
        <v> </v>
      </c>
      <c r="I88" s="324" t="str">
        <f>IFERROR(__xludf.DUMMYFUNCTION("""COMPUTED_VALUE"""),"")</f>
        <v/>
      </c>
      <c r="J88" s="325" t="str">
        <f>IFERROR(__xludf.DUMMYFUNCTION("""COMPUTED_VALUE"""),"AP")</f>
        <v>AP</v>
      </c>
      <c r="K88" s="324">
        <f>IFERROR(__xludf.DUMMYFUNCTION("""COMPUTED_VALUE"""),0.0)</f>
        <v>0</v>
      </c>
      <c r="L88" s="325" t="str">
        <f>IFERROR(__xludf.DUMMYFUNCTION("""COMPUTED_VALUE"""),"%")</f>
        <v>%</v>
      </c>
      <c r="M88" s="326">
        <f>IFERROR(__xludf.DUMMYFUNCTION("""COMPUTED_VALUE"""),1.0)</f>
        <v>1</v>
      </c>
      <c r="N88" s="324" t="str">
        <f>IFERROR(__xludf.DUMMYFUNCTION("""COMPUTED_VALUE"""),"")</f>
        <v/>
      </c>
      <c r="O88" s="327" t="str">
        <f>IFERROR(__xludf.DUMMYFUNCTION("""COMPUTED_VALUE"""),"")</f>
        <v/>
      </c>
      <c r="P88" s="324" t="str">
        <f>IFERROR(__xludf.DUMMYFUNCTION("""COMPUTED_VALUE"""),"")</f>
        <v/>
      </c>
      <c r="Q88" s="325" t="str">
        <f>IFERROR(__xludf.DUMMYFUNCTION("""COMPUTED_VALUE"""),"AP")</f>
        <v>AP</v>
      </c>
      <c r="R88" s="324">
        <f>IFERROR(__xludf.DUMMYFUNCTION("""COMPUTED_VALUE"""),0.0)</f>
        <v>0</v>
      </c>
      <c r="S88" s="325" t="str">
        <f>IFERROR(__xludf.DUMMYFUNCTION("""COMPUTED_VALUE"""),"%")</f>
        <v>%</v>
      </c>
      <c r="T88" s="326">
        <f>IFERROR(__xludf.DUMMYFUNCTION("""COMPUTED_VALUE"""),2.0)</f>
        <v>2</v>
      </c>
      <c r="U88" s="324" t="str">
        <f>IFERROR(__xludf.DUMMYFUNCTION("""COMPUTED_VALUE"""),"")</f>
        <v/>
      </c>
      <c r="V88" s="327" t="str">
        <f>IFERROR(__xludf.DUMMYFUNCTION("""COMPUTED_VALUE"""),"")</f>
        <v/>
      </c>
      <c r="W88" s="324" t="str">
        <f>IFERROR(__xludf.DUMMYFUNCTION("""COMPUTED_VALUE"""),"")</f>
        <v/>
      </c>
      <c r="X88" s="325" t="str">
        <f>IFERROR(__xludf.DUMMYFUNCTION("""COMPUTED_VALUE"""),"AP")</f>
        <v>AP</v>
      </c>
      <c r="Y88" s="324">
        <f>IFERROR(__xludf.DUMMYFUNCTION("""COMPUTED_VALUE"""),0.0)</f>
        <v>0</v>
      </c>
      <c r="Z88" s="325" t="str">
        <f>IFERROR(__xludf.DUMMYFUNCTION("""COMPUTED_VALUE"""),"%")</f>
        <v>%</v>
      </c>
      <c r="AA88" s="326">
        <f>IFERROR(__xludf.DUMMYFUNCTION("""COMPUTED_VALUE"""),3.0)</f>
        <v>3</v>
      </c>
      <c r="AB88" s="324" t="str">
        <f>IFERROR(__xludf.DUMMYFUNCTION("""COMPUTED_VALUE"""),"")</f>
        <v/>
      </c>
      <c r="AC88" s="327" t="str">
        <f>IFERROR(__xludf.DUMMYFUNCTION("""COMPUTED_VALUE"""),"")</f>
        <v/>
      </c>
      <c r="AD88" s="324" t="str">
        <f>IFERROR(__xludf.DUMMYFUNCTION("""COMPUTED_VALUE"""),"")</f>
        <v/>
      </c>
      <c r="AE88" s="325" t="str">
        <f>IFERROR(__xludf.DUMMYFUNCTION("""COMPUTED_VALUE"""),"AP")</f>
        <v>AP</v>
      </c>
      <c r="AF88" s="324">
        <f>IFERROR(__xludf.DUMMYFUNCTION("""COMPUTED_VALUE"""),0.0)</f>
        <v>0</v>
      </c>
      <c r="AG88" s="325" t="str">
        <f>IFERROR(__xludf.DUMMYFUNCTION("""COMPUTED_VALUE"""),"%")</f>
        <v>%</v>
      </c>
      <c r="AH88" s="321" t="str">
        <f>IFERROR(__xludf.DUMMYFUNCTION("""COMPUTED_VALUE"""),"")</f>
        <v/>
      </c>
      <c r="AI88" s="322" t="str">
        <f>IFERROR(__xludf.DUMMYFUNCTION("""COMPUTED_VALUE"""),"")</f>
        <v/>
      </c>
      <c r="AJ88" s="320" t="str">
        <f>IFERROR(__xludf.DUMMYFUNCTION("""COMPUTED_VALUE"""),"")</f>
        <v/>
      </c>
    </row>
    <row r="89">
      <c r="A89" s="336" t="str">
        <f>IFERROR(__xludf.DUMMYFUNCTION("""COMPUTED_VALUE"""),"")</f>
        <v/>
      </c>
      <c r="B89" s="337" t="str">
        <f>IFERROR(__xludf.DUMMYFUNCTION("""COMPUTED_VALUE"""),"")</f>
        <v/>
      </c>
      <c r="C89" s="338" t="str">
        <f>IFERROR(__xludf.DUMMYFUNCTION("""COMPUTED_VALUE"""),"")</f>
        <v/>
      </c>
      <c r="D89" s="339" t="str">
        <f>IFERROR(__xludf.DUMMYFUNCTION("""COMPUTED_VALUE"""),"")</f>
        <v/>
      </c>
      <c r="E89" s="337" t="str">
        <f>IFERROR(__xludf.DUMMYFUNCTION("""COMPUTED_VALUE"""),"")</f>
        <v/>
      </c>
      <c r="F89" s="337" t="str">
        <f>IFERROR(__xludf.DUMMYFUNCTION("""COMPUTED_VALUE"""),"")</f>
        <v/>
      </c>
      <c r="G89" s="337" t="str">
        <f>IFERROR(__xludf.DUMMYFUNCTION("""COMPUTED_VALUE"""),"")</f>
        <v/>
      </c>
      <c r="H89" s="337" t="str">
        <f>IFERROR(__xludf.DUMMYFUNCTION("""COMPUTED_VALUE"""),"")</f>
        <v/>
      </c>
      <c r="I89" s="337" t="str">
        <f>IFERROR(__xludf.DUMMYFUNCTION("""COMPUTED_VALUE"""),"")</f>
        <v/>
      </c>
      <c r="J89" s="341" t="str">
        <f>IFERROR(__xludf.DUMMYFUNCTION("""COMPUTED_VALUE"""),"")</f>
        <v/>
      </c>
      <c r="K89" s="337" t="str">
        <f>IFERROR(__xludf.DUMMYFUNCTION("""COMPUTED_VALUE"""),"")</f>
        <v/>
      </c>
      <c r="L89" s="341" t="str">
        <f>IFERROR(__xludf.DUMMYFUNCTION("""COMPUTED_VALUE"""),"")</f>
        <v/>
      </c>
      <c r="M89" s="337" t="str">
        <f>IFERROR(__xludf.DUMMYFUNCTION("""COMPUTED_VALUE"""),"")</f>
        <v/>
      </c>
      <c r="N89" s="337" t="str">
        <f>IFERROR(__xludf.DUMMYFUNCTION("""COMPUTED_VALUE"""),"")</f>
        <v/>
      </c>
      <c r="O89" s="337" t="str">
        <f>IFERROR(__xludf.DUMMYFUNCTION("""COMPUTED_VALUE"""),"")</f>
        <v/>
      </c>
      <c r="P89" s="337" t="str">
        <f>IFERROR(__xludf.DUMMYFUNCTION("""COMPUTED_VALUE"""),"")</f>
        <v/>
      </c>
      <c r="Q89" s="341" t="str">
        <f>IFERROR(__xludf.DUMMYFUNCTION("""COMPUTED_VALUE"""),"")</f>
        <v/>
      </c>
      <c r="R89" s="337" t="str">
        <f>IFERROR(__xludf.DUMMYFUNCTION("""COMPUTED_VALUE"""),"")</f>
        <v/>
      </c>
      <c r="S89" s="341" t="str">
        <f>IFERROR(__xludf.DUMMYFUNCTION("""COMPUTED_VALUE"""),"")</f>
        <v/>
      </c>
      <c r="T89" s="337" t="str">
        <f>IFERROR(__xludf.DUMMYFUNCTION("""COMPUTED_VALUE"""),"")</f>
        <v/>
      </c>
      <c r="U89" s="337" t="str">
        <f>IFERROR(__xludf.DUMMYFUNCTION("""COMPUTED_VALUE"""),"")</f>
        <v/>
      </c>
      <c r="V89" s="337" t="str">
        <f>IFERROR(__xludf.DUMMYFUNCTION("""COMPUTED_VALUE"""),"")</f>
        <v/>
      </c>
      <c r="W89" s="337" t="str">
        <f>IFERROR(__xludf.DUMMYFUNCTION("""COMPUTED_VALUE"""),"")</f>
        <v/>
      </c>
      <c r="X89" s="341" t="str">
        <f>IFERROR(__xludf.DUMMYFUNCTION("""COMPUTED_VALUE"""),"")</f>
        <v/>
      </c>
      <c r="Y89" s="337" t="str">
        <f>IFERROR(__xludf.DUMMYFUNCTION("""COMPUTED_VALUE"""),"")</f>
        <v/>
      </c>
      <c r="Z89" s="341" t="str">
        <f>IFERROR(__xludf.DUMMYFUNCTION("""COMPUTED_VALUE"""),"")</f>
        <v/>
      </c>
      <c r="AA89" s="337" t="str">
        <f>IFERROR(__xludf.DUMMYFUNCTION("""COMPUTED_VALUE"""),"")</f>
        <v/>
      </c>
      <c r="AB89" s="337" t="str">
        <f>IFERROR(__xludf.DUMMYFUNCTION("""COMPUTED_VALUE"""),"")</f>
        <v/>
      </c>
      <c r="AC89" s="337" t="str">
        <f>IFERROR(__xludf.DUMMYFUNCTION("""COMPUTED_VALUE"""),"")</f>
        <v/>
      </c>
      <c r="AD89" s="337" t="str">
        <f>IFERROR(__xludf.DUMMYFUNCTION("""COMPUTED_VALUE"""),"")</f>
        <v/>
      </c>
      <c r="AE89" s="341" t="str">
        <f>IFERROR(__xludf.DUMMYFUNCTION("""COMPUTED_VALUE"""),"")</f>
        <v/>
      </c>
      <c r="AF89" s="337" t="str">
        <f>IFERROR(__xludf.DUMMYFUNCTION("""COMPUTED_VALUE"""),"")</f>
        <v/>
      </c>
      <c r="AG89" s="341" t="str">
        <f>IFERROR(__xludf.DUMMYFUNCTION("""COMPUTED_VALUE"""),"")</f>
        <v/>
      </c>
      <c r="AH89" s="337" t="str">
        <f>IFERROR(__xludf.DUMMYFUNCTION("""COMPUTED_VALUE"""),"")</f>
        <v/>
      </c>
      <c r="AI89" s="337" t="str">
        <f>IFERROR(__xludf.DUMMYFUNCTION("""COMPUTED_VALUE"""),"")</f>
        <v/>
      </c>
      <c r="AJ89" s="342" t="str">
        <f>IFERROR(__xludf.DUMMYFUNCTION("""COMPUTED_VALUE"""),"")</f>
        <v/>
      </c>
    </row>
    <row r="90">
      <c r="A90" s="343" t="str">
        <f>IFERROR(__xludf.DUMMYFUNCTION("""COMPUTED_VALUE"""),"")</f>
        <v/>
      </c>
      <c r="B90" s="344" t="str">
        <f>IFERROR(__xludf.DUMMYFUNCTION("""COMPUTED_VALUE"""),"")</f>
        <v/>
      </c>
      <c r="C90" s="345" t="str">
        <f>IFERROR(__xludf.DUMMYFUNCTION("""COMPUTED_VALUE"""),"")</f>
        <v/>
      </c>
      <c r="D90" s="346" t="str">
        <f>IFERROR(__xludf.DUMMYFUNCTION("""COMPUTED_VALUE"""),"")</f>
        <v/>
      </c>
      <c r="E90" s="344" t="str">
        <f>IFERROR(__xludf.DUMMYFUNCTION("""COMPUTED_VALUE"""),"")</f>
        <v/>
      </c>
      <c r="F90" s="344" t="str">
        <f>IFERROR(__xludf.DUMMYFUNCTION("""COMPUTED_VALUE"""),"")</f>
        <v/>
      </c>
      <c r="G90" s="344" t="str">
        <f>IFERROR(__xludf.DUMMYFUNCTION("""COMPUTED_VALUE"""),"")</f>
        <v/>
      </c>
      <c r="H90" s="344" t="str">
        <f>IFERROR(__xludf.DUMMYFUNCTION("""COMPUTED_VALUE"""),"")</f>
        <v/>
      </c>
      <c r="I90" s="344" t="str">
        <f>IFERROR(__xludf.DUMMYFUNCTION("""COMPUTED_VALUE"""),"")</f>
        <v/>
      </c>
      <c r="J90" s="347" t="str">
        <f>IFERROR(__xludf.DUMMYFUNCTION("""COMPUTED_VALUE"""),"")</f>
        <v/>
      </c>
      <c r="K90" s="344" t="str">
        <f>IFERROR(__xludf.DUMMYFUNCTION("""COMPUTED_VALUE"""),"")</f>
        <v/>
      </c>
      <c r="L90" s="347" t="str">
        <f>IFERROR(__xludf.DUMMYFUNCTION("""COMPUTED_VALUE"""),"")</f>
        <v/>
      </c>
      <c r="M90" s="344" t="str">
        <f>IFERROR(__xludf.DUMMYFUNCTION("""COMPUTED_VALUE"""),"")</f>
        <v/>
      </c>
      <c r="N90" s="344" t="str">
        <f>IFERROR(__xludf.DUMMYFUNCTION("""COMPUTED_VALUE"""),"")</f>
        <v/>
      </c>
      <c r="O90" s="344" t="str">
        <f>IFERROR(__xludf.DUMMYFUNCTION("""COMPUTED_VALUE"""),"")</f>
        <v/>
      </c>
      <c r="P90" s="344" t="str">
        <f>IFERROR(__xludf.DUMMYFUNCTION("""COMPUTED_VALUE"""),"")</f>
        <v/>
      </c>
      <c r="Q90" s="347" t="str">
        <f>IFERROR(__xludf.DUMMYFUNCTION("""COMPUTED_VALUE"""),"")</f>
        <v/>
      </c>
      <c r="R90" s="344" t="str">
        <f>IFERROR(__xludf.DUMMYFUNCTION("""COMPUTED_VALUE"""),"")</f>
        <v/>
      </c>
      <c r="S90" s="347" t="str">
        <f>IFERROR(__xludf.DUMMYFUNCTION("""COMPUTED_VALUE"""),"")</f>
        <v/>
      </c>
      <c r="T90" s="344" t="str">
        <f>IFERROR(__xludf.DUMMYFUNCTION("""COMPUTED_VALUE"""),"")</f>
        <v/>
      </c>
      <c r="U90" s="344" t="str">
        <f>IFERROR(__xludf.DUMMYFUNCTION("""COMPUTED_VALUE"""),"")</f>
        <v/>
      </c>
      <c r="V90" s="344" t="str">
        <f>IFERROR(__xludf.DUMMYFUNCTION("""COMPUTED_VALUE"""),"")</f>
        <v/>
      </c>
      <c r="W90" s="344" t="str">
        <f>IFERROR(__xludf.DUMMYFUNCTION("""COMPUTED_VALUE"""),"")</f>
        <v/>
      </c>
      <c r="X90" s="347" t="str">
        <f>IFERROR(__xludf.DUMMYFUNCTION("""COMPUTED_VALUE"""),"")</f>
        <v/>
      </c>
      <c r="Y90" s="344" t="str">
        <f>IFERROR(__xludf.DUMMYFUNCTION("""COMPUTED_VALUE"""),"")</f>
        <v/>
      </c>
      <c r="Z90" s="347" t="str">
        <f>IFERROR(__xludf.DUMMYFUNCTION("""COMPUTED_VALUE"""),"")</f>
        <v/>
      </c>
      <c r="AA90" s="344" t="str">
        <f>IFERROR(__xludf.DUMMYFUNCTION("""COMPUTED_VALUE"""),"")</f>
        <v/>
      </c>
      <c r="AB90" s="344" t="str">
        <f>IFERROR(__xludf.DUMMYFUNCTION("""COMPUTED_VALUE"""),"")</f>
        <v/>
      </c>
      <c r="AC90" s="344" t="str">
        <f>IFERROR(__xludf.DUMMYFUNCTION("""COMPUTED_VALUE"""),"")</f>
        <v/>
      </c>
      <c r="AD90" s="344" t="str">
        <f>IFERROR(__xludf.DUMMYFUNCTION("""COMPUTED_VALUE"""),"")</f>
        <v/>
      </c>
      <c r="AE90" s="347" t="str">
        <f>IFERROR(__xludf.DUMMYFUNCTION("""COMPUTED_VALUE"""),"")</f>
        <v/>
      </c>
      <c r="AF90" s="344" t="str">
        <f>IFERROR(__xludf.DUMMYFUNCTION("""COMPUTED_VALUE"""),"")</f>
        <v/>
      </c>
      <c r="AG90" s="347" t="str">
        <f>IFERROR(__xludf.DUMMYFUNCTION("""COMPUTED_VALUE"""),"")</f>
        <v/>
      </c>
      <c r="AH90" s="344" t="str">
        <f>IFERROR(__xludf.DUMMYFUNCTION("""COMPUTED_VALUE"""),"")</f>
        <v/>
      </c>
      <c r="AI90" s="344" t="str">
        <f>IFERROR(__xludf.DUMMYFUNCTION("""COMPUTED_VALUE"""),"")</f>
        <v/>
      </c>
      <c r="AJ90" s="348" t="str">
        <f>IFERROR(__xludf.DUMMYFUNCTION("""COMPUTED_VALUE"""),"")</f>
        <v/>
      </c>
    </row>
    <row r="91" ht="16.5" customHeight="1">
      <c r="A91" s="349">
        <f>IFERROR(__xludf.DUMMYFUNCTION("""COMPUTED_VALUE"""),11.0)</f>
        <v>11</v>
      </c>
      <c r="B91" s="313" t="str">
        <f>IFERROR(__xludf.DUMMYFUNCTION("""COMPUTED_VALUE"""),"A111")</f>
        <v>A111</v>
      </c>
      <c r="C91" s="314" t="str">
        <f>IFERROR(__xludf.DUMMYFUNCTION("""COMPUTED_VALUE"""),"")</f>
        <v/>
      </c>
      <c r="D91" s="350" t="str">
        <f>IFERROR(__xludf.DUMMYFUNCTION("""COMPUTED_VALUE"""),"Cursed Beast Gallstone")</f>
        <v>Cursed Beast Gallstone</v>
      </c>
      <c r="E91" s="351" t="str">
        <f>IFERROR(__xludf.DUMMYFUNCTION("""COMPUTED_VALUE"""),"AP")</f>
        <v>AP</v>
      </c>
      <c r="F91" s="351" t="str">
        <f>IFERROR(__xludf.DUMMYFUNCTION("""COMPUTED_VALUE"""),"Runs")</f>
        <v>Runs</v>
      </c>
      <c r="G91" s="351" t="str">
        <f>IFERROR(__xludf.DUMMYFUNCTION("""COMPUTED_VALUE"""),"Status")</f>
        <v>Status</v>
      </c>
      <c r="H91" s="351" t="str">
        <f>IFERROR(__xludf.DUMMYFUNCTION("""COMPUTED_VALUE"""),"Mat")</f>
        <v>Mat</v>
      </c>
      <c r="I91" s="351" t="str">
        <f>IFERROR(__xludf.DUMMYFUNCTION("""COMPUTED_VALUE"""),"AP/Drop")</f>
        <v>AP/Drop</v>
      </c>
      <c r="J91" s="351" t="str">
        <f>IFERROR(__xludf.DUMMYFUNCTION("""COMPUTED_VALUE"""),"")</f>
        <v/>
      </c>
      <c r="K91" s="351" t="str">
        <f>IFERROR(__xludf.DUMMYFUNCTION("""COMPUTED_VALUE"""),"Droprate")</f>
        <v>Droprate</v>
      </c>
      <c r="L91" s="351" t="str">
        <f>IFERROR(__xludf.DUMMYFUNCTION("""COMPUTED_VALUE"""),"")</f>
        <v/>
      </c>
      <c r="M91" s="351" t="str">
        <f>IFERROR(__xludf.DUMMYFUNCTION("""COMPUTED_VALUE"""),"#2")</f>
        <v>#2</v>
      </c>
      <c r="N91" s="351" t="str">
        <f>IFERROR(__xludf.DUMMYFUNCTION("""COMPUTED_VALUE"""),"Item 2 ID")</f>
        <v>Item 2 ID</v>
      </c>
      <c r="O91" s="351" t="str">
        <f>IFERROR(__xludf.DUMMYFUNCTION("""COMPUTED_VALUE"""),"Mat")</f>
        <v>Mat</v>
      </c>
      <c r="P91" s="351" t="str">
        <f>IFERROR(__xludf.DUMMYFUNCTION("""COMPUTED_VALUE"""),"AP/Drop")</f>
        <v>AP/Drop</v>
      </c>
      <c r="Q91" s="351" t="str">
        <f>IFERROR(__xludf.DUMMYFUNCTION("""COMPUTED_VALUE"""),"")</f>
        <v/>
      </c>
      <c r="R91" s="351" t="str">
        <f>IFERROR(__xludf.DUMMYFUNCTION("""COMPUTED_VALUE"""),"Droprate")</f>
        <v>Droprate</v>
      </c>
      <c r="S91" s="351" t="str">
        <f>IFERROR(__xludf.DUMMYFUNCTION("""COMPUTED_VALUE"""),"")</f>
        <v/>
      </c>
      <c r="T91" s="351" t="str">
        <f>IFERROR(__xludf.DUMMYFUNCTION("""COMPUTED_VALUE"""),"#3")</f>
        <v>#3</v>
      </c>
      <c r="U91" s="351" t="str">
        <f>IFERROR(__xludf.DUMMYFUNCTION("""COMPUTED_VALUE"""),"Item 2 ID")</f>
        <v>Item 2 ID</v>
      </c>
      <c r="V91" s="351" t="str">
        <f>IFERROR(__xludf.DUMMYFUNCTION("""COMPUTED_VALUE"""),"Mat")</f>
        <v>Mat</v>
      </c>
      <c r="W91" s="351" t="str">
        <f>IFERROR(__xludf.DUMMYFUNCTION("""COMPUTED_VALUE"""),"AP/Drop")</f>
        <v>AP/Drop</v>
      </c>
      <c r="X91" s="351" t="str">
        <f>IFERROR(__xludf.DUMMYFUNCTION("""COMPUTED_VALUE"""),"")</f>
        <v/>
      </c>
      <c r="Y91" s="351" t="str">
        <f>IFERROR(__xludf.DUMMYFUNCTION("""COMPUTED_VALUE"""),"Droprate")</f>
        <v>Droprate</v>
      </c>
      <c r="Z91" s="351" t="str">
        <f>IFERROR(__xludf.DUMMYFUNCTION("""COMPUTED_VALUE"""),"")</f>
        <v/>
      </c>
      <c r="AA91" s="351" t="str">
        <f>IFERROR(__xludf.DUMMYFUNCTION("""COMPUTED_VALUE"""),"#4")</f>
        <v>#4</v>
      </c>
      <c r="AB91" s="351" t="str">
        <f>IFERROR(__xludf.DUMMYFUNCTION("""COMPUTED_VALUE"""),"Item 3 ID")</f>
        <v>Item 3 ID</v>
      </c>
      <c r="AC91" s="351" t="str">
        <f>IFERROR(__xludf.DUMMYFUNCTION("""COMPUTED_VALUE"""),"Mat")</f>
        <v>Mat</v>
      </c>
      <c r="AD91" s="351" t="str">
        <f>IFERROR(__xludf.DUMMYFUNCTION("""COMPUTED_VALUE"""),"AP/Drop")</f>
        <v>AP/Drop</v>
      </c>
      <c r="AE91" s="351" t="str">
        <f>IFERROR(__xludf.DUMMYFUNCTION("""COMPUTED_VALUE"""),"")</f>
        <v/>
      </c>
      <c r="AF91" s="351" t="str">
        <f>IFERROR(__xludf.DUMMYFUNCTION("""COMPUTED_VALUE"""),"Droprate")</f>
        <v>Droprate</v>
      </c>
      <c r="AG91" s="351" t="str">
        <f>IFERROR(__xludf.DUMMYFUNCTION("""COMPUTED_VALUE"""),"")</f>
        <v/>
      </c>
      <c r="AH91" s="351" t="str">
        <f>IFERROR(__xludf.DUMMYFUNCTION("""COMPUTED_VALUE"""),"AP")</f>
        <v>AP</v>
      </c>
      <c r="AI91" s="351" t="str">
        <f>IFERROR(__xludf.DUMMYFUNCTION("""COMPUTED_VALUE"""),"Runs")</f>
        <v>Runs</v>
      </c>
      <c r="AJ91" s="351" t="str">
        <f>IFERROR(__xludf.DUMMYFUNCTION("""COMPUTED_VALUE"""),"Node Name")</f>
        <v>Node Name</v>
      </c>
    </row>
    <row r="92" ht="16.5" customHeight="1">
      <c r="D92" s="317" t="str">
        <f>IFERROR(__xludf.DUMMYFUNCTION("""COMPUTED_VALUE"""),"#N/A")</f>
        <v>#N/A</v>
      </c>
      <c r="E92" s="318"/>
      <c r="F92" s="318"/>
      <c r="G92" s="318"/>
      <c r="H92" s="318"/>
      <c r="I92" s="318"/>
      <c r="J92" s="318"/>
      <c r="K92" s="318"/>
      <c r="L92" s="318"/>
      <c r="M92" s="318"/>
      <c r="N92" s="318"/>
      <c r="O92" s="318"/>
      <c r="P92" s="318"/>
      <c r="Q92" s="318"/>
      <c r="R92" s="318"/>
      <c r="S92" s="318"/>
      <c r="T92" s="318"/>
      <c r="U92" s="318"/>
      <c r="V92" s="318"/>
      <c r="W92" s="318"/>
      <c r="X92" s="318"/>
      <c r="Y92" s="318"/>
      <c r="Z92" s="318"/>
      <c r="AA92" s="318"/>
      <c r="AB92" s="318"/>
      <c r="AC92" s="318"/>
      <c r="AD92" s="318"/>
      <c r="AE92" s="318"/>
      <c r="AF92" s="318"/>
      <c r="AG92" s="318"/>
      <c r="AH92" s="318"/>
      <c r="AI92" s="318"/>
      <c r="AJ92" s="318"/>
    </row>
    <row r="93" ht="24.75" customHeight="1">
      <c r="A93" s="319">
        <f>IFERROR(__xludf.DUMMYFUNCTION("""COMPUTED_VALUE"""),1.0)</f>
        <v>1</v>
      </c>
      <c r="B93" s="319" t="str">
        <f>IFERROR(__xludf.DUMMYFUNCTION("""COMPUTED_VALUE"""),"A111")</f>
        <v>A111</v>
      </c>
      <c r="C93" s="319" t="str">
        <f>IFERROR(__xludf.DUMMYFUNCTION("""COMPUTED_VALUE"""),"")</f>
        <v/>
      </c>
      <c r="D93" s="320" t="str">
        <f>IFERROR(__xludf.DUMMYFUNCTION("""COMPUTED_VALUE"""),"")</f>
        <v/>
      </c>
      <c r="E93" s="321" t="str">
        <f>IFERROR(__xludf.DUMMYFUNCTION("""COMPUTED_VALUE"""),"")</f>
        <v/>
      </c>
      <c r="F93" s="322" t="str">
        <f>IFERROR(__xludf.DUMMYFUNCTION("""COMPUTED_VALUE"""),"")</f>
        <v/>
      </c>
      <c r="G93" s="322" t="str">
        <f>IFERROR(__xludf.DUMMYFUNCTION("""COMPUTED_VALUE"""),"")</f>
        <v/>
      </c>
      <c r="H93" s="323" t="str">
        <f>IFERROR(__xludf.DUMMYFUNCTION("""COMPUTED_VALUE""")," ")</f>
        <v> </v>
      </c>
      <c r="I93" s="324" t="str">
        <f>IFERROR(__xludf.DUMMYFUNCTION("""COMPUTED_VALUE"""),"")</f>
        <v/>
      </c>
      <c r="J93" s="325" t="str">
        <f>IFERROR(__xludf.DUMMYFUNCTION("""COMPUTED_VALUE"""),"AP")</f>
        <v>AP</v>
      </c>
      <c r="K93" s="324">
        <f>IFERROR(__xludf.DUMMYFUNCTION("""COMPUTED_VALUE"""),0.0)</f>
        <v>0</v>
      </c>
      <c r="L93" s="325" t="str">
        <f>IFERROR(__xludf.DUMMYFUNCTION("""COMPUTED_VALUE"""),"%")</f>
        <v>%</v>
      </c>
      <c r="M93" s="326">
        <f>IFERROR(__xludf.DUMMYFUNCTION("""COMPUTED_VALUE"""),1.0)</f>
        <v>1</v>
      </c>
      <c r="N93" s="324" t="str">
        <f>IFERROR(__xludf.DUMMYFUNCTION("""COMPUTED_VALUE"""),"")</f>
        <v/>
      </c>
      <c r="O93" s="327" t="str">
        <f>IFERROR(__xludf.DUMMYFUNCTION("""COMPUTED_VALUE"""),"")</f>
        <v/>
      </c>
      <c r="P93" s="324" t="str">
        <f>IFERROR(__xludf.DUMMYFUNCTION("""COMPUTED_VALUE"""),"")</f>
        <v/>
      </c>
      <c r="Q93" s="325" t="str">
        <f>IFERROR(__xludf.DUMMYFUNCTION("""COMPUTED_VALUE"""),"AP")</f>
        <v>AP</v>
      </c>
      <c r="R93" s="324">
        <f>IFERROR(__xludf.DUMMYFUNCTION("""COMPUTED_VALUE"""),0.0)</f>
        <v>0</v>
      </c>
      <c r="S93" s="325" t="str">
        <f>IFERROR(__xludf.DUMMYFUNCTION("""COMPUTED_VALUE"""),"%")</f>
        <v>%</v>
      </c>
      <c r="T93" s="326">
        <f>IFERROR(__xludf.DUMMYFUNCTION("""COMPUTED_VALUE"""),2.0)</f>
        <v>2</v>
      </c>
      <c r="U93" s="324" t="str">
        <f>IFERROR(__xludf.DUMMYFUNCTION("""COMPUTED_VALUE"""),"")</f>
        <v/>
      </c>
      <c r="V93" s="327" t="str">
        <f>IFERROR(__xludf.DUMMYFUNCTION("""COMPUTED_VALUE"""),"")</f>
        <v/>
      </c>
      <c r="W93" s="324" t="str">
        <f>IFERROR(__xludf.DUMMYFUNCTION("""COMPUTED_VALUE"""),"")</f>
        <v/>
      </c>
      <c r="X93" s="325" t="str">
        <f>IFERROR(__xludf.DUMMYFUNCTION("""COMPUTED_VALUE"""),"AP")</f>
        <v>AP</v>
      </c>
      <c r="Y93" s="324">
        <f>IFERROR(__xludf.DUMMYFUNCTION("""COMPUTED_VALUE"""),0.0)</f>
        <v>0</v>
      </c>
      <c r="Z93" s="325" t="str">
        <f>IFERROR(__xludf.DUMMYFUNCTION("""COMPUTED_VALUE"""),"%")</f>
        <v>%</v>
      </c>
      <c r="AA93" s="326">
        <f>IFERROR(__xludf.DUMMYFUNCTION("""COMPUTED_VALUE"""),3.0)</f>
        <v>3</v>
      </c>
      <c r="AB93" s="324" t="str">
        <f>IFERROR(__xludf.DUMMYFUNCTION("""COMPUTED_VALUE"""),"")</f>
        <v/>
      </c>
      <c r="AC93" s="327" t="str">
        <f>IFERROR(__xludf.DUMMYFUNCTION("""COMPUTED_VALUE"""),"")</f>
        <v/>
      </c>
      <c r="AD93" s="324" t="str">
        <f>IFERROR(__xludf.DUMMYFUNCTION("""COMPUTED_VALUE"""),"")</f>
        <v/>
      </c>
      <c r="AE93" s="325" t="str">
        <f>IFERROR(__xludf.DUMMYFUNCTION("""COMPUTED_VALUE"""),"AP")</f>
        <v>AP</v>
      </c>
      <c r="AF93" s="324">
        <f>IFERROR(__xludf.DUMMYFUNCTION("""COMPUTED_VALUE"""),0.0)</f>
        <v>0</v>
      </c>
      <c r="AG93" s="325" t="str">
        <f>IFERROR(__xludf.DUMMYFUNCTION("""COMPUTED_VALUE"""),"%")</f>
        <v>%</v>
      </c>
      <c r="AH93" s="321" t="str">
        <f>IFERROR(__xludf.DUMMYFUNCTION("""COMPUTED_VALUE"""),"")</f>
        <v/>
      </c>
      <c r="AI93" s="322" t="str">
        <f>IFERROR(__xludf.DUMMYFUNCTION("""COMPUTED_VALUE"""),"")</f>
        <v/>
      </c>
      <c r="AJ93" s="320" t="str">
        <f>IFERROR(__xludf.DUMMYFUNCTION("""COMPUTED_VALUE"""),"")</f>
        <v/>
      </c>
    </row>
    <row r="94" ht="24.75" customHeight="1">
      <c r="A94" s="328">
        <f>IFERROR(__xludf.DUMMYFUNCTION("""COMPUTED_VALUE"""),2.0)</f>
        <v>2</v>
      </c>
      <c r="B94" s="328" t="str">
        <f>IFERROR(__xludf.DUMMYFUNCTION("""COMPUTED_VALUE"""),"A111")</f>
        <v>A111</v>
      </c>
      <c r="C94" s="328" t="str">
        <f>IFERROR(__xludf.DUMMYFUNCTION("""COMPUTED_VALUE"""),"")</f>
        <v/>
      </c>
      <c r="D94" s="329" t="str">
        <f>IFERROR(__xludf.DUMMYFUNCTION("""COMPUTED_VALUE"""),"")</f>
        <v/>
      </c>
      <c r="E94" s="330" t="str">
        <f>IFERROR(__xludf.DUMMYFUNCTION("""COMPUTED_VALUE"""),"")</f>
        <v/>
      </c>
      <c r="F94" s="331" t="str">
        <f>IFERROR(__xludf.DUMMYFUNCTION("""COMPUTED_VALUE"""),"")</f>
        <v/>
      </c>
      <c r="G94" s="331" t="str">
        <f>IFERROR(__xludf.DUMMYFUNCTION("""COMPUTED_VALUE"""),"")</f>
        <v/>
      </c>
      <c r="H94" s="323" t="str">
        <f>IFERROR(__xludf.DUMMYFUNCTION("""COMPUTED_VALUE""")," ")</f>
        <v> </v>
      </c>
      <c r="I94" s="332" t="str">
        <f>IFERROR(__xludf.DUMMYFUNCTION("""COMPUTED_VALUE"""),"")</f>
        <v/>
      </c>
      <c r="J94" s="333" t="str">
        <f>IFERROR(__xludf.DUMMYFUNCTION("""COMPUTED_VALUE"""),"AP")</f>
        <v>AP</v>
      </c>
      <c r="K94" s="332">
        <f>IFERROR(__xludf.DUMMYFUNCTION("""COMPUTED_VALUE"""),0.0)</f>
        <v>0</v>
      </c>
      <c r="L94" s="334" t="str">
        <f>IFERROR(__xludf.DUMMYFUNCTION("""COMPUTED_VALUE"""),"%")</f>
        <v>%</v>
      </c>
      <c r="M94" s="335">
        <f>IFERROR(__xludf.DUMMYFUNCTION("""COMPUTED_VALUE"""),1.0)</f>
        <v>1</v>
      </c>
      <c r="N94" s="332" t="str">
        <f>IFERROR(__xludf.DUMMYFUNCTION("""COMPUTED_VALUE"""),"")</f>
        <v/>
      </c>
      <c r="O94" s="327" t="str">
        <f>IFERROR(__xludf.DUMMYFUNCTION("""COMPUTED_VALUE"""),"")</f>
        <v/>
      </c>
      <c r="P94" s="332" t="str">
        <f>IFERROR(__xludf.DUMMYFUNCTION("""COMPUTED_VALUE"""),"")</f>
        <v/>
      </c>
      <c r="Q94" s="333" t="str">
        <f>IFERROR(__xludf.DUMMYFUNCTION("""COMPUTED_VALUE"""),"AP")</f>
        <v>AP</v>
      </c>
      <c r="R94" s="332">
        <f>IFERROR(__xludf.DUMMYFUNCTION("""COMPUTED_VALUE"""),0.0)</f>
        <v>0</v>
      </c>
      <c r="S94" s="334" t="str">
        <f>IFERROR(__xludf.DUMMYFUNCTION("""COMPUTED_VALUE"""),"%")</f>
        <v>%</v>
      </c>
      <c r="T94" s="335">
        <f>IFERROR(__xludf.DUMMYFUNCTION("""COMPUTED_VALUE"""),2.0)</f>
        <v>2</v>
      </c>
      <c r="U94" s="332" t="str">
        <f>IFERROR(__xludf.DUMMYFUNCTION("""COMPUTED_VALUE"""),"")</f>
        <v/>
      </c>
      <c r="V94" s="327" t="str">
        <f>IFERROR(__xludf.DUMMYFUNCTION("""COMPUTED_VALUE"""),"")</f>
        <v/>
      </c>
      <c r="W94" s="332" t="str">
        <f>IFERROR(__xludf.DUMMYFUNCTION("""COMPUTED_VALUE"""),"")</f>
        <v/>
      </c>
      <c r="X94" s="333" t="str">
        <f>IFERROR(__xludf.DUMMYFUNCTION("""COMPUTED_VALUE"""),"AP")</f>
        <v>AP</v>
      </c>
      <c r="Y94" s="332">
        <f>IFERROR(__xludf.DUMMYFUNCTION("""COMPUTED_VALUE"""),0.0)</f>
        <v>0</v>
      </c>
      <c r="Z94" s="334" t="str">
        <f>IFERROR(__xludf.DUMMYFUNCTION("""COMPUTED_VALUE"""),"%")</f>
        <v>%</v>
      </c>
      <c r="AA94" s="335">
        <f>IFERROR(__xludf.DUMMYFUNCTION("""COMPUTED_VALUE"""),3.0)</f>
        <v>3</v>
      </c>
      <c r="AB94" s="332" t="str">
        <f>IFERROR(__xludf.DUMMYFUNCTION("""COMPUTED_VALUE"""),"")</f>
        <v/>
      </c>
      <c r="AC94" s="327" t="str">
        <f>IFERROR(__xludf.DUMMYFUNCTION("""COMPUTED_VALUE"""),"")</f>
        <v/>
      </c>
      <c r="AD94" s="332" t="str">
        <f>IFERROR(__xludf.DUMMYFUNCTION("""COMPUTED_VALUE"""),"")</f>
        <v/>
      </c>
      <c r="AE94" s="333" t="str">
        <f>IFERROR(__xludf.DUMMYFUNCTION("""COMPUTED_VALUE"""),"AP")</f>
        <v>AP</v>
      </c>
      <c r="AF94" s="332">
        <f>IFERROR(__xludf.DUMMYFUNCTION("""COMPUTED_VALUE"""),0.0)</f>
        <v>0</v>
      </c>
      <c r="AG94" s="334" t="str">
        <f>IFERROR(__xludf.DUMMYFUNCTION("""COMPUTED_VALUE"""),"%")</f>
        <v>%</v>
      </c>
      <c r="AH94" s="330" t="str">
        <f>IFERROR(__xludf.DUMMYFUNCTION("""COMPUTED_VALUE"""),"")</f>
        <v/>
      </c>
      <c r="AI94" s="331" t="str">
        <f>IFERROR(__xludf.DUMMYFUNCTION("""COMPUTED_VALUE"""),"")</f>
        <v/>
      </c>
      <c r="AJ94" s="329" t="str">
        <f>IFERROR(__xludf.DUMMYFUNCTION("""COMPUTED_VALUE"""),"")</f>
        <v/>
      </c>
    </row>
    <row r="95" ht="24.75" customHeight="1">
      <c r="A95" s="319">
        <f>IFERROR(__xludf.DUMMYFUNCTION("""COMPUTED_VALUE"""),3.0)</f>
        <v>3</v>
      </c>
      <c r="B95" s="319" t="str">
        <f>IFERROR(__xludf.DUMMYFUNCTION("""COMPUTED_VALUE"""),"A111")</f>
        <v>A111</v>
      </c>
      <c r="C95" s="319" t="str">
        <f>IFERROR(__xludf.DUMMYFUNCTION("""COMPUTED_VALUE"""),"")</f>
        <v/>
      </c>
      <c r="D95" s="320" t="str">
        <f>IFERROR(__xludf.DUMMYFUNCTION("""COMPUTED_VALUE"""),"")</f>
        <v/>
      </c>
      <c r="E95" s="321" t="str">
        <f>IFERROR(__xludf.DUMMYFUNCTION("""COMPUTED_VALUE"""),"")</f>
        <v/>
      </c>
      <c r="F95" s="322" t="str">
        <f>IFERROR(__xludf.DUMMYFUNCTION("""COMPUTED_VALUE"""),"")</f>
        <v/>
      </c>
      <c r="G95" s="322" t="str">
        <f>IFERROR(__xludf.DUMMYFUNCTION("""COMPUTED_VALUE"""),"")</f>
        <v/>
      </c>
      <c r="H95" s="323" t="str">
        <f>IFERROR(__xludf.DUMMYFUNCTION("""COMPUTED_VALUE""")," ")</f>
        <v> </v>
      </c>
      <c r="I95" s="324" t="str">
        <f>IFERROR(__xludf.DUMMYFUNCTION("""COMPUTED_VALUE"""),"")</f>
        <v/>
      </c>
      <c r="J95" s="325" t="str">
        <f>IFERROR(__xludf.DUMMYFUNCTION("""COMPUTED_VALUE"""),"AP")</f>
        <v>AP</v>
      </c>
      <c r="K95" s="324">
        <f>IFERROR(__xludf.DUMMYFUNCTION("""COMPUTED_VALUE"""),0.0)</f>
        <v>0</v>
      </c>
      <c r="L95" s="325" t="str">
        <f>IFERROR(__xludf.DUMMYFUNCTION("""COMPUTED_VALUE"""),"%")</f>
        <v>%</v>
      </c>
      <c r="M95" s="326">
        <f>IFERROR(__xludf.DUMMYFUNCTION("""COMPUTED_VALUE"""),1.0)</f>
        <v>1</v>
      </c>
      <c r="N95" s="324" t="str">
        <f>IFERROR(__xludf.DUMMYFUNCTION("""COMPUTED_VALUE"""),"")</f>
        <v/>
      </c>
      <c r="O95" s="327" t="str">
        <f>IFERROR(__xludf.DUMMYFUNCTION("""COMPUTED_VALUE"""),"")</f>
        <v/>
      </c>
      <c r="P95" s="324" t="str">
        <f>IFERROR(__xludf.DUMMYFUNCTION("""COMPUTED_VALUE"""),"")</f>
        <v/>
      </c>
      <c r="Q95" s="325" t="str">
        <f>IFERROR(__xludf.DUMMYFUNCTION("""COMPUTED_VALUE"""),"AP")</f>
        <v>AP</v>
      </c>
      <c r="R95" s="324">
        <f>IFERROR(__xludf.DUMMYFUNCTION("""COMPUTED_VALUE"""),0.0)</f>
        <v>0</v>
      </c>
      <c r="S95" s="325" t="str">
        <f>IFERROR(__xludf.DUMMYFUNCTION("""COMPUTED_VALUE"""),"%")</f>
        <v>%</v>
      </c>
      <c r="T95" s="326">
        <f>IFERROR(__xludf.DUMMYFUNCTION("""COMPUTED_VALUE"""),2.0)</f>
        <v>2</v>
      </c>
      <c r="U95" s="324" t="str">
        <f>IFERROR(__xludf.DUMMYFUNCTION("""COMPUTED_VALUE"""),"")</f>
        <v/>
      </c>
      <c r="V95" s="327" t="str">
        <f>IFERROR(__xludf.DUMMYFUNCTION("""COMPUTED_VALUE"""),"")</f>
        <v/>
      </c>
      <c r="W95" s="324" t="str">
        <f>IFERROR(__xludf.DUMMYFUNCTION("""COMPUTED_VALUE"""),"")</f>
        <v/>
      </c>
      <c r="X95" s="325" t="str">
        <f>IFERROR(__xludf.DUMMYFUNCTION("""COMPUTED_VALUE"""),"AP")</f>
        <v>AP</v>
      </c>
      <c r="Y95" s="324">
        <f>IFERROR(__xludf.DUMMYFUNCTION("""COMPUTED_VALUE"""),0.0)</f>
        <v>0</v>
      </c>
      <c r="Z95" s="325" t="str">
        <f>IFERROR(__xludf.DUMMYFUNCTION("""COMPUTED_VALUE"""),"%")</f>
        <v>%</v>
      </c>
      <c r="AA95" s="326">
        <f>IFERROR(__xludf.DUMMYFUNCTION("""COMPUTED_VALUE"""),3.0)</f>
        <v>3</v>
      </c>
      <c r="AB95" s="324" t="str">
        <f>IFERROR(__xludf.DUMMYFUNCTION("""COMPUTED_VALUE"""),"")</f>
        <v/>
      </c>
      <c r="AC95" s="327" t="str">
        <f>IFERROR(__xludf.DUMMYFUNCTION("""COMPUTED_VALUE"""),"")</f>
        <v/>
      </c>
      <c r="AD95" s="324" t="str">
        <f>IFERROR(__xludf.DUMMYFUNCTION("""COMPUTED_VALUE"""),"")</f>
        <v/>
      </c>
      <c r="AE95" s="325" t="str">
        <f>IFERROR(__xludf.DUMMYFUNCTION("""COMPUTED_VALUE"""),"AP")</f>
        <v>AP</v>
      </c>
      <c r="AF95" s="324">
        <f>IFERROR(__xludf.DUMMYFUNCTION("""COMPUTED_VALUE"""),0.0)</f>
        <v>0</v>
      </c>
      <c r="AG95" s="325" t="str">
        <f>IFERROR(__xludf.DUMMYFUNCTION("""COMPUTED_VALUE"""),"%")</f>
        <v>%</v>
      </c>
      <c r="AH95" s="321" t="str">
        <f>IFERROR(__xludf.DUMMYFUNCTION("""COMPUTED_VALUE"""),"")</f>
        <v/>
      </c>
      <c r="AI95" s="322" t="str">
        <f>IFERROR(__xludf.DUMMYFUNCTION("""COMPUTED_VALUE"""),"")</f>
        <v/>
      </c>
      <c r="AJ95" s="320" t="str">
        <f>IFERROR(__xludf.DUMMYFUNCTION("""COMPUTED_VALUE"""),"")</f>
        <v/>
      </c>
    </row>
    <row r="96" ht="24.75" customHeight="1">
      <c r="A96" s="328">
        <f>IFERROR(__xludf.DUMMYFUNCTION("""COMPUTED_VALUE"""),4.0)</f>
        <v>4</v>
      </c>
      <c r="B96" s="328" t="str">
        <f>IFERROR(__xludf.DUMMYFUNCTION("""COMPUTED_VALUE"""),"A111")</f>
        <v>A111</v>
      </c>
      <c r="C96" s="328" t="str">
        <f>IFERROR(__xludf.DUMMYFUNCTION("""COMPUTED_VALUE"""),"")</f>
        <v/>
      </c>
      <c r="D96" s="329" t="str">
        <f>IFERROR(__xludf.DUMMYFUNCTION("""COMPUTED_VALUE"""),"")</f>
        <v/>
      </c>
      <c r="E96" s="330" t="str">
        <f>IFERROR(__xludf.DUMMYFUNCTION("""COMPUTED_VALUE"""),"")</f>
        <v/>
      </c>
      <c r="F96" s="331" t="str">
        <f>IFERROR(__xludf.DUMMYFUNCTION("""COMPUTED_VALUE"""),"")</f>
        <v/>
      </c>
      <c r="G96" s="331" t="str">
        <f>IFERROR(__xludf.DUMMYFUNCTION("""COMPUTED_VALUE"""),"")</f>
        <v/>
      </c>
      <c r="H96" s="323" t="str">
        <f>IFERROR(__xludf.DUMMYFUNCTION("""COMPUTED_VALUE""")," ")</f>
        <v> </v>
      </c>
      <c r="I96" s="332" t="str">
        <f>IFERROR(__xludf.DUMMYFUNCTION("""COMPUTED_VALUE"""),"")</f>
        <v/>
      </c>
      <c r="J96" s="333" t="str">
        <f>IFERROR(__xludf.DUMMYFUNCTION("""COMPUTED_VALUE"""),"AP")</f>
        <v>AP</v>
      </c>
      <c r="K96" s="332">
        <f>IFERROR(__xludf.DUMMYFUNCTION("""COMPUTED_VALUE"""),0.0)</f>
        <v>0</v>
      </c>
      <c r="L96" s="334" t="str">
        <f>IFERROR(__xludf.DUMMYFUNCTION("""COMPUTED_VALUE"""),"%")</f>
        <v>%</v>
      </c>
      <c r="M96" s="335">
        <f>IFERROR(__xludf.DUMMYFUNCTION("""COMPUTED_VALUE"""),1.0)</f>
        <v>1</v>
      </c>
      <c r="N96" s="332" t="str">
        <f>IFERROR(__xludf.DUMMYFUNCTION("""COMPUTED_VALUE"""),"")</f>
        <v/>
      </c>
      <c r="O96" s="327" t="str">
        <f>IFERROR(__xludf.DUMMYFUNCTION("""COMPUTED_VALUE"""),"")</f>
        <v/>
      </c>
      <c r="P96" s="332" t="str">
        <f>IFERROR(__xludf.DUMMYFUNCTION("""COMPUTED_VALUE"""),"")</f>
        <v/>
      </c>
      <c r="Q96" s="333" t="str">
        <f>IFERROR(__xludf.DUMMYFUNCTION("""COMPUTED_VALUE"""),"AP")</f>
        <v>AP</v>
      </c>
      <c r="R96" s="332">
        <f>IFERROR(__xludf.DUMMYFUNCTION("""COMPUTED_VALUE"""),0.0)</f>
        <v>0</v>
      </c>
      <c r="S96" s="334" t="str">
        <f>IFERROR(__xludf.DUMMYFUNCTION("""COMPUTED_VALUE"""),"%")</f>
        <v>%</v>
      </c>
      <c r="T96" s="335">
        <f>IFERROR(__xludf.DUMMYFUNCTION("""COMPUTED_VALUE"""),2.0)</f>
        <v>2</v>
      </c>
      <c r="U96" s="332" t="str">
        <f>IFERROR(__xludf.DUMMYFUNCTION("""COMPUTED_VALUE"""),"")</f>
        <v/>
      </c>
      <c r="V96" s="327" t="str">
        <f>IFERROR(__xludf.DUMMYFUNCTION("""COMPUTED_VALUE"""),"")</f>
        <v/>
      </c>
      <c r="W96" s="332" t="str">
        <f>IFERROR(__xludf.DUMMYFUNCTION("""COMPUTED_VALUE"""),"")</f>
        <v/>
      </c>
      <c r="X96" s="333" t="str">
        <f>IFERROR(__xludf.DUMMYFUNCTION("""COMPUTED_VALUE"""),"AP")</f>
        <v>AP</v>
      </c>
      <c r="Y96" s="332">
        <f>IFERROR(__xludf.DUMMYFUNCTION("""COMPUTED_VALUE"""),0.0)</f>
        <v>0</v>
      </c>
      <c r="Z96" s="334" t="str">
        <f>IFERROR(__xludf.DUMMYFUNCTION("""COMPUTED_VALUE"""),"%")</f>
        <v>%</v>
      </c>
      <c r="AA96" s="335">
        <f>IFERROR(__xludf.DUMMYFUNCTION("""COMPUTED_VALUE"""),3.0)</f>
        <v>3</v>
      </c>
      <c r="AB96" s="332" t="str">
        <f>IFERROR(__xludf.DUMMYFUNCTION("""COMPUTED_VALUE"""),"")</f>
        <v/>
      </c>
      <c r="AC96" s="327" t="str">
        <f>IFERROR(__xludf.DUMMYFUNCTION("""COMPUTED_VALUE"""),"")</f>
        <v/>
      </c>
      <c r="AD96" s="332" t="str">
        <f>IFERROR(__xludf.DUMMYFUNCTION("""COMPUTED_VALUE"""),"")</f>
        <v/>
      </c>
      <c r="AE96" s="333" t="str">
        <f>IFERROR(__xludf.DUMMYFUNCTION("""COMPUTED_VALUE"""),"AP")</f>
        <v>AP</v>
      </c>
      <c r="AF96" s="332">
        <f>IFERROR(__xludf.DUMMYFUNCTION("""COMPUTED_VALUE"""),0.0)</f>
        <v>0</v>
      </c>
      <c r="AG96" s="334" t="str">
        <f>IFERROR(__xludf.DUMMYFUNCTION("""COMPUTED_VALUE"""),"%")</f>
        <v>%</v>
      </c>
      <c r="AH96" s="330" t="str">
        <f>IFERROR(__xludf.DUMMYFUNCTION("""COMPUTED_VALUE"""),"")</f>
        <v/>
      </c>
      <c r="AI96" s="331" t="str">
        <f>IFERROR(__xludf.DUMMYFUNCTION("""COMPUTED_VALUE"""),"")</f>
        <v/>
      </c>
      <c r="AJ96" s="329" t="str">
        <f>IFERROR(__xludf.DUMMYFUNCTION("""COMPUTED_VALUE"""),"")</f>
        <v/>
      </c>
    </row>
    <row r="97" ht="24.75" customHeight="1">
      <c r="A97" s="319">
        <f>IFERROR(__xludf.DUMMYFUNCTION("""COMPUTED_VALUE"""),5.0)</f>
        <v>5</v>
      </c>
      <c r="B97" s="319" t="str">
        <f>IFERROR(__xludf.DUMMYFUNCTION("""COMPUTED_VALUE"""),"A111")</f>
        <v>A111</v>
      </c>
      <c r="C97" s="319" t="str">
        <f>IFERROR(__xludf.DUMMYFUNCTION("""COMPUTED_VALUE"""),"")</f>
        <v/>
      </c>
      <c r="D97" s="320" t="str">
        <f>IFERROR(__xludf.DUMMYFUNCTION("""COMPUTED_VALUE"""),"")</f>
        <v/>
      </c>
      <c r="E97" s="321" t="str">
        <f>IFERROR(__xludf.DUMMYFUNCTION("""COMPUTED_VALUE"""),"")</f>
        <v/>
      </c>
      <c r="F97" s="322" t="str">
        <f>IFERROR(__xludf.DUMMYFUNCTION("""COMPUTED_VALUE"""),"")</f>
        <v/>
      </c>
      <c r="G97" s="322" t="str">
        <f>IFERROR(__xludf.DUMMYFUNCTION("""COMPUTED_VALUE"""),"")</f>
        <v/>
      </c>
      <c r="H97" s="323" t="str">
        <f>IFERROR(__xludf.DUMMYFUNCTION("""COMPUTED_VALUE""")," ")</f>
        <v> </v>
      </c>
      <c r="I97" s="324" t="str">
        <f>IFERROR(__xludf.DUMMYFUNCTION("""COMPUTED_VALUE"""),"")</f>
        <v/>
      </c>
      <c r="J97" s="325" t="str">
        <f>IFERROR(__xludf.DUMMYFUNCTION("""COMPUTED_VALUE"""),"AP")</f>
        <v>AP</v>
      </c>
      <c r="K97" s="324">
        <f>IFERROR(__xludf.DUMMYFUNCTION("""COMPUTED_VALUE"""),0.0)</f>
        <v>0</v>
      </c>
      <c r="L97" s="325" t="str">
        <f>IFERROR(__xludf.DUMMYFUNCTION("""COMPUTED_VALUE"""),"%")</f>
        <v>%</v>
      </c>
      <c r="M97" s="326">
        <f>IFERROR(__xludf.DUMMYFUNCTION("""COMPUTED_VALUE"""),1.0)</f>
        <v>1</v>
      </c>
      <c r="N97" s="324" t="str">
        <f>IFERROR(__xludf.DUMMYFUNCTION("""COMPUTED_VALUE"""),"")</f>
        <v/>
      </c>
      <c r="O97" s="327" t="str">
        <f>IFERROR(__xludf.DUMMYFUNCTION("""COMPUTED_VALUE"""),"")</f>
        <v/>
      </c>
      <c r="P97" s="324" t="str">
        <f>IFERROR(__xludf.DUMMYFUNCTION("""COMPUTED_VALUE"""),"")</f>
        <v/>
      </c>
      <c r="Q97" s="325" t="str">
        <f>IFERROR(__xludf.DUMMYFUNCTION("""COMPUTED_VALUE"""),"AP")</f>
        <v>AP</v>
      </c>
      <c r="R97" s="324">
        <f>IFERROR(__xludf.DUMMYFUNCTION("""COMPUTED_VALUE"""),0.0)</f>
        <v>0</v>
      </c>
      <c r="S97" s="325" t="str">
        <f>IFERROR(__xludf.DUMMYFUNCTION("""COMPUTED_VALUE"""),"%")</f>
        <v>%</v>
      </c>
      <c r="T97" s="326">
        <f>IFERROR(__xludf.DUMMYFUNCTION("""COMPUTED_VALUE"""),2.0)</f>
        <v>2</v>
      </c>
      <c r="U97" s="324" t="str">
        <f>IFERROR(__xludf.DUMMYFUNCTION("""COMPUTED_VALUE"""),"")</f>
        <v/>
      </c>
      <c r="V97" s="327" t="str">
        <f>IFERROR(__xludf.DUMMYFUNCTION("""COMPUTED_VALUE"""),"")</f>
        <v/>
      </c>
      <c r="W97" s="324" t="str">
        <f>IFERROR(__xludf.DUMMYFUNCTION("""COMPUTED_VALUE"""),"")</f>
        <v/>
      </c>
      <c r="X97" s="325" t="str">
        <f>IFERROR(__xludf.DUMMYFUNCTION("""COMPUTED_VALUE"""),"AP")</f>
        <v>AP</v>
      </c>
      <c r="Y97" s="324">
        <f>IFERROR(__xludf.DUMMYFUNCTION("""COMPUTED_VALUE"""),0.0)</f>
        <v>0</v>
      </c>
      <c r="Z97" s="325" t="str">
        <f>IFERROR(__xludf.DUMMYFUNCTION("""COMPUTED_VALUE"""),"%")</f>
        <v>%</v>
      </c>
      <c r="AA97" s="326">
        <f>IFERROR(__xludf.DUMMYFUNCTION("""COMPUTED_VALUE"""),3.0)</f>
        <v>3</v>
      </c>
      <c r="AB97" s="324" t="str">
        <f>IFERROR(__xludf.DUMMYFUNCTION("""COMPUTED_VALUE"""),"")</f>
        <v/>
      </c>
      <c r="AC97" s="327" t="str">
        <f>IFERROR(__xludf.DUMMYFUNCTION("""COMPUTED_VALUE"""),"")</f>
        <v/>
      </c>
      <c r="AD97" s="324" t="str">
        <f>IFERROR(__xludf.DUMMYFUNCTION("""COMPUTED_VALUE"""),"")</f>
        <v/>
      </c>
      <c r="AE97" s="325" t="str">
        <f>IFERROR(__xludf.DUMMYFUNCTION("""COMPUTED_VALUE"""),"AP")</f>
        <v>AP</v>
      </c>
      <c r="AF97" s="324">
        <f>IFERROR(__xludf.DUMMYFUNCTION("""COMPUTED_VALUE"""),0.0)</f>
        <v>0</v>
      </c>
      <c r="AG97" s="325" t="str">
        <f>IFERROR(__xludf.DUMMYFUNCTION("""COMPUTED_VALUE"""),"%")</f>
        <v>%</v>
      </c>
      <c r="AH97" s="321" t="str">
        <f>IFERROR(__xludf.DUMMYFUNCTION("""COMPUTED_VALUE"""),"")</f>
        <v/>
      </c>
      <c r="AI97" s="322" t="str">
        <f>IFERROR(__xludf.DUMMYFUNCTION("""COMPUTED_VALUE"""),"")</f>
        <v/>
      </c>
      <c r="AJ97" s="320" t="str">
        <f>IFERROR(__xludf.DUMMYFUNCTION("""COMPUTED_VALUE"""),"")</f>
        <v/>
      </c>
    </row>
    <row r="98">
      <c r="A98" s="336" t="str">
        <f>IFERROR(__xludf.DUMMYFUNCTION("""COMPUTED_VALUE"""),"")</f>
        <v/>
      </c>
      <c r="B98" s="337" t="str">
        <f>IFERROR(__xludf.DUMMYFUNCTION("""COMPUTED_VALUE"""),"")</f>
        <v/>
      </c>
      <c r="C98" s="338" t="str">
        <f>IFERROR(__xludf.DUMMYFUNCTION("""COMPUTED_VALUE"""),"")</f>
        <v/>
      </c>
      <c r="D98" s="339" t="str">
        <f>IFERROR(__xludf.DUMMYFUNCTION("""COMPUTED_VALUE"""),"")</f>
        <v/>
      </c>
      <c r="E98" s="337" t="str">
        <f>IFERROR(__xludf.DUMMYFUNCTION("""COMPUTED_VALUE"""),"")</f>
        <v/>
      </c>
      <c r="F98" s="337" t="str">
        <f>IFERROR(__xludf.DUMMYFUNCTION("""COMPUTED_VALUE"""),"")</f>
        <v/>
      </c>
      <c r="G98" s="337" t="str">
        <f>IFERROR(__xludf.DUMMYFUNCTION("""COMPUTED_VALUE"""),"")</f>
        <v/>
      </c>
      <c r="H98" s="337" t="str">
        <f>IFERROR(__xludf.DUMMYFUNCTION("""COMPUTED_VALUE"""),"")</f>
        <v/>
      </c>
      <c r="I98" s="337" t="str">
        <f>IFERROR(__xludf.DUMMYFUNCTION("""COMPUTED_VALUE"""),"")</f>
        <v/>
      </c>
      <c r="J98" s="341" t="str">
        <f>IFERROR(__xludf.DUMMYFUNCTION("""COMPUTED_VALUE"""),"")</f>
        <v/>
      </c>
      <c r="K98" s="337" t="str">
        <f>IFERROR(__xludf.DUMMYFUNCTION("""COMPUTED_VALUE"""),"")</f>
        <v/>
      </c>
      <c r="L98" s="341" t="str">
        <f>IFERROR(__xludf.DUMMYFUNCTION("""COMPUTED_VALUE"""),"")</f>
        <v/>
      </c>
      <c r="M98" s="337" t="str">
        <f>IFERROR(__xludf.DUMMYFUNCTION("""COMPUTED_VALUE"""),"")</f>
        <v/>
      </c>
      <c r="N98" s="337" t="str">
        <f>IFERROR(__xludf.DUMMYFUNCTION("""COMPUTED_VALUE"""),"")</f>
        <v/>
      </c>
      <c r="O98" s="337" t="str">
        <f>IFERROR(__xludf.DUMMYFUNCTION("""COMPUTED_VALUE"""),"")</f>
        <v/>
      </c>
      <c r="P98" s="337" t="str">
        <f>IFERROR(__xludf.DUMMYFUNCTION("""COMPUTED_VALUE"""),"")</f>
        <v/>
      </c>
      <c r="Q98" s="341" t="str">
        <f>IFERROR(__xludf.DUMMYFUNCTION("""COMPUTED_VALUE"""),"")</f>
        <v/>
      </c>
      <c r="R98" s="337" t="str">
        <f>IFERROR(__xludf.DUMMYFUNCTION("""COMPUTED_VALUE"""),"")</f>
        <v/>
      </c>
      <c r="S98" s="341" t="str">
        <f>IFERROR(__xludf.DUMMYFUNCTION("""COMPUTED_VALUE"""),"")</f>
        <v/>
      </c>
      <c r="T98" s="337" t="str">
        <f>IFERROR(__xludf.DUMMYFUNCTION("""COMPUTED_VALUE"""),"")</f>
        <v/>
      </c>
      <c r="U98" s="337" t="str">
        <f>IFERROR(__xludf.DUMMYFUNCTION("""COMPUTED_VALUE"""),"")</f>
        <v/>
      </c>
      <c r="V98" s="337" t="str">
        <f>IFERROR(__xludf.DUMMYFUNCTION("""COMPUTED_VALUE"""),"")</f>
        <v/>
      </c>
      <c r="W98" s="337" t="str">
        <f>IFERROR(__xludf.DUMMYFUNCTION("""COMPUTED_VALUE"""),"")</f>
        <v/>
      </c>
      <c r="X98" s="341" t="str">
        <f>IFERROR(__xludf.DUMMYFUNCTION("""COMPUTED_VALUE"""),"")</f>
        <v/>
      </c>
      <c r="Y98" s="337" t="str">
        <f>IFERROR(__xludf.DUMMYFUNCTION("""COMPUTED_VALUE"""),"")</f>
        <v/>
      </c>
      <c r="Z98" s="341" t="str">
        <f>IFERROR(__xludf.DUMMYFUNCTION("""COMPUTED_VALUE"""),"")</f>
        <v/>
      </c>
      <c r="AA98" s="337" t="str">
        <f>IFERROR(__xludf.DUMMYFUNCTION("""COMPUTED_VALUE"""),"")</f>
        <v/>
      </c>
      <c r="AB98" s="337" t="str">
        <f>IFERROR(__xludf.DUMMYFUNCTION("""COMPUTED_VALUE"""),"")</f>
        <v/>
      </c>
      <c r="AC98" s="337" t="str">
        <f>IFERROR(__xludf.DUMMYFUNCTION("""COMPUTED_VALUE"""),"")</f>
        <v/>
      </c>
      <c r="AD98" s="337" t="str">
        <f>IFERROR(__xludf.DUMMYFUNCTION("""COMPUTED_VALUE"""),"")</f>
        <v/>
      </c>
      <c r="AE98" s="341" t="str">
        <f>IFERROR(__xludf.DUMMYFUNCTION("""COMPUTED_VALUE"""),"")</f>
        <v/>
      </c>
      <c r="AF98" s="337" t="str">
        <f>IFERROR(__xludf.DUMMYFUNCTION("""COMPUTED_VALUE"""),"")</f>
        <v/>
      </c>
      <c r="AG98" s="341" t="str">
        <f>IFERROR(__xludf.DUMMYFUNCTION("""COMPUTED_VALUE"""),"")</f>
        <v/>
      </c>
      <c r="AH98" s="337" t="str">
        <f>IFERROR(__xludf.DUMMYFUNCTION("""COMPUTED_VALUE"""),"")</f>
        <v/>
      </c>
      <c r="AI98" s="337" t="str">
        <f>IFERROR(__xludf.DUMMYFUNCTION("""COMPUTED_VALUE"""),"")</f>
        <v/>
      </c>
      <c r="AJ98" s="342" t="str">
        <f>IFERROR(__xludf.DUMMYFUNCTION("""COMPUTED_VALUE"""),"")</f>
        <v/>
      </c>
    </row>
    <row r="99">
      <c r="A99" s="343" t="str">
        <f>IFERROR(__xludf.DUMMYFUNCTION("""COMPUTED_VALUE"""),"")</f>
        <v/>
      </c>
      <c r="B99" s="344" t="str">
        <f>IFERROR(__xludf.DUMMYFUNCTION("""COMPUTED_VALUE"""),"")</f>
        <v/>
      </c>
      <c r="C99" s="345" t="str">
        <f>IFERROR(__xludf.DUMMYFUNCTION("""COMPUTED_VALUE"""),"")</f>
        <v/>
      </c>
      <c r="D99" s="346" t="str">
        <f>IFERROR(__xludf.DUMMYFUNCTION("""COMPUTED_VALUE"""),"")</f>
        <v/>
      </c>
      <c r="E99" s="344" t="str">
        <f>IFERROR(__xludf.DUMMYFUNCTION("""COMPUTED_VALUE"""),"")</f>
        <v/>
      </c>
      <c r="F99" s="344" t="str">
        <f>IFERROR(__xludf.DUMMYFUNCTION("""COMPUTED_VALUE"""),"")</f>
        <v/>
      </c>
      <c r="G99" s="344" t="str">
        <f>IFERROR(__xludf.DUMMYFUNCTION("""COMPUTED_VALUE"""),"")</f>
        <v/>
      </c>
      <c r="H99" s="344" t="str">
        <f>IFERROR(__xludf.DUMMYFUNCTION("""COMPUTED_VALUE"""),"")</f>
        <v/>
      </c>
      <c r="I99" s="344" t="str">
        <f>IFERROR(__xludf.DUMMYFUNCTION("""COMPUTED_VALUE"""),"")</f>
        <v/>
      </c>
      <c r="J99" s="347" t="str">
        <f>IFERROR(__xludf.DUMMYFUNCTION("""COMPUTED_VALUE"""),"")</f>
        <v/>
      </c>
      <c r="K99" s="344" t="str">
        <f>IFERROR(__xludf.DUMMYFUNCTION("""COMPUTED_VALUE"""),"")</f>
        <v/>
      </c>
      <c r="L99" s="347" t="str">
        <f>IFERROR(__xludf.DUMMYFUNCTION("""COMPUTED_VALUE"""),"")</f>
        <v/>
      </c>
      <c r="M99" s="344" t="str">
        <f>IFERROR(__xludf.DUMMYFUNCTION("""COMPUTED_VALUE"""),"")</f>
        <v/>
      </c>
      <c r="N99" s="344" t="str">
        <f>IFERROR(__xludf.DUMMYFUNCTION("""COMPUTED_VALUE"""),"")</f>
        <v/>
      </c>
      <c r="O99" s="344" t="str">
        <f>IFERROR(__xludf.DUMMYFUNCTION("""COMPUTED_VALUE"""),"")</f>
        <v/>
      </c>
      <c r="P99" s="344" t="str">
        <f>IFERROR(__xludf.DUMMYFUNCTION("""COMPUTED_VALUE"""),"")</f>
        <v/>
      </c>
      <c r="Q99" s="347" t="str">
        <f>IFERROR(__xludf.DUMMYFUNCTION("""COMPUTED_VALUE"""),"")</f>
        <v/>
      </c>
      <c r="R99" s="344" t="str">
        <f>IFERROR(__xludf.DUMMYFUNCTION("""COMPUTED_VALUE"""),"")</f>
        <v/>
      </c>
      <c r="S99" s="347" t="str">
        <f>IFERROR(__xludf.DUMMYFUNCTION("""COMPUTED_VALUE"""),"")</f>
        <v/>
      </c>
      <c r="T99" s="344" t="str">
        <f>IFERROR(__xludf.DUMMYFUNCTION("""COMPUTED_VALUE"""),"")</f>
        <v/>
      </c>
      <c r="U99" s="344" t="str">
        <f>IFERROR(__xludf.DUMMYFUNCTION("""COMPUTED_VALUE"""),"")</f>
        <v/>
      </c>
      <c r="V99" s="344" t="str">
        <f>IFERROR(__xludf.DUMMYFUNCTION("""COMPUTED_VALUE"""),"")</f>
        <v/>
      </c>
      <c r="W99" s="344" t="str">
        <f>IFERROR(__xludf.DUMMYFUNCTION("""COMPUTED_VALUE"""),"")</f>
        <v/>
      </c>
      <c r="X99" s="347" t="str">
        <f>IFERROR(__xludf.DUMMYFUNCTION("""COMPUTED_VALUE"""),"")</f>
        <v/>
      </c>
      <c r="Y99" s="344" t="str">
        <f>IFERROR(__xludf.DUMMYFUNCTION("""COMPUTED_VALUE"""),"")</f>
        <v/>
      </c>
      <c r="Z99" s="347" t="str">
        <f>IFERROR(__xludf.DUMMYFUNCTION("""COMPUTED_VALUE"""),"")</f>
        <v/>
      </c>
      <c r="AA99" s="344" t="str">
        <f>IFERROR(__xludf.DUMMYFUNCTION("""COMPUTED_VALUE"""),"")</f>
        <v/>
      </c>
      <c r="AB99" s="344" t="str">
        <f>IFERROR(__xludf.DUMMYFUNCTION("""COMPUTED_VALUE"""),"")</f>
        <v/>
      </c>
      <c r="AC99" s="344" t="str">
        <f>IFERROR(__xludf.DUMMYFUNCTION("""COMPUTED_VALUE"""),"")</f>
        <v/>
      </c>
      <c r="AD99" s="344" t="str">
        <f>IFERROR(__xludf.DUMMYFUNCTION("""COMPUTED_VALUE"""),"")</f>
        <v/>
      </c>
      <c r="AE99" s="347" t="str">
        <f>IFERROR(__xludf.DUMMYFUNCTION("""COMPUTED_VALUE"""),"")</f>
        <v/>
      </c>
      <c r="AF99" s="344" t="str">
        <f>IFERROR(__xludf.DUMMYFUNCTION("""COMPUTED_VALUE"""),"")</f>
        <v/>
      </c>
      <c r="AG99" s="347" t="str">
        <f>IFERROR(__xludf.DUMMYFUNCTION("""COMPUTED_VALUE"""),"")</f>
        <v/>
      </c>
      <c r="AH99" s="344" t="str">
        <f>IFERROR(__xludf.DUMMYFUNCTION("""COMPUTED_VALUE"""),"")</f>
        <v/>
      </c>
      <c r="AI99" s="344" t="str">
        <f>IFERROR(__xludf.DUMMYFUNCTION("""COMPUTED_VALUE"""),"")</f>
        <v/>
      </c>
      <c r="AJ99" s="348" t="str">
        <f>IFERROR(__xludf.DUMMYFUNCTION("""COMPUTED_VALUE"""),"")</f>
        <v/>
      </c>
    </row>
    <row r="100" ht="16.5" customHeight="1">
      <c r="A100" s="349">
        <f>IFERROR(__xludf.DUMMYFUNCTION("""COMPUTED_VALUE"""),12.0)</f>
        <v>12</v>
      </c>
      <c r="B100" s="313" t="str">
        <f>IFERROR(__xludf.DUMMYFUNCTION("""COMPUTED_VALUE"""),"A112")</f>
        <v>A112</v>
      </c>
      <c r="C100" s="314" t="str">
        <f>IFERROR(__xludf.DUMMYFUNCTION("""COMPUTED_VALUE"""),"")</f>
        <v/>
      </c>
      <c r="D100" s="350" t="str">
        <f>IFERROR(__xludf.DUMMYFUNCTION("""COMPUTED_VALUE"""),"Mysterious Divine Wine")</f>
        <v>Mysterious Divine Wine</v>
      </c>
      <c r="E100" s="351" t="str">
        <f>IFERROR(__xludf.DUMMYFUNCTION("""COMPUTED_VALUE"""),"AP")</f>
        <v>AP</v>
      </c>
      <c r="F100" s="351" t="str">
        <f>IFERROR(__xludf.DUMMYFUNCTION("""COMPUTED_VALUE"""),"Runs")</f>
        <v>Runs</v>
      </c>
      <c r="G100" s="316" t="str">
        <f>IFERROR(__xludf.DUMMYFUNCTION("""COMPUTED_VALUE"""),"Status")</f>
        <v>Status</v>
      </c>
      <c r="H100" s="351" t="str">
        <f>IFERROR(__xludf.DUMMYFUNCTION("""COMPUTED_VALUE"""),"Mat")</f>
        <v>Mat</v>
      </c>
      <c r="I100" s="351" t="str">
        <f>IFERROR(__xludf.DUMMYFUNCTION("""COMPUTED_VALUE"""),"AP/Drop")</f>
        <v>AP/Drop</v>
      </c>
      <c r="J100" s="351" t="str">
        <f>IFERROR(__xludf.DUMMYFUNCTION("""COMPUTED_VALUE"""),"")</f>
        <v/>
      </c>
      <c r="K100" s="351" t="str">
        <f>IFERROR(__xludf.DUMMYFUNCTION("""COMPUTED_VALUE"""),"Droprate")</f>
        <v>Droprate</v>
      </c>
      <c r="L100" s="351" t="str">
        <f>IFERROR(__xludf.DUMMYFUNCTION("""COMPUTED_VALUE"""),"")</f>
        <v/>
      </c>
      <c r="M100" s="351" t="str">
        <f>IFERROR(__xludf.DUMMYFUNCTION("""COMPUTED_VALUE"""),"#2")</f>
        <v>#2</v>
      </c>
      <c r="N100" s="351" t="str">
        <f>IFERROR(__xludf.DUMMYFUNCTION("""COMPUTED_VALUE"""),"Item 2 ID")</f>
        <v>Item 2 ID</v>
      </c>
      <c r="O100" s="351" t="str">
        <f>IFERROR(__xludf.DUMMYFUNCTION("""COMPUTED_VALUE"""),"Mat")</f>
        <v>Mat</v>
      </c>
      <c r="P100" s="351" t="str">
        <f>IFERROR(__xludf.DUMMYFUNCTION("""COMPUTED_VALUE"""),"AP/Drop")</f>
        <v>AP/Drop</v>
      </c>
      <c r="Q100" s="351" t="str">
        <f>IFERROR(__xludf.DUMMYFUNCTION("""COMPUTED_VALUE"""),"")</f>
        <v/>
      </c>
      <c r="R100" s="351" t="str">
        <f>IFERROR(__xludf.DUMMYFUNCTION("""COMPUTED_VALUE"""),"Droprate")</f>
        <v>Droprate</v>
      </c>
      <c r="S100" s="351" t="str">
        <f>IFERROR(__xludf.DUMMYFUNCTION("""COMPUTED_VALUE"""),"")</f>
        <v/>
      </c>
      <c r="T100" s="351" t="str">
        <f>IFERROR(__xludf.DUMMYFUNCTION("""COMPUTED_VALUE"""),"#3")</f>
        <v>#3</v>
      </c>
      <c r="U100" s="351" t="str">
        <f>IFERROR(__xludf.DUMMYFUNCTION("""COMPUTED_VALUE"""),"Item 2 ID")</f>
        <v>Item 2 ID</v>
      </c>
      <c r="V100" s="351" t="str">
        <f>IFERROR(__xludf.DUMMYFUNCTION("""COMPUTED_VALUE"""),"Mat")</f>
        <v>Mat</v>
      </c>
      <c r="W100" s="351" t="str">
        <f>IFERROR(__xludf.DUMMYFUNCTION("""COMPUTED_VALUE"""),"AP/Drop")</f>
        <v>AP/Drop</v>
      </c>
      <c r="X100" s="351" t="str">
        <f>IFERROR(__xludf.DUMMYFUNCTION("""COMPUTED_VALUE"""),"")</f>
        <v/>
      </c>
      <c r="Y100" s="351" t="str">
        <f>IFERROR(__xludf.DUMMYFUNCTION("""COMPUTED_VALUE"""),"Droprate")</f>
        <v>Droprate</v>
      </c>
      <c r="Z100" s="351" t="str">
        <f>IFERROR(__xludf.DUMMYFUNCTION("""COMPUTED_VALUE"""),"")</f>
        <v/>
      </c>
      <c r="AA100" s="351" t="str">
        <f>IFERROR(__xludf.DUMMYFUNCTION("""COMPUTED_VALUE"""),"#4")</f>
        <v>#4</v>
      </c>
      <c r="AB100" s="351" t="str">
        <f>IFERROR(__xludf.DUMMYFUNCTION("""COMPUTED_VALUE"""),"Item 3 ID")</f>
        <v>Item 3 ID</v>
      </c>
      <c r="AC100" s="351" t="str">
        <f>IFERROR(__xludf.DUMMYFUNCTION("""COMPUTED_VALUE"""),"Mat")</f>
        <v>Mat</v>
      </c>
      <c r="AD100" s="351" t="str">
        <f>IFERROR(__xludf.DUMMYFUNCTION("""COMPUTED_VALUE"""),"AP/Drop")</f>
        <v>AP/Drop</v>
      </c>
      <c r="AE100" s="351" t="str">
        <f>IFERROR(__xludf.DUMMYFUNCTION("""COMPUTED_VALUE"""),"")</f>
        <v/>
      </c>
      <c r="AF100" s="351" t="str">
        <f>IFERROR(__xludf.DUMMYFUNCTION("""COMPUTED_VALUE"""),"Droprate")</f>
        <v>Droprate</v>
      </c>
      <c r="AG100" s="351" t="str">
        <f>IFERROR(__xludf.DUMMYFUNCTION("""COMPUTED_VALUE"""),"")</f>
        <v/>
      </c>
      <c r="AH100" s="351" t="str">
        <f>IFERROR(__xludf.DUMMYFUNCTION("""COMPUTED_VALUE"""),"AP")</f>
        <v>AP</v>
      </c>
      <c r="AI100" s="351" t="str">
        <f>IFERROR(__xludf.DUMMYFUNCTION("""COMPUTED_VALUE"""),"Runs")</f>
        <v>Runs</v>
      </c>
      <c r="AJ100" s="351" t="str">
        <f>IFERROR(__xludf.DUMMYFUNCTION("""COMPUTED_VALUE"""),"Node Name")</f>
        <v>Node Name</v>
      </c>
    </row>
    <row r="101" ht="16.5" customHeight="1">
      <c r="D101" s="317" t="str">
        <f>IFERROR(__xludf.DUMMYFUNCTION("""COMPUTED_VALUE"""),"#N/A")</f>
        <v>#N/A</v>
      </c>
      <c r="E101" s="318"/>
      <c r="F101" s="318"/>
      <c r="G101" s="318"/>
      <c r="H101" s="318"/>
      <c r="I101" s="318"/>
      <c r="J101" s="318"/>
      <c r="K101" s="318"/>
      <c r="L101" s="318"/>
      <c r="M101" s="318"/>
      <c r="N101" s="318"/>
      <c r="O101" s="318"/>
      <c r="P101" s="318"/>
      <c r="Q101" s="318"/>
      <c r="R101" s="318"/>
      <c r="S101" s="318"/>
      <c r="T101" s="318"/>
      <c r="U101" s="318"/>
      <c r="V101" s="318"/>
      <c r="W101" s="318"/>
      <c r="X101" s="318"/>
      <c r="Y101" s="318"/>
      <c r="Z101" s="318"/>
      <c r="AA101" s="318"/>
      <c r="AB101" s="318"/>
      <c r="AC101" s="318"/>
      <c r="AD101" s="318"/>
      <c r="AE101" s="318"/>
      <c r="AF101" s="318"/>
      <c r="AG101" s="318"/>
      <c r="AH101" s="318"/>
      <c r="AI101" s="318"/>
      <c r="AJ101" s="318"/>
    </row>
    <row r="102" ht="24.75" customHeight="1">
      <c r="A102" s="319">
        <f>IFERROR(__xludf.DUMMYFUNCTION("""COMPUTED_VALUE"""),1.0)</f>
        <v>1</v>
      </c>
      <c r="B102" s="319" t="str">
        <f>IFERROR(__xludf.DUMMYFUNCTION("""COMPUTED_VALUE"""),"A112")</f>
        <v>A112</v>
      </c>
      <c r="C102" s="319">
        <f>IFERROR(__xludf.DUMMYFUNCTION("""COMPUTED_VALUE"""),3.0)</f>
        <v>3</v>
      </c>
      <c r="D102" s="320" t="str">
        <f>IFERROR(__xludf.DUMMYFUNCTION("""COMPUTED_VALUE"""),"Old Well")</f>
        <v>Old Well</v>
      </c>
      <c r="E102" s="321">
        <f>IFERROR(__xludf.DUMMYFUNCTION("""COMPUTED_VALUE"""),40.0)</f>
        <v>40</v>
      </c>
      <c r="F102" s="322">
        <f>IFERROR(__xludf.DUMMYFUNCTION("""COMPUTED_VALUE"""),128.0)</f>
        <v>128</v>
      </c>
      <c r="G102" s="322" t="str">
        <f>IFERROR(__xludf.DUMMYFUNCTION("""COMPUTED_VALUE"""),"Open")</f>
        <v>Open</v>
      </c>
      <c r="H102" s="323" t="str">
        <f>IFERROR(__xludf.DUMMYFUNCTION("""COMPUTED_VALUE"""),"")</f>
        <v/>
      </c>
      <c r="I102" s="324">
        <f>IFERROR(__xludf.DUMMYFUNCTION("""COMPUTED_VALUE"""),182.85714285714286)</f>
        <v>182.8571429</v>
      </c>
      <c r="J102" s="325" t="str">
        <f>IFERROR(__xludf.DUMMYFUNCTION("""COMPUTED_VALUE"""),"AP")</f>
        <v>AP</v>
      </c>
      <c r="K102" s="324">
        <f>IFERROR(__xludf.DUMMYFUNCTION("""COMPUTED_VALUE"""),21.875)</f>
        <v>21.875</v>
      </c>
      <c r="L102" s="325" t="str">
        <f>IFERROR(__xludf.DUMMYFUNCTION("""COMPUTED_VALUE"""),"%")</f>
        <v>%</v>
      </c>
      <c r="M102" s="326">
        <f>IFERROR(__xludf.DUMMYFUNCTION("""COMPUTED_VALUE"""),1.0)</f>
        <v>1</v>
      </c>
      <c r="N102" s="324" t="str">
        <f>IFERROR(__xludf.DUMMYFUNCTION("""COMPUTED_VALUE"""),"A203")</f>
        <v>A203</v>
      </c>
      <c r="O102" s="327" t="str">
        <f>IFERROR(__xludf.DUMMYFUNCTION("""COMPUTED_VALUE"""),"")</f>
        <v/>
      </c>
      <c r="P102" s="324">
        <f>IFERROR(__xludf.DUMMYFUNCTION("""COMPUTED_VALUE"""),65.64102564102564)</f>
        <v>65.64102564</v>
      </c>
      <c r="Q102" s="325" t="str">
        <f>IFERROR(__xludf.DUMMYFUNCTION("""COMPUTED_VALUE"""),"AP")</f>
        <v>AP</v>
      </c>
      <c r="R102" s="324">
        <f>IFERROR(__xludf.DUMMYFUNCTION("""COMPUTED_VALUE"""),60.9375)</f>
        <v>60.9375</v>
      </c>
      <c r="S102" s="325" t="str">
        <f>IFERROR(__xludf.DUMMYFUNCTION("""COMPUTED_VALUE"""),"%")</f>
        <v>%</v>
      </c>
      <c r="T102" s="326">
        <f>IFERROR(__xludf.DUMMYFUNCTION("""COMPUTED_VALUE"""),2.0)</f>
        <v>2</v>
      </c>
      <c r="U102" s="324" t="str">
        <f>IFERROR(__xludf.DUMMYFUNCTION("""COMPUTED_VALUE"""),"B102")</f>
        <v>B102</v>
      </c>
      <c r="V102" s="327" t="str">
        <f>IFERROR(__xludf.DUMMYFUNCTION("""COMPUTED_VALUE"""),"")</f>
        <v/>
      </c>
      <c r="W102" s="324">
        <f>IFERROR(__xludf.DUMMYFUNCTION("""COMPUTED_VALUE"""),182.85714285714286)</f>
        <v>182.8571429</v>
      </c>
      <c r="X102" s="325" t="str">
        <f>IFERROR(__xludf.DUMMYFUNCTION("""COMPUTED_VALUE"""),"AP")</f>
        <v>AP</v>
      </c>
      <c r="Y102" s="324">
        <f>IFERROR(__xludf.DUMMYFUNCTION("""COMPUTED_VALUE"""),21.875)</f>
        <v>21.875</v>
      </c>
      <c r="Z102" s="325" t="str">
        <f>IFERROR(__xludf.DUMMYFUNCTION("""COMPUTED_VALUE"""),"%")</f>
        <v>%</v>
      </c>
      <c r="AA102" s="326">
        <f>IFERROR(__xludf.DUMMYFUNCTION("""COMPUTED_VALUE"""),3.0)</f>
        <v>3</v>
      </c>
      <c r="AB102" s="324" t="str">
        <f>IFERROR(__xludf.DUMMYFUNCTION("""COMPUTED_VALUE"""),"B112")</f>
        <v>B112</v>
      </c>
      <c r="AC102" s="327" t="str">
        <f>IFERROR(__xludf.DUMMYFUNCTION("""COMPUTED_VALUE"""),"")</f>
        <v/>
      </c>
      <c r="AD102" s="324">
        <f>IFERROR(__xludf.DUMMYFUNCTION("""COMPUTED_VALUE"""),100.3921568627451)</f>
        <v>100.3921569</v>
      </c>
      <c r="AE102" s="325" t="str">
        <f>IFERROR(__xludf.DUMMYFUNCTION("""COMPUTED_VALUE"""),"AP")</f>
        <v>AP</v>
      </c>
      <c r="AF102" s="324">
        <f>IFERROR(__xludf.DUMMYFUNCTION("""COMPUTED_VALUE"""),39.84375)</f>
        <v>39.84375</v>
      </c>
      <c r="AG102" s="325" t="str">
        <f>IFERROR(__xludf.DUMMYFUNCTION("""COMPUTED_VALUE"""),"%")</f>
        <v>%</v>
      </c>
      <c r="AH102" s="321">
        <f>IFERROR(__xludf.DUMMYFUNCTION("""COMPUTED_VALUE"""),40.0)</f>
        <v>40</v>
      </c>
      <c r="AI102" s="322">
        <f>IFERROR(__xludf.DUMMYFUNCTION("""COMPUTED_VALUE"""),128.0)</f>
        <v>128</v>
      </c>
      <c r="AJ102" s="320" t="str">
        <f>IFERROR(__xludf.DUMMYFUNCTION("""COMPUTED_VALUE"""),"Old Well")</f>
        <v>Old Well</v>
      </c>
    </row>
    <row r="103" ht="24.75" customHeight="1">
      <c r="A103" s="328">
        <f>IFERROR(__xludf.DUMMYFUNCTION("""COMPUTED_VALUE"""),2.0)</f>
        <v>2</v>
      </c>
      <c r="B103" s="328" t="str">
        <f>IFERROR(__xludf.DUMMYFUNCTION("""COMPUTED_VALUE"""),"A112")</f>
        <v>A112</v>
      </c>
      <c r="C103" s="328" t="str">
        <f>IFERROR(__xludf.DUMMYFUNCTION("""COMPUTED_VALUE"""),"")</f>
        <v/>
      </c>
      <c r="D103" s="329" t="str">
        <f>IFERROR(__xludf.DUMMYFUNCTION("""COMPUTED_VALUE"""),"")</f>
        <v/>
      </c>
      <c r="E103" s="330" t="str">
        <f>IFERROR(__xludf.DUMMYFUNCTION("""COMPUTED_VALUE"""),"")</f>
        <v/>
      </c>
      <c r="F103" s="331" t="str">
        <f>IFERROR(__xludf.DUMMYFUNCTION("""COMPUTED_VALUE"""),"")</f>
        <v/>
      </c>
      <c r="G103" s="331" t="str">
        <f>IFERROR(__xludf.DUMMYFUNCTION("""COMPUTED_VALUE"""),"")</f>
        <v/>
      </c>
      <c r="H103" s="323" t="str">
        <f>IFERROR(__xludf.DUMMYFUNCTION("""COMPUTED_VALUE""")," ")</f>
        <v> </v>
      </c>
      <c r="I103" s="332" t="str">
        <f>IFERROR(__xludf.DUMMYFUNCTION("""COMPUTED_VALUE"""),"")</f>
        <v/>
      </c>
      <c r="J103" s="333" t="str">
        <f>IFERROR(__xludf.DUMMYFUNCTION("""COMPUTED_VALUE"""),"AP")</f>
        <v>AP</v>
      </c>
      <c r="K103" s="332">
        <f>IFERROR(__xludf.DUMMYFUNCTION("""COMPUTED_VALUE"""),0.0)</f>
        <v>0</v>
      </c>
      <c r="L103" s="334" t="str">
        <f>IFERROR(__xludf.DUMMYFUNCTION("""COMPUTED_VALUE"""),"%")</f>
        <v>%</v>
      </c>
      <c r="M103" s="335">
        <f>IFERROR(__xludf.DUMMYFUNCTION("""COMPUTED_VALUE"""),1.0)</f>
        <v>1</v>
      </c>
      <c r="N103" s="332" t="str">
        <f>IFERROR(__xludf.DUMMYFUNCTION("""COMPUTED_VALUE"""),"")</f>
        <v/>
      </c>
      <c r="O103" s="327" t="str">
        <f>IFERROR(__xludf.DUMMYFUNCTION("""COMPUTED_VALUE"""),"")</f>
        <v/>
      </c>
      <c r="P103" s="332" t="str">
        <f>IFERROR(__xludf.DUMMYFUNCTION("""COMPUTED_VALUE"""),"")</f>
        <v/>
      </c>
      <c r="Q103" s="333" t="str">
        <f>IFERROR(__xludf.DUMMYFUNCTION("""COMPUTED_VALUE"""),"AP")</f>
        <v>AP</v>
      </c>
      <c r="R103" s="332">
        <f>IFERROR(__xludf.DUMMYFUNCTION("""COMPUTED_VALUE"""),0.0)</f>
        <v>0</v>
      </c>
      <c r="S103" s="334" t="str">
        <f>IFERROR(__xludf.DUMMYFUNCTION("""COMPUTED_VALUE"""),"%")</f>
        <v>%</v>
      </c>
      <c r="T103" s="335">
        <f>IFERROR(__xludf.DUMMYFUNCTION("""COMPUTED_VALUE"""),2.0)</f>
        <v>2</v>
      </c>
      <c r="U103" s="332" t="str">
        <f>IFERROR(__xludf.DUMMYFUNCTION("""COMPUTED_VALUE"""),"")</f>
        <v/>
      </c>
      <c r="V103" s="327" t="str">
        <f>IFERROR(__xludf.DUMMYFUNCTION("""COMPUTED_VALUE"""),"")</f>
        <v/>
      </c>
      <c r="W103" s="332" t="str">
        <f>IFERROR(__xludf.DUMMYFUNCTION("""COMPUTED_VALUE"""),"")</f>
        <v/>
      </c>
      <c r="X103" s="333" t="str">
        <f>IFERROR(__xludf.DUMMYFUNCTION("""COMPUTED_VALUE"""),"AP")</f>
        <v>AP</v>
      </c>
      <c r="Y103" s="332">
        <f>IFERROR(__xludf.DUMMYFUNCTION("""COMPUTED_VALUE"""),0.0)</f>
        <v>0</v>
      </c>
      <c r="Z103" s="334" t="str">
        <f>IFERROR(__xludf.DUMMYFUNCTION("""COMPUTED_VALUE"""),"%")</f>
        <v>%</v>
      </c>
      <c r="AA103" s="335">
        <f>IFERROR(__xludf.DUMMYFUNCTION("""COMPUTED_VALUE"""),3.0)</f>
        <v>3</v>
      </c>
      <c r="AB103" s="332" t="str">
        <f>IFERROR(__xludf.DUMMYFUNCTION("""COMPUTED_VALUE"""),"")</f>
        <v/>
      </c>
      <c r="AC103" s="327" t="str">
        <f>IFERROR(__xludf.DUMMYFUNCTION("""COMPUTED_VALUE"""),"")</f>
        <v/>
      </c>
      <c r="AD103" s="332" t="str">
        <f>IFERROR(__xludf.DUMMYFUNCTION("""COMPUTED_VALUE"""),"")</f>
        <v/>
      </c>
      <c r="AE103" s="333" t="str">
        <f>IFERROR(__xludf.DUMMYFUNCTION("""COMPUTED_VALUE"""),"AP")</f>
        <v>AP</v>
      </c>
      <c r="AF103" s="332">
        <f>IFERROR(__xludf.DUMMYFUNCTION("""COMPUTED_VALUE"""),0.0)</f>
        <v>0</v>
      </c>
      <c r="AG103" s="334" t="str">
        <f>IFERROR(__xludf.DUMMYFUNCTION("""COMPUTED_VALUE"""),"%")</f>
        <v>%</v>
      </c>
      <c r="AH103" s="330" t="str">
        <f>IFERROR(__xludf.DUMMYFUNCTION("""COMPUTED_VALUE"""),"")</f>
        <v/>
      </c>
      <c r="AI103" s="331" t="str">
        <f>IFERROR(__xludf.DUMMYFUNCTION("""COMPUTED_VALUE"""),"")</f>
        <v/>
      </c>
      <c r="AJ103" s="329" t="str">
        <f>IFERROR(__xludf.DUMMYFUNCTION("""COMPUTED_VALUE"""),"")</f>
        <v/>
      </c>
    </row>
    <row r="104" ht="24.75" customHeight="1">
      <c r="A104" s="319">
        <f>IFERROR(__xludf.DUMMYFUNCTION("""COMPUTED_VALUE"""),3.0)</f>
        <v>3</v>
      </c>
      <c r="B104" s="319" t="str">
        <f>IFERROR(__xludf.DUMMYFUNCTION("""COMPUTED_VALUE"""),"A112")</f>
        <v>A112</v>
      </c>
      <c r="C104" s="319" t="str">
        <f>IFERROR(__xludf.DUMMYFUNCTION("""COMPUTED_VALUE"""),"")</f>
        <v/>
      </c>
      <c r="D104" s="320" t="str">
        <f>IFERROR(__xludf.DUMMYFUNCTION("""COMPUTED_VALUE"""),"")</f>
        <v/>
      </c>
      <c r="E104" s="321" t="str">
        <f>IFERROR(__xludf.DUMMYFUNCTION("""COMPUTED_VALUE"""),"")</f>
        <v/>
      </c>
      <c r="F104" s="322" t="str">
        <f>IFERROR(__xludf.DUMMYFUNCTION("""COMPUTED_VALUE"""),"")</f>
        <v/>
      </c>
      <c r="G104" s="322" t="str">
        <f>IFERROR(__xludf.DUMMYFUNCTION("""COMPUTED_VALUE"""),"")</f>
        <v/>
      </c>
      <c r="H104" s="323" t="str">
        <f>IFERROR(__xludf.DUMMYFUNCTION("""COMPUTED_VALUE""")," ")</f>
        <v> </v>
      </c>
      <c r="I104" s="324" t="str">
        <f>IFERROR(__xludf.DUMMYFUNCTION("""COMPUTED_VALUE"""),"")</f>
        <v/>
      </c>
      <c r="J104" s="325" t="str">
        <f>IFERROR(__xludf.DUMMYFUNCTION("""COMPUTED_VALUE"""),"AP")</f>
        <v>AP</v>
      </c>
      <c r="K104" s="324">
        <f>IFERROR(__xludf.DUMMYFUNCTION("""COMPUTED_VALUE"""),0.0)</f>
        <v>0</v>
      </c>
      <c r="L104" s="325" t="str">
        <f>IFERROR(__xludf.DUMMYFUNCTION("""COMPUTED_VALUE"""),"%")</f>
        <v>%</v>
      </c>
      <c r="M104" s="326">
        <f>IFERROR(__xludf.DUMMYFUNCTION("""COMPUTED_VALUE"""),1.0)</f>
        <v>1</v>
      </c>
      <c r="N104" s="324" t="str">
        <f>IFERROR(__xludf.DUMMYFUNCTION("""COMPUTED_VALUE"""),"")</f>
        <v/>
      </c>
      <c r="O104" s="327" t="str">
        <f>IFERROR(__xludf.DUMMYFUNCTION("""COMPUTED_VALUE"""),"")</f>
        <v/>
      </c>
      <c r="P104" s="324" t="str">
        <f>IFERROR(__xludf.DUMMYFUNCTION("""COMPUTED_VALUE"""),"")</f>
        <v/>
      </c>
      <c r="Q104" s="325" t="str">
        <f>IFERROR(__xludf.DUMMYFUNCTION("""COMPUTED_VALUE"""),"AP")</f>
        <v>AP</v>
      </c>
      <c r="R104" s="324">
        <f>IFERROR(__xludf.DUMMYFUNCTION("""COMPUTED_VALUE"""),0.0)</f>
        <v>0</v>
      </c>
      <c r="S104" s="325" t="str">
        <f>IFERROR(__xludf.DUMMYFUNCTION("""COMPUTED_VALUE"""),"%")</f>
        <v>%</v>
      </c>
      <c r="T104" s="326">
        <f>IFERROR(__xludf.DUMMYFUNCTION("""COMPUTED_VALUE"""),2.0)</f>
        <v>2</v>
      </c>
      <c r="U104" s="324" t="str">
        <f>IFERROR(__xludf.DUMMYFUNCTION("""COMPUTED_VALUE"""),"")</f>
        <v/>
      </c>
      <c r="V104" s="327" t="str">
        <f>IFERROR(__xludf.DUMMYFUNCTION("""COMPUTED_VALUE"""),"")</f>
        <v/>
      </c>
      <c r="W104" s="324" t="str">
        <f>IFERROR(__xludf.DUMMYFUNCTION("""COMPUTED_VALUE"""),"")</f>
        <v/>
      </c>
      <c r="X104" s="325" t="str">
        <f>IFERROR(__xludf.DUMMYFUNCTION("""COMPUTED_VALUE"""),"AP")</f>
        <v>AP</v>
      </c>
      <c r="Y104" s="324">
        <f>IFERROR(__xludf.DUMMYFUNCTION("""COMPUTED_VALUE"""),0.0)</f>
        <v>0</v>
      </c>
      <c r="Z104" s="325" t="str">
        <f>IFERROR(__xludf.DUMMYFUNCTION("""COMPUTED_VALUE"""),"%")</f>
        <v>%</v>
      </c>
      <c r="AA104" s="326">
        <f>IFERROR(__xludf.DUMMYFUNCTION("""COMPUTED_VALUE"""),3.0)</f>
        <v>3</v>
      </c>
      <c r="AB104" s="324" t="str">
        <f>IFERROR(__xludf.DUMMYFUNCTION("""COMPUTED_VALUE"""),"")</f>
        <v/>
      </c>
      <c r="AC104" s="327" t="str">
        <f>IFERROR(__xludf.DUMMYFUNCTION("""COMPUTED_VALUE"""),"")</f>
        <v/>
      </c>
      <c r="AD104" s="324" t="str">
        <f>IFERROR(__xludf.DUMMYFUNCTION("""COMPUTED_VALUE"""),"")</f>
        <v/>
      </c>
      <c r="AE104" s="325" t="str">
        <f>IFERROR(__xludf.DUMMYFUNCTION("""COMPUTED_VALUE"""),"AP")</f>
        <v>AP</v>
      </c>
      <c r="AF104" s="324">
        <f>IFERROR(__xludf.DUMMYFUNCTION("""COMPUTED_VALUE"""),0.0)</f>
        <v>0</v>
      </c>
      <c r="AG104" s="325" t="str">
        <f>IFERROR(__xludf.DUMMYFUNCTION("""COMPUTED_VALUE"""),"%")</f>
        <v>%</v>
      </c>
      <c r="AH104" s="321" t="str">
        <f>IFERROR(__xludf.DUMMYFUNCTION("""COMPUTED_VALUE"""),"")</f>
        <v/>
      </c>
      <c r="AI104" s="322" t="str">
        <f>IFERROR(__xludf.DUMMYFUNCTION("""COMPUTED_VALUE"""),"")</f>
        <v/>
      </c>
      <c r="AJ104" s="320" t="str">
        <f>IFERROR(__xludf.DUMMYFUNCTION("""COMPUTED_VALUE"""),"")</f>
        <v/>
      </c>
    </row>
    <row r="105" ht="24.75" customHeight="1">
      <c r="A105" s="328">
        <f>IFERROR(__xludf.DUMMYFUNCTION("""COMPUTED_VALUE"""),4.0)</f>
        <v>4</v>
      </c>
      <c r="B105" s="328" t="str">
        <f>IFERROR(__xludf.DUMMYFUNCTION("""COMPUTED_VALUE"""),"A112")</f>
        <v>A112</v>
      </c>
      <c r="C105" s="328" t="str">
        <f>IFERROR(__xludf.DUMMYFUNCTION("""COMPUTED_VALUE"""),"")</f>
        <v/>
      </c>
      <c r="D105" s="329" t="str">
        <f>IFERROR(__xludf.DUMMYFUNCTION("""COMPUTED_VALUE"""),"")</f>
        <v/>
      </c>
      <c r="E105" s="330" t="str">
        <f>IFERROR(__xludf.DUMMYFUNCTION("""COMPUTED_VALUE"""),"")</f>
        <v/>
      </c>
      <c r="F105" s="331" t="str">
        <f>IFERROR(__xludf.DUMMYFUNCTION("""COMPUTED_VALUE"""),"")</f>
        <v/>
      </c>
      <c r="G105" s="331" t="str">
        <f>IFERROR(__xludf.DUMMYFUNCTION("""COMPUTED_VALUE"""),"")</f>
        <v/>
      </c>
      <c r="H105" s="323" t="str">
        <f>IFERROR(__xludf.DUMMYFUNCTION("""COMPUTED_VALUE""")," ")</f>
        <v> </v>
      </c>
      <c r="I105" s="332" t="str">
        <f>IFERROR(__xludf.DUMMYFUNCTION("""COMPUTED_VALUE"""),"")</f>
        <v/>
      </c>
      <c r="J105" s="333" t="str">
        <f>IFERROR(__xludf.DUMMYFUNCTION("""COMPUTED_VALUE"""),"AP")</f>
        <v>AP</v>
      </c>
      <c r="K105" s="332">
        <f>IFERROR(__xludf.DUMMYFUNCTION("""COMPUTED_VALUE"""),0.0)</f>
        <v>0</v>
      </c>
      <c r="L105" s="334" t="str">
        <f>IFERROR(__xludf.DUMMYFUNCTION("""COMPUTED_VALUE"""),"%")</f>
        <v>%</v>
      </c>
      <c r="M105" s="335">
        <f>IFERROR(__xludf.DUMMYFUNCTION("""COMPUTED_VALUE"""),1.0)</f>
        <v>1</v>
      </c>
      <c r="N105" s="332" t="str">
        <f>IFERROR(__xludf.DUMMYFUNCTION("""COMPUTED_VALUE"""),"")</f>
        <v/>
      </c>
      <c r="O105" s="327" t="str">
        <f>IFERROR(__xludf.DUMMYFUNCTION("""COMPUTED_VALUE"""),"")</f>
        <v/>
      </c>
      <c r="P105" s="332" t="str">
        <f>IFERROR(__xludf.DUMMYFUNCTION("""COMPUTED_VALUE"""),"")</f>
        <v/>
      </c>
      <c r="Q105" s="333" t="str">
        <f>IFERROR(__xludf.DUMMYFUNCTION("""COMPUTED_VALUE"""),"AP")</f>
        <v>AP</v>
      </c>
      <c r="R105" s="332">
        <f>IFERROR(__xludf.DUMMYFUNCTION("""COMPUTED_VALUE"""),0.0)</f>
        <v>0</v>
      </c>
      <c r="S105" s="334" t="str">
        <f>IFERROR(__xludf.DUMMYFUNCTION("""COMPUTED_VALUE"""),"%")</f>
        <v>%</v>
      </c>
      <c r="T105" s="335">
        <f>IFERROR(__xludf.DUMMYFUNCTION("""COMPUTED_VALUE"""),2.0)</f>
        <v>2</v>
      </c>
      <c r="U105" s="332" t="str">
        <f>IFERROR(__xludf.DUMMYFUNCTION("""COMPUTED_VALUE"""),"")</f>
        <v/>
      </c>
      <c r="V105" s="327" t="str">
        <f>IFERROR(__xludf.DUMMYFUNCTION("""COMPUTED_VALUE"""),"")</f>
        <v/>
      </c>
      <c r="W105" s="332" t="str">
        <f>IFERROR(__xludf.DUMMYFUNCTION("""COMPUTED_VALUE"""),"")</f>
        <v/>
      </c>
      <c r="X105" s="333" t="str">
        <f>IFERROR(__xludf.DUMMYFUNCTION("""COMPUTED_VALUE"""),"AP")</f>
        <v>AP</v>
      </c>
      <c r="Y105" s="332">
        <f>IFERROR(__xludf.DUMMYFUNCTION("""COMPUTED_VALUE"""),0.0)</f>
        <v>0</v>
      </c>
      <c r="Z105" s="334" t="str">
        <f>IFERROR(__xludf.DUMMYFUNCTION("""COMPUTED_VALUE"""),"%")</f>
        <v>%</v>
      </c>
      <c r="AA105" s="335">
        <f>IFERROR(__xludf.DUMMYFUNCTION("""COMPUTED_VALUE"""),3.0)</f>
        <v>3</v>
      </c>
      <c r="AB105" s="332" t="str">
        <f>IFERROR(__xludf.DUMMYFUNCTION("""COMPUTED_VALUE"""),"")</f>
        <v/>
      </c>
      <c r="AC105" s="327" t="str">
        <f>IFERROR(__xludf.DUMMYFUNCTION("""COMPUTED_VALUE"""),"")</f>
        <v/>
      </c>
      <c r="AD105" s="332" t="str">
        <f>IFERROR(__xludf.DUMMYFUNCTION("""COMPUTED_VALUE"""),"")</f>
        <v/>
      </c>
      <c r="AE105" s="333" t="str">
        <f>IFERROR(__xludf.DUMMYFUNCTION("""COMPUTED_VALUE"""),"AP")</f>
        <v>AP</v>
      </c>
      <c r="AF105" s="332">
        <f>IFERROR(__xludf.DUMMYFUNCTION("""COMPUTED_VALUE"""),0.0)</f>
        <v>0</v>
      </c>
      <c r="AG105" s="334" t="str">
        <f>IFERROR(__xludf.DUMMYFUNCTION("""COMPUTED_VALUE"""),"%")</f>
        <v>%</v>
      </c>
      <c r="AH105" s="330" t="str">
        <f>IFERROR(__xludf.DUMMYFUNCTION("""COMPUTED_VALUE"""),"")</f>
        <v/>
      </c>
      <c r="AI105" s="331" t="str">
        <f>IFERROR(__xludf.DUMMYFUNCTION("""COMPUTED_VALUE"""),"")</f>
        <v/>
      </c>
      <c r="AJ105" s="329" t="str">
        <f>IFERROR(__xludf.DUMMYFUNCTION("""COMPUTED_VALUE"""),"")</f>
        <v/>
      </c>
    </row>
    <row r="106" ht="24.75" customHeight="1">
      <c r="A106" s="319">
        <f>IFERROR(__xludf.DUMMYFUNCTION("""COMPUTED_VALUE"""),5.0)</f>
        <v>5</v>
      </c>
      <c r="B106" s="319" t="str">
        <f>IFERROR(__xludf.DUMMYFUNCTION("""COMPUTED_VALUE"""),"A112")</f>
        <v>A112</v>
      </c>
      <c r="C106" s="319" t="str">
        <f>IFERROR(__xludf.DUMMYFUNCTION("""COMPUTED_VALUE"""),"")</f>
        <v/>
      </c>
      <c r="D106" s="320" t="str">
        <f>IFERROR(__xludf.DUMMYFUNCTION("""COMPUTED_VALUE"""),"")</f>
        <v/>
      </c>
      <c r="E106" s="321" t="str">
        <f>IFERROR(__xludf.DUMMYFUNCTION("""COMPUTED_VALUE"""),"")</f>
        <v/>
      </c>
      <c r="F106" s="322" t="str">
        <f>IFERROR(__xludf.DUMMYFUNCTION("""COMPUTED_VALUE"""),"")</f>
        <v/>
      </c>
      <c r="G106" s="322" t="str">
        <f>IFERROR(__xludf.DUMMYFUNCTION("""COMPUTED_VALUE"""),"")</f>
        <v/>
      </c>
      <c r="H106" s="323" t="str">
        <f>IFERROR(__xludf.DUMMYFUNCTION("""COMPUTED_VALUE""")," ")</f>
        <v> </v>
      </c>
      <c r="I106" s="324" t="str">
        <f>IFERROR(__xludf.DUMMYFUNCTION("""COMPUTED_VALUE"""),"")</f>
        <v/>
      </c>
      <c r="J106" s="325" t="str">
        <f>IFERROR(__xludf.DUMMYFUNCTION("""COMPUTED_VALUE"""),"AP")</f>
        <v>AP</v>
      </c>
      <c r="K106" s="324">
        <f>IFERROR(__xludf.DUMMYFUNCTION("""COMPUTED_VALUE"""),0.0)</f>
        <v>0</v>
      </c>
      <c r="L106" s="325" t="str">
        <f>IFERROR(__xludf.DUMMYFUNCTION("""COMPUTED_VALUE"""),"%")</f>
        <v>%</v>
      </c>
      <c r="M106" s="326">
        <f>IFERROR(__xludf.DUMMYFUNCTION("""COMPUTED_VALUE"""),1.0)</f>
        <v>1</v>
      </c>
      <c r="N106" s="324" t="str">
        <f>IFERROR(__xludf.DUMMYFUNCTION("""COMPUTED_VALUE"""),"")</f>
        <v/>
      </c>
      <c r="O106" s="327" t="str">
        <f>IFERROR(__xludf.DUMMYFUNCTION("""COMPUTED_VALUE"""),"")</f>
        <v/>
      </c>
      <c r="P106" s="324" t="str">
        <f>IFERROR(__xludf.DUMMYFUNCTION("""COMPUTED_VALUE"""),"")</f>
        <v/>
      </c>
      <c r="Q106" s="325" t="str">
        <f>IFERROR(__xludf.DUMMYFUNCTION("""COMPUTED_VALUE"""),"AP")</f>
        <v>AP</v>
      </c>
      <c r="R106" s="324">
        <f>IFERROR(__xludf.DUMMYFUNCTION("""COMPUTED_VALUE"""),0.0)</f>
        <v>0</v>
      </c>
      <c r="S106" s="325" t="str">
        <f>IFERROR(__xludf.DUMMYFUNCTION("""COMPUTED_VALUE"""),"%")</f>
        <v>%</v>
      </c>
      <c r="T106" s="326">
        <f>IFERROR(__xludf.DUMMYFUNCTION("""COMPUTED_VALUE"""),2.0)</f>
        <v>2</v>
      </c>
      <c r="U106" s="324" t="str">
        <f>IFERROR(__xludf.DUMMYFUNCTION("""COMPUTED_VALUE"""),"")</f>
        <v/>
      </c>
      <c r="V106" s="327" t="str">
        <f>IFERROR(__xludf.DUMMYFUNCTION("""COMPUTED_VALUE"""),"")</f>
        <v/>
      </c>
      <c r="W106" s="324" t="str">
        <f>IFERROR(__xludf.DUMMYFUNCTION("""COMPUTED_VALUE"""),"")</f>
        <v/>
      </c>
      <c r="X106" s="325" t="str">
        <f>IFERROR(__xludf.DUMMYFUNCTION("""COMPUTED_VALUE"""),"AP")</f>
        <v>AP</v>
      </c>
      <c r="Y106" s="324">
        <f>IFERROR(__xludf.DUMMYFUNCTION("""COMPUTED_VALUE"""),0.0)</f>
        <v>0</v>
      </c>
      <c r="Z106" s="325" t="str">
        <f>IFERROR(__xludf.DUMMYFUNCTION("""COMPUTED_VALUE"""),"%")</f>
        <v>%</v>
      </c>
      <c r="AA106" s="326">
        <f>IFERROR(__xludf.DUMMYFUNCTION("""COMPUTED_VALUE"""),3.0)</f>
        <v>3</v>
      </c>
      <c r="AB106" s="324" t="str">
        <f>IFERROR(__xludf.DUMMYFUNCTION("""COMPUTED_VALUE"""),"")</f>
        <v/>
      </c>
      <c r="AC106" s="327" t="str">
        <f>IFERROR(__xludf.DUMMYFUNCTION("""COMPUTED_VALUE"""),"")</f>
        <v/>
      </c>
      <c r="AD106" s="324" t="str">
        <f>IFERROR(__xludf.DUMMYFUNCTION("""COMPUTED_VALUE"""),"")</f>
        <v/>
      </c>
      <c r="AE106" s="325" t="str">
        <f>IFERROR(__xludf.DUMMYFUNCTION("""COMPUTED_VALUE"""),"AP")</f>
        <v>AP</v>
      </c>
      <c r="AF106" s="324">
        <f>IFERROR(__xludf.DUMMYFUNCTION("""COMPUTED_VALUE"""),0.0)</f>
        <v>0</v>
      </c>
      <c r="AG106" s="325" t="str">
        <f>IFERROR(__xludf.DUMMYFUNCTION("""COMPUTED_VALUE"""),"%")</f>
        <v>%</v>
      </c>
      <c r="AH106" s="321" t="str">
        <f>IFERROR(__xludf.DUMMYFUNCTION("""COMPUTED_VALUE"""),"")</f>
        <v/>
      </c>
      <c r="AI106" s="322" t="str">
        <f>IFERROR(__xludf.DUMMYFUNCTION("""COMPUTED_VALUE"""),"")</f>
        <v/>
      </c>
      <c r="AJ106" s="320" t="str">
        <f>IFERROR(__xludf.DUMMYFUNCTION("""COMPUTED_VALUE"""),"")</f>
        <v/>
      </c>
    </row>
    <row r="107">
      <c r="A107" s="336" t="str">
        <f>IFERROR(__xludf.DUMMYFUNCTION("""COMPUTED_VALUE"""),"")</f>
        <v/>
      </c>
      <c r="B107" s="337" t="str">
        <f>IFERROR(__xludf.DUMMYFUNCTION("""COMPUTED_VALUE"""),"")</f>
        <v/>
      </c>
      <c r="C107" s="338" t="str">
        <f>IFERROR(__xludf.DUMMYFUNCTION("""COMPUTED_VALUE"""),"")</f>
        <v/>
      </c>
      <c r="D107" s="339" t="str">
        <f>IFERROR(__xludf.DUMMYFUNCTION("""COMPUTED_VALUE"""),"")</f>
        <v/>
      </c>
      <c r="E107" s="337" t="str">
        <f>IFERROR(__xludf.DUMMYFUNCTION("""COMPUTED_VALUE"""),"")</f>
        <v/>
      </c>
      <c r="F107" s="337" t="str">
        <f>IFERROR(__xludf.DUMMYFUNCTION("""COMPUTED_VALUE"""),"")</f>
        <v/>
      </c>
      <c r="G107" s="337" t="str">
        <f>IFERROR(__xludf.DUMMYFUNCTION("""COMPUTED_VALUE"""),"")</f>
        <v/>
      </c>
      <c r="H107" s="337" t="str">
        <f>IFERROR(__xludf.DUMMYFUNCTION("""COMPUTED_VALUE"""),"")</f>
        <v/>
      </c>
      <c r="I107" s="337" t="str">
        <f>IFERROR(__xludf.DUMMYFUNCTION("""COMPUTED_VALUE"""),"")</f>
        <v/>
      </c>
      <c r="J107" s="341" t="str">
        <f>IFERROR(__xludf.DUMMYFUNCTION("""COMPUTED_VALUE"""),"")</f>
        <v/>
      </c>
      <c r="K107" s="337" t="str">
        <f>IFERROR(__xludf.DUMMYFUNCTION("""COMPUTED_VALUE"""),"")</f>
        <v/>
      </c>
      <c r="L107" s="341" t="str">
        <f>IFERROR(__xludf.DUMMYFUNCTION("""COMPUTED_VALUE"""),"")</f>
        <v/>
      </c>
      <c r="M107" s="337" t="str">
        <f>IFERROR(__xludf.DUMMYFUNCTION("""COMPUTED_VALUE"""),"")</f>
        <v/>
      </c>
      <c r="N107" s="337" t="str">
        <f>IFERROR(__xludf.DUMMYFUNCTION("""COMPUTED_VALUE"""),"")</f>
        <v/>
      </c>
      <c r="O107" s="337" t="str">
        <f>IFERROR(__xludf.DUMMYFUNCTION("""COMPUTED_VALUE"""),"")</f>
        <v/>
      </c>
      <c r="P107" s="337" t="str">
        <f>IFERROR(__xludf.DUMMYFUNCTION("""COMPUTED_VALUE"""),"")</f>
        <v/>
      </c>
      <c r="Q107" s="341" t="str">
        <f>IFERROR(__xludf.DUMMYFUNCTION("""COMPUTED_VALUE"""),"")</f>
        <v/>
      </c>
      <c r="R107" s="337" t="str">
        <f>IFERROR(__xludf.DUMMYFUNCTION("""COMPUTED_VALUE"""),"")</f>
        <v/>
      </c>
      <c r="S107" s="341" t="str">
        <f>IFERROR(__xludf.DUMMYFUNCTION("""COMPUTED_VALUE"""),"")</f>
        <v/>
      </c>
      <c r="T107" s="337" t="str">
        <f>IFERROR(__xludf.DUMMYFUNCTION("""COMPUTED_VALUE"""),"")</f>
        <v/>
      </c>
      <c r="U107" s="337" t="str">
        <f>IFERROR(__xludf.DUMMYFUNCTION("""COMPUTED_VALUE"""),"")</f>
        <v/>
      </c>
      <c r="V107" s="337" t="str">
        <f>IFERROR(__xludf.DUMMYFUNCTION("""COMPUTED_VALUE"""),"")</f>
        <v/>
      </c>
      <c r="W107" s="337" t="str">
        <f>IFERROR(__xludf.DUMMYFUNCTION("""COMPUTED_VALUE"""),"")</f>
        <v/>
      </c>
      <c r="X107" s="341" t="str">
        <f>IFERROR(__xludf.DUMMYFUNCTION("""COMPUTED_VALUE"""),"")</f>
        <v/>
      </c>
      <c r="Y107" s="337" t="str">
        <f>IFERROR(__xludf.DUMMYFUNCTION("""COMPUTED_VALUE"""),"")</f>
        <v/>
      </c>
      <c r="Z107" s="341" t="str">
        <f>IFERROR(__xludf.DUMMYFUNCTION("""COMPUTED_VALUE"""),"")</f>
        <v/>
      </c>
      <c r="AA107" s="337" t="str">
        <f>IFERROR(__xludf.DUMMYFUNCTION("""COMPUTED_VALUE"""),"")</f>
        <v/>
      </c>
      <c r="AB107" s="337" t="str">
        <f>IFERROR(__xludf.DUMMYFUNCTION("""COMPUTED_VALUE"""),"")</f>
        <v/>
      </c>
      <c r="AC107" s="337" t="str">
        <f>IFERROR(__xludf.DUMMYFUNCTION("""COMPUTED_VALUE"""),"")</f>
        <v/>
      </c>
      <c r="AD107" s="337" t="str">
        <f>IFERROR(__xludf.DUMMYFUNCTION("""COMPUTED_VALUE"""),"")</f>
        <v/>
      </c>
      <c r="AE107" s="341" t="str">
        <f>IFERROR(__xludf.DUMMYFUNCTION("""COMPUTED_VALUE"""),"")</f>
        <v/>
      </c>
      <c r="AF107" s="337" t="str">
        <f>IFERROR(__xludf.DUMMYFUNCTION("""COMPUTED_VALUE"""),"")</f>
        <v/>
      </c>
      <c r="AG107" s="341" t="str">
        <f>IFERROR(__xludf.DUMMYFUNCTION("""COMPUTED_VALUE"""),"")</f>
        <v/>
      </c>
      <c r="AH107" s="337" t="str">
        <f>IFERROR(__xludf.DUMMYFUNCTION("""COMPUTED_VALUE"""),"")</f>
        <v/>
      </c>
      <c r="AI107" s="337" t="str">
        <f>IFERROR(__xludf.DUMMYFUNCTION("""COMPUTED_VALUE"""),"")</f>
        <v/>
      </c>
      <c r="AJ107" s="342" t="str">
        <f>IFERROR(__xludf.DUMMYFUNCTION("""COMPUTED_VALUE"""),"")</f>
        <v/>
      </c>
    </row>
    <row r="108">
      <c r="A108" s="343" t="str">
        <f>IFERROR(__xludf.DUMMYFUNCTION("""COMPUTED_VALUE"""),"")</f>
        <v/>
      </c>
      <c r="B108" s="344" t="str">
        <f>IFERROR(__xludf.DUMMYFUNCTION("""COMPUTED_VALUE"""),"")</f>
        <v/>
      </c>
      <c r="C108" s="345" t="str">
        <f>IFERROR(__xludf.DUMMYFUNCTION("""COMPUTED_VALUE"""),"")</f>
        <v/>
      </c>
      <c r="D108" s="346" t="str">
        <f>IFERROR(__xludf.DUMMYFUNCTION("""COMPUTED_VALUE"""),"")</f>
        <v/>
      </c>
      <c r="E108" s="344" t="str">
        <f>IFERROR(__xludf.DUMMYFUNCTION("""COMPUTED_VALUE"""),"")</f>
        <v/>
      </c>
      <c r="F108" s="344" t="str">
        <f>IFERROR(__xludf.DUMMYFUNCTION("""COMPUTED_VALUE"""),"")</f>
        <v/>
      </c>
      <c r="G108" s="344" t="str">
        <f>IFERROR(__xludf.DUMMYFUNCTION("""COMPUTED_VALUE"""),"")</f>
        <v/>
      </c>
      <c r="H108" s="344" t="str">
        <f>IFERROR(__xludf.DUMMYFUNCTION("""COMPUTED_VALUE"""),"")</f>
        <v/>
      </c>
      <c r="I108" s="344" t="str">
        <f>IFERROR(__xludf.DUMMYFUNCTION("""COMPUTED_VALUE"""),"")</f>
        <v/>
      </c>
      <c r="J108" s="347" t="str">
        <f>IFERROR(__xludf.DUMMYFUNCTION("""COMPUTED_VALUE"""),"")</f>
        <v/>
      </c>
      <c r="K108" s="344" t="str">
        <f>IFERROR(__xludf.DUMMYFUNCTION("""COMPUTED_VALUE"""),"")</f>
        <v/>
      </c>
      <c r="L108" s="347" t="str">
        <f>IFERROR(__xludf.DUMMYFUNCTION("""COMPUTED_VALUE"""),"")</f>
        <v/>
      </c>
      <c r="M108" s="344" t="str">
        <f>IFERROR(__xludf.DUMMYFUNCTION("""COMPUTED_VALUE"""),"")</f>
        <v/>
      </c>
      <c r="N108" s="344" t="str">
        <f>IFERROR(__xludf.DUMMYFUNCTION("""COMPUTED_VALUE"""),"")</f>
        <v/>
      </c>
      <c r="O108" s="344" t="str">
        <f>IFERROR(__xludf.DUMMYFUNCTION("""COMPUTED_VALUE"""),"")</f>
        <v/>
      </c>
      <c r="P108" s="344" t="str">
        <f>IFERROR(__xludf.DUMMYFUNCTION("""COMPUTED_VALUE"""),"")</f>
        <v/>
      </c>
      <c r="Q108" s="347" t="str">
        <f>IFERROR(__xludf.DUMMYFUNCTION("""COMPUTED_VALUE"""),"")</f>
        <v/>
      </c>
      <c r="R108" s="344" t="str">
        <f>IFERROR(__xludf.DUMMYFUNCTION("""COMPUTED_VALUE"""),"")</f>
        <v/>
      </c>
      <c r="S108" s="347" t="str">
        <f>IFERROR(__xludf.DUMMYFUNCTION("""COMPUTED_VALUE"""),"")</f>
        <v/>
      </c>
      <c r="T108" s="344" t="str">
        <f>IFERROR(__xludf.DUMMYFUNCTION("""COMPUTED_VALUE"""),"")</f>
        <v/>
      </c>
      <c r="U108" s="344" t="str">
        <f>IFERROR(__xludf.DUMMYFUNCTION("""COMPUTED_VALUE"""),"")</f>
        <v/>
      </c>
      <c r="V108" s="344" t="str">
        <f>IFERROR(__xludf.DUMMYFUNCTION("""COMPUTED_VALUE"""),"")</f>
        <v/>
      </c>
      <c r="W108" s="344" t="str">
        <f>IFERROR(__xludf.DUMMYFUNCTION("""COMPUTED_VALUE"""),"")</f>
        <v/>
      </c>
      <c r="X108" s="347" t="str">
        <f>IFERROR(__xludf.DUMMYFUNCTION("""COMPUTED_VALUE"""),"")</f>
        <v/>
      </c>
      <c r="Y108" s="344" t="str">
        <f>IFERROR(__xludf.DUMMYFUNCTION("""COMPUTED_VALUE"""),"")</f>
        <v/>
      </c>
      <c r="Z108" s="347" t="str">
        <f>IFERROR(__xludf.DUMMYFUNCTION("""COMPUTED_VALUE"""),"")</f>
        <v/>
      </c>
      <c r="AA108" s="344" t="str">
        <f>IFERROR(__xludf.DUMMYFUNCTION("""COMPUTED_VALUE"""),"")</f>
        <v/>
      </c>
      <c r="AB108" s="344" t="str">
        <f>IFERROR(__xludf.DUMMYFUNCTION("""COMPUTED_VALUE"""),"")</f>
        <v/>
      </c>
      <c r="AC108" s="344" t="str">
        <f>IFERROR(__xludf.DUMMYFUNCTION("""COMPUTED_VALUE"""),"")</f>
        <v/>
      </c>
      <c r="AD108" s="344" t="str">
        <f>IFERROR(__xludf.DUMMYFUNCTION("""COMPUTED_VALUE"""),"")</f>
        <v/>
      </c>
      <c r="AE108" s="347" t="str">
        <f>IFERROR(__xludf.DUMMYFUNCTION("""COMPUTED_VALUE"""),"")</f>
        <v/>
      </c>
      <c r="AF108" s="344" t="str">
        <f>IFERROR(__xludf.DUMMYFUNCTION("""COMPUTED_VALUE"""),"")</f>
        <v/>
      </c>
      <c r="AG108" s="347" t="str">
        <f>IFERROR(__xludf.DUMMYFUNCTION("""COMPUTED_VALUE"""),"")</f>
        <v/>
      </c>
      <c r="AH108" s="344" t="str">
        <f>IFERROR(__xludf.DUMMYFUNCTION("""COMPUTED_VALUE"""),"")</f>
        <v/>
      </c>
      <c r="AI108" s="344" t="str">
        <f>IFERROR(__xludf.DUMMYFUNCTION("""COMPUTED_VALUE"""),"")</f>
        <v/>
      </c>
      <c r="AJ108" s="348" t="str">
        <f>IFERROR(__xludf.DUMMYFUNCTION("""COMPUTED_VALUE"""),"")</f>
        <v/>
      </c>
    </row>
    <row r="109" ht="16.5" customHeight="1">
      <c r="A109" s="349">
        <f>IFERROR(__xludf.DUMMYFUNCTION("""COMPUTED_VALUE"""),13.0)</f>
        <v>13</v>
      </c>
      <c r="B109" s="313" t="str">
        <f>IFERROR(__xludf.DUMMYFUNCTION("""COMPUTED_VALUE"""),"A202")</f>
        <v>A202</v>
      </c>
      <c r="C109" s="314" t="str">
        <f>IFERROR(__xludf.DUMMYFUNCTION("""COMPUTED_VALUE"""),"")</f>
        <v/>
      </c>
      <c r="D109" s="350" t="str">
        <f>IFERROR(__xludf.DUMMYFUNCTION("""COMPUTED_VALUE"""),"Ghost Lantern")</f>
        <v>Ghost Lantern</v>
      </c>
      <c r="E109" s="351" t="str">
        <f>IFERROR(__xludf.DUMMYFUNCTION("""COMPUTED_VALUE"""),"AP")</f>
        <v>AP</v>
      </c>
      <c r="F109" s="351" t="str">
        <f>IFERROR(__xludf.DUMMYFUNCTION("""COMPUTED_VALUE"""),"Runs")</f>
        <v>Runs</v>
      </c>
      <c r="G109" s="316" t="str">
        <f>IFERROR(__xludf.DUMMYFUNCTION("""COMPUTED_VALUE"""),"Status")</f>
        <v>Status</v>
      </c>
      <c r="H109" s="351" t="str">
        <f>IFERROR(__xludf.DUMMYFUNCTION("""COMPUTED_VALUE"""),"Mat")</f>
        <v>Mat</v>
      </c>
      <c r="I109" s="351" t="str">
        <f>IFERROR(__xludf.DUMMYFUNCTION("""COMPUTED_VALUE"""),"AP/Drop")</f>
        <v>AP/Drop</v>
      </c>
      <c r="J109" s="351" t="str">
        <f>IFERROR(__xludf.DUMMYFUNCTION("""COMPUTED_VALUE"""),"")</f>
        <v/>
      </c>
      <c r="K109" s="351" t="str">
        <f>IFERROR(__xludf.DUMMYFUNCTION("""COMPUTED_VALUE"""),"Droprate")</f>
        <v>Droprate</v>
      </c>
      <c r="L109" s="351" t="str">
        <f>IFERROR(__xludf.DUMMYFUNCTION("""COMPUTED_VALUE"""),"")</f>
        <v/>
      </c>
      <c r="M109" s="351" t="str">
        <f>IFERROR(__xludf.DUMMYFUNCTION("""COMPUTED_VALUE"""),"#2")</f>
        <v>#2</v>
      </c>
      <c r="N109" s="351" t="str">
        <f>IFERROR(__xludf.DUMMYFUNCTION("""COMPUTED_VALUE"""),"Item 2 ID")</f>
        <v>Item 2 ID</v>
      </c>
      <c r="O109" s="351" t="str">
        <f>IFERROR(__xludf.DUMMYFUNCTION("""COMPUTED_VALUE"""),"Mat")</f>
        <v>Mat</v>
      </c>
      <c r="P109" s="351" t="str">
        <f>IFERROR(__xludf.DUMMYFUNCTION("""COMPUTED_VALUE"""),"AP/Drop")</f>
        <v>AP/Drop</v>
      </c>
      <c r="Q109" s="351" t="str">
        <f>IFERROR(__xludf.DUMMYFUNCTION("""COMPUTED_VALUE"""),"")</f>
        <v/>
      </c>
      <c r="R109" s="351" t="str">
        <f>IFERROR(__xludf.DUMMYFUNCTION("""COMPUTED_VALUE"""),"Droprate")</f>
        <v>Droprate</v>
      </c>
      <c r="S109" s="351" t="str">
        <f>IFERROR(__xludf.DUMMYFUNCTION("""COMPUTED_VALUE"""),"")</f>
        <v/>
      </c>
      <c r="T109" s="351" t="str">
        <f>IFERROR(__xludf.DUMMYFUNCTION("""COMPUTED_VALUE"""),"#3")</f>
        <v>#3</v>
      </c>
      <c r="U109" s="351" t="str">
        <f>IFERROR(__xludf.DUMMYFUNCTION("""COMPUTED_VALUE"""),"Item 2 ID")</f>
        <v>Item 2 ID</v>
      </c>
      <c r="V109" s="351" t="str">
        <f>IFERROR(__xludf.DUMMYFUNCTION("""COMPUTED_VALUE"""),"Mat")</f>
        <v>Mat</v>
      </c>
      <c r="W109" s="351" t="str">
        <f>IFERROR(__xludf.DUMMYFUNCTION("""COMPUTED_VALUE"""),"AP/Drop")</f>
        <v>AP/Drop</v>
      </c>
      <c r="X109" s="351" t="str">
        <f>IFERROR(__xludf.DUMMYFUNCTION("""COMPUTED_VALUE"""),"")</f>
        <v/>
      </c>
      <c r="Y109" s="351" t="str">
        <f>IFERROR(__xludf.DUMMYFUNCTION("""COMPUTED_VALUE"""),"Droprate")</f>
        <v>Droprate</v>
      </c>
      <c r="Z109" s="351" t="str">
        <f>IFERROR(__xludf.DUMMYFUNCTION("""COMPUTED_VALUE"""),"")</f>
        <v/>
      </c>
      <c r="AA109" s="351" t="str">
        <f>IFERROR(__xludf.DUMMYFUNCTION("""COMPUTED_VALUE"""),"#4")</f>
        <v>#4</v>
      </c>
      <c r="AB109" s="351" t="str">
        <f>IFERROR(__xludf.DUMMYFUNCTION("""COMPUTED_VALUE"""),"Item 3 ID")</f>
        <v>Item 3 ID</v>
      </c>
      <c r="AC109" s="351" t="str">
        <f>IFERROR(__xludf.DUMMYFUNCTION("""COMPUTED_VALUE"""),"Mat")</f>
        <v>Mat</v>
      </c>
      <c r="AD109" s="351" t="str">
        <f>IFERROR(__xludf.DUMMYFUNCTION("""COMPUTED_VALUE"""),"AP/Drop")</f>
        <v>AP/Drop</v>
      </c>
      <c r="AE109" s="351" t="str">
        <f>IFERROR(__xludf.DUMMYFUNCTION("""COMPUTED_VALUE"""),"")</f>
        <v/>
      </c>
      <c r="AF109" s="351" t="str">
        <f>IFERROR(__xludf.DUMMYFUNCTION("""COMPUTED_VALUE"""),"Droprate")</f>
        <v>Droprate</v>
      </c>
      <c r="AG109" s="351" t="str">
        <f>IFERROR(__xludf.DUMMYFUNCTION("""COMPUTED_VALUE"""),"")</f>
        <v/>
      </c>
      <c r="AH109" s="351" t="str">
        <f>IFERROR(__xludf.DUMMYFUNCTION("""COMPUTED_VALUE"""),"AP")</f>
        <v>AP</v>
      </c>
      <c r="AI109" s="351" t="str">
        <f>IFERROR(__xludf.DUMMYFUNCTION("""COMPUTED_VALUE"""),"Runs")</f>
        <v>Runs</v>
      </c>
      <c r="AJ109" s="351" t="str">
        <f>IFERROR(__xludf.DUMMYFUNCTION("""COMPUTED_VALUE"""),"Node Name")</f>
        <v>Node Name</v>
      </c>
    </row>
    <row r="110" ht="16.5" customHeight="1">
      <c r="D110" s="317" t="str">
        <f>IFERROR(__xludf.DUMMYFUNCTION("""COMPUTED_VALUE"""),"#N/A")</f>
        <v>#N/A</v>
      </c>
      <c r="E110" s="318"/>
      <c r="F110" s="318"/>
      <c r="G110" s="318"/>
      <c r="H110" s="318"/>
      <c r="I110" s="318"/>
      <c r="J110" s="318"/>
      <c r="K110" s="318"/>
      <c r="L110" s="318"/>
      <c r="M110" s="318"/>
      <c r="N110" s="318"/>
      <c r="O110" s="318"/>
      <c r="P110" s="318"/>
      <c r="Q110" s="318"/>
      <c r="R110" s="318"/>
      <c r="S110" s="318"/>
      <c r="T110" s="318"/>
      <c r="U110" s="318"/>
      <c r="V110" s="318"/>
      <c r="W110" s="318"/>
      <c r="X110" s="318"/>
      <c r="Y110" s="318"/>
      <c r="Z110" s="318"/>
      <c r="AA110" s="318"/>
      <c r="AB110" s="318"/>
      <c r="AC110" s="318"/>
      <c r="AD110" s="318"/>
      <c r="AE110" s="318"/>
      <c r="AF110" s="318"/>
      <c r="AG110" s="318"/>
      <c r="AH110" s="318"/>
      <c r="AI110" s="318"/>
      <c r="AJ110" s="318"/>
    </row>
    <row r="111" ht="24.75" customHeight="1">
      <c r="A111" s="319">
        <f>IFERROR(__xludf.DUMMYFUNCTION("""COMPUTED_VALUE"""),1.0)</f>
        <v>1</v>
      </c>
      <c r="B111" s="319" t="str">
        <f>IFERROR(__xludf.DUMMYFUNCTION("""COMPUTED_VALUE"""),"A202")</f>
        <v>A202</v>
      </c>
      <c r="C111" s="319">
        <f>IFERROR(__xludf.DUMMYFUNCTION("""COMPUTED_VALUE"""),8.0)</f>
        <v>8</v>
      </c>
      <c r="D111" s="320" t="str">
        <f>IFERROR(__xludf.DUMMYFUNCTION("""COMPUTED_VALUE"""),"Attendants’ Room")</f>
        <v>Attendants’ Room</v>
      </c>
      <c r="E111" s="321">
        <f>IFERROR(__xludf.DUMMYFUNCTION("""COMPUTED_VALUE"""),20.0)</f>
        <v>20</v>
      </c>
      <c r="F111" s="322">
        <f>IFERROR(__xludf.DUMMYFUNCTION("""COMPUTED_VALUE"""),58.0)</f>
        <v>58</v>
      </c>
      <c r="G111" s="322" t="str">
        <f>IFERROR(__xludf.DUMMYFUNCTION("""COMPUTED_VALUE"""),"Open")</f>
        <v>Open</v>
      </c>
      <c r="H111" s="323" t="str">
        <f>IFERROR(__xludf.DUMMYFUNCTION("""COMPUTED_VALUE"""),"")</f>
        <v/>
      </c>
      <c r="I111" s="324">
        <f>IFERROR(__xludf.DUMMYFUNCTION("""COMPUTED_VALUE"""),290.0)</f>
        <v>290</v>
      </c>
      <c r="J111" s="325" t="str">
        <f>IFERROR(__xludf.DUMMYFUNCTION("""COMPUTED_VALUE"""),"AP")</f>
        <v>AP</v>
      </c>
      <c r="K111" s="324">
        <f>IFERROR(__xludf.DUMMYFUNCTION("""COMPUTED_VALUE"""),6.896551724137931)</f>
        <v>6.896551724</v>
      </c>
      <c r="L111" s="325" t="str">
        <f>IFERROR(__xludf.DUMMYFUNCTION("""COMPUTED_VALUE"""),"%")</f>
        <v>%</v>
      </c>
      <c r="M111" s="326">
        <f>IFERROR(__xludf.DUMMYFUNCTION("""COMPUTED_VALUE"""),1.0)</f>
        <v>1</v>
      </c>
      <c r="N111" s="324" t="str">
        <f>IFERROR(__xludf.DUMMYFUNCTION("""COMPUTED_VALUE"""),"A208")</f>
        <v>A208</v>
      </c>
      <c r="O111" s="327" t="str">
        <f>IFERROR(__xludf.DUMMYFUNCTION("""COMPUTED_VALUE"""),"")</f>
        <v/>
      </c>
      <c r="P111" s="324">
        <f>IFERROR(__xludf.DUMMYFUNCTION("""COMPUTED_VALUE"""),580.0)</f>
        <v>580</v>
      </c>
      <c r="Q111" s="325" t="str">
        <f>IFERROR(__xludf.DUMMYFUNCTION("""COMPUTED_VALUE"""),"AP")</f>
        <v>AP</v>
      </c>
      <c r="R111" s="324">
        <f>IFERROR(__xludf.DUMMYFUNCTION("""COMPUTED_VALUE"""),3.4482758620689653)</f>
        <v>3.448275862</v>
      </c>
      <c r="S111" s="325" t="str">
        <f>IFERROR(__xludf.DUMMYFUNCTION("""COMPUTED_VALUE"""),"%")</f>
        <v>%</v>
      </c>
      <c r="T111" s="326">
        <f>IFERROR(__xludf.DUMMYFUNCTION("""COMPUTED_VALUE"""),2.0)</f>
        <v>2</v>
      </c>
      <c r="U111" s="324" t="str">
        <f>IFERROR(__xludf.DUMMYFUNCTION("""COMPUTED_VALUE"""),"")</f>
        <v/>
      </c>
      <c r="V111" s="327" t="str">
        <f>IFERROR(__xludf.DUMMYFUNCTION("""COMPUTED_VALUE"""),"")</f>
        <v/>
      </c>
      <c r="W111" s="324" t="str">
        <f>IFERROR(__xludf.DUMMYFUNCTION("""COMPUTED_VALUE"""),"")</f>
        <v/>
      </c>
      <c r="X111" s="325" t="str">
        <f>IFERROR(__xludf.DUMMYFUNCTION("""COMPUTED_VALUE"""),"AP")</f>
        <v>AP</v>
      </c>
      <c r="Y111" s="324">
        <f>IFERROR(__xludf.DUMMYFUNCTION("""COMPUTED_VALUE"""),0.0)</f>
        <v>0</v>
      </c>
      <c r="Z111" s="325" t="str">
        <f>IFERROR(__xludf.DUMMYFUNCTION("""COMPUTED_VALUE"""),"%")</f>
        <v>%</v>
      </c>
      <c r="AA111" s="326">
        <f>IFERROR(__xludf.DUMMYFUNCTION("""COMPUTED_VALUE"""),3.0)</f>
        <v>3</v>
      </c>
      <c r="AB111" s="324" t="str">
        <f>IFERROR(__xludf.DUMMYFUNCTION("""COMPUTED_VALUE"""),"")</f>
        <v/>
      </c>
      <c r="AC111" s="327" t="str">
        <f>IFERROR(__xludf.DUMMYFUNCTION("""COMPUTED_VALUE"""),"")</f>
        <v/>
      </c>
      <c r="AD111" s="324" t="str">
        <f>IFERROR(__xludf.DUMMYFUNCTION("""COMPUTED_VALUE"""),"")</f>
        <v/>
      </c>
      <c r="AE111" s="325" t="str">
        <f>IFERROR(__xludf.DUMMYFUNCTION("""COMPUTED_VALUE"""),"AP")</f>
        <v>AP</v>
      </c>
      <c r="AF111" s="324">
        <f>IFERROR(__xludf.DUMMYFUNCTION("""COMPUTED_VALUE"""),0.0)</f>
        <v>0</v>
      </c>
      <c r="AG111" s="325" t="str">
        <f>IFERROR(__xludf.DUMMYFUNCTION("""COMPUTED_VALUE"""),"%")</f>
        <v>%</v>
      </c>
      <c r="AH111" s="321">
        <f>IFERROR(__xludf.DUMMYFUNCTION("""COMPUTED_VALUE"""),20.0)</f>
        <v>20</v>
      </c>
      <c r="AI111" s="322">
        <f>IFERROR(__xludf.DUMMYFUNCTION("""COMPUTED_VALUE"""),58.0)</f>
        <v>58</v>
      </c>
      <c r="AJ111" s="320" t="str">
        <f>IFERROR(__xludf.DUMMYFUNCTION("""COMPUTED_VALUE"""),"Attendants’ Room")</f>
        <v>Attendants’ Room</v>
      </c>
    </row>
    <row r="112" ht="24.75" customHeight="1">
      <c r="A112" s="328">
        <f>IFERROR(__xludf.DUMMYFUNCTION("""COMPUTED_VALUE"""),2.0)</f>
        <v>2</v>
      </c>
      <c r="B112" s="328" t="str">
        <f>IFERROR(__xludf.DUMMYFUNCTION("""COMPUTED_VALUE"""),"A202")</f>
        <v>A202</v>
      </c>
      <c r="C112" s="328" t="str">
        <f>IFERROR(__xludf.DUMMYFUNCTION("""COMPUTED_VALUE"""),"")</f>
        <v/>
      </c>
      <c r="D112" s="329" t="str">
        <f>IFERROR(__xludf.DUMMYFUNCTION("""COMPUTED_VALUE"""),"")</f>
        <v/>
      </c>
      <c r="E112" s="330" t="str">
        <f>IFERROR(__xludf.DUMMYFUNCTION("""COMPUTED_VALUE"""),"")</f>
        <v/>
      </c>
      <c r="F112" s="331" t="str">
        <f>IFERROR(__xludf.DUMMYFUNCTION("""COMPUTED_VALUE"""),"")</f>
        <v/>
      </c>
      <c r="G112" s="331" t="str">
        <f>IFERROR(__xludf.DUMMYFUNCTION("""COMPUTED_VALUE"""),"")</f>
        <v/>
      </c>
      <c r="H112" s="323" t="str">
        <f>IFERROR(__xludf.DUMMYFUNCTION("""COMPUTED_VALUE""")," ")</f>
        <v> </v>
      </c>
      <c r="I112" s="332" t="str">
        <f>IFERROR(__xludf.DUMMYFUNCTION("""COMPUTED_VALUE"""),"")</f>
        <v/>
      </c>
      <c r="J112" s="333" t="str">
        <f>IFERROR(__xludf.DUMMYFUNCTION("""COMPUTED_VALUE"""),"AP")</f>
        <v>AP</v>
      </c>
      <c r="K112" s="332">
        <f>IFERROR(__xludf.DUMMYFUNCTION("""COMPUTED_VALUE"""),0.0)</f>
        <v>0</v>
      </c>
      <c r="L112" s="334" t="str">
        <f>IFERROR(__xludf.DUMMYFUNCTION("""COMPUTED_VALUE"""),"%")</f>
        <v>%</v>
      </c>
      <c r="M112" s="335">
        <f>IFERROR(__xludf.DUMMYFUNCTION("""COMPUTED_VALUE"""),1.0)</f>
        <v>1</v>
      </c>
      <c r="N112" s="332" t="str">
        <f>IFERROR(__xludf.DUMMYFUNCTION("""COMPUTED_VALUE"""),"")</f>
        <v/>
      </c>
      <c r="O112" s="327" t="str">
        <f>IFERROR(__xludf.DUMMYFUNCTION("""COMPUTED_VALUE"""),"")</f>
        <v/>
      </c>
      <c r="P112" s="332" t="str">
        <f>IFERROR(__xludf.DUMMYFUNCTION("""COMPUTED_VALUE"""),"")</f>
        <v/>
      </c>
      <c r="Q112" s="333" t="str">
        <f>IFERROR(__xludf.DUMMYFUNCTION("""COMPUTED_VALUE"""),"AP")</f>
        <v>AP</v>
      </c>
      <c r="R112" s="332">
        <f>IFERROR(__xludf.DUMMYFUNCTION("""COMPUTED_VALUE"""),0.0)</f>
        <v>0</v>
      </c>
      <c r="S112" s="334" t="str">
        <f>IFERROR(__xludf.DUMMYFUNCTION("""COMPUTED_VALUE"""),"%")</f>
        <v>%</v>
      </c>
      <c r="T112" s="335">
        <f>IFERROR(__xludf.DUMMYFUNCTION("""COMPUTED_VALUE"""),2.0)</f>
        <v>2</v>
      </c>
      <c r="U112" s="332" t="str">
        <f>IFERROR(__xludf.DUMMYFUNCTION("""COMPUTED_VALUE"""),"")</f>
        <v/>
      </c>
      <c r="V112" s="327" t="str">
        <f>IFERROR(__xludf.DUMMYFUNCTION("""COMPUTED_VALUE"""),"")</f>
        <v/>
      </c>
      <c r="W112" s="332" t="str">
        <f>IFERROR(__xludf.DUMMYFUNCTION("""COMPUTED_VALUE"""),"")</f>
        <v/>
      </c>
      <c r="X112" s="333" t="str">
        <f>IFERROR(__xludf.DUMMYFUNCTION("""COMPUTED_VALUE"""),"AP")</f>
        <v>AP</v>
      </c>
      <c r="Y112" s="332">
        <f>IFERROR(__xludf.DUMMYFUNCTION("""COMPUTED_VALUE"""),0.0)</f>
        <v>0</v>
      </c>
      <c r="Z112" s="334" t="str">
        <f>IFERROR(__xludf.DUMMYFUNCTION("""COMPUTED_VALUE"""),"%")</f>
        <v>%</v>
      </c>
      <c r="AA112" s="335">
        <f>IFERROR(__xludf.DUMMYFUNCTION("""COMPUTED_VALUE"""),3.0)</f>
        <v>3</v>
      </c>
      <c r="AB112" s="332" t="str">
        <f>IFERROR(__xludf.DUMMYFUNCTION("""COMPUTED_VALUE"""),"")</f>
        <v/>
      </c>
      <c r="AC112" s="327" t="str">
        <f>IFERROR(__xludf.DUMMYFUNCTION("""COMPUTED_VALUE"""),"")</f>
        <v/>
      </c>
      <c r="AD112" s="332" t="str">
        <f>IFERROR(__xludf.DUMMYFUNCTION("""COMPUTED_VALUE"""),"")</f>
        <v/>
      </c>
      <c r="AE112" s="333" t="str">
        <f>IFERROR(__xludf.DUMMYFUNCTION("""COMPUTED_VALUE"""),"AP")</f>
        <v>AP</v>
      </c>
      <c r="AF112" s="332">
        <f>IFERROR(__xludf.DUMMYFUNCTION("""COMPUTED_VALUE"""),0.0)</f>
        <v>0</v>
      </c>
      <c r="AG112" s="334" t="str">
        <f>IFERROR(__xludf.DUMMYFUNCTION("""COMPUTED_VALUE"""),"%")</f>
        <v>%</v>
      </c>
      <c r="AH112" s="330" t="str">
        <f>IFERROR(__xludf.DUMMYFUNCTION("""COMPUTED_VALUE"""),"")</f>
        <v/>
      </c>
      <c r="AI112" s="331" t="str">
        <f>IFERROR(__xludf.DUMMYFUNCTION("""COMPUTED_VALUE"""),"")</f>
        <v/>
      </c>
      <c r="AJ112" s="329" t="str">
        <f>IFERROR(__xludf.DUMMYFUNCTION("""COMPUTED_VALUE"""),"")</f>
        <v/>
      </c>
    </row>
    <row r="113" ht="24.75" customHeight="1">
      <c r="A113" s="319">
        <f>IFERROR(__xludf.DUMMYFUNCTION("""COMPUTED_VALUE"""),3.0)</f>
        <v>3</v>
      </c>
      <c r="B113" s="319" t="str">
        <f>IFERROR(__xludf.DUMMYFUNCTION("""COMPUTED_VALUE"""),"A202")</f>
        <v>A202</v>
      </c>
      <c r="C113" s="319" t="str">
        <f>IFERROR(__xludf.DUMMYFUNCTION("""COMPUTED_VALUE"""),"")</f>
        <v/>
      </c>
      <c r="D113" s="320" t="str">
        <f>IFERROR(__xludf.DUMMYFUNCTION("""COMPUTED_VALUE"""),"")</f>
        <v/>
      </c>
      <c r="E113" s="321" t="str">
        <f>IFERROR(__xludf.DUMMYFUNCTION("""COMPUTED_VALUE"""),"")</f>
        <v/>
      </c>
      <c r="F113" s="322" t="str">
        <f>IFERROR(__xludf.DUMMYFUNCTION("""COMPUTED_VALUE"""),"")</f>
        <v/>
      </c>
      <c r="G113" s="322" t="str">
        <f>IFERROR(__xludf.DUMMYFUNCTION("""COMPUTED_VALUE"""),"")</f>
        <v/>
      </c>
      <c r="H113" s="323" t="str">
        <f>IFERROR(__xludf.DUMMYFUNCTION("""COMPUTED_VALUE""")," ")</f>
        <v> </v>
      </c>
      <c r="I113" s="324" t="str">
        <f>IFERROR(__xludf.DUMMYFUNCTION("""COMPUTED_VALUE"""),"")</f>
        <v/>
      </c>
      <c r="J113" s="325" t="str">
        <f>IFERROR(__xludf.DUMMYFUNCTION("""COMPUTED_VALUE"""),"AP")</f>
        <v>AP</v>
      </c>
      <c r="K113" s="324">
        <f>IFERROR(__xludf.DUMMYFUNCTION("""COMPUTED_VALUE"""),0.0)</f>
        <v>0</v>
      </c>
      <c r="L113" s="325" t="str">
        <f>IFERROR(__xludf.DUMMYFUNCTION("""COMPUTED_VALUE"""),"%")</f>
        <v>%</v>
      </c>
      <c r="M113" s="326">
        <f>IFERROR(__xludf.DUMMYFUNCTION("""COMPUTED_VALUE"""),1.0)</f>
        <v>1</v>
      </c>
      <c r="N113" s="324" t="str">
        <f>IFERROR(__xludf.DUMMYFUNCTION("""COMPUTED_VALUE"""),"")</f>
        <v/>
      </c>
      <c r="O113" s="327" t="str">
        <f>IFERROR(__xludf.DUMMYFUNCTION("""COMPUTED_VALUE"""),"")</f>
        <v/>
      </c>
      <c r="P113" s="324" t="str">
        <f>IFERROR(__xludf.DUMMYFUNCTION("""COMPUTED_VALUE"""),"")</f>
        <v/>
      </c>
      <c r="Q113" s="325" t="str">
        <f>IFERROR(__xludf.DUMMYFUNCTION("""COMPUTED_VALUE"""),"AP")</f>
        <v>AP</v>
      </c>
      <c r="R113" s="324">
        <f>IFERROR(__xludf.DUMMYFUNCTION("""COMPUTED_VALUE"""),0.0)</f>
        <v>0</v>
      </c>
      <c r="S113" s="325" t="str">
        <f>IFERROR(__xludf.DUMMYFUNCTION("""COMPUTED_VALUE"""),"%")</f>
        <v>%</v>
      </c>
      <c r="T113" s="326">
        <f>IFERROR(__xludf.DUMMYFUNCTION("""COMPUTED_VALUE"""),2.0)</f>
        <v>2</v>
      </c>
      <c r="U113" s="324" t="str">
        <f>IFERROR(__xludf.DUMMYFUNCTION("""COMPUTED_VALUE"""),"")</f>
        <v/>
      </c>
      <c r="V113" s="327" t="str">
        <f>IFERROR(__xludf.DUMMYFUNCTION("""COMPUTED_VALUE"""),"")</f>
        <v/>
      </c>
      <c r="W113" s="324" t="str">
        <f>IFERROR(__xludf.DUMMYFUNCTION("""COMPUTED_VALUE"""),"")</f>
        <v/>
      </c>
      <c r="X113" s="325" t="str">
        <f>IFERROR(__xludf.DUMMYFUNCTION("""COMPUTED_VALUE"""),"AP")</f>
        <v>AP</v>
      </c>
      <c r="Y113" s="324">
        <f>IFERROR(__xludf.DUMMYFUNCTION("""COMPUTED_VALUE"""),0.0)</f>
        <v>0</v>
      </c>
      <c r="Z113" s="325" t="str">
        <f>IFERROR(__xludf.DUMMYFUNCTION("""COMPUTED_VALUE"""),"%")</f>
        <v>%</v>
      </c>
      <c r="AA113" s="326">
        <f>IFERROR(__xludf.DUMMYFUNCTION("""COMPUTED_VALUE"""),3.0)</f>
        <v>3</v>
      </c>
      <c r="AB113" s="324" t="str">
        <f>IFERROR(__xludf.DUMMYFUNCTION("""COMPUTED_VALUE"""),"")</f>
        <v/>
      </c>
      <c r="AC113" s="327" t="str">
        <f>IFERROR(__xludf.DUMMYFUNCTION("""COMPUTED_VALUE"""),"")</f>
        <v/>
      </c>
      <c r="AD113" s="324" t="str">
        <f>IFERROR(__xludf.DUMMYFUNCTION("""COMPUTED_VALUE"""),"")</f>
        <v/>
      </c>
      <c r="AE113" s="325" t="str">
        <f>IFERROR(__xludf.DUMMYFUNCTION("""COMPUTED_VALUE"""),"AP")</f>
        <v>AP</v>
      </c>
      <c r="AF113" s="324">
        <f>IFERROR(__xludf.DUMMYFUNCTION("""COMPUTED_VALUE"""),0.0)</f>
        <v>0</v>
      </c>
      <c r="AG113" s="325" t="str">
        <f>IFERROR(__xludf.DUMMYFUNCTION("""COMPUTED_VALUE"""),"%")</f>
        <v>%</v>
      </c>
      <c r="AH113" s="321" t="str">
        <f>IFERROR(__xludf.DUMMYFUNCTION("""COMPUTED_VALUE"""),"")</f>
        <v/>
      </c>
      <c r="AI113" s="322" t="str">
        <f>IFERROR(__xludf.DUMMYFUNCTION("""COMPUTED_VALUE"""),"")</f>
        <v/>
      </c>
      <c r="AJ113" s="320" t="str">
        <f>IFERROR(__xludf.DUMMYFUNCTION("""COMPUTED_VALUE"""),"")</f>
        <v/>
      </c>
    </row>
    <row r="114" ht="24.75" customHeight="1">
      <c r="A114" s="328">
        <f>IFERROR(__xludf.DUMMYFUNCTION("""COMPUTED_VALUE"""),4.0)</f>
        <v>4</v>
      </c>
      <c r="B114" s="328" t="str">
        <f>IFERROR(__xludf.DUMMYFUNCTION("""COMPUTED_VALUE"""),"A202")</f>
        <v>A202</v>
      </c>
      <c r="C114" s="328" t="str">
        <f>IFERROR(__xludf.DUMMYFUNCTION("""COMPUTED_VALUE"""),"")</f>
        <v/>
      </c>
      <c r="D114" s="329" t="str">
        <f>IFERROR(__xludf.DUMMYFUNCTION("""COMPUTED_VALUE"""),"")</f>
        <v/>
      </c>
      <c r="E114" s="330" t="str">
        <f>IFERROR(__xludf.DUMMYFUNCTION("""COMPUTED_VALUE"""),"")</f>
        <v/>
      </c>
      <c r="F114" s="331" t="str">
        <f>IFERROR(__xludf.DUMMYFUNCTION("""COMPUTED_VALUE"""),"")</f>
        <v/>
      </c>
      <c r="G114" s="331" t="str">
        <f>IFERROR(__xludf.DUMMYFUNCTION("""COMPUTED_VALUE"""),"")</f>
        <v/>
      </c>
      <c r="H114" s="323" t="str">
        <f>IFERROR(__xludf.DUMMYFUNCTION("""COMPUTED_VALUE""")," ")</f>
        <v> </v>
      </c>
      <c r="I114" s="332" t="str">
        <f>IFERROR(__xludf.DUMMYFUNCTION("""COMPUTED_VALUE"""),"")</f>
        <v/>
      </c>
      <c r="J114" s="333" t="str">
        <f>IFERROR(__xludf.DUMMYFUNCTION("""COMPUTED_VALUE"""),"AP")</f>
        <v>AP</v>
      </c>
      <c r="K114" s="332">
        <f>IFERROR(__xludf.DUMMYFUNCTION("""COMPUTED_VALUE"""),0.0)</f>
        <v>0</v>
      </c>
      <c r="L114" s="334" t="str">
        <f>IFERROR(__xludf.DUMMYFUNCTION("""COMPUTED_VALUE"""),"%")</f>
        <v>%</v>
      </c>
      <c r="M114" s="335">
        <f>IFERROR(__xludf.DUMMYFUNCTION("""COMPUTED_VALUE"""),1.0)</f>
        <v>1</v>
      </c>
      <c r="N114" s="332" t="str">
        <f>IFERROR(__xludf.DUMMYFUNCTION("""COMPUTED_VALUE"""),"")</f>
        <v/>
      </c>
      <c r="O114" s="327" t="str">
        <f>IFERROR(__xludf.DUMMYFUNCTION("""COMPUTED_VALUE"""),"")</f>
        <v/>
      </c>
      <c r="P114" s="332" t="str">
        <f>IFERROR(__xludf.DUMMYFUNCTION("""COMPUTED_VALUE"""),"")</f>
        <v/>
      </c>
      <c r="Q114" s="333" t="str">
        <f>IFERROR(__xludf.DUMMYFUNCTION("""COMPUTED_VALUE"""),"AP")</f>
        <v>AP</v>
      </c>
      <c r="R114" s="332">
        <f>IFERROR(__xludf.DUMMYFUNCTION("""COMPUTED_VALUE"""),0.0)</f>
        <v>0</v>
      </c>
      <c r="S114" s="334" t="str">
        <f>IFERROR(__xludf.DUMMYFUNCTION("""COMPUTED_VALUE"""),"%")</f>
        <v>%</v>
      </c>
      <c r="T114" s="335">
        <f>IFERROR(__xludf.DUMMYFUNCTION("""COMPUTED_VALUE"""),2.0)</f>
        <v>2</v>
      </c>
      <c r="U114" s="332" t="str">
        <f>IFERROR(__xludf.DUMMYFUNCTION("""COMPUTED_VALUE"""),"")</f>
        <v/>
      </c>
      <c r="V114" s="327" t="str">
        <f>IFERROR(__xludf.DUMMYFUNCTION("""COMPUTED_VALUE"""),"")</f>
        <v/>
      </c>
      <c r="W114" s="332" t="str">
        <f>IFERROR(__xludf.DUMMYFUNCTION("""COMPUTED_VALUE"""),"")</f>
        <v/>
      </c>
      <c r="X114" s="333" t="str">
        <f>IFERROR(__xludf.DUMMYFUNCTION("""COMPUTED_VALUE"""),"AP")</f>
        <v>AP</v>
      </c>
      <c r="Y114" s="332">
        <f>IFERROR(__xludf.DUMMYFUNCTION("""COMPUTED_VALUE"""),0.0)</f>
        <v>0</v>
      </c>
      <c r="Z114" s="334" t="str">
        <f>IFERROR(__xludf.DUMMYFUNCTION("""COMPUTED_VALUE"""),"%")</f>
        <v>%</v>
      </c>
      <c r="AA114" s="335">
        <f>IFERROR(__xludf.DUMMYFUNCTION("""COMPUTED_VALUE"""),3.0)</f>
        <v>3</v>
      </c>
      <c r="AB114" s="332" t="str">
        <f>IFERROR(__xludf.DUMMYFUNCTION("""COMPUTED_VALUE"""),"")</f>
        <v/>
      </c>
      <c r="AC114" s="327" t="str">
        <f>IFERROR(__xludf.DUMMYFUNCTION("""COMPUTED_VALUE"""),"")</f>
        <v/>
      </c>
      <c r="AD114" s="332" t="str">
        <f>IFERROR(__xludf.DUMMYFUNCTION("""COMPUTED_VALUE"""),"")</f>
        <v/>
      </c>
      <c r="AE114" s="333" t="str">
        <f>IFERROR(__xludf.DUMMYFUNCTION("""COMPUTED_VALUE"""),"AP")</f>
        <v>AP</v>
      </c>
      <c r="AF114" s="332">
        <f>IFERROR(__xludf.DUMMYFUNCTION("""COMPUTED_VALUE"""),0.0)</f>
        <v>0</v>
      </c>
      <c r="AG114" s="334" t="str">
        <f>IFERROR(__xludf.DUMMYFUNCTION("""COMPUTED_VALUE"""),"%")</f>
        <v>%</v>
      </c>
      <c r="AH114" s="330" t="str">
        <f>IFERROR(__xludf.DUMMYFUNCTION("""COMPUTED_VALUE"""),"")</f>
        <v/>
      </c>
      <c r="AI114" s="331" t="str">
        <f>IFERROR(__xludf.DUMMYFUNCTION("""COMPUTED_VALUE"""),"")</f>
        <v/>
      </c>
      <c r="AJ114" s="329" t="str">
        <f>IFERROR(__xludf.DUMMYFUNCTION("""COMPUTED_VALUE"""),"")</f>
        <v/>
      </c>
    </row>
    <row r="115" ht="24.75" customHeight="1">
      <c r="A115" s="319">
        <f>IFERROR(__xludf.DUMMYFUNCTION("""COMPUTED_VALUE"""),5.0)</f>
        <v>5</v>
      </c>
      <c r="B115" s="319" t="str">
        <f>IFERROR(__xludf.DUMMYFUNCTION("""COMPUTED_VALUE"""),"A202")</f>
        <v>A202</v>
      </c>
      <c r="C115" s="319" t="str">
        <f>IFERROR(__xludf.DUMMYFUNCTION("""COMPUTED_VALUE"""),"")</f>
        <v/>
      </c>
      <c r="D115" s="320" t="str">
        <f>IFERROR(__xludf.DUMMYFUNCTION("""COMPUTED_VALUE"""),"")</f>
        <v/>
      </c>
      <c r="E115" s="321" t="str">
        <f>IFERROR(__xludf.DUMMYFUNCTION("""COMPUTED_VALUE"""),"")</f>
        <v/>
      </c>
      <c r="F115" s="322" t="str">
        <f>IFERROR(__xludf.DUMMYFUNCTION("""COMPUTED_VALUE"""),"")</f>
        <v/>
      </c>
      <c r="G115" s="322" t="str">
        <f>IFERROR(__xludf.DUMMYFUNCTION("""COMPUTED_VALUE"""),"")</f>
        <v/>
      </c>
      <c r="H115" s="323" t="str">
        <f>IFERROR(__xludf.DUMMYFUNCTION("""COMPUTED_VALUE""")," ")</f>
        <v> </v>
      </c>
      <c r="I115" s="324" t="str">
        <f>IFERROR(__xludf.DUMMYFUNCTION("""COMPUTED_VALUE"""),"")</f>
        <v/>
      </c>
      <c r="J115" s="325" t="str">
        <f>IFERROR(__xludf.DUMMYFUNCTION("""COMPUTED_VALUE"""),"AP")</f>
        <v>AP</v>
      </c>
      <c r="K115" s="324">
        <f>IFERROR(__xludf.DUMMYFUNCTION("""COMPUTED_VALUE"""),0.0)</f>
        <v>0</v>
      </c>
      <c r="L115" s="325" t="str">
        <f>IFERROR(__xludf.DUMMYFUNCTION("""COMPUTED_VALUE"""),"%")</f>
        <v>%</v>
      </c>
      <c r="M115" s="326">
        <f>IFERROR(__xludf.DUMMYFUNCTION("""COMPUTED_VALUE"""),1.0)</f>
        <v>1</v>
      </c>
      <c r="N115" s="324" t="str">
        <f>IFERROR(__xludf.DUMMYFUNCTION("""COMPUTED_VALUE"""),"")</f>
        <v/>
      </c>
      <c r="O115" s="327" t="str">
        <f>IFERROR(__xludf.DUMMYFUNCTION("""COMPUTED_VALUE"""),"")</f>
        <v/>
      </c>
      <c r="P115" s="324" t="str">
        <f>IFERROR(__xludf.DUMMYFUNCTION("""COMPUTED_VALUE"""),"")</f>
        <v/>
      </c>
      <c r="Q115" s="325" t="str">
        <f>IFERROR(__xludf.DUMMYFUNCTION("""COMPUTED_VALUE"""),"AP")</f>
        <v>AP</v>
      </c>
      <c r="R115" s="324">
        <f>IFERROR(__xludf.DUMMYFUNCTION("""COMPUTED_VALUE"""),0.0)</f>
        <v>0</v>
      </c>
      <c r="S115" s="325" t="str">
        <f>IFERROR(__xludf.DUMMYFUNCTION("""COMPUTED_VALUE"""),"%")</f>
        <v>%</v>
      </c>
      <c r="T115" s="326">
        <f>IFERROR(__xludf.DUMMYFUNCTION("""COMPUTED_VALUE"""),2.0)</f>
        <v>2</v>
      </c>
      <c r="U115" s="324" t="str">
        <f>IFERROR(__xludf.DUMMYFUNCTION("""COMPUTED_VALUE"""),"")</f>
        <v/>
      </c>
      <c r="V115" s="327" t="str">
        <f>IFERROR(__xludf.DUMMYFUNCTION("""COMPUTED_VALUE"""),"")</f>
        <v/>
      </c>
      <c r="W115" s="324" t="str">
        <f>IFERROR(__xludf.DUMMYFUNCTION("""COMPUTED_VALUE"""),"")</f>
        <v/>
      </c>
      <c r="X115" s="325" t="str">
        <f>IFERROR(__xludf.DUMMYFUNCTION("""COMPUTED_VALUE"""),"AP")</f>
        <v>AP</v>
      </c>
      <c r="Y115" s="324">
        <f>IFERROR(__xludf.DUMMYFUNCTION("""COMPUTED_VALUE"""),0.0)</f>
        <v>0</v>
      </c>
      <c r="Z115" s="325" t="str">
        <f>IFERROR(__xludf.DUMMYFUNCTION("""COMPUTED_VALUE"""),"%")</f>
        <v>%</v>
      </c>
      <c r="AA115" s="326">
        <f>IFERROR(__xludf.DUMMYFUNCTION("""COMPUTED_VALUE"""),3.0)</f>
        <v>3</v>
      </c>
      <c r="AB115" s="324" t="str">
        <f>IFERROR(__xludf.DUMMYFUNCTION("""COMPUTED_VALUE"""),"")</f>
        <v/>
      </c>
      <c r="AC115" s="327" t="str">
        <f>IFERROR(__xludf.DUMMYFUNCTION("""COMPUTED_VALUE"""),"")</f>
        <v/>
      </c>
      <c r="AD115" s="324" t="str">
        <f>IFERROR(__xludf.DUMMYFUNCTION("""COMPUTED_VALUE"""),"")</f>
        <v/>
      </c>
      <c r="AE115" s="325" t="str">
        <f>IFERROR(__xludf.DUMMYFUNCTION("""COMPUTED_VALUE"""),"AP")</f>
        <v>AP</v>
      </c>
      <c r="AF115" s="324">
        <f>IFERROR(__xludf.DUMMYFUNCTION("""COMPUTED_VALUE"""),0.0)</f>
        <v>0</v>
      </c>
      <c r="AG115" s="325" t="str">
        <f>IFERROR(__xludf.DUMMYFUNCTION("""COMPUTED_VALUE"""),"%")</f>
        <v>%</v>
      </c>
      <c r="AH115" s="321" t="str">
        <f>IFERROR(__xludf.DUMMYFUNCTION("""COMPUTED_VALUE"""),"")</f>
        <v/>
      </c>
      <c r="AI115" s="322" t="str">
        <f>IFERROR(__xludf.DUMMYFUNCTION("""COMPUTED_VALUE"""),"")</f>
        <v/>
      </c>
      <c r="AJ115" s="320" t="str">
        <f>IFERROR(__xludf.DUMMYFUNCTION("""COMPUTED_VALUE"""),"")</f>
        <v/>
      </c>
    </row>
    <row r="116">
      <c r="A116" s="336" t="str">
        <f>IFERROR(__xludf.DUMMYFUNCTION("""COMPUTED_VALUE"""),"")</f>
        <v/>
      </c>
      <c r="B116" s="337" t="str">
        <f>IFERROR(__xludf.DUMMYFUNCTION("""COMPUTED_VALUE"""),"")</f>
        <v/>
      </c>
      <c r="C116" s="338" t="str">
        <f>IFERROR(__xludf.DUMMYFUNCTION("""COMPUTED_VALUE"""),"")</f>
        <v/>
      </c>
      <c r="D116" s="339" t="str">
        <f>IFERROR(__xludf.DUMMYFUNCTION("""COMPUTED_VALUE"""),"")</f>
        <v/>
      </c>
      <c r="E116" s="337" t="str">
        <f>IFERROR(__xludf.DUMMYFUNCTION("""COMPUTED_VALUE"""),"")</f>
        <v/>
      </c>
      <c r="F116" s="337" t="str">
        <f>IFERROR(__xludf.DUMMYFUNCTION("""COMPUTED_VALUE"""),"")</f>
        <v/>
      </c>
      <c r="G116" s="337" t="str">
        <f>IFERROR(__xludf.DUMMYFUNCTION("""COMPUTED_VALUE"""),"")</f>
        <v/>
      </c>
      <c r="H116" s="337" t="str">
        <f>IFERROR(__xludf.DUMMYFUNCTION("""COMPUTED_VALUE"""),"")</f>
        <v/>
      </c>
      <c r="I116" s="337" t="str">
        <f>IFERROR(__xludf.DUMMYFUNCTION("""COMPUTED_VALUE"""),"")</f>
        <v/>
      </c>
      <c r="J116" s="341" t="str">
        <f>IFERROR(__xludf.DUMMYFUNCTION("""COMPUTED_VALUE"""),"")</f>
        <v/>
      </c>
      <c r="K116" s="337" t="str">
        <f>IFERROR(__xludf.DUMMYFUNCTION("""COMPUTED_VALUE"""),"")</f>
        <v/>
      </c>
      <c r="L116" s="341" t="str">
        <f>IFERROR(__xludf.DUMMYFUNCTION("""COMPUTED_VALUE"""),"")</f>
        <v/>
      </c>
      <c r="M116" s="337" t="str">
        <f>IFERROR(__xludf.DUMMYFUNCTION("""COMPUTED_VALUE"""),"")</f>
        <v/>
      </c>
      <c r="N116" s="337" t="str">
        <f>IFERROR(__xludf.DUMMYFUNCTION("""COMPUTED_VALUE"""),"")</f>
        <v/>
      </c>
      <c r="O116" s="337" t="str">
        <f>IFERROR(__xludf.DUMMYFUNCTION("""COMPUTED_VALUE"""),"")</f>
        <v/>
      </c>
      <c r="P116" s="337" t="str">
        <f>IFERROR(__xludf.DUMMYFUNCTION("""COMPUTED_VALUE"""),"")</f>
        <v/>
      </c>
      <c r="Q116" s="341" t="str">
        <f>IFERROR(__xludf.DUMMYFUNCTION("""COMPUTED_VALUE"""),"")</f>
        <v/>
      </c>
      <c r="R116" s="337" t="str">
        <f>IFERROR(__xludf.DUMMYFUNCTION("""COMPUTED_VALUE"""),"")</f>
        <v/>
      </c>
      <c r="S116" s="341" t="str">
        <f>IFERROR(__xludf.DUMMYFUNCTION("""COMPUTED_VALUE"""),"")</f>
        <v/>
      </c>
      <c r="T116" s="337" t="str">
        <f>IFERROR(__xludf.DUMMYFUNCTION("""COMPUTED_VALUE"""),"")</f>
        <v/>
      </c>
      <c r="U116" s="337" t="str">
        <f>IFERROR(__xludf.DUMMYFUNCTION("""COMPUTED_VALUE"""),"")</f>
        <v/>
      </c>
      <c r="V116" s="337" t="str">
        <f>IFERROR(__xludf.DUMMYFUNCTION("""COMPUTED_VALUE"""),"")</f>
        <v/>
      </c>
      <c r="W116" s="337" t="str">
        <f>IFERROR(__xludf.DUMMYFUNCTION("""COMPUTED_VALUE"""),"")</f>
        <v/>
      </c>
      <c r="X116" s="341" t="str">
        <f>IFERROR(__xludf.DUMMYFUNCTION("""COMPUTED_VALUE"""),"")</f>
        <v/>
      </c>
      <c r="Y116" s="337" t="str">
        <f>IFERROR(__xludf.DUMMYFUNCTION("""COMPUTED_VALUE"""),"")</f>
        <v/>
      </c>
      <c r="Z116" s="341" t="str">
        <f>IFERROR(__xludf.DUMMYFUNCTION("""COMPUTED_VALUE"""),"")</f>
        <v/>
      </c>
      <c r="AA116" s="337" t="str">
        <f>IFERROR(__xludf.DUMMYFUNCTION("""COMPUTED_VALUE"""),"")</f>
        <v/>
      </c>
      <c r="AB116" s="337" t="str">
        <f>IFERROR(__xludf.DUMMYFUNCTION("""COMPUTED_VALUE"""),"")</f>
        <v/>
      </c>
      <c r="AC116" s="337" t="str">
        <f>IFERROR(__xludf.DUMMYFUNCTION("""COMPUTED_VALUE"""),"")</f>
        <v/>
      </c>
      <c r="AD116" s="337" t="str">
        <f>IFERROR(__xludf.DUMMYFUNCTION("""COMPUTED_VALUE"""),"")</f>
        <v/>
      </c>
      <c r="AE116" s="341" t="str">
        <f>IFERROR(__xludf.DUMMYFUNCTION("""COMPUTED_VALUE"""),"")</f>
        <v/>
      </c>
      <c r="AF116" s="337" t="str">
        <f>IFERROR(__xludf.DUMMYFUNCTION("""COMPUTED_VALUE"""),"")</f>
        <v/>
      </c>
      <c r="AG116" s="341" t="str">
        <f>IFERROR(__xludf.DUMMYFUNCTION("""COMPUTED_VALUE"""),"")</f>
        <v/>
      </c>
      <c r="AH116" s="337" t="str">
        <f>IFERROR(__xludf.DUMMYFUNCTION("""COMPUTED_VALUE"""),"")</f>
        <v/>
      </c>
      <c r="AI116" s="337" t="str">
        <f>IFERROR(__xludf.DUMMYFUNCTION("""COMPUTED_VALUE"""),"")</f>
        <v/>
      </c>
      <c r="AJ116" s="342" t="str">
        <f>IFERROR(__xludf.DUMMYFUNCTION("""COMPUTED_VALUE"""),"")</f>
        <v/>
      </c>
    </row>
    <row r="117">
      <c r="A117" s="343" t="str">
        <f>IFERROR(__xludf.DUMMYFUNCTION("""COMPUTED_VALUE"""),"")</f>
        <v/>
      </c>
      <c r="B117" s="344" t="str">
        <f>IFERROR(__xludf.DUMMYFUNCTION("""COMPUTED_VALUE"""),"")</f>
        <v/>
      </c>
      <c r="C117" s="345" t="str">
        <f>IFERROR(__xludf.DUMMYFUNCTION("""COMPUTED_VALUE"""),"")</f>
        <v/>
      </c>
      <c r="D117" s="346" t="str">
        <f>IFERROR(__xludf.DUMMYFUNCTION("""COMPUTED_VALUE"""),"")</f>
        <v/>
      </c>
      <c r="E117" s="344" t="str">
        <f>IFERROR(__xludf.DUMMYFUNCTION("""COMPUTED_VALUE"""),"")</f>
        <v/>
      </c>
      <c r="F117" s="344" t="str">
        <f>IFERROR(__xludf.DUMMYFUNCTION("""COMPUTED_VALUE"""),"")</f>
        <v/>
      </c>
      <c r="G117" s="344" t="str">
        <f>IFERROR(__xludf.DUMMYFUNCTION("""COMPUTED_VALUE"""),"")</f>
        <v/>
      </c>
      <c r="H117" s="344" t="str">
        <f>IFERROR(__xludf.DUMMYFUNCTION("""COMPUTED_VALUE"""),"")</f>
        <v/>
      </c>
      <c r="I117" s="344" t="str">
        <f>IFERROR(__xludf.DUMMYFUNCTION("""COMPUTED_VALUE"""),"")</f>
        <v/>
      </c>
      <c r="J117" s="347" t="str">
        <f>IFERROR(__xludf.DUMMYFUNCTION("""COMPUTED_VALUE"""),"")</f>
        <v/>
      </c>
      <c r="K117" s="344" t="str">
        <f>IFERROR(__xludf.DUMMYFUNCTION("""COMPUTED_VALUE"""),"")</f>
        <v/>
      </c>
      <c r="L117" s="347" t="str">
        <f>IFERROR(__xludf.DUMMYFUNCTION("""COMPUTED_VALUE"""),"")</f>
        <v/>
      </c>
      <c r="M117" s="344" t="str">
        <f>IFERROR(__xludf.DUMMYFUNCTION("""COMPUTED_VALUE"""),"")</f>
        <v/>
      </c>
      <c r="N117" s="344" t="str">
        <f>IFERROR(__xludf.DUMMYFUNCTION("""COMPUTED_VALUE"""),"")</f>
        <v/>
      </c>
      <c r="O117" s="344" t="str">
        <f>IFERROR(__xludf.DUMMYFUNCTION("""COMPUTED_VALUE"""),"")</f>
        <v/>
      </c>
      <c r="P117" s="344" t="str">
        <f>IFERROR(__xludf.DUMMYFUNCTION("""COMPUTED_VALUE"""),"")</f>
        <v/>
      </c>
      <c r="Q117" s="347" t="str">
        <f>IFERROR(__xludf.DUMMYFUNCTION("""COMPUTED_VALUE"""),"")</f>
        <v/>
      </c>
      <c r="R117" s="344" t="str">
        <f>IFERROR(__xludf.DUMMYFUNCTION("""COMPUTED_VALUE"""),"")</f>
        <v/>
      </c>
      <c r="S117" s="347" t="str">
        <f>IFERROR(__xludf.DUMMYFUNCTION("""COMPUTED_VALUE"""),"")</f>
        <v/>
      </c>
      <c r="T117" s="344" t="str">
        <f>IFERROR(__xludf.DUMMYFUNCTION("""COMPUTED_VALUE"""),"")</f>
        <v/>
      </c>
      <c r="U117" s="344" t="str">
        <f>IFERROR(__xludf.DUMMYFUNCTION("""COMPUTED_VALUE"""),"")</f>
        <v/>
      </c>
      <c r="V117" s="344" t="str">
        <f>IFERROR(__xludf.DUMMYFUNCTION("""COMPUTED_VALUE"""),"")</f>
        <v/>
      </c>
      <c r="W117" s="344" t="str">
        <f>IFERROR(__xludf.DUMMYFUNCTION("""COMPUTED_VALUE"""),"")</f>
        <v/>
      </c>
      <c r="X117" s="347" t="str">
        <f>IFERROR(__xludf.DUMMYFUNCTION("""COMPUTED_VALUE"""),"")</f>
        <v/>
      </c>
      <c r="Y117" s="344" t="str">
        <f>IFERROR(__xludf.DUMMYFUNCTION("""COMPUTED_VALUE"""),"")</f>
        <v/>
      </c>
      <c r="Z117" s="347" t="str">
        <f>IFERROR(__xludf.DUMMYFUNCTION("""COMPUTED_VALUE"""),"")</f>
        <v/>
      </c>
      <c r="AA117" s="344" t="str">
        <f>IFERROR(__xludf.DUMMYFUNCTION("""COMPUTED_VALUE"""),"")</f>
        <v/>
      </c>
      <c r="AB117" s="344" t="str">
        <f>IFERROR(__xludf.DUMMYFUNCTION("""COMPUTED_VALUE"""),"")</f>
        <v/>
      </c>
      <c r="AC117" s="344" t="str">
        <f>IFERROR(__xludf.DUMMYFUNCTION("""COMPUTED_VALUE"""),"")</f>
        <v/>
      </c>
      <c r="AD117" s="344" t="str">
        <f>IFERROR(__xludf.DUMMYFUNCTION("""COMPUTED_VALUE"""),"")</f>
        <v/>
      </c>
      <c r="AE117" s="347" t="str">
        <f>IFERROR(__xludf.DUMMYFUNCTION("""COMPUTED_VALUE"""),"")</f>
        <v/>
      </c>
      <c r="AF117" s="344" t="str">
        <f>IFERROR(__xludf.DUMMYFUNCTION("""COMPUTED_VALUE"""),"")</f>
        <v/>
      </c>
      <c r="AG117" s="347" t="str">
        <f>IFERROR(__xludf.DUMMYFUNCTION("""COMPUTED_VALUE"""),"")</f>
        <v/>
      </c>
      <c r="AH117" s="344" t="str">
        <f>IFERROR(__xludf.DUMMYFUNCTION("""COMPUTED_VALUE"""),"")</f>
        <v/>
      </c>
      <c r="AI117" s="344" t="str">
        <f>IFERROR(__xludf.DUMMYFUNCTION("""COMPUTED_VALUE"""),"")</f>
        <v/>
      </c>
      <c r="AJ117" s="348" t="str">
        <f>IFERROR(__xludf.DUMMYFUNCTION("""COMPUTED_VALUE"""),"")</f>
        <v/>
      </c>
    </row>
    <row r="118" ht="16.5" customHeight="1">
      <c r="A118" s="349">
        <f>IFERROR(__xludf.DUMMYFUNCTION("""COMPUTED_VALUE"""),14.0)</f>
        <v>14</v>
      </c>
      <c r="B118" s="313" t="str">
        <f>IFERROR(__xludf.DUMMYFUNCTION("""COMPUTED_VALUE"""),"A203")</f>
        <v>A203</v>
      </c>
      <c r="C118" s="314" t="str">
        <f>IFERROR(__xludf.DUMMYFUNCTION("""COMPUTED_VALUE"""),"")</f>
        <v/>
      </c>
      <c r="D118" s="350" t="str">
        <f>IFERROR(__xludf.DUMMYFUNCTION("""COMPUTED_VALUE"""),"Octuplet Crystal")</f>
        <v>Octuplet Crystal</v>
      </c>
      <c r="E118" s="351" t="str">
        <f>IFERROR(__xludf.DUMMYFUNCTION("""COMPUTED_VALUE"""),"AP")</f>
        <v>AP</v>
      </c>
      <c r="F118" s="351" t="str">
        <f>IFERROR(__xludf.DUMMYFUNCTION("""COMPUTED_VALUE"""),"Runs")</f>
        <v>Runs</v>
      </c>
      <c r="G118" s="316" t="str">
        <f>IFERROR(__xludf.DUMMYFUNCTION("""COMPUTED_VALUE"""),"Status")</f>
        <v>Status</v>
      </c>
      <c r="H118" s="351" t="str">
        <f>IFERROR(__xludf.DUMMYFUNCTION("""COMPUTED_VALUE"""),"Mat")</f>
        <v>Mat</v>
      </c>
      <c r="I118" s="351" t="str">
        <f>IFERROR(__xludf.DUMMYFUNCTION("""COMPUTED_VALUE"""),"AP/Drop")</f>
        <v>AP/Drop</v>
      </c>
      <c r="J118" s="351" t="str">
        <f>IFERROR(__xludf.DUMMYFUNCTION("""COMPUTED_VALUE"""),"")</f>
        <v/>
      </c>
      <c r="K118" s="351" t="str">
        <f>IFERROR(__xludf.DUMMYFUNCTION("""COMPUTED_VALUE"""),"Droprate")</f>
        <v>Droprate</v>
      </c>
      <c r="L118" s="351" t="str">
        <f>IFERROR(__xludf.DUMMYFUNCTION("""COMPUTED_VALUE"""),"")</f>
        <v/>
      </c>
      <c r="M118" s="351" t="str">
        <f>IFERROR(__xludf.DUMMYFUNCTION("""COMPUTED_VALUE"""),"#2")</f>
        <v>#2</v>
      </c>
      <c r="N118" s="351" t="str">
        <f>IFERROR(__xludf.DUMMYFUNCTION("""COMPUTED_VALUE"""),"Item 2 ID")</f>
        <v>Item 2 ID</v>
      </c>
      <c r="O118" s="351" t="str">
        <f>IFERROR(__xludf.DUMMYFUNCTION("""COMPUTED_VALUE"""),"Mat")</f>
        <v>Mat</v>
      </c>
      <c r="P118" s="351" t="str">
        <f>IFERROR(__xludf.DUMMYFUNCTION("""COMPUTED_VALUE"""),"AP/Drop")</f>
        <v>AP/Drop</v>
      </c>
      <c r="Q118" s="351" t="str">
        <f>IFERROR(__xludf.DUMMYFUNCTION("""COMPUTED_VALUE"""),"")</f>
        <v/>
      </c>
      <c r="R118" s="351" t="str">
        <f>IFERROR(__xludf.DUMMYFUNCTION("""COMPUTED_VALUE"""),"Droprate")</f>
        <v>Droprate</v>
      </c>
      <c r="S118" s="351" t="str">
        <f>IFERROR(__xludf.DUMMYFUNCTION("""COMPUTED_VALUE"""),"")</f>
        <v/>
      </c>
      <c r="T118" s="351" t="str">
        <f>IFERROR(__xludf.DUMMYFUNCTION("""COMPUTED_VALUE"""),"#3")</f>
        <v>#3</v>
      </c>
      <c r="U118" s="351" t="str">
        <f>IFERROR(__xludf.DUMMYFUNCTION("""COMPUTED_VALUE"""),"Item 2 ID")</f>
        <v>Item 2 ID</v>
      </c>
      <c r="V118" s="351" t="str">
        <f>IFERROR(__xludf.DUMMYFUNCTION("""COMPUTED_VALUE"""),"Mat")</f>
        <v>Mat</v>
      </c>
      <c r="W118" s="351" t="str">
        <f>IFERROR(__xludf.DUMMYFUNCTION("""COMPUTED_VALUE"""),"AP/Drop")</f>
        <v>AP/Drop</v>
      </c>
      <c r="X118" s="351" t="str">
        <f>IFERROR(__xludf.DUMMYFUNCTION("""COMPUTED_VALUE"""),"")</f>
        <v/>
      </c>
      <c r="Y118" s="351" t="str">
        <f>IFERROR(__xludf.DUMMYFUNCTION("""COMPUTED_VALUE"""),"Droprate")</f>
        <v>Droprate</v>
      </c>
      <c r="Z118" s="351" t="str">
        <f>IFERROR(__xludf.DUMMYFUNCTION("""COMPUTED_VALUE"""),"")</f>
        <v/>
      </c>
      <c r="AA118" s="351" t="str">
        <f>IFERROR(__xludf.DUMMYFUNCTION("""COMPUTED_VALUE"""),"#4")</f>
        <v>#4</v>
      </c>
      <c r="AB118" s="351" t="str">
        <f>IFERROR(__xludf.DUMMYFUNCTION("""COMPUTED_VALUE"""),"Item 3 ID")</f>
        <v>Item 3 ID</v>
      </c>
      <c r="AC118" s="351" t="str">
        <f>IFERROR(__xludf.DUMMYFUNCTION("""COMPUTED_VALUE"""),"Mat")</f>
        <v>Mat</v>
      </c>
      <c r="AD118" s="351" t="str">
        <f>IFERROR(__xludf.DUMMYFUNCTION("""COMPUTED_VALUE"""),"AP/Drop")</f>
        <v>AP/Drop</v>
      </c>
      <c r="AE118" s="351" t="str">
        <f>IFERROR(__xludf.DUMMYFUNCTION("""COMPUTED_VALUE"""),"")</f>
        <v/>
      </c>
      <c r="AF118" s="351" t="str">
        <f>IFERROR(__xludf.DUMMYFUNCTION("""COMPUTED_VALUE"""),"Droprate")</f>
        <v>Droprate</v>
      </c>
      <c r="AG118" s="351" t="str">
        <f>IFERROR(__xludf.DUMMYFUNCTION("""COMPUTED_VALUE"""),"")</f>
        <v/>
      </c>
      <c r="AH118" s="351" t="str">
        <f>IFERROR(__xludf.DUMMYFUNCTION("""COMPUTED_VALUE"""),"AP")</f>
        <v>AP</v>
      </c>
      <c r="AI118" s="351" t="str">
        <f>IFERROR(__xludf.DUMMYFUNCTION("""COMPUTED_VALUE"""),"Runs")</f>
        <v>Runs</v>
      </c>
      <c r="AJ118" s="351" t="str">
        <f>IFERROR(__xludf.DUMMYFUNCTION("""COMPUTED_VALUE"""),"Node Name")</f>
        <v>Node Name</v>
      </c>
    </row>
    <row r="119" ht="16.5" customHeight="1">
      <c r="D119" s="317" t="str">
        <f>IFERROR(__xludf.DUMMYFUNCTION("""COMPUTED_VALUE"""),"#N/A")</f>
        <v>#N/A</v>
      </c>
      <c r="E119" s="318"/>
      <c r="F119" s="318"/>
      <c r="G119" s="318"/>
      <c r="H119" s="318"/>
      <c r="I119" s="318"/>
      <c r="J119" s="318"/>
      <c r="K119" s="318"/>
      <c r="L119" s="318"/>
      <c r="M119" s="318"/>
      <c r="N119" s="318"/>
      <c r="O119" s="318"/>
      <c r="P119" s="318"/>
      <c r="Q119" s="318"/>
      <c r="R119" s="318"/>
      <c r="S119" s="318"/>
      <c r="T119" s="318"/>
      <c r="U119" s="318"/>
      <c r="V119" s="318"/>
      <c r="W119" s="318"/>
      <c r="X119" s="318"/>
      <c r="Y119" s="318"/>
      <c r="Z119" s="318"/>
      <c r="AA119" s="318"/>
      <c r="AB119" s="318"/>
      <c r="AC119" s="318"/>
      <c r="AD119" s="318"/>
      <c r="AE119" s="318"/>
      <c r="AF119" s="318"/>
      <c r="AG119" s="318"/>
      <c r="AH119" s="318"/>
      <c r="AI119" s="318"/>
      <c r="AJ119" s="318"/>
    </row>
    <row r="120" ht="24.75" customHeight="1">
      <c r="A120" s="319">
        <f>IFERROR(__xludf.DUMMYFUNCTION("""COMPUTED_VALUE"""),1.0)</f>
        <v>1</v>
      </c>
      <c r="B120" s="319" t="str">
        <f>IFERROR(__xludf.DUMMYFUNCTION("""COMPUTED_VALUE"""),"A203")</f>
        <v>A203</v>
      </c>
      <c r="C120" s="319">
        <f>IFERROR(__xludf.DUMMYFUNCTION("""COMPUTED_VALUE"""),3.0)</f>
        <v>3</v>
      </c>
      <c r="D120" s="320" t="str">
        <f>IFERROR(__xludf.DUMMYFUNCTION("""COMPUTED_VALUE"""),"Old Well")</f>
        <v>Old Well</v>
      </c>
      <c r="E120" s="321">
        <f>IFERROR(__xludf.DUMMYFUNCTION("""COMPUTED_VALUE"""),40.0)</f>
        <v>40</v>
      </c>
      <c r="F120" s="322">
        <f>IFERROR(__xludf.DUMMYFUNCTION("""COMPUTED_VALUE"""),128.0)</f>
        <v>128</v>
      </c>
      <c r="G120" s="322" t="str">
        <f>IFERROR(__xludf.DUMMYFUNCTION("""COMPUTED_VALUE"""),"Open")</f>
        <v>Open</v>
      </c>
      <c r="H120" s="323" t="str">
        <f>IFERROR(__xludf.DUMMYFUNCTION("""COMPUTED_VALUE"""),"")</f>
        <v/>
      </c>
      <c r="I120" s="324">
        <f>IFERROR(__xludf.DUMMYFUNCTION("""COMPUTED_VALUE"""),65.64102564102564)</f>
        <v>65.64102564</v>
      </c>
      <c r="J120" s="325" t="str">
        <f>IFERROR(__xludf.DUMMYFUNCTION("""COMPUTED_VALUE"""),"AP")</f>
        <v>AP</v>
      </c>
      <c r="K120" s="324">
        <f>IFERROR(__xludf.DUMMYFUNCTION("""COMPUTED_VALUE"""),60.9375)</f>
        <v>60.9375</v>
      </c>
      <c r="L120" s="325" t="str">
        <f>IFERROR(__xludf.DUMMYFUNCTION("""COMPUTED_VALUE"""),"%")</f>
        <v>%</v>
      </c>
      <c r="M120" s="326">
        <f>IFERROR(__xludf.DUMMYFUNCTION("""COMPUTED_VALUE"""),1.0)</f>
        <v>1</v>
      </c>
      <c r="N120" s="324" t="str">
        <f>IFERROR(__xludf.DUMMYFUNCTION("""COMPUTED_VALUE"""),"A112")</f>
        <v>A112</v>
      </c>
      <c r="O120" s="327" t="str">
        <f>IFERROR(__xludf.DUMMYFUNCTION("""COMPUTED_VALUE"""),"")</f>
        <v/>
      </c>
      <c r="P120" s="324">
        <f>IFERROR(__xludf.DUMMYFUNCTION("""COMPUTED_VALUE"""),182.85714285714286)</f>
        <v>182.8571429</v>
      </c>
      <c r="Q120" s="325" t="str">
        <f>IFERROR(__xludf.DUMMYFUNCTION("""COMPUTED_VALUE"""),"AP")</f>
        <v>AP</v>
      </c>
      <c r="R120" s="324">
        <f>IFERROR(__xludf.DUMMYFUNCTION("""COMPUTED_VALUE"""),21.875)</f>
        <v>21.875</v>
      </c>
      <c r="S120" s="325" t="str">
        <f>IFERROR(__xludf.DUMMYFUNCTION("""COMPUTED_VALUE"""),"%")</f>
        <v>%</v>
      </c>
      <c r="T120" s="326">
        <f>IFERROR(__xludf.DUMMYFUNCTION("""COMPUTED_VALUE"""),2.0)</f>
        <v>2</v>
      </c>
      <c r="U120" s="324" t="str">
        <f>IFERROR(__xludf.DUMMYFUNCTION("""COMPUTED_VALUE"""),"B102")</f>
        <v>B102</v>
      </c>
      <c r="V120" s="327" t="str">
        <f>IFERROR(__xludf.DUMMYFUNCTION("""COMPUTED_VALUE"""),"")</f>
        <v/>
      </c>
      <c r="W120" s="324">
        <f>IFERROR(__xludf.DUMMYFUNCTION("""COMPUTED_VALUE"""),182.85714285714286)</f>
        <v>182.8571429</v>
      </c>
      <c r="X120" s="325" t="str">
        <f>IFERROR(__xludf.DUMMYFUNCTION("""COMPUTED_VALUE"""),"AP")</f>
        <v>AP</v>
      </c>
      <c r="Y120" s="324">
        <f>IFERROR(__xludf.DUMMYFUNCTION("""COMPUTED_VALUE"""),21.875)</f>
        <v>21.875</v>
      </c>
      <c r="Z120" s="325" t="str">
        <f>IFERROR(__xludf.DUMMYFUNCTION("""COMPUTED_VALUE"""),"%")</f>
        <v>%</v>
      </c>
      <c r="AA120" s="326">
        <f>IFERROR(__xludf.DUMMYFUNCTION("""COMPUTED_VALUE"""),3.0)</f>
        <v>3</v>
      </c>
      <c r="AB120" s="324" t="str">
        <f>IFERROR(__xludf.DUMMYFUNCTION("""COMPUTED_VALUE"""),"B112")</f>
        <v>B112</v>
      </c>
      <c r="AC120" s="327" t="str">
        <f>IFERROR(__xludf.DUMMYFUNCTION("""COMPUTED_VALUE"""),"")</f>
        <v/>
      </c>
      <c r="AD120" s="324">
        <f>IFERROR(__xludf.DUMMYFUNCTION("""COMPUTED_VALUE"""),100.3921568627451)</f>
        <v>100.3921569</v>
      </c>
      <c r="AE120" s="325" t="str">
        <f>IFERROR(__xludf.DUMMYFUNCTION("""COMPUTED_VALUE"""),"AP")</f>
        <v>AP</v>
      </c>
      <c r="AF120" s="324">
        <f>IFERROR(__xludf.DUMMYFUNCTION("""COMPUTED_VALUE"""),39.84375)</f>
        <v>39.84375</v>
      </c>
      <c r="AG120" s="325" t="str">
        <f>IFERROR(__xludf.DUMMYFUNCTION("""COMPUTED_VALUE"""),"%")</f>
        <v>%</v>
      </c>
      <c r="AH120" s="321">
        <f>IFERROR(__xludf.DUMMYFUNCTION("""COMPUTED_VALUE"""),40.0)</f>
        <v>40</v>
      </c>
      <c r="AI120" s="322">
        <f>IFERROR(__xludf.DUMMYFUNCTION("""COMPUTED_VALUE"""),128.0)</f>
        <v>128</v>
      </c>
      <c r="AJ120" s="320" t="str">
        <f>IFERROR(__xludf.DUMMYFUNCTION("""COMPUTED_VALUE"""),"Old Well")</f>
        <v>Old Well</v>
      </c>
    </row>
    <row r="121" ht="24.75" customHeight="1">
      <c r="A121" s="328">
        <f>IFERROR(__xludf.DUMMYFUNCTION("""COMPUTED_VALUE"""),2.0)</f>
        <v>2</v>
      </c>
      <c r="B121" s="328" t="str">
        <f>IFERROR(__xludf.DUMMYFUNCTION("""COMPUTED_VALUE"""),"A203")</f>
        <v>A203</v>
      </c>
      <c r="C121" s="328">
        <f>IFERROR(__xludf.DUMMYFUNCTION("""COMPUTED_VALUE"""),11.0)</f>
        <v>11</v>
      </c>
      <c r="D121" s="329" t="str">
        <f>IFERROR(__xludf.DUMMYFUNCTION("""COMPUTED_VALUE"""),"Ventilation Shaft")</f>
        <v>Ventilation Shaft</v>
      </c>
      <c r="E121" s="330">
        <f>IFERROR(__xludf.DUMMYFUNCTION("""COMPUTED_VALUE"""),30.0)</f>
        <v>30</v>
      </c>
      <c r="F121" s="331">
        <f>IFERROR(__xludf.DUMMYFUNCTION("""COMPUTED_VALUE"""),92.0)</f>
        <v>92</v>
      </c>
      <c r="G121" s="331" t="str">
        <f>IFERROR(__xludf.DUMMYFUNCTION("""COMPUTED_VALUE"""),"Open")</f>
        <v>Open</v>
      </c>
      <c r="H121" s="323" t="str">
        <f>IFERROR(__xludf.DUMMYFUNCTION("""COMPUTED_VALUE"""),"")</f>
        <v/>
      </c>
      <c r="I121" s="332">
        <f>IFERROR(__xludf.DUMMYFUNCTION("""COMPUTED_VALUE"""),230.0)</f>
        <v>230</v>
      </c>
      <c r="J121" s="333" t="str">
        <f>IFERROR(__xludf.DUMMYFUNCTION("""COMPUTED_VALUE"""),"AP")</f>
        <v>AP</v>
      </c>
      <c r="K121" s="332">
        <f>IFERROR(__xludf.DUMMYFUNCTION("""COMPUTED_VALUE"""),13.043478260869565)</f>
        <v>13.04347826</v>
      </c>
      <c r="L121" s="334" t="str">
        <f>IFERROR(__xludf.DUMMYFUNCTION("""COMPUTED_VALUE"""),"%")</f>
        <v>%</v>
      </c>
      <c r="M121" s="335">
        <f>IFERROR(__xludf.DUMMYFUNCTION("""COMPUTED_VALUE"""),1.0)</f>
        <v>1</v>
      </c>
      <c r="N121" s="332" t="str">
        <f>IFERROR(__xludf.DUMMYFUNCTION("""COMPUTED_VALUE"""),"A305")</f>
        <v>A305</v>
      </c>
      <c r="O121" s="327" t="str">
        <f>IFERROR(__xludf.DUMMYFUNCTION("""COMPUTED_VALUE"""),"")</f>
        <v/>
      </c>
      <c r="P121" s="332">
        <f>IFERROR(__xludf.DUMMYFUNCTION("""COMPUTED_VALUE"""),125.45454545454545)</f>
        <v>125.4545455</v>
      </c>
      <c r="Q121" s="333" t="str">
        <f>IFERROR(__xludf.DUMMYFUNCTION("""COMPUTED_VALUE"""),"AP")</f>
        <v>AP</v>
      </c>
      <c r="R121" s="332">
        <f>IFERROR(__xludf.DUMMYFUNCTION("""COMPUTED_VALUE"""),23.91304347826087)</f>
        <v>23.91304348</v>
      </c>
      <c r="S121" s="334" t="str">
        <f>IFERROR(__xludf.DUMMYFUNCTION("""COMPUTED_VALUE"""),"%")</f>
        <v>%</v>
      </c>
      <c r="T121" s="335">
        <f>IFERROR(__xludf.DUMMYFUNCTION("""COMPUTED_VALUE"""),2.0)</f>
        <v>2</v>
      </c>
      <c r="U121" s="332" t="str">
        <f>IFERROR(__xludf.DUMMYFUNCTION("""COMPUTED_VALUE"""),"B111")</f>
        <v>B111</v>
      </c>
      <c r="V121" s="327" t="str">
        <f>IFERROR(__xludf.DUMMYFUNCTION("""COMPUTED_VALUE"""),"")</f>
        <v/>
      </c>
      <c r="W121" s="332">
        <f>IFERROR(__xludf.DUMMYFUNCTION("""COMPUTED_VALUE"""),153.33333333333331)</f>
        <v>153.3333333</v>
      </c>
      <c r="X121" s="333" t="str">
        <f>IFERROR(__xludf.DUMMYFUNCTION("""COMPUTED_VALUE"""),"AP")</f>
        <v>AP</v>
      </c>
      <c r="Y121" s="332">
        <f>IFERROR(__xludf.DUMMYFUNCTION("""COMPUTED_VALUE"""),19.565217391304348)</f>
        <v>19.56521739</v>
      </c>
      <c r="Z121" s="334" t="str">
        <f>IFERROR(__xludf.DUMMYFUNCTION("""COMPUTED_VALUE"""),"%")</f>
        <v>%</v>
      </c>
      <c r="AA121" s="335">
        <f>IFERROR(__xludf.DUMMYFUNCTION("""COMPUTED_VALUE"""),3.0)</f>
        <v>3</v>
      </c>
      <c r="AB121" s="332" t="str">
        <f>IFERROR(__xludf.DUMMYFUNCTION("""COMPUTED_VALUE"""),"B117")</f>
        <v>B117</v>
      </c>
      <c r="AC121" s="327" t="str">
        <f>IFERROR(__xludf.DUMMYFUNCTION("""COMPUTED_VALUE"""),"")</f>
        <v/>
      </c>
      <c r="AD121" s="332">
        <f>IFERROR(__xludf.DUMMYFUNCTION("""COMPUTED_VALUE"""),197.14285714285714)</f>
        <v>197.1428571</v>
      </c>
      <c r="AE121" s="333" t="str">
        <f>IFERROR(__xludf.DUMMYFUNCTION("""COMPUTED_VALUE"""),"AP")</f>
        <v>AP</v>
      </c>
      <c r="AF121" s="332">
        <f>IFERROR(__xludf.DUMMYFUNCTION("""COMPUTED_VALUE"""),15.217391304347828)</f>
        <v>15.2173913</v>
      </c>
      <c r="AG121" s="334" t="str">
        <f>IFERROR(__xludf.DUMMYFUNCTION("""COMPUTED_VALUE"""),"%")</f>
        <v>%</v>
      </c>
      <c r="AH121" s="330">
        <f>IFERROR(__xludf.DUMMYFUNCTION("""COMPUTED_VALUE"""),30.0)</f>
        <v>30</v>
      </c>
      <c r="AI121" s="331">
        <f>IFERROR(__xludf.DUMMYFUNCTION("""COMPUTED_VALUE"""),92.0)</f>
        <v>92</v>
      </c>
      <c r="AJ121" s="329" t="str">
        <f>IFERROR(__xludf.DUMMYFUNCTION("""COMPUTED_VALUE"""),"Ventilation Shaft")</f>
        <v>Ventilation Shaft</v>
      </c>
    </row>
    <row r="122" ht="24.75" customHeight="1">
      <c r="A122" s="319">
        <f>IFERROR(__xludf.DUMMYFUNCTION("""COMPUTED_VALUE"""),3.0)</f>
        <v>3</v>
      </c>
      <c r="B122" s="319" t="str">
        <f>IFERROR(__xludf.DUMMYFUNCTION("""COMPUTED_VALUE"""),"A203")</f>
        <v>A203</v>
      </c>
      <c r="C122" s="319" t="str">
        <f>IFERROR(__xludf.DUMMYFUNCTION("""COMPUTED_VALUE"""),"")</f>
        <v/>
      </c>
      <c r="D122" s="320" t="str">
        <f>IFERROR(__xludf.DUMMYFUNCTION("""COMPUTED_VALUE"""),"")</f>
        <v/>
      </c>
      <c r="E122" s="321" t="str">
        <f>IFERROR(__xludf.DUMMYFUNCTION("""COMPUTED_VALUE"""),"")</f>
        <v/>
      </c>
      <c r="F122" s="322" t="str">
        <f>IFERROR(__xludf.DUMMYFUNCTION("""COMPUTED_VALUE"""),"")</f>
        <v/>
      </c>
      <c r="G122" s="322" t="str">
        <f>IFERROR(__xludf.DUMMYFUNCTION("""COMPUTED_VALUE"""),"")</f>
        <v/>
      </c>
      <c r="H122" s="323" t="str">
        <f>IFERROR(__xludf.DUMMYFUNCTION("""COMPUTED_VALUE""")," ")</f>
        <v> </v>
      </c>
      <c r="I122" s="324" t="str">
        <f>IFERROR(__xludf.DUMMYFUNCTION("""COMPUTED_VALUE"""),"")</f>
        <v/>
      </c>
      <c r="J122" s="325" t="str">
        <f>IFERROR(__xludf.DUMMYFUNCTION("""COMPUTED_VALUE"""),"AP")</f>
        <v>AP</v>
      </c>
      <c r="K122" s="324">
        <f>IFERROR(__xludf.DUMMYFUNCTION("""COMPUTED_VALUE"""),0.0)</f>
        <v>0</v>
      </c>
      <c r="L122" s="325" t="str">
        <f>IFERROR(__xludf.DUMMYFUNCTION("""COMPUTED_VALUE"""),"%")</f>
        <v>%</v>
      </c>
      <c r="M122" s="326">
        <f>IFERROR(__xludf.DUMMYFUNCTION("""COMPUTED_VALUE"""),1.0)</f>
        <v>1</v>
      </c>
      <c r="N122" s="324" t="str">
        <f>IFERROR(__xludf.DUMMYFUNCTION("""COMPUTED_VALUE"""),"")</f>
        <v/>
      </c>
      <c r="O122" s="327" t="str">
        <f>IFERROR(__xludf.DUMMYFUNCTION("""COMPUTED_VALUE"""),"")</f>
        <v/>
      </c>
      <c r="P122" s="324" t="str">
        <f>IFERROR(__xludf.DUMMYFUNCTION("""COMPUTED_VALUE"""),"")</f>
        <v/>
      </c>
      <c r="Q122" s="325" t="str">
        <f>IFERROR(__xludf.DUMMYFUNCTION("""COMPUTED_VALUE"""),"AP")</f>
        <v>AP</v>
      </c>
      <c r="R122" s="324">
        <f>IFERROR(__xludf.DUMMYFUNCTION("""COMPUTED_VALUE"""),0.0)</f>
        <v>0</v>
      </c>
      <c r="S122" s="325" t="str">
        <f>IFERROR(__xludf.DUMMYFUNCTION("""COMPUTED_VALUE"""),"%")</f>
        <v>%</v>
      </c>
      <c r="T122" s="326">
        <f>IFERROR(__xludf.DUMMYFUNCTION("""COMPUTED_VALUE"""),2.0)</f>
        <v>2</v>
      </c>
      <c r="U122" s="324" t="str">
        <f>IFERROR(__xludf.DUMMYFUNCTION("""COMPUTED_VALUE"""),"")</f>
        <v/>
      </c>
      <c r="V122" s="327" t="str">
        <f>IFERROR(__xludf.DUMMYFUNCTION("""COMPUTED_VALUE"""),"")</f>
        <v/>
      </c>
      <c r="W122" s="324" t="str">
        <f>IFERROR(__xludf.DUMMYFUNCTION("""COMPUTED_VALUE"""),"")</f>
        <v/>
      </c>
      <c r="X122" s="325" t="str">
        <f>IFERROR(__xludf.DUMMYFUNCTION("""COMPUTED_VALUE"""),"AP")</f>
        <v>AP</v>
      </c>
      <c r="Y122" s="324">
        <f>IFERROR(__xludf.DUMMYFUNCTION("""COMPUTED_VALUE"""),0.0)</f>
        <v>0</v>
      </c>
      <c r="Z122" s="325" t="str">
        <f>IFERROR(__xludf.DUMMYFUNCTION("""COMPUTED_VALUE"""),"%")</f>
        <v>%</v>
      </c>
      <c r="AA122" s="326">
        <f>IFERROR(__xludf.DUMMYFUNCTION("""COMPUTED_VALUE"""),3.0)</f>
        <v>3</v>
      </c>
      <c r="AB122" s="324" t="str">
        <f>IFERROR(__xludf.DUMMYFUNCTION("""COMPUTED_VALUE"""),"")</f>
        <v/>
      </c>
      <c r="AC122" s="327" t="str">
        <f>IFERROR(__xludf.DUMMYFUNCTION("""COMPUTED_VALUE"""),"")</f>
        <v/>
      </c>
      <c r="AD122" s="324" t="str">
        <f>IFERROR(__xludf.DUMMYFUNCTION("""COMPUTED_VALUE"""),"")</f>
        <v/>
      </c>
      <c r="AE122" s="325" t="str">
        <f>IFERROR(__xludf.DUMMYFUNCTION("""COMPUTED_VALUE"""),"AP")</f>
        <v>AP</v>
      </c>
      <c r="AF122" s="324">
        <f>IFERROR(__xludf.DUMMYFUNCTION("""COMPUTED_VALUE"""),0.0)</f>
        <v>0</v>
      </c>
      <c r="AG122" s="325" t="str">
        <f>IFERROR(__xludf.DUMMYFUNCTION("""COMPUTED_VALUE"""),"%")</f>
        <v>%</v>
      </c>
      <c r="AH122" s="321" t="str">
        <f>IFERROR(__xludf.DUMMYFUNCTION("""COMPUTED_VALUE"""),"")</f>
        <v/>
      </c>
      <c r="AI122" s="322" t="str">
        <f>IFERROR(__xludf.DUMMYFUNCTION("""COMPUTED_VALUE"""),"")</f>
        <v/>
      </c>
      <c r="AJ122" s="320" t="str">
        <f>IFERROR(__xludf.DUMMYFUNCTION("""COMPUTED_VALUE"""),"")</f>
        <v/>
      </c>
    </row>
    <row r="123" ht="24.75" customHeight="1">
      <c r="A123" s="328">
        <f>IFERROR(__xludf.DUMMYFUNCTION("""COMPUTED_VALUE"""),4.0)</f>
        <v>4</v>
      </c>
      <c r="B123" s="328" t="str">
        <f>IFERROR(__xludf.DUMMYFUNCTION("""COMPUTED_VALUE"""),"A203")</f>
        <v>A203</v>
      </c>
      <c r="C123" s="328" t="str">
        <f>IFERROR(__xludf.DUMMYFUNCTION("""COMPUTED_VALUE"""),"")</f>
        <v/>
      </c>
      <c r="D123" s="329" t="str">
        <f>IFERROR(__xludf.DUMMYFUNCTION("""COMPUTED_VALUE"""),"")</f>
        <v/>
      </c>
      <c r="E123" s="330" t="str">
        <f>IFERROR(__xludf.DUMMYFUNCTION("""COMPUTED_VALUE"""),"")</f>
        <v/>
      </c>
      <c r="F123" s="331" t="str">
        <f>IFERROR(__xludf.DUMMYFUNCTION("""COMPUTED_VALUE"""),"")</f>
        <v/>
      </c>
      <c r="G123" s="331" t="str">
        <f>IFERROR(__xludf.DUMMYFUNCTION("""COMPUTED_VALUE"""),"")</f>
        <v/>
      </c>
      <c r="H123" s="323" t="str">
        <f>IFERROR(__xludf.DUMMYFUNCTION("""COMPUTED_VALUE""")," ")</f>
        <v> </v>
      </c>
      <c r="I123" s="332" t="str">
        <f>IFERROR(__xludf.DUMMYFUNCTION("""COMPUTED_VALUE"""),"")</f>
        <v/>
      </c>
      <c r="J123" s="333" t="str">
        <f>IFERROR(__xludf.DUMMYFUNCTION("""COMPUTED_VALUE"""),"AP")</f>
        <v>AP</v>
      </c>
      <c r="K123" s="332">
        <f>IFERROR(__xludf.DUMMYFUNCTION("""COMPUTED_VALUE"""),0.0)</f>
        <v>0</v>
      </c>
      <c r="L123" s="334" t="str">
        <f>IFERROR(__xludf.DUMMYFUNCTION("""COMPUTED_VALUE"""),"%")</f>
        <v>%</v>
      </c>
      <c r="M123" s="335">
        <f>IFERROR(__xludf.DUMMYFUNCTION("""COMPUTED_VALUE"""),1.0)</f>
        <v>1</v>
      </c>
      <c r="N123" s="332" t="str">
        <f>IFERROR(__xludf.DUMMYFUNCTION("""COMPUTED_VALUE"""),"")</f>
        <v/>
      </c>
      <c r="O123" s="327" t="str">
        <f>IFERROR(__xludf.DUMMYFUNCTION("""COMPUTED_VALUE"""),"")</f>
        <v/>
      </c>
      <c r="P123" s="332" t="str">
        <f>IFERROR(__xludf.DUMMYFUNCTION("""COMPUTED_VALUE"""),"")</f>
        <v/>
      </c>
      <c r="Q123" s="333" t="str">
        <f>IFERROR(__xludf.DUMMYFUNCTION("""COMPUTED_VALUE"""),"AP")</f>
        <v>AP</v>
      </c>
      <c r="R123" s="332">
        <f>IFERROR(__xludf.DUMMYFUNCTION("""COMPUTED_VALUE"""),0.0)</f>
        <v>0</v>
      </c>
      <c r="S123" s="334" t="str">
        <f>IFERROR(__xludf.DUMMYFUNCTION("""COMPUTED_VALUE"""),"%")</f>
        <v>%</v>
      </c>
      <c r="T123" s="335">
        <f>IFERROR(__xludf.DUMMYFUNCTION("""COMPUTED_VALUE"""),2.0)</f>
        <v>2</v>
      </c>
      <c r="U123" s="332" t="str">
        <f>IFERROR(__xludf.DUMMYFUNCTION("""COMPUTED_VALUE"""),"")</f>
        <v/>
      </c>
      <c r="V123" s="327" t="str">
        <f>IFERROR(__xludf.DUMMYFUNCTION("""COMPUTED_VALUE"""),"")</f>
        <v/>
      </c>
      <c r="W123" s="332" t="str">
        <f>IFERROR(__xludf.DUMMYFUNCTION("""COMPUTED_VALUE"""),"")</f>
        <v/>
      </c>
      <c r="X123" s="333" t="str">
        <f>IFERROR(__xludf.DUMMYFUNCTION("""COMPUTED_VALUE"""),"AP")</f>
        <v>AP</v>
      </c>
      <c r="Y123" s="332">
        <f>IFERROR(__xludf.DUMMYFUNCTION("""COMPUTED_VALUE"""),0.0)</f>
        <v>0</v>
      </c>
      <c r="Z123" s="334" t="str">
        <f>IFERROR(__xludf.DUMMYFUNCTION("""COMPUTED_VALUE"""),"%")</f>
        <v>%</v>
      </c>
      <c r="AA123" s="335">
        <f>IFERROR(__xludf.DUMMYFUNCTION("""COMPUTED_VALUE"""),3.0)</f>
        <v>3</v>
      </c>
      <c r="AB123" s="332" t="str">
        <f>IFERROR(__xludf.DUMMYFUNCTION("""COMPUTED_VALUE"""),"")</f>
        <v/>
      </c>
      <c r="AC123" s="327" t="str">
        <f>IFERROR(__xludf.DUMMYFUNCTION("""COMPUTED_VALUE"""),"")</f>
        <v/>
      </c>
      <c r="AD123" s="332" t="str">
        <f>IFERROR(__xludf.DUMMYFUNCTION("""COMPUTED_VALUE"""),"")</f>
        <v/>
      </c>
      <c r="AE123" s="333" t="str">
        <f>IFERROR(__xludf.DUMMYFUNCTION("""COMPUTED_VALUE"""),"AP")</f>
        <v>AP</v>
      </c>
      <c r="AF123" s="332">
        <f>IFERROR(__xludf.DUMMYFUNCTION("""COMPUTED_VALUE"""),0.0)</f>
        <v>0</v>
      </c>
      <c r="AG123" s="334" t="str">
        <f>IFERROR(__xludf.DUMMYFUNCTION("""COMPUTED_VALUE"""),"%")</f>
        <v>%</v>
      </c>
      <c r="AH123" s="330" t="str">
        <f>IFERROR(__xludf.DUMMYFUNCTION("""COMPUTED_VALUE"""),"")</f>
        <v/>
      </c>
      <c r="AI123" s="331" t="str">
        <f>IFERROR(__xludf.DUMMYFUNCTION("""COMPUTED_VALUE"""),"")</f>
        <v/>
      </c>
      <c r="AJ123" s="329" t="str">
        <f>IFERROR(__xludf.DUMMYFUNCTION("""COMPUTED_VALUE"""),"")</f>
        <v/>
      </c>
    </row>
    <row r="124" ht="24.75" customHeight="1">
      <c r="A124" s="319">
        <f>IFERROR(__xludf.DUMMYFUNCTION("""COMPUTED_VALUE"""),5.0)</f>
        <v>5</v>
      </c>
      <c r="B124" s="319" t="str">
        <f>IFERROR(__xludf.DUMMYFUNCTION("""COMPUTED_VALUE"""),"A203")</f>
        <v>A203</v>
      </c>
      <c r="C124" s="319" t="str">
        <f>IFERROR(__xludf.DUMMYFUNCTION("""COMPUTED_VALUE"""),"")</f>
        <v/>
      </c>
      <c r="D124" s="320" t="str">
        <f>IFERROR(__xludf.DUMMYFUNCTION("""COMPUTED_VALUE"""),"")</f>
        <v/>
      </c>
      <c r="E124" s="321" t="str">
        <f>IFERROR(__xludf.DUMMYFUNCTION("""COMPUTED_VALUE"""),"")</f>
        <v/>
      </c>
      <c r="F124" s="322" t="str">
        <f>IFERROR(__xludf.DUMMYFUNCTION("""COMPUTED_VALUE"""),"")</f>
        <v/>
      </c>
      <c r="G124" s="322" t="str">
        <f>IFERROR(__xludf.DUMMYFUNCTION("""COMPUTED_VALUE"""),"")</f>
        <v/>
      </c>
      <c r="H124" s="323" t="str">
        <f>IFERROR(__xludf.DUMMYFUNCTION("""COMPUTED_VALUE""")," ")</f>
        <v> </v>
      </c>
      <c r="I124" s="324" t="str">
        <f>IFERROR(__xludf.DUMMYFUNCTION("""COMPUTED_VALUE"""),"")</f>
        <v/>
      </c>
      <c r="J124" s="325" t="str">
        <f>IFERROR(__xludf.DUMMYFUNCTION("""COMPUTED_VALUE"""),"AP")</f>
        <v>AP</v>
      </c>
      <c r="K124" s="324">
        <f>IFERROR(__xludf.DUMMYFUNCTION("""COMPUTED_VALUE"""),0.0)</f>
        <v>0</v>
      </c>
      <c r="L124" s="325" t="str">
        <f>IFERROR(__xludf.DUMMYFUNCTION("""COMPUTED_VALUE"""),"%")</f>
        <v>%</v>
      </c>
      <c r="M124" s="326">
        <f>IFERROR(__xludf.DUMMYFUNCTION("""COMPUTED_VALUE"""),1.0)</f>
        <v>1</v>
      </c>
      <c r="N124" s="324" t="str">
        <f>IFERROR(__xludf.DUMMYFUNCTION("""COMPUTED_VALUE"""),"")</f>
        <v/>
      </c>
      <c r="O124" s="327" t="str">
        <f>IFERROR(__xludf.DUMMYFUNCTION("""COMPUTED_VALUE"""),"")</f>
        <v/>
      </c>
      <c r="P124" s="324" t="str">
        <f>IFERROR(__xludf.DUMMYFUNCTION("""COMPUTED_VALUE"""),"")</f>
        <v/>
      </c>
      <c r="Q124" s="325" t="str">
        <f>IFERROR(__xludf.DUMMYFUNCTION("""COMPUTED_VALUE"""),"AP")</f>
        <v>AP</v>
      </c>
      <c r="R124" s="324">
        <f>IFERROR(__xludf.DUMMYFUNCTION("""COMPUTED_VALUE"""),0.0)</f>
        <v>0</v>
      </c>
      <c r="S124" s="325" t="str">
        <f>IFERROR(__xludf.DUMMYFUNCTION("""COMPUTED_VALUE"""),"%")</f>
        <v>%</v>
      </c>
      <c r="T124" s="326">
        <f>IFERROR(__xludf.DUMMYFUNCTION("""COMPUTED_VALUE"""),2.0)</f>
        <v>2</v>
      </c>
      <c r="U124" s="324" t="str">
        <f>IFERROR(__xludf.DUMMYFUNCTION("""COMPUTED_VALUE"""),"")</f>
        <v/>
      </c>
      <c r="V124" s="327" t="str">
        <f>IFERROR(__xludf.DUMMYFUNCTION("""COMPUTED_VALUE"""),"")</f>
        <v/>
      </c>
      <c r="W124" s="324" t="str">
        <f>IFERROR(__xludf.DUMMYFUNCTION("""COMPUTED_VALUE"""),"")</f>
        <v/>
      </c>
      <c r="X124" s="325" t="str">
        <f>IFERROR(__xludf.DUMMYFUNCTION("""COMPUTED_VALUE"""),"AP")</f>
        <v>AP</v>
      </c>
      <c r="Y124" s="324">
        <f>IFERROR(__xludf.DUMMYFUNCTION("""COMPUTED_VALUE"""),0.0)</f>
        <v>0</v>
      </c>
      <c r="Z124" s="325" t="str">
        <f>IFERROR(__xludf.DUMMYFUNCTION("""COMPUTED_VALUE"""),"%")</f>
        <v>%</v>
      </c>
      <c r="AA124" s="326">
        <f>IFERROR(__xludf.DUMMYFUNCTION("""COMPUTED_VALUE"""),3.0)</f>
        <v>3</v>
      </c>
      <c r="AB124" s="324" t="str">
        <f>IFERROR(__xludf.DUMMYFUNCTION("""COMPUTED_VALUE"""),"")</f>
        <v/>
      </c>
      <c r="AC124" s="327" t="str">
        <f>IFERROR(__xludf.DUMMYFUNCTION("""COMPUTED_VALUE"""),"")</f>
        <v/>
      </c>
      <c r="AD124" s="324" t="str">
        <f>IFERROR(__xludf.DUMMYFUNCTION("""COMPUTED_VALUE"""),"")</f>
        <v/>
      </c>
      <c r="AE124" s="325" t="str">
        <f>IFERROR(__xludf.DUMMYFUNCTION("""COMPUTED_VALUE"""),"AP")</f>
        <v>AP</v>
      </c>
      <c r="AF124" s="324">
        <f>IFERROR(__xludf.DUMMYFUNCTION("""COMPUTED_VALUE"""),0.0)</f>
        <v>0</v>
      </c>
      <c r="AG124" s="325" t="str">
        <f>IFERROR(__xludf.DUMMYFUNCTION("""COMPUTED_VALUE"""),"%")</f>
        <v>%</v>
      </c>
      <c r="AH124" s="321" t="str">
        <f>IFERROR(__xludf.DUMMYFUNCTION("""COMPUTED_VALUE"""),"")</f>
        <v/>
      </c>
      <c r="AI124" s="322" t="str">
        <f>IFERROR(__xludf.DUMMYFUNCTION("""COMPUTED_VALUE"""),"")</f>
        <v/>
      </c>
      <c r="AJ124" s="320" t="str">
        <f>IFERROR(__xludf.DUMMYFUNCTION("""COMPUTED_VALUE"""),"")</f>
        <v/>
      </c>
    </row>
    <row r="125">
      <c r="A125" s="336" t="str">
        <f>IFERROR(__xludf.DUMMYFUNCTION("""COMPUTED_VALUE"""),"")</f>
        <v/>
      </c>
      <c r="B125" s="337" t="str">
        <f>IFERROR(__xludf.DUMMYFUNCTION("""COMPUTED_VALUE"""),"")</f>
        <v/>
      </c>
      <c r="C125" s="338" t="str">
        <f>IFERROR(__xludf.DUMMYFUNCTION("""COMPUTED_VALUE"""),"")</f>
        <v/>
      </c>
      <c r="D125" s="339" t="str">
        <f>IFERROR(__xludf.DUMMYFUNCTION("""COMPUTED_VALUE"""),"")</f>
        <v/>
      </c>
      <c r="E125" s="337" t="str">
        <f>IFERROR(__xludf.DUMMYFUNCTION("""COMPUTED_VALUE"""),"")</f>
        <v/>
      </c>
      <c r="F125" s="337" t="str">
        <f>IFERROR(__xludf.DUMMYFUNCTION("""COMPUTED_VALUE"""),"")</f>
        <v/>
      </c>
      <c r="G125" s="337" t="str">
        <f>IFERROR(__xludf.DUMMYFUNCTION("""COMPUTED_VALUE"""),"")</f>
        <v/>
      </c>
      <c r="H125" s="337" t="str">
        <f>IFERROR(__xludf.DUMMYFUNCTION("""COMPUTED_VALUE"""),"")</f>
        <v/>
      </c>
      <c r="I125" s="337" t="str">
        <f>IFERROR(__xludf.DUMMYFUNCTION("""COMPUTED_VALUE"""),"")</f>
        <v/>
      </c>
      <c r="J125" s="341" t="str">
        <f>IFERROR(__xludf.DUMMYFUNCTION("""COMPUTED_VALUE"""),"")</f>
        <v/>
      </c>
      <c r="K125" s="337" t="str">
        <f>IFERROR(__xludf.DUMMYFUNCTION("""COMPUTED_VALUE"""),"")</f>
        <v/>
      </c>
      <c r="L125" s="341" t="str">
        <f>IFERROR(__xludf.DUMMYFUNCTION("""COMPUTED_VALUE"""),"")</f>
        <v/>
      </c>
      <c r="M125" s="337" t="str">
        <f>IFERROR(__xludf.DUMMYFUNCTION("""COMPUTED_VALUE"""),"")</f>
        <v/>
      </c>
      <c r="N125" s="337" t="str">
        <f>IFERROR(__xludf.DUMMYFUNCTION("""COMPUTED_VALUE"""),"")</f>
        <v/>
      </c>
      <c r="O125" s="337" t="str">
        <f>IFERROR(__xludf.DUMMYFUNCTION("""COMPUTED_VALUE"""),"")</f>
        <v/>
      </c>
      <c r="P125" s="337" t="str">
        <f>IFERROR(__xludf.DUMMYFUNCTION("""COMPUTED_VALUE"""),"")</f>
        <v/>
      </c>
      <c r="Q125" s="341" t="str">
        <f>IFERROR(__xludf.DUMMYFUNCTION("""COMPUTED_VALUE"""),"")</f>
        <v/>
      </c>
      <c r="R125" s="337" t="str">
        <f>IFERROR(__xludf.DUMMYFUNCTION("""COMPUTED_VALUE"""),"")</f>
        <v/>
      </c>
      <c r="S125" s="341" t="str">
        <f>IFERROR(__xludf.DUMMYFUNCTION("""COMPUTED_VALUE"""),"")</f>
        <v/>
      </c>
      <c r="T125" s="337" t="str">
        <f>IFERROR(__xludf.DUMMYFUNCTION("""COMPUTED_VALUE"""),"")</f>
        <v/>
      </c>
      <c r="U125" s="337" t="str">
        <f>IFERROR(__xludf.DUMMYFUNCTION("""COMPUTED_VALUE"""),"")</f>
        <v/>
      </c>
      <c r="V125" s="337" t="str">
        <f>IFERROR(__xludf.DUMMYFUNCTION("""COMPUTED_VALUE"""),"")</f>
        <v/>
      </c>
      <c r="W125" s="337" t="str">
        <f>IFERROR(__xludf.DUMMYFUNCTION("""COMPUTED_VALUE"""),"")</f>
        <v/>
      </c>
      <c r="X125" s="341" t="str">
        <f>IFERROR(__xludf.DUMMYFUNCTION("""COMPUTED_VALUE"""),"")</f>
        <v/>
      </c>
      <c r="Y125" s="337" t="str">
        <f>IFERROR(__xludf.DUMMYFUNCTION("""COMPUTED_VALUE"""),"")</f>
        <v/>
      </c>
      <c r="Z125" s="341" t="str">
        <f>IFERROR(__xludf.DUMMYFUNCTION("""COMPUTED_VALUE"""),"")</f>
        <v/>
      </c>
      <c r="AA125" s="337" t="str">
        <f>IFERROR(__xludf.DUMMYFUNCTION("""COMPUTED_VALUE"""),"")</f>
        <v/>
      </c>
      <c r="AB125" s="337" t="str">
        <f>IFERROR(__xludf.DUMMYFUNCTION("""COMPUTED_VALUE"""),"")</f>
        <v/>
      </c>
      <c r="AC125" s="337" t="str">
        <f>IFERROR(__xludf.DUMMYFUNCTION("""COMPUTED_VALUE"""),"")</f>
        <v/>
      </c>
      <c r="AD125" s="337" t="str">
        <f>IFERROR(__xludf.DUMMYFUNCTION("""COMPUTED_VALUE"""),"")</f>
        <v/>
      </c>
      <c r="AE125" s="341" t="str">
        <f>IFERROR(__xludf.DUMMYFUNCTION("""COMPUTED_VALUE"""),"")</f>
        <v/>
      </c>
      <c r="AF125" s="337" t="str">
        <f>IFERROR(__xludf.DUMMYFUNCTION("""COMPUTED_VALUE"""),"")</f>
        <v/>
      </c>
      <c r="AG125" s="341" t="str">
        <f>IFERROR(__xludf.DUMMYFUNCTION("""COMPUTED_VALUE"""),"")</f>
        <v/>
      </c>
      <c r="AH125" s="337" t="str">
        <f>IFERROR(__xludf.DUMMYFUNCTION("""COMPUTED_VALUE"""),"")</f>
        <v/>
      </c>
      <c r="AI125" s="337" t="str">
        <f>IFERROR(__xludf.DUMMYFUNCTION("""COMPUTED_VALUE"""),"")</f>
        <v/>
      </c>
      <c r="AJ125" s="342" t="str">
        <f>IFERROR(__xludf.DUMMYFUNCTION("""COMPUTED_VALUE"""),"")</f>
        <v/>
      </c>
    </row>
    <row r="126">
      <c r="A126" s="343" t="str">
        <f>IFERROR(__xludf.DUMMYFUNCTION("""COMPUTED_VALUE"""),"")</f>
        <v/>
      </c>
      <c r="B126" s="344" t="str">
        <f>IFERROR(__xludf.DUMMYFUNCTION("""COMPUTED_VALUE"""),"")</f>
        <v/>
      </c>
      <c r="C126" s="345" t="str">
        <f>IFERROR(__xludf.DUMMYFUNCTION("""COMPUTED_VALUE"""),"")</f>
        <v/>
      </c>
      <c r="D126" s="346" t="str">
        <f>IFERROR(__xludf.DUMMYFUNCTION("""COMPUTED_VALUE"""),"")</f>
        <v/>
      </c>
      <c r="E126" s="344" t="str">
        <f>IFERROR(__xludf.DUMMYFUNCTION("""COMPUTED_VALUE"""),"")</f>
        <v/>
      </c>
      <c r="F126" s="344" t="str">
        <f>IFERROR(__xludf.DUMMYFUNCTION("""COMPUTED_VALUE"""),"")</f>
        <v/>
      </c>
      <c r="G126" s="344" t="str">
        <f>IFERROR(__xludf.DUMMYFUNCTION("""COMPUTED_VALUE"""),"")</f>
        <v/>
      </c>
      <c r="H126" s="344" t="str">
        <f>IFERROR(__xludf.DUMMYFUNCTION("""COMPUTED_VALUE"""),"")</f>
        <v/>
      </c>
      <c r="I126" s="344" t="str">
        <f>IFERROR(__xludf.DUMMYFUNCTION("""COMPUTED_VALUE"""),"")</f>
        <v/>
      </c>
      <c r="J126" s="347" t="str">
        <f>IFERROR(__xludf.DUMMYFUNCTION("""COMPUTED_VALUE"""),"")</f>
        <v/>
      </c>
      <c r="K126" s="344" t="str">
        <f>IFERROR(__xludf.DUMMYFUNCTION("""COMPUTED_VALUE"""),"")</f>
        <v/>
      </c>
      <c r="L126" s="347" t="str">
        <f>IFERROR(__xludf.DUMMYFUNCTION("""COMPUTED_VALUE"""),"")</f>
        <v/>
      </c>
      <c r="M126" s="344" t="str">
        <f>IFERROR(__xludf.DUMMYFUNCTION("""COMPUTED_VALUE"""),"")</f>
        <v/>
      </c>
      <c r="N126" s="344" t="str">
        <f>IFERROR(__xludf.DUMMYFUNCTION("""COMPUTED_VALUE"""),"")</f>
        <v/>
      </c>
      <c r="O126" s="344" t="str">
        <f>IFERROR(__xludf.DUMMYFUNCTION("""COMPUTED_VALUE"""),"")</f>
        <v/>
      </c>
      <c r="P126" s="344" t="str">
        <f>IFERROR(__xludf.DUMMYFUNCTION("""COMPUTED_VALUE"""),"")</f>
        <v/>
      </c>
      <c r="Q126" s="347" t="str">
        <f>IFERROR(__xludf.DUMMYFUNCTION("""COMPUTED_VALUE"""),"")</f>
        <v/>
      </c>
      <c r="R126" s="344" t="str">
        <f>IFERROR(__xludf.DUMMYFUNCTION("""COMPUTED_VALUE"""),"")</f>
        <v/>
      </c>
      <c r="S126" s="347" t="str">
        <f>IFERROR(__xludf.DUMMYFUNCTION("""COMPUTED_VALUE"""),"")</f>
        <v/>
      </c>
      <c r="T126" s="344" t="str">
        <f>IFERROR(__xludf.DUMMYFUNCTION("""COMPUTED_VALUE"""),"")</f>
        <v/>
      </c>
      <c r="U126" s="344" t="str">
        <f>IFERROR(__xludf.DUMMYFUNCTION("""COMPUTED_VALUE"""),"")</f>
        <v/>
      </c>
      <c r="V126" s="344" t="str">
        <f>IFERROR(__xludf.DUMMYFUNCTION("""COMPUTED_VALUE"""),"")</f>
        <v/>
      </c>
      <c r="W126" s="344" t="str">
        <f>IFERROR(__xludf.DUMMYFUNCTION("""COMPUTED_VALUE"""),"")</f>
        <v/>
      </c>
      <c r="X126" s="347" t="str">
        <f>IFERROR(__xludf.DUMMYFUNCTION("""COMPUTED_VALUE"""),"")</f>
        <v/>
      </c>
      <c r="Y126" s="344" t="str">
        <f>IFERROR(__xludf.DUMMYFUNCTION("""COMPUTED_VALUE"""),"")</f>
        <v/>
      </c>
      <c r="Z126" s="347" t="str">
        <f>IFERROR(__xludf.DUMMYFUNCTION("""COMPUTED_VALUE"""),"")</f>
        <v/>
      </c>
      <c r="AA126" s="344" t="str">
        <f>IFERROR(__xludf.DUMMYFUNCTION("""COMPUTED_VALUE"""),"")</f>
        <v/>
      </c>
      <c r="AB126" s="344" t="str">
        <f>IFERROR(__xludf.DUMMYFUNCTION("""COMPUTED_VALUE"""),"")</f>
        <v/>
      </c>
      <c r="AC126" s="344" t="str">
        <f>IFERROR(__xludf.DUMMYFUNCTION("""COMPUTED_VALUE"""),"")</f>
        <v/>
      </c>
      <c r="AD126" s="344" t="str">
        <f>IFERROR(__xludf.DUMMYFUNCTION("""COMPUTED_VALUE"""),"")</f>
        <v/>
      </c>
      <c r="AE126" s="347" t="str">
        <f>IFERROR(__xludf.DUMMYFUNCTION("""COMPUTED_VALUE"""),"")</f>
        <v/>
      </c>
      <c r="AF126" s="344" t="str">
        <f>IFERROR(__xludf.DUMMYFUNCTION("""COMPUTED_VALUE"""),"")</f>
        <v/>
      </c>
      <c r="AG126" s="347" t="str">
        <f>IFERROR(__xludf.DUMMYFUNCTION("""COMPUTED_VALUE"""),"")</f>
        <v/>
      </c>
      <c r="AH126" s="344" t="str">
        <f>IFERROR(__xludf.DUMMYFUNCTION("""COMPUTED_VALUE"""),"")</f>
        <v/>
      </c>
      <c r="AI126" s="344" t="str">
        <f>IFERROR(__xludf.DUMMYFUNCTION("""COMPUTED_VALUE"""),"")</f>
        <v/>
      </c>
      <c r="AJ126" s="348" t="str">
        <f>IFERROR(__xludf.DUMMYFUNCTION("""COMPUTED_VALUE"""),"")</f>
        <v/>
      </c>
    </row>
    <row r="127" ht="16.5" customHeight="1">
      <c r="A127" s="349">
        <f>IFERROR(__xludf.DUMMYFUNCTION("""COMPUTED_VALUE"""),15.0)</f>
        <v>15</v>
      </c>
      <c r="B127" s="313" t="str">
        <f>IFERROR(__xludf.DUMMYFUNCTION("""COMPUTED_VALUE"""),"A206")</f>
        <v>A206</v>
      </c>
      <c r="C127" s="314" t="str">
        <f>IFERROR(__xludf.DUMMYFUNCTION("""COMPUTED_VALUE"""),"")</f>
        <v/>
      </c>
      <c r="D127" s="350" t="str">
        <f>IFERROR(__xludf.DUMMYFUNCTION("""COMPUTED_VALUE"""),"Eternal Gear")</f>
        <v>Eternal Gear</v>
      </c>
      <c r="E127" s="351" t="str">
        <f>IFERROR(__xludf.DUMMYFUNCTION("""COMPUTED_VALUE"""),"AP")</f>
        <v>AP</v>
      </c>
      <c r="F127" s="351" t="str">
        <f>IFERROR(__xludf.DUMMYFUNCTION("""COMPUTED_VALUE"""),"Runs")</f>
        <v>Runs</v>
      </c>
      <c r="G127" s="316" t="str">
        <f>IFERROR(__xludf.DUMMYFUNCTION("""COMPUTED_VALUE"""),"Status")</f>
        <v>Status</v>
      </c>
      <c r="H127" s="351" t="str">
        <f>IFERROR(__xludf.DUMMYFUNCTION("""COMPUTED_VALUE"""),"Mat")</f>
        <v>Mat</v>
      </c>
      <c r="I127" s="351" t="str">
        <f>IFERROR(__xludf.DUMMYFUNCTION("""COMPUTED_VALUE"""),"AP/Drop")</f>
        <v>AP/Drop</v>
      </c>
      <c r="J127" s="351" t="str">
        <f>IFERROR(__xludf.DUMMYFUNCTION("""COMPUTED_VALUE"""),"")</f>
        <v/>
      </c>
      <c r="K127" s="351" t="str">
        <f>IFERROR(__xludf.DUMMYFUNCTION("""COMPUTED_VALUE"""),"Droprate")</f>
        <v>Droprate</v>
      </c>
      <c r="L127" s="351" t="str">
        <f>IFERROR(__xludf.DUMMYFUNCTION("""COMPUTED_VALUE"""),"")</f>
        <v/>
      </c>
      <c r="M127" s="351" t="str">
        <f>IFERROR(__xludf.DUMMYFUNCTION("""COMPUTED_VALUE"""),"#2")</f>
        <v>#2</v>
      </c>
      <c r="N127" s="351" t="str">
        <f>IFERROR(__xludf.DUMMYFUNCTION("""COMPUTED_VALUE"""),"Item 2 ID")</f>
        <v>Item 2 ID</v>
      </c>
      <c r="O127" s="351" t="str">
        <f>IFERROR(__xludf.DUMMYFUNCTION("""COMPUTED_VALUE"""),"Mat")</f>
        <v>Mat</v>
      </c>
      <c r="P127" s="351" t="str">
        <f>IFERROR(__xludf.DUMMYFUNCTION("""COMPUTED_VALUE"""),"AP/Drop")</f>
        <v>AP/Drop</v>
      </c>
      <c r="Q127" s="351" t="str">
        <f>IFERROR(__xludf.DUMMYFUNCTION("""COMPUTED_VALUE"""),"")</f>
        <v/>
      </c>
      <c r="R127" s="351" t="str">
        <f>IFERROR(__xludf.DUMMYFUNCTION("""COMPUTED_VALUE"""),"Droprate")</f>
        <v>Droprate</v>
      </c>
      <c r="S127" s="351" t="str">
        <f>IFERROR(__xludf.DUMMYFUNCTION("""COMPUTED_VALUE"""),"")</f>
        <v/>
      </c>
      <c r="T127" s="351" t="str">
        <f>IFERROR(__xludf.DUMMYFUNCTION("""COMPUTED_VALUE"""),"#3")</f>
        <v>#3</v>
      </c>
      <c r="U127" s="351" t="str">
        <f>IFERROR(__xludf.DUMMYFUNCTION("""COMPUTED_VALUE"""),"Item 2 ID")</f>
        <v>Item 2 ID</v>
      </c>
      <c r="V127" s="351" t="str">
        <f>IFERROR(__xludf.DUMMYFUNCTION("""COMPUTED_VALUE"""),"Mat")</f>
        <v>Mat</v>
      </c>
      <c r="W127" s="351" t="str">
        <f>IFERROR(__xludf.DUMMYFUNCTION("""COMPUTED_VALUE"""),"AP/Drop")</f>
        <v>AP/Drop</v>
      </c>
      <c r="X127" s="351" t="str">
        <f>IFERROR(__xludf.DUMMYFUNCTION("""COMPUTED_VALUE"""),"")</f>
        <v/>
      </c>
      <c r="Y127" s="351" t="str">
        <f>IFERROR(__xludf.DUMMYFUNCTION("""COMPUTED_VALUE"""),"Droprate")</f>
        <v>Droprate</v>
      </c>
      <c r="Z127" s="351" t="str">
        <f>IFERROR(__xludf.DUMMYFUNCTION("""COMPUTED_VALUE"""),"")</f>
        <v/>
      </c>
      <c r="AA127" s="351" t="str">
        <f>IFERROR(__xludf.DUMMYFUNCTION("""COMPUTED_VALUE"""),"#4")</f>
        <v>#4</v>
      </c>
      <c r="AB127" s="351" t="str">
        <f>IFERROR(__xludf.DUMMYFUNCTION("""COMPUTED_VALUE"""),"Item 3 ID")</f>
        <v>Item 3 ID</v>
      </c>
      <c r="AC127" s="351" t="str">
        <f>IFERROR(__xludf.DUMMYFUNCTION("""COMPUTED_VALUE"""),"Mat")</f>
        <v>Mat</v>
      </c>
      <c r="AD127" s="351" t="str">
        <f>IFERROR(__xludf.DUMMYFUNCTION("""COMPUTED_VALUE"""),"AP/Drop")</f>
        <v>AP/Drop</v>
      </c>
      <c r="AE127" s="351" t="str">
        <f>IFERROR(__xludf.DUMMYFUNCTION("""COMPUTED_VALUE"""),"")</f>
        <v/>
      </c>
      <c r="AF127" s="351" t="str">
        <f>IFERROR(__xludf.DUMMYFUNCTION("""COMPUTED_VALUE"""),"Droprate")</f>
        <v>Droprate</v>
      </c>
      <c r="AG127" s="351" t="str">
        <f>IFERROR(__xludf.DUMMYFUNCTION("""COMPUTED_VALUE"""),"")</f>
        <v/>
      </c>
      <c r="AH127" s="351" t="str">
        <f>IFERROR(__xludf.DUMMYFUNCTION("""COMPUTED_VALUE"""),"AP")</f>
        <v>AP</v>
      </c>
      <c r="AI127" s="351" t="str">
        <f>IFERROR(__xludf.DUMMYFUNCTION("""COMPUTED_VALUE"""),"Runs")</f>
        <v>Runs</v>
      </c>
      <c r="AJ127" s="351" t="str">
        <f>IFERROR(__xludf.DUMMYFUNCTION("""COMPUTED_VALUE"""),"Node Name")</f>
        <v>Node Name</v>
      </c>
    </row>
    <row r="128" ht="16.5" customHeight="1">
      <c r="D128" s="317" t="str">
        <f>IFERROR(__xludf.DUMMYFUNCTION("""COMPUTED_VALUE"""),"#N/A")</f>
        <v>#N/A</v>
      </c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8"/>
      <c r="Y128" s="318"/>
      <c r="Z128" s="318"/>
      <c r="AA128" s="318"/>
      <c r="AB128" s="318"/>
      <c r="AC128" s="318"/>
      <c r="AD128" s="318"/>
      <c r="AE128" s="318"/>
      <c r="AF128" s="318"/>
      <c r="AG128" s="318"/>
      <c r="AH128" s="318"/>
      <c r="AI128" s="318"/>
      <c r="AJ128" s="318"/>
    </row>
    <row r="129" ht="24.75" customHeight="1">
      <c r="A129" s="319">
        <f>IFERROR(__xludf.DUMMYFUNCTION("""COMPUTED_VALUE"""),1.0)</f>
        <v>1</v>
      </c>
      <c r="B129" s="319" t="str">
        <f>IFERROR(__xludf.DUMMYFUNCTION("""COMPUTED_VALUE"""),"A206")</f>
        <v>A206</v>
      </c>
      <c r="C129" s="319">
        <f>IFERROR(__xludf.DUMMYFUNCTION("""COMPUTED_VALUE"""),13.0)</f>
        <v>13</v>
      </c>
      <c r="D129" s="320" t="str">
        <f>IFERROR(__xludf.DUMMYFUNCTION("""COMPUTED_VALUE"""),"Great Corridor")</f>
        <v>Great Corridor</v>
      </c>
      <c r="E129" s="321">
        <f>IFERROR(__xludf.DUMMYFUNCTION("""COMPUTED_VALUE"""),20.0)</f>
        <v>20</v>
      </c>
      <c r="F129" s="322">
        <f>IFERROR(__xludf.DUMMYFUNCTION("""COMPUTED_VALUE"""),70.0)</f>
        <v>70</v>
      </c>
      <c r="G129" s="322" t="str">
        <f>IFERROR(__xludf.DUMMYFUNCTION("""COMPUTED_VALUE"""),"Open")</f>
        <v>Open</v>
      </c>
      <c r="H129" s="323" t="str">
        <f>IFERROR(__xludf.DUMMYFUNCTION("""COMPUTED_VALUE"""),"")</f>
        <v/>
      </c>
      <c r="I129" s="324">
        <f>IFERROR(__xludf.DUMMYFUNCTION("""COMPUTED_VALUE"""),466.6666666666667)</f>
        <v>466.6666667</v>
      </c>
      <c r="J129" s="325" t="str">
        <f>IFERROR(__xludf.DUMMYFUNCTION("""COMPUTED_VALUE"""),"AP")</f>
        <v>AP</v>
      </c>
      <c r="K129" s="324">
        <f>IFERROR(__xludf.DUMMYFUNCTION("""COMPUTED_VALUE"""),4.285714285714286)</f>
        <v>4.285714286</v>
      </c>
      <c r="L129" s="325" t="str">
        <f>IFERROR(__xludf.DUMMYFUNCTION("""COMPUTED_VALUE"""),"%")</f>
        <v>%</v>
      </c>
      <c r="M129" s="326">
        <f>IFERROR(__xludf.DUMMYFUNCTION("""COMPUTED_VALUE"""),1.0)</f>
        <v>1</v>
      </c>
      <c r="N129" s="324" t="str">
        <f>IFERROR(__xludf.DUMMYFUNCTION("""COMPUTED_VALUE"""),"A106")</f>
        <v>A106</v>
      </c>
      <c r="O129" s="327" t="str">
        <f>IFERROR(__xludf.DUMMYFUNCTION("""COMPUTED_VALUE"""),"")</f>
        <v/>
      </c>
      <c r="P129" s="324">
        <f>IFERROR(__xludf.DUMMYFUNCTION("""COMPUTED_VALUE"""),200.0)</f>
        <v>200</v>
      </c>
      <c r="Q129" s="325" t="str">
        <f>IFERROR(__xludf.DUMMYFUNCTION("""COMPUTED_VALUE"""),"AP")</f>
        <v>AP</v>
      </c>
      <c r="R129" s="324">
        <f>IFERROR(__xludf.DUMMYFUNCTION("""COMPUTED_VALUE"""),10.0)</f>
        <v>10</v>
      </c>
      <c r="S129" s="325" t="str">
        <f>IFERROR(__xludf.DUMMYFUNCTION("""COMPUTED_VALUE"""),"%")</f>
        <v>%</v>
      </c>
      <c r="T129" s="326">
        <f>IFERROR(__xludf.DUMMYFUNCTION("""COMPUTED_VALUE"""),2.0)</f>
        <v>2</v>
      </c>
      <c r="U129" s="324" t="str">
        <f>IFERROR(__xludf.DUMMYFUNCTION("""COMPUTED_VALUE"""),"B114")</f>
        <v>B114</v>
      </c>
      <c r="V129" s="327" t="str">
        <f>IFERROR(__xludf.DUMMYFUNCTION("""COMPUTED_VALUE"""),"")</f>
        <v/>
      </c>
      <c r="W129" s="324">
        <f>IFERROR(__xludf.DUMMYFUNCTION("""COMPUTED_VALUE"""),350.0)</f>
        <v>350</v>
      </c>
      <c r="X129" s="325" t="str">
        <f>IFERROR(__xludf.DUMMYFUNCTION("""COMPUTED_VALUE"""),"AP")</f>
        <v>AP</v>
      </c>
      <c r="Y129" s="324">
        <f>IFERROR(__xludf.DUMMYFUNCTION("""COMPUTED_VALUE"""),5.714285714285714)</f>
        <v>5.714285714</v>
      </c>
      <c r="Z129" s="325" t="str">
        <f>IFERROR(__xludf.DUMMYFUNCTION("""COMPUTED_VALUE"""),"%")</f>
        <v>%</v>
      </c>
      <c r="AA129" s="326">
        <f>IFERROR(__xludf.DUMMYFUNCTION("""COMPUTED_VALUE"""),3.0)</f>
        <v>3</v>
      </c>
      <c r="AB129" s="324" t="str">
        <f>IFERROR(__xludf.DUMMYFUNCTION("""COMPUTED_VALUE"""),"")</f>
        <v/>
      </c>
      <c r="AC129" s="327" t="str">
        <f>IFERROR(__xludf.DUMMYFUNCTION("""COMPUTED_VALUE"""),"")</f>
        <v/>
      </c>
      <c r="AD129" s="324" t="str">
        <f>IFERROR(__xludf.DUMMYFUNCTION("""COMPUTED_VALUE"""),"")</f>
        <v/>
      </c>
      <c r="AE129" s="325" t="str">
        <f>IFERROR(__xludf.DUMMYFUNCTION("""COMPUTED_VALUE"""),"AP")</f>
        <v>AP</v>
      </c>
      <c r="AF129" s="324">
        <f>IFERROR(__xludf.DUMMYFUNCTION("""COMPUTED_VALUE"""),0.0)</f>
        <v>0</v>
      </c>
      <c r="AG129" s="325" t="str">
        <f>IFERROR(__xludf.DUMMYFUNCTION("""COMPUTED_VALUE"""),"%")</f>
        <v>%</v>
      </c>
      <c r="AH129" s="321">
        <f>IFERROR(__xludf.DUMMYFUNCTION("""COMPUTED_VALUE"""),20.0)</f>
        <v>20</v>
      </c>
      <c r="AI129" s="322">
        <f>IFERROR(__xludf.DUMMYFUNCTION("""COMPUTED_VALUE"""),70.0)</f>
        <v>70</v>
      </c>
      <c r="AJ129" s="320" t="str">
        <f>IFERROR(__xludf.DUMMYFUNCTION("""COMPUTED_VALUE"""),"Great Corridor")</f>
        <v>Great Corridor</v>
      </c>
    </row>
    <row r="130" ht="24.75" customHeight="1">
      <c r="A130" s="328">
        <f>IFERROR(__xludf.DUMMYFUNCTION("""COMPUTED_VALUE"""),2.0)</f>
        <v>2</v>
      </c>
      <c r="B130" s="328" t="str">
        <f>IFERROR(__xludf.DUMMYFUNCTION("""COMPUTED_VALUE"""),"A206")</f>
        <v>A206</v>
      </c>
      <c r="C130" s="328" t="str">
        <f>IFERROR(__xludf.DUMMYFUNCTION("""COMPUTED_VALUE"""),"")</f>
        <v/>
      </c>
      <c r="D130" s="329" t="str">
        <f>IFERROR(__xludf.DUMMYFUNCTION("""COMPUTED_VALUE"""),"")</f>
        <v/>
      </c>
      <c r="E130" s="330" t="str">
        <f>IFERROR(__xludf.DUMMYFUNCTION("""COMPUTED_VALUE"""),"")</f>
        <v/>
      </c>
      <c r="F130" s="331" t="str">
        <f>IFERROR(__xludf.DUMMYFUNCTION("""COMPUTED_VALUE"""),"")</f>
        <v/>
      </c>
      <c r="G130" s="331" t="str">
        <f>IFERROR(__xludf.DUMMYFUNCTION("""COMPUTED_VALUE"""),"")</f>
        <v/>
      </c>
      <c r="H130" s="323" t="str">
        <f>IFERROR(__xludf.DUMMYFUNCTION("""COMPUTED_VALUE""")," ")</f>
        <v> </v>
      </c>
      <c r="I130" s="332" t="str">
        <f>IFERROR(__xludf.DUMMYFUNCTION("""COMPUTED_VALUE"""),"")</f>
        <v/>
      </c>
      <c r="J130" s="333" t="str">
        <f>IFERROR(__xludf.DUMMYFUNCTION("""COMPUTED_VALUE"""),"AP")</f>
        <v>AP</v>
      </c>
      <c r="K130" s="332">
        <f>IFERROR(__xludf.DUMMYFUNCTION("""COMPUTED_VALUE"""),0.0)</f>
        <v>0</v>
      </c>
      <c r="L130" s="334" t="str">
        <f>IFERROR(__xludf.DUMMYFUNCTION("""COMPUTED_VALUE"""),"%")</f>
        <v>%</v>
      </c>
      <c r="M130" s="335">
        <f>IFERROR(__xludf.DUMMYFUNCTION("""COMPUTED_VALUE"""),1.0)</f>
        <v>1</v>
      </c>
      <c r="N130" s="332" t="str">
        <f>IFERROR(__xludf.DUMMYFUNCTION("""COMPUTED_VALUE"""),"")</f>
        <v/>
      </c>
      <c r="O130" s="327" t="str">
        <f>IFERROR(__xludf.DUMMYFUNCTION("""COMPUTED_VALUE"""),"")</f>
        <v/>
      </c>
      <c r="P130" s="332" t="str">
        <f>IFERROR(__xludf.DUMMYFUNCTION("""COMPUTED_VALUE"""),"")</f>
        <v/>
      </c>
      <c r="Q130" s="333" t="str">
        <f>IFERROR(__xludf.DUMMYFUNCTION("""COMPUTED_VALUE"""),"AP")</f>
        <v>AP</v>
      </c>
      <c r="R130" s="332">
        <f>IFERROR(__xludf.DUMMYFUNCTION("""COMPUTED_VALUE"""),0.0)</f>
        <v>0</v>
      </c>
      <c r="S130" s="334" t="str">
        <f>IFERROR(__xludf.DUMMYFUNCTION("""COMPUTED_VALUE"""),"%")</f>
        <v>%</v>
      </c>
      <c r="T130" s="335">
        <f>IFERROR(__xludf.DUMMYFUNCTION("""COMPUTED_VALUE"""),2.0)</f>
        <v>2</v>
      </c>
      <c r="U130" s="332" t="str">
        <f>IFERROR(__xludf.DUMMYFUNCTION("""COMPUTED_VALUE"""),"")</f>
        <v/>
      </c>
      <c r="V130" s="327" t="str">
        <f>IFERROR(__xludf.DUMMYFUNCTION("""COMPUTED_VALUE"""),"")</f>
        <v/>
      </c>
      <c r="W130" s="332" t="str">
        <f>IFERROR(__xludf.DUMMYFUNCTION("""COMPUTED_VALUE"""),"")</f>
        <v/>
      </c>
      <c r="X130" s="333" t="str">
        <f>IFERROR(__xludf.DUMMYFUNCTION("""COMPUTED_VALUE"""),"AP")</f>
        <v>AP</v>
      </c>
      <c r="Y130" s="332">
        <f>IFERROR(__xludf.DUMMYFUNCTION("""COMPUTED_VALUE"""),0.0)</f>
        <v>0</v>
      </c>
      <c r="Z130" s="334" t="str">
        <f>IFERROR(__xludf.DUMMYFUNCTION("""COMPUTED_VALUE"""),"%")</f>
        <v>%</v>
      </c>
      <c r="AA130" s="335">
        <f>IFERROR(__xludf.DUMMYFUNCTION("""COMPUTED_VALUE"""),3.0)</f>
        <v>3</v>
      </c>
      <c r="AB130" s="332" t="str">
        <f>IFERROR(__xludf.DUMMYFUNCTION("""COMPUTED_VALUE"""),"")</f>
        <v/>
      </c>
      <c r="AC130" s="327" t="str">
        <f>IFERROR(__xludf.DUMMYFUNCTION("""COMPUTED_VALUE"""),"")</f>
        <v/>
      </c>
      <c r="AD130" s="332" t="str">
        <f>IFERROR(__xludf.DUMMYFUNCTION("""COMPUTED_VALUE"""),"")</f>
        <v/>
      </c>
      <c r="AE130" s="333" t="str">
        <f>IFERROR(__xludf.DUMMYFUNCTION("""COMPUTED_VALUE"""),"AP")</f>
        <v>AP</v>
      </c>
      <c r="AF130" s="332">
        <f>IFERROR(__xludf.DUMMYFUNCTION("""COMPUTED_VALUE"""),0.0)</f>
        <v>0</v>
      </c>
      <c r="AG130" s="334" t="str">
        <f>IFERROR(__xludf.DUMMYFUNCTION("""COMPUTED_VALUE"""),"%")</f>
        <v>%</v>
      </c>
      <c r="AH130" s="330" t="str">
        <f>IFERROR(__xludf.DUMMYFUNCTION("""COMPUTED_VALUE"""),"")</f>
        <v/>
      </c>
      <c r="AI130" s="331" t="str">
        <f>IFERROR(__xludf.DUMMYFUNCTION("""COMPUTED_VALUE"""),"")</f>
        <v/>
      </c>
      <c r="AJ130" s="329" t="str">
        <f>IFERROR(__xludf.DUMMYFUNCTION("""COMPUTED_VALUE"""),"")</f>
        <v/>
      </c>
    </row>
    <row r="131" ht="24.75" customHeight="1">
      <c r="A131" s="319">
        <f>IFERROR(__xludf.DUMMYFUNCTION("""COMPUTED_VALUE"""),3.0)</f>
        <v>3</v>
      </c>
      <c r="B131" s="319" t="str">
        <f>IFERROR(__xludf.DUMMYFUNCTION("""COMPUTED_VALUE"""),"A206")</f>
        <v>A206</v>
      </c>
      <c r="C131" s="319" t="str">
        <f>IFERROR(__xludf.DUMMYFUNCTION("""COMPUTED_VALUE"""),"")</f>
        <v/>
      </c>
      <c r="D131" s="320" t="str">
        <f>IFERROR(__xludf.DUMMYFUNCTION("""COMPUTED_VALUE"""),"")</f>
        <v/>
      </c>
      <c r="E131" s="321" t="str">
        <f>IFERROR(__xludf.DUMMYFUNCTION("""COMPUTED_VALUE"""),"")</f>
        <v/>
      </c>
      <c r="F131" s="322" t="str">
        <f>IFERROR(__xludf.DUMMYFUNCTION("""COMPUTED_VALUE"""),"")</f>
        <v/>
      </c>
      <c r="G131" s="322" t="str">
        <f>IFERROR(__xludf.DUMMYFUNCTION("""COMPUTED_VALUE"""),"")</f>
        <v/>
      </c>
      <c r="H131" s="323" t="str">
        <f>IFERROR(__xludf.DUMMYFUNCTION("""COMPUTED_VALUE""")," ")</f>
        <v> </v>
      </c>
      <c r="I131" s="324" t="str">
        <f>IFERROR(__xludf.DUMMYFUNCTION("""COMPUTED_VALUE"""),"")</f>
        <v/>
      </c>
      <c r="J131" s="325" t="str">
        <f>IFERROR(__xludf.DUMMYFUNCTION("""COMPUTED_VALUE"""),"AP")</f>
        <v>AP</v>
      </c>
      <c r="K131" s="324">
        <f>IFERROR(__xludf.DUMMYFUNCTION("""COMPUTED_VALUE"""),0.0)</f>
        <v>0</v>
      </c>
      <c r="L131" s="325" t="str">
        <f>IFERROR(__xludf.DUMMYFUNCTION("""COMPUTED_VALUE"""),"%")</f>
        <v>%</v>
      </c>
      <c r="M131" s="326">
        <f>IFERROR(__xludf.DUMMYFUNCTION("""COMPUTED_VALUE"""),1.0)</f>
        <v>1</v>
      </c>
      <c r="N131" s="324" t="str">
        <f>IFERROR(__xludf.DUMMYFUNCTION("""COMPUTED_VALUE"""),"")</f>
        <v/>
      </c>
      <c r="O131" s="327" t="str">
        <f>IFERROR(__xludf.DUMMYFUNCTION("""COMPUTED_VALUE"""),"")</f>
        <v/>
      </c>
      <c r="P131" s="324" t="str">
        <f>IFERROR(__xludf.DUMMYFUNCTION("""COMPUTED_VALUE"""),"")</f>
        <v/>
      </c>
      <c r="Q131" s="325" t="str">
        <f>IFERROR(__xludf.DUMMYFUNCTION("""COMPUTED_VALUE"""),"AP")</f>
        <v>AP</v>
      </c>
      <c r="R131" s="324">
        <f>IFERROR(__xludf.DUMMYFUNCTION("""COMPUTED_VALUE"""),0.0)</f>
        <v>0</v>
      </c>
      <c r="S131" s="325" t="str">
        <f>IFERROR(__xludf.DUMMYFUNCTION("""COMPUTED_VALUE"""),"%")</f>
        <v>%</v>
      </c>
      <c r="T131" s="326">
        <f>IFERROR(__xludf.DUMMYFUNCTION("""COMPUTED_VALUE"""),2.0)</f>
        <v>2</v>
      </c>
      <c r="U131" s="324" t="str">
        <f>IFERROR(__xludf.DUMMYFUNCTION("""COMPUTED_VALUE"""),"")</f>
        <v/>
      </c>
      <c r="V131" s="327" t="str">
        <f>IFERROR(__xludf.DUMMYFUNCTION("""COMPUTED_VALUE"""),"")</f>
        <v/>
      </c>
      <c r="W131" s="324" t="str">
        <f>IFERROR(__xludf.DUMMYFUNCTION("""COMPUTED_VALUE"""),"")</f>
        <v/>
      </c>
      <c r="X131" s="325" t="str">
        <f>IFERROR(__xludf.DUMMYFUNCTION("""COMPUTED_VALUE"""),"AP")</f>
        <v>AP</v>
      </c>
      <c r="Y131" s="324">
        <f>IFERROR(__xludf.DUMMYFUNCTION("""COMPUTED_VALUE"""),0.0)</f>
        <v>0</v>
      </c>
      <c r="Z131" s="325" t="str">
        <f>IFERROR(__xludf.DUMMYFUNCTION("""COMPUTED_VALUE"""),"%")</f>
        <v>%</v>
      </c>
      <c r="AA131" s="326">
        <f>IFERROR(__xludf.DUMMYFUNCTION("""COMPUTED_VALUE"""),3.0)</f>
        <v>3</v>
      </c>
      <c r="AB131" s="324" t="str">
        <f>IFERROR(__xludf.DUMMYFUNCTION("""COMPUTED_VALUE"""),"")</f>
        <v/>
      </c>
      <c r="AC131" s="327" t="str">
        <f>IFERROR(__xludf.DUMMYFUNCTION("""COMPUTED_VALUE"""),"")</f>
        <v/>
      </c>
      <c r="AD131" s="324" t="str">
        <f>IFERROR(__xludf.DUMMYFUNCTION("""COMPUTED_VALUE"""),"")</f>
        <v/>
      </c>
      <c r="AE131" s="325" t="str">
        <f>IFERROR(__xludf.DUMMYFUNCTION("""COMPUTED_VALUE"""),"AP")</f>
        <v>AP</v>
      </c>
      <c r="AF131" s="324">
        <f>IFERROR(__xludf.DUMMYFUNCTION("""COMPUTED_VALUE"""),0.0)</f>
        <v>0</v>
      </c>
      <c r="AG131" s="325" t="str">
        <f>IFERROR(__xludf.DUMMYFUNCTION("""COMPUTED_VALUE"""),"%")</f>
        <v>%</v>
      </c>
      <c r="AH131" s="321" t="str">
        <f>IFERROR(__xludf.DUMMYFUNCTION("""COMPUTED_VALUE"""),"")</f>
        <v/>
      </c>
      <c r="AI131" s="322" t="str">
        <f>IFERROR(__xludf.DUMMYFUNCTION("""COMPUTED_VALUE"""),"")</f>
        <v/>
      </c>
      <c r="AJ131" s="320" t="str">
        <f>IFERROR(__xludf.DUMMYFUNCTION("""COMPUTED_VALUE"""),"")</f>
        <v/>
      </c>
    </row>
    <row r="132" ht="24.75" customHeight="1">
      <c r="A132" s="328">
        <f>IFERROR(__xludf.DUMMYFUNCTION("""COMPUTED_VALUE"""),4.0)</f>
        <v>4</v>
      </c>
      <c r="B132" s="328" t="str">
        <f>IFERROR(__xludf.DUMMYFUNCTION("""COMPUTED_VALUE"""),"A206")</f>
        <v>A206</v>
      </c>
      <c r="C132" s="328" t="str">
        <f>IFERROR(__xludf.DUMMYFUNCTION("""COMPUTED_VALUE"""),"")</f>
        <v/>
      </c>
      <c r="D132" s="329" t="str">
        <f>IFERROR(__xludf.DUMMYFUNCTION("""COMPUTED_VALUE"""),"")</f>
        <v/>
      </c>
      <c r="E132" s="330" t="str">
        <f>IFERROR(__xludf.DUMMYFUNCTION("""COMPUTED_VALUE"""),"")</f>
        <v/>
      </c>
      <c r="F132" s="331" t="str">
        <f>IFERROR(__xludf.DUMMYFUNCTION("""COMPUTED_VALUE"""),"")</f>
        <v/>
      </c>
      <c r="G132" s="331" t="str">
        <f>IFERROR(__xludf.DUMMYFUNCTION("""COMPUTED_VALUE"""),"")</f>
        <v/>
      </c>
      <c r="H132" s="323" t="str">
        <f>IFERROR(__xludf.DUMMYFUNCTION("""COMPUTED_VALUE""")," ")</f>
        <v> </v>
      </c>
      <c r="I132" s="332" t="str">
        <f>IFERROR(__xludf.DUMMYFUNCTION("""COMPUTED_VALUE"""),"")</f>
        <v/>
      </c>
      <c r="J132" s="333" t="str">
        <f>IFERROR(__xludf.DUMMYFUNCTION("""COMPUTED_VALUE"""),"AP")</f>
        <v>AP</v>
      </c>
      <c r="K132" s="332">
        <f>IFERROR(__xludf.DUMMYFUNCTION("""COMPUTED_VALUE"""),0.0)</f>
        <v>0</v>
      </c>
      <c r="L132" s="334" t="str">
        <f>IFERROR(__xludf.DUMMYFUNCTION("""COMPUTED_VALUE"""),"%")</f>
        <v>%</v>
      </c>
      <c r="M132" s="335">
        <f>IFERROR(__xludf.DUMMYFUNCTION("""COMPUTED_VALUE"""),1.0)</f>
        <v>1</v>
      </c>
      <c r="N132" s="332" t="str">
        <f>IFERROR(__xludf.DUMMYFUNCTION("""COMPUTED_VALUE"""),"")</f>
        <v/>
      </c>
      <c r="O132" s="327" t="str">
        <f>IFERROR(__xludf.DUMMYFUNCTION("""COMPUTED_VALUE"""),"")</f>
        <v/>
      </c>
      <c r="P132" s="332" t="str">
        <f>IFERROR(__xludf.DUMMYFUNCTION("""COMPUTED_VALUE"""),"")</f>
        <v/>
      </c>
      <c r="Q132" s="333" t="str">
        <f>IFERROR(__xludf.DUMMYFUNCTION("""COMPUTED_VALUE"""),"AP")</f>
        <v>AP</v>
      </c>
      <c r="R132" s="332">
        <f>IFERROR(__xludf.DUMMYFUNCTION("""COMPUTED_VALUE"""),0.0)</f>
        <v>0</v>
      </c>
      <c r="S132" s="334" t="str">
        <f>IFERROR(__xludf.DUMMYFUNCTION("""COMPUTED_VALUE"""),"%")</f>
        <v>%</v>
      </c>
      <c r="T132" s="335">
        <f>IFERROR(__xludf.DUMMYFUNCTION("""COMPUTED_VALUE"""),2.0)</f>
        <v>2</v>
      </c>
      <c r="U132" s="332" t="str">
        <f>IFERROR(__xludf.DUMMYFUNCTION("""COMPUTED_VALUE"""),"")</f>
        <v/>
      </c>
      <c r="V132" s="327" t="str">
        <f>IFERROR(__xludf.DUMMYFUNCTION("""COMPUTED_VALUE"""),"")</f>
        <v/>
      </c>
      <c r="W132" s="332" t="str">
        <f>IFERROR(__xludf.DUMMYFUNCTION("""COMPUTED_VALUE"""),"")</f>
        <v/>
      </c>
      <c r="X132" s="333" t="str">
        <f>IFERROR(__xludf.DUMMYFUNCTION("""COMPUTED_VALUE"""),"AP")</f>
        <v>AP</v>
      </c>
      <c r="Y132" s="332">
        <f>IFERROR(__xludf.DUMMYFUNCTION("""COMPUTED_VALUE"""),0.0)</f>
        <v>0</v>
      </c>
      <c r="Z132" s="334" t="str">
        <f>IFERROR(__xludf.DUMMYFUNCTION("""COMPUTED_VALUE"""),"%")</f>
        <v>%</v>
      </c>
      <c r="AA132" s="335">
        <f>IFERROR(__xludf.DUMMYFUNCTION("""COMPUTED_VALUE"""),3.0)</f>
        <v>3</v>
      </c>
      <c r="AB132" s="332" t="str">
        <f>IFERROR(__xludf.DUMMYFUNCTION("""COMPUTED_VALUE"""),"")</f>
        <v/>
      </c>
      <c r="AC132" s="327" t="str">
        <f>IFERROR(__xludf.DUMMYFUNCTION("""COMPUTED_VALUE"""),"")</f>
        <v/>
      </c>
      <c r="AD132" s="332" t="str">
        <f>IFERROR(__xludf.DUMMYFUNCTION("""COMPUTED_VALUE"""),"")</f>
        <v/>
      </c>
      <c r="AE132" s="333" t="str">
        <f>IFERROR(__xludf.DUMMYFUNCTION("""COMPUTED_VALUE"""),"AP")</f>
        <v>AP</v>
      </c>
      <c r="AF132" s="332">
        <f>IFERROR(__xludf.DUMMYFUNCTION("""COMPUTED_VALUE"""),0.0)</f>
        <v>0</v>
      </c>
      <c r="AG132" s="334" t="str">
        <f>IFERROR(__xludf.DUMMYFUNCTION("""COMPUTED_VALUE"""),"%")</f>
        <v>%</v>
      </c>
      <c r="AH132" s="330" t="str">
        <f>IFERROR(__xludf.DUMMYFUNCTION("""COMPUTED_VALUE"""),"")</f>
        <v/>
      </c>
      <c r="AI132" s="331" t="str">
        <f>IFERROR(__xludf.DUMMYFUNCTION("""COMPUTED_VALUE"""),"")</f>
        <v/>
      </c>
      <c r="AJ132" s="329" t="str">
        <f>IFERROR(__xludf.DUMMYFUNCTION("""COMPUTED_VALUE"""),"")</f>
        <v/>
      </c>
    </row>
    <row r="133" ht="24.75" customHeight="1">
      <c r="A133" s="319">
        <f>IFERROR(__xludf.DUMMYFUNCTION("""COMPUTED_VALUE"""),5.0)</f>
        <v>5</v>
      </c>
      <c r="B133" s="319" t="str">
        <f>IFERROR(__xludf.DUMMYFUNCTION("""COMPUTED_VALUE"""),"A206")</f>
        <v>A206</v>
      </c>
      <c r="C133" s="319" t="str">
        <f>IFERROR(__xludf.DUMMYFUNCTION("""COMPUTED_VALUE"""),"")</f>
        <v/>
      </c>
      <c r="D133" s="320" t="str">
        <f>IFERROR(__xludf.DUMMYFUNCTION("""COMPUTED_VALUE"""),"")</f>
        <v/>
      </c>
      <c r="E133" s="321" t="str">
        <f>IFERROR(__xludf.DUMMYFUNCTION("""COMPUTED_VALUE"""),"")</f>
        <v/>
      </c>
      <c r="F133" s="322" t="str">
        <f>IFERROR(__xludf.DUMMYFUNCTION("""COMPUTED_VALUE"""),"")</f>
        <v/>
      </c>
      <c r="G133" s="322" t="str">
        <f>IFERROR(__xludf.DUMMYFUNCTION("""COMPUTED_VALUE"""),"")</f>
        <v/>
      </c>
      <c r="H133" s="323" t="str">
        <f>IFERROR(__xludf.DUMMYFUNCTION("""COMPUTED_VALUE""")," ")</f>
        <v> </v>
      </c>
      <c r="I133" s="324" t="str">
        <f>IFERROR(__xludf.DUMMYFUNCTION("""COMPUTED_VALUE"""),"")</f>
        <v/>
      </c>
      <c r="J133" s="325" t="str">
        <f>IFERROR(__xludf.DUMMYFUNCTION("""COMPUTED_VALUE"""),"AP")</f>
        <v>AP</v>
      </c>
      <c r="K133" s="324">
        <f>IFERROR(__xludf.DUMMYFUNCTION("""COMPUTED_VALUE"""),0.0)</f>
        <v>0</v>
      </c>
      <c r="L133" s="325" t="str">
        <f>IFERROR(__xludf.DUMMYFUNCTION("""COMPUTED_VALUE"""),"%")</f>
        <v>%</v>
      </c>
      <c r="M133" s="326">
        <f>IFERROR(__xludf.DUMMYFUNCTION("""COMPUTED_VALUE"""),1.0)</f>
        <v>1</v>
      </c>
      <c r="N133" s="324" t="str">
        <f>IFERROR(__xludf.DUMMYFUNCTION("""COMPUTED_VALUE"""),"")</f>
        <v/>
      </c>
      <c r="O133" s="327" t="str">
        <f>IFERROR(__xludf.DUMMYFUNCTION("""COMPUTED_VALUE"""),"")</f>
        <v/>
      </c>
      <c r="P133" s="324" t="str">
        <f>IFERROR(__xludf.DUMMYFUNCTION("""COMPUTED_VALUE"""),"")</f>
        <v/>
      </c>
      <c r="Q133" s="325" t="str">
        <f>IFERROR(__xludf.DUMMYFUNCTION("""COMPUTED_VALUE"""),"AP")</f>
        <v>AP</v>
      </c>
      <c r="R133" s="324">
        <f>IFERROR(__xludf.DUMMYFUNCTION("""COMPUTED_VALUE"""),0.0)</f>
        <v>0</v>
      </c>
      <c r="S133" s="325" t="str">
        <f>IFERROR(__xludf.DUMMYFUNCTION("""COMPUTED_VALUE"""),"%")</f>
        <v>%</v>
      </c>
      <c r="T133" s="326">
        <f>IFERROR(__xludf.DUMMYFUNCTION("""COMPUTED_VALUE"""),2.0)</f>
        <v>2</v>
      </c>
      <c r="U133" s="324" t="str">
        <f>IFERROR(__xludf.DUMMYFUNCTION("""COMPUTED_VALUE"""),"")</f>
        <v/>
      </c>
      <c r="V133" s="327" t="str">
        <f>IFERROR(__xludf.DUMMYFUNCTION("""COMPUTED_VALUE"""),"")</f>
        <v/>
      </c>
      <c r="W133" s="324" t="str">
        <f>IFERROR(__xludf.DUMMYFUNCTION("""COMPUTED_VALUE"""),"")</f>
        <v/>
      </c>
      <c r="X133" s="325" t="str">
        <f>IFERROR(__xludf.DUMMYFUNCTION("""COMPUTED_VALUE"""),"AP")</f>
        <v>AP</v>
      </c>
      <c r="Y133" s="324">
        <f>IFERROR(__xludf.DUMMYFUNCTION("""COMPUTED_VALUE"""),0.0)</f>
        <v>0</v>
      </c>
      <c r="Z133" s="325" t="str">
        <f>IFERROR(__xludf.DUMMYFUNCTION("""COMPUTED_VALUE"""),"%")</f>
        <v>%</v>
      </c>
      <c r="AA133" s="326">
        <f>IFERROR(__xludf.DUMMYFUNCTION("""COMPUTED_VALUE"""),3.0)</f>
        <v>3</v>
      </c>
      <c r="AB133" s="324" t="str">
        <f>IFERROR(__xludf.DUMMYFUNCTION("""COMPUTED_VALUE"""),"")</f>
        <v/>
      </c>
      <c r="AC133" s="327" t="str">
        <f>IFERROR(__xludf.DUMMYFUNCTION("""COMPUTED_VALUE"""),"")</f>
        <v/>
      </c>
      <c r="AD133" s="324" t="str">
        <f>IFERROR(__xludf.DUMMYFUNCTION("""COMPUTED_VALUE"""),"")</f>
        <v/>
      </c>
      <c r="AE133" s="325" t="str">
        <f>IFERROR(__xludf.DUMMYFUNCTION("""COMPUTED_VALUE"""),"AP")</f>
        <v>AP</v>
      </c>
      <c r="AF133" s="324">
        <f>IFERROR(__xludf.DUMMYFUNCTION("""COMPUTED_VALUE"""),0.0)</f>
        <v>0</v>
      </c>
      <c r="AG133" s="325" t="str">
        <f>IFERROR(__xludf.DUMMYFUNCTION("""COMPUTED_VALUE"""),"%")</f>
        <v>%</v>
      </c>
      <c r="AH133" s="321" t="str">
        <f>IFERROR(__xludf.DUMMYFUNCTION("""COMPUTED_VALUE"""),"")</f>
        <v/>
      </c>
      <c r="AI133" s="322" t="str">
        <f>IFERROR(__xludf.DUMMYFUNCTION("""COMPUTED_VALUE"""),"")</f>
        <v/>
      </c>
      <c r="AJ133" s="320" t="str">
        <f>IFERROR(__xludf.DUMMYFUNCTION("""COMPUTED_VALUE"""),"")</f>
        <v/>
      </c>
    </row>
    <row r="134">
      <c r="A134" s="336" t="str">
        <f>IFERROR(__xludf.DUMMYFUNCTION("""COMPUTED_VALUE"""),"")</f>
        <v/>
      </c>
      <c r="B134" s="337" t="str">
        <f>IFERROR(__xludf.DUMMYFUNCTION("""COMPUTED_VALUE"""),"")</f>
        <v/>
      </c>
      <c r="C134" s="338" t="str">
        <f>IFERROR(__xludf.DUMMYFUNCTION("""COMPUTED_VALUE"""),"")</f>
        <v/>
      </c>
      <c r="D134" s="339" t="str">
        <f>IFERROR(__xludf.DUMMYFUNCTION("""COMPUTED_VALUE"""),"")</f>
        <v/>
      </c>
      <c r="E134" s="337" t="str">
        <f>IFERROR(__xludf.DUMMYFUNCTION("""COMPUTED_VALUE"""),"")</f>
        <v/>
      </c>
      <c r="F134" s="337" t="str">
        <f>IFERROR(__xludf.DUMMYFUNCTION("""COMPUTED_VALUE"""),"")</f>
        <v/>
      </c>
      <c r="G134" s="337" t="str">
        <f>IFERROR(__xludf.DUMMYFUNCTION("""COMPUTED_VALUE"""),"")</f>
        <v/>
      </c>
      <c r="H134" s="337" t="str">
        <f>IFERROR(__xludf.DUMMYFUNCTION("""COMPUTED_VALUE"""),"")</f>
        <v/>
      </c>
      <c r="I134" s="337" t="str">
        <f>IFERROR(__xludf.DUMMYFUNCTION("""COMPUTED_VALUE"""),"")</f>
        <v/>
      </c>
      <c r="J134" s="341" t="str">
        <f>IFERROR(__xludf.DUMMYFUNCTION("""COMPUTED_VALUE"""),"")</f>
        <v/>
      </c>
      <c r="K134" s="337" t="str">
        <f>IFERROR(__xludf.DUMMYFUNCTION("""COMPUTED_VALUE"""),"")</f>
        <v/>
      </c>
      <c r="L134" s="341" t="str">
        <f>IFERROR(__xludf.DUMMYFUNCTION("""COMPUTED_VALUE"""),"")</f>
        <v/>
      </c>
      <c r="M134" s="337" t="str">
        <f>IFERROR(__xludf.DUMMYFUNCTION("""COMPUTED_VALUE"""),"")</f>
        <v/>
      </c>
      <c r="N134" s="337" t="str">
        <f>IFERROR(__xludf.DUMMYFUNCTION("""COMPUTED_VALUE"""),"")</f>
        <v/>
      </c>
      <c r="O134" s="337" t="str">
        <f>IFERROR(__xludf.DUMMYFUNCTION("""COMPUTED_VALUE"""),"")</f>
        <v/>
      </c>
      <c r="P134" s="337" t="str">
        <f>IFERROR(__xludf.DUMMYFUNCTION("""COMPUTED_VALUE"""),"")</f>
        <v/>
      </c>
      <c r="Q134" s="341" t="str">
        <f>IFERROR(__xludf.DUMMYFUNCTION("""COMPUTED_VALUE"""),"")</f>
        <v/>
      </c>
      <c r="R134" s="337" t="str">
        <f>IFERROR(__xludf.DUMMYFUNCTION("""COMPUTED_VALUE"""),"")</f>
        <v/>
      </c>
      <c r="S134" s="341" t="str">
        <f>IFERROR(__xludf.DUMMYFUNCTION("""COMPUTED_VALUE"""),"")</f>
        <v/>
      </c>
      <c r="T134" s="337" t="str">
        <f>IFERROR(__xludf.DUMMYFUNCTION("""COMPUTED_VALUE"""),"")</f>
        <v/>
      </c>
      <c r="U134" s="337" t="str">
        <f>IFERROR(__xludf.DUMMYFUNCTION("""COMPUTED_VALUE"""),"")</f>
        <v/>
      </c>
      <c r="V134" s="337" t="str">
        <f>IFERROR(__xludf.DUMMYFUNCTION("""COMPUTED_VALUE"""),"")</f>
        <v/>
      </c>
      <c r="W134" s="337" t="str">
        <f>IFERROR(__xludf.DUMMYFUNCTION("""COMPUTED_VALUE"""),"")</f>
        <v/>
      </c>
      <c r="X134" s="341" t="str">
        <f>IFERROR(__xludf.DUMMYFUNCTION("""COMPUTED_VALUE"""),"")</f>
        <v/>
      </c>
      <c r="Y134" s="337" t="str">
        <f>IFERROR(__xludf.DUMMYFUNCTION("""COMPUTED_VALUE"""),"")</f>
        <v/>
      </c>
      <c r="Z134" s="341" t="str">
        <f>IFERROR(__xludf.DUMMYFUNCTION("""COMPUTED_VALUE"""),"")</f>
        <v/>
      </c>
      <c r="AA134" s="337" t="str">
        <f>IFERROR(__xludf.DUMMYFUNCTION("""COMPUTED_VALUE"""),"")</f>
        <v/>
      </c>
      <c r="AB134" s="337" t="str">
        <f>IFERROR(__xludf.DUMMYFUNCTION("""COMPUTED_VALUE"""),"")</f>
        <v/>
      </c>
      <c r="AC134" s="337" t="str">
        <f>IFERROR(__xludf.DUMMYFUNCTION("""COMPUTED_VALUE"""),"")</f>
        <v/>
      </c>
      <c r="AD134" s="337" t="str">
        <f>IFERROR(__xludf.DUMMYFUNCTION("""COMPUTED_VALUE"""),"")</f>
        <v/>
      </c>
      <c r="AE134" s="341" t="str">
        <f>IFERROR(__xludf.DUMMYFUNCTION("""COMPUTED_VALUE"""),"")</f>
        <v/>
      </c>
      <c r="AF134" s="337" t="str">
        <f>IFERROR(__xludf.DUMMYFUNCTION("""COMPUTED_VALUE"""),"")</f>
        <v/>
      </c>
      <c r="AG134" s="341" t="str">
        <f>IFERROR(__xludf.DUMMYFUNCTION("""COMPUTED_VALUE"""),"")</f>
        <v/>
      </c>
      <c r="AH134" s="337" t="str">
        <f>IFERROR(__xludf.DUMMYFUNCTION("""COMPUTED_VALUE"""),"")</f>
        <v/>
      </c>
      <c r="AI134" s="337" t="str">
        <f>IFERROR(__xludf.DUMMYFUNCTION("""COMPUTED_VALUE"""),"")</f>
        <v/>
      </c>
      <c r="AJ134" s="342" t="str">
        <f>IFERROR(__xludf.DUMMYFUNCTION("""COMPUTED_VALUE"""),"")</f>
        <v/>
      </c>
    </row>
    <row r="135">
      <c r="A135" s="343" t="str">
        <f>IFERROR(__xludf.DUMMYFUNCTION("""COMPUTED_VALUE"""),"")</f>
        <v/>
      </c>
      <c r="B135" s="344" t="str">
        <f>IFERROR(__xludf.DUMMYFUNCTION("""COMPUTED_VALUE"""),"")</f>
        <v/>
      </c>
      <c r="C135" s="345" t="str">
        <f>IFERROR(__xludf.DUMMYFUNCTION("""COMPUTED_VALUE"""),"")</f>
        <v/>
      </c>
      <c r="D135" s="346" t="str">
        <f>IFERROR(__xludf.DUMMYFUNCTION("""COMPUTED_VALUE"""),"")</f>
        <v/>
      </c>
      <c r="E135" s="344" t="str">
        <f>IFERROR(__xludf.DUMMYFUNCTION("""COMPUTED_VALUE"""),"")</f>
        <v/>
      </c>
      <c r="F135" s="344" t="str">
        <f>IFERROR(__xludf.DUMMYFUNCTION("""COMPUTED_VALUE"""),"")</f>
        <v/>
      </c>
      <c r="G135" s="344" t="str">
        <f>IFERROR(__xludf.DUMMYFUNCTION("""COMPUTED_VALUE"""),"")</f>
        <v/>
      </c>
      <c r="H135" s="344" t="str">
        <f>IFERROR(__xludf.DUMMYFUNCTION("""COMPUTED_VALUE"""),"")</f>
        <v/>
      </c>
      <c r="I135" s="344" t="str">
        <f>IFERROR(__xludf.DUMMYFUNCTION("""COMPUTED_VALUE"""),"")</f>
        <v/>
      </c>
      <c r="J135" s="347" t="str">
        <f>IFERROR(__xludf.DUMMYFUNCTION("""COMPUTED_VALUE"""),"")</f>
        <v/>
      </c>
      <c r="K135" s="344" t="str">
        <f>IFERROR(__xludf.DUMMYFUNCTION("""COMPUTED_VALUE"""),"")</f>
        <v/>
      </c>
      <c r="L135" s="347" t="str">
        <f>IFERROR(__xludf.DUMMYFUNCTION("""COMPUTED_VALUE"""),"")</f>
        <v/>
      </c>
      <c r="M135" s="344" t="str">
        <f>IFERROR(__xludf.DUMMYFUNCTION("""COMPUTED_VALUE"""),"")</f>
        <v/>
      </c>
      <c r="N135" s="344" t="str">
        <f>IFERROR(__xludf.DUMMYFUNCTION("""COMPUTED_VALUE"""),"")</f>
        <v/>
      </c>
      <c r="O135" s="344" t="str">
        <f>IFERROR(__xludf.DUMMYFUNCTION("""COMPUTED_VALUE"""),"")</f>
        <v/>
      </c>
      <c r="P135" s="344" t="str">
        <f>IFERROR(__xludf.DUMMYFUNCTION("""COMPUTED_VALUE"""),"")</f>
        <v/>
      </c>
      <c r="Q135" s="347" t="str">
        <f>IFERROR(__xludf.DUMMYFUNCTION("""COMPUTED_VALUE"""),"")</f>
        <v/>
      </c>
      <c r="R135" s="344" t="str">
        <f>IFERROR(__xludf.DUMMYFUNCTION("""COMPUTED_VALUE"""),"")</f>
        <v/>
      </c>
      <c r="S135" s="347" t="str">
        <f>IFERROR(__xludf.DUMMYFUNCTION("""COMPUTED_VALUE"""),"")</f>
        <v/>
      </c>
      <c r="T135" s="344" t="str">
        <f>IFERROR(__xludf.DUMMYFUNCTION("""COMPUTED_VALUE"""),"")</f>
        <v/>
      </c>
      <c r="U135" s="344" t="str">
        <f>IFERROR(__xludf.DUMMYFUNCTION("""COMPUTED_VALUE"""),"")</f>
        <v/>
      </c>
      <c r="V135" s="344" t="str">
        <f>IFERROR(__xludf.DUMMYFUNCTION("""COMPUTED_VALUE"""),"")</f>
        <v/>
      </c>
      <c r="W135" s="344" t="str">
        <f>IFERROR(__xludf.DUMMYFUNCTION("""COMPUTED_VALUE"""),"")</f>
        <v/>
      </c>
      <c r="X135" s="347" t="str">
        <f>IFERROR(__xludf.DUMMYFUNCTION("""COMPUTED_VALUE"""),"")</f>
        <v/>
      </c>
      <c r="Y135" s="344" t="str">
        <f>IFERROR(__xludf.DUMMYFUNCTION("""COMPUTED_VALUE"""),"")</f>
        <v/>
      </c>
      <c r="Z135" s="347" t="str">
        <f>IFERROR(__xludf.DUMMYFUNCTION("""COMPUTED_VALUE"""),"")</f>
        <v/>
      </c>
      <c r="AA135" s="344" t="str">
        <f>IFERROR(__xludf.DUMMYFUNCTION("""COMPUTED_VALUE"""),"")</f>
        <v/>
      </c>
      <c r="AB135" s="344" t="str">
        <f>IFERROR(__xludf.DUMMYFUNCTION("""COMPUTED_VALUE"""),"")</f>
        <v/>
      </c>
      <c r="AC135" s="344" t="str">
        <f>IFERROR(__xludf.DUMMYFUNCTION("""COMPUTED_VALUE"""),"")</f>
        <v/>
      </c>
      <c r="AD135" s="344" t="str">
        <f>IFERROR(__xludf.DUMMYFUNCTION("""COMPUTED_VALUE"""),"")</f>
        <v/>
      </c>
      <c r="AE135" s="347" t="str">
        <f>IFERROR(__xludf.DUMMYFUNCTION("""COMPUTED_VALUE"""),"")</f>
        <v/>
      </c>
      <c r="AF135" s="344" t="str">
        <f>IFERROR(__xludf.DUMMYFUNCTION("""COMPUTED_VALUE"""),"")</f>
        <v/>
      </c>
      <c r="AG135" s="347" t="str">
        <f>IFERROR(__xludf.DUMMYFUNCTION("""COMPUTED_VALUE"""),"")</f>
        <v/>
      </c>
      <c r="AH135" s="344" t="str">
        <f>IFERROR(__xludf.DUMMYFUNCTION("""COMPUTED_VALUE"""),"")</f>
        <v/>
      </c>
      <c r="AI135" s="344" t="str">
        <f>IFERROR(__xludf.DUMMYFUNCTION("""COMPUTED_VALUE"""),"")</f>
        <v/>
      </c>
      <c r="AJ135" s="348" t="str">
        <f>IFERROR(__xludf.DUMMYFUNCTION("""COMPUTED_VALUE"""),"")</f>
        <v/>
      </c>
    </row>
    <row r="136" ht="16.5" customHeight="1">
      <c r="A136" s="349">
        <f>IFERROR(__xludf.DUMMYFUNCTION("""COMPUTED_VALUE"""),16.0)</f>
        <v>16</v>
      </c>
      <c r="B136" s="313" t="str">
        <f>IFERROR(__xludf.DUMMYFUNCTION("""COMPUTED_VALUE"""),"A208")</f>
        <v>A208</v>
      </c>
      <c r="C136" s="314" t="str">
        <f>IFERROR(__xludf.DUMMYFUNCTION("""COMPUTED_VALUE"""),"")</f>
        <v/>
      </c>
      <c r="D136" s="350" t="str">
        <f>IFERROR(__xludf.DUMMYFUNCTION("""COMPUTED_VALUE"""),"Homunculus Baby")</f>
        <v>Homunculus Baby</v>
      </c>
      <c r="E136" s="351" t="str">
        <f>IFERROR(__xludf.DUMMYFUNCTION("""COMPUTED_VALUE"""),"AP")</f>
        <v>AP</v>
      </c>
      <c r="F136" s="351" t="str">
        <f>IFERROR(__xludf.DUMMYFUNCTION("""COMPUTED_VALUE"""),"Runs")</f>
        <v>Runs</v>
      </c>
      <c r="G136" s="316" t="str">
        <f>IFERROR(__xludf.DUMMYFUNCTION("""COMPUTED_VALUE"""),"Status")</f>
        <v>Status</v>
      </c>
      <c r="H136" s="351" t="str">
        <f>IFERROR(__xludf.DUMMYFUNCTION("""COMPUTED_VALUE"""),"Mat")</f>
        <v>Mat</v>
      </c>
      <c r="I136" s="351" t="str">
        <f>IFERROR(__xludf.DUMMYFUNCTION("""COMPUTED_VALUE"""),"AP/Drop")</f>
        <v>AP/Drop</v>
      </c>
      <c r="J136" s="351" t="str">
        <f>IFERROR(__xludf.DUMMYFUNCTION("""COMPUTED_VALUE"""),"")</f>
        <v/>
      </c>
      <c r="K136" s="351" t="str">
        <f>IFERROR(__xludf.DUMMYFUNCTION("""COMPUTED_VALUE"""),"Droprate")</f>
        <v>Droprate</v>
      </c>
      <c r="L136" s="351" t="str">
        <f>IFERROR(__xludf.DUMMYFUNCTION("""COMPUTED_VALUE"""),"")</f>
        <v/>
      </c>
      <c r="M136" s="351" t="str">
        <f>IFERROR(__xludf.DUMMYFUNCTION("""COMPUTED_VALUE"""),"#2")</f>
        <v>#2</v>
      </c>
      <c r="N136" s="351" t="str">
        <f>IFERROR(__xludf.DUMMYFUNCTION("""COMPUTED_VALUE"""),"Item 2 ID")</f>
        <v>Item 2 ID</v>
      </c>
      <c r="O136" s="351" t="str">
        <f>IFERROR(__xludf.DUMMYFUNCTION("""COMPUTED_VALUE"""),"Mat")</f>
        <v>Mat</v>
      </c>
      <c r="P136" s="351" t="str">
        <f>IFERROR(__xludf.DUMMYFUNCTION("""COMPUTED_VALUE"""),"AP/Drop")</f>
        <v>AP/Drop</v>
      </c>
      <c r="Q136" s="351" t="str">
        <f>IFERROR(__xludf.DUMMYFUNCTION("""COMPUTED_VALUE"""),"")</f>
        <v/>
      </c>
      <c r="R136" s="351" t="str">
        <f>IFERROR(__xludf.DUMMYFUNCTION("""COMPUTED_VALUE"""),"Droprate")</f>
        <v>Droprate</v>
      </c>
      <c r="S136" s="351" t="str">
        <f>IFERROR(__xludf.DUMMYFUNCTION("""COMPUTED_VALUE"""),"")</f>
        <v/>
      </c>
      <c r="T136" s="351" t="str">
        <f>IFERROR(__xludf.DUMMYFUNCTION("""COMPUTED_VALUE"""),"#3")</f>
        <v>#3</v>
      </c>
      <c r="U136" s="351" t="str">
        <f>IFERROR(__xludf.DUMMYFUNCTION("""COMPUTED_VALUE"""),"Item 2 ID")</f>
        <v>Item 2 ID</v>
      </c>
      <c r="V136" s="351" t="str">
        <f>IFERROR(__xludf.DUMMYFUNCTION("""COMPUTED_VALUE"""),"Mat")</f>
        <v>Mat</v>
      </c>
      <c r="W136" s="351" t="str">
        <f>IFERROR(__xludf.DUMMYFUNCTION("""COMPUTED_VALUE"""),"AP/Drop")</f>
        <v>AP/Drop</v>
      </c>
      <c r="X136" s="351" t="str">
        <f>IFERROR(__xludf.DUMMYFUNCTION("""COMPUTED_VALUE"""),"")</f>
        <v/>
      </c>
      <c r="Y136" s="351" t="str">
        <f>IFERROR(__xludf.DUMMYFUNCTION("""COMPUTED_VALUE"""),"Droprate")</f>
        <v>Droprate</v>
      </c>
      <c r="Z136" s="351" t="str">
        <f>IFERROR(__xludf.DUMMYFUNCTION("""COMPUTED_VALUE"""),"")</f>
        <v/>
      </c>
      <c r="AA136" s="351" t="str">
        <f>IFERROR(__xludf.DUMMYFUNCTION("""COMPUTED_VALUE"""),"#4")</f>
        <v>#4</v>
      </c>
      <c r="AB136" s="351" t="str">
        <f>IFERROR(__xludf.DUMMYFUNCTION("""COMPUTED_VALUE"""),"Item 3 ID")</f>
        <v>Item 3 ID</v>
      </c>
      <c r="AC136" s="351" t="str">
        <f>IFERROR(__xludf.DUMMYFUNCTION("""COMPUTED_VALUE"""),"Mat")</f>
        <v>Mat</v>
      </c>
      <c r="AD136" s="351" t="str">
        <f>IFERROR(__xludf.DUMMYFUNCTION("""COMPUTED_VALUE"""),"AP/Drop")</f>
        <v>AP/Drop</v>
      </c>
      <c r="AE136" s="351" t="str">
        <f>IFERROR(__xludf.DUMMYFUNCTION("""COMPUTED_VALUE"""),"")</f>
        <v/>
      </c>
      <c r="AF136" s="351" t="str">
        <f>IFERROR(__xludf.DUMMYFUNCTION("""COMPUTED_VALUE"""),"Droprate")</f>
        <v>Droprate</v>
      </c>
      <c r="AG136" s="351" t="str">
        <f>IFERROR(__xludf.DUMMYFUNCTION("""COMPUTED_VALUE"""),"")</f>
        <v/>
      </c>
      <c r="AH136" s="351" t="str">
        <f>IFERROR(__xludf.DUMMYFUNCTION("""COMPUTED_VALUE"""),"AP")</f>
        <v>AP</v>
      </c>
      <c r="AI136" s="351" t="str">
        <f>IFERROR(__xludf.DUMMYFUNCTION("""COMPUTED_VALUE"""),"Runs")</f>
        <v>Runs</v>
      </c>
      <c r="AJ136" s="351" t="str">
        <f>IFERROR(__xludf.DUMMYFUNCTION("""COMPUTED_VALUE"""),"Node Name")</f>
        <v>Node Name</v>
      </c>
    </row>
    <row r="137" ht="16.5" customHeight="1">
      <c r="D137" s="317" t="str">
        <f>IFERROR(__xludf.DUMMYFUNCTION("""COMPUTED_VALUE"""),"#N/A")</f>
        <v>#N/A</v>
      </c>
      <c r="E137" s="318"/>
      <c r="F137" s="318"/>
      <c r="G137" s="318"/>
      <c r="H137" s="318"/>
      <c r="I137" s="318"/>
      <c r="J137" s="318"/>
      <c r="K137" s="318"/>
      <c r="L137" s="318"/>
      <c r="M137" s="318"/>
      <c r="N137" s="318"/>
      <c r="O137" s="318"/>
      <c r="P137" s="318"/>
      <c r="Q137" s="318"/>
      <c r="R137" s="318"/>
      <c r="S137" s="318"/>
      <c r="T137" s="318"/>
      <c r="U137" s="318"/>
      <c r="V137" s="318"/>
      <c r="W137" s="318"/>
      <c r="X137" s="318"/>
      <c r="Y137" s="318"/>
      <c r="Z137" s="318"/>
      <c r="AA137" s="318"/>
      <c r="AB137" s="318"/>
      <c r="AC137" s="318"/>
      <c r="AD137" s="318"/>
      <c r="AE137" s="318"/>
      <c r="AF137" s="318"/>
      <c r="AG137" s="318"/>
      <c r="AH137" s="318"/>
      <c r="AI137" s="318"/>
      <c r="AJ137" s="318"/>
    </row>
    <row r="138" ht="24.75" customHeight="1">
      <c r="A138" s="319">
        <f>IFERROR(__xludf.DUMMYFUNCTION("""COMPUTED_VALUE"""),1.0)</f>
        <v>1</v>
      </c>
      <c r="B138" s="319" t="str">
        <f>IFERROR(__xludf.DUMMYFUNCTION("""COMPUTED_VALUE"""),"A208")</f>
        <v>A208</v>
      </c>
      <c r="C138" s="319">
        <f>IFERROR(__xludf.DUMMYFUNCTION("""COMPUTED_VALUE"""),22.0)</f>
        <v>22</v>
      </c>
      <c r="D138" s="320" t="str">
        <f>IFERROR(__xludf.DUMMYFUNCTION("""COMPUTED_VALUE"""),"High Windows")</f>
        <v>High Windows</v>
      </c>
      <c r="E138" s="321">
        <f>IFERROR(__xludf.DUMMYFUNCTION("""COMPUTED_VALUE"""),20.0)</f>
        <v>20</v>
      </c>
      <c r="F138" s="322">
        <f>IFERROR(__xludf.DUMMYFUNCTION("""COMPUTED_VALUE"""),60.0)</f>
        <v>60</v>
      </c>
      <c r="G138" s="322" t="str">
        <f>IFERROR(__xludf.DUMMYFUNCTION("""COMPUTED_VALUE"""),"Open")</f>
        <v>Open</v>
      </c>
      <c r="H138" s="323" t="str">
        <f>IFERROR(__xludf.DUMMYFUNCTION("""COMPUTED_VALUE"""),"")</f>
        <v/>
      </c>
      <c r="I138" s="324">
        <f>IFERROR(__xludf.DUMMYFUNCTION("""COMPUTED_VALUE"""),150.0)</f>
        <v>150</v>
      </c>
      <c r="J138" s="325" t="str">
        <f>IFERROR(__xludf.DUMMYFUNCTION("""COMPUTED_VALUE"""),"AP")</f>
        <v>AP</v>
      </c>
      <c r="K138" s="324">
        <f>IFERROR(__xludf.DUMMYFUNCTION("""COMPUTED_VALUE"""),13.333333333333334)</f>
        <v>13.33333333</v>
      </c>
      <c r="L138" s="325" t="str">
        <f>IFERROR(__xludf.DUMMYFUNCTION("""COMPUTED_VALUE"""),"%")</f>
        <v>%</v>
      </c>
      <c r="M138" s="326">
        <f>IFERROR(__xludf.DUMMYFUNCTION("""COMPUTED_VALUE"""),1.0)</f>
        <v>1</v>
      </c>
      <c r="N138" s="324" t="str">
        <f>IFERROR(__xludf.DUMMYFUNCTION("""COMPUTED_VALUE"""),"A107")</f>
        <v>A107</v>
      </c>
      <c r="O138" s="327" t="str">
        <f>IFERROR(__xludf.DUMMYFUNCTION("""COMPUTED_VALUE"""),"")</f>
        <v/>
      </c>
      <c r="P138" s="324">
        <f>IFERROR(__xludf.DUMMYFUNCTION("""COMPUTED_VALUE"""),400.0)</f>
        <v>400</v>
      </c>
      <c r="Q138" s="325" t="str">
        <f>IFERROR(__xludf.DUMMYFUNCTION("""COMPUTED_VALUE"""),"AP")</f>
        <v>AP</v>
      </c>
      <c r="R138" s="324">
        <f>IFERROR(__xludf.DUMMYFUNCTION("""COMPUTED_VALUE"""),5.0)</f>
        <v>5</v>
      </c>
      <c r="S138" s="325" t="str">
        <f>IFERROR(__xludf.DUMMYFUNCTION("""COMPUTED_VALUE"""),"%")</f>
        <v>%</v>
      </c>
      <c r="T138" s="326">
        <f>IFERROR(__xludf.DUMMYFUNCTION("""COMPUTED_VALUE"""),2.0)</f>
        <v>2</v>
      </c>
      <c r="U138" s="324" t="str">
        <f>IFERROR(__xludf.DUMMYFUNCTION("""COMPUTED_VALUE"""),"B116")</f>
        <v>B116</v>
      </c>
      <c r="V138" s="327" t="str">
        <f>IFERROR(__xludf.DUMMYFUNCTION("""COMPUTED_VALUE"""),"")</f>
        <v/>
      </c>
      <c r="W138" s="324">
        <f>IFERROR(__xludf.DUMMYFUNCTION("""COMPUTED_VALUE"""),100.0)</f>
        <v>100</v>
      </c>
      <c r="X138" s="325" t="str">
        <f>IFERROR(__xludf.DUMMYFUNCTION("""COMPUTED_VALUE"""),"AP")</f>
        <v>AP</v>
      </c>
      <c r="Y138" s="324">
        <f>IFERROR(__xludf.DUMMYFUNCTION("""COMPUTED_VALUE"""),20.0)</f>
        <v>20</v>
      </c>
      <c r="Z138" s="325" t="str">
        <f>IFERROR(__xludf.DUMMYFUNCTION("""COMPUTED_VALUE"""),"%")</f>
        <v>%</v>
      </c>
      <c r="AA138" s="326">
        <f>IFERROR(__xludf.DUMMYFUNCTION("""COMPUTED_VALUE"""),3.0)</f>
        <v>3</v>
      </c>
      <c r="AB138" s="324" t="str">
        <f>IFERROR(__xludf.DUMMYFUNCTION("""COMPUTED_VALUE"""),"")</f>
        <v/>
      </c>
      <c r="AC138" s="327" t="str">
        <f>IFERROR(__xludf.DUMMYFUNCTION("""COMPUTED_VALUE"""),"")</f>
        <v/>
      </c>
      <c r="AD138" s="324" t="str">
        <f>IFERROR(__xludf.DUMMYFUNCTION("""COMPUTED_VALUE"""),"")</f>
        <v/>
      </c>
      <c r="AE138" s="325" t="str">
        <f>IFERROR(__xludf.DUMMYFUNCTION("""COMPUTED_VALUE"""),"AP")</f>
        <v>AP</v>
      </c>
      <c r="AF138" s="324">
        <f>IFERROR(__xludf.DUMMYFUNCTION("""COMPUTED_VALUE"""),0.0)</f>
        <v>0</v>
      </c>
      <c r="AG138" s="325" t="str">
        <f>IFERROR(__xludf.DUMMYFUNCTION("""COMPUTED_VALUE"""),"%")</f>
        <v>%</v>
      </c>
      <c r="AH138" s="321">
        <f>IFERROR(__xludf.DUMMYFUNCTION("""COMPUTED_VALUE"""),20.0)</f>
        <v>20</v>
      </c>
      <c r="AI138" s="322">
        <f>IFERROR(__xludf.DUMMYFUNCTION("""COMPUTED_VALUE"""),60.0)</f>
        <v>60</v>
      </c>
      <c r="AJ138" s="320" t="str">
        <f>IFERROR(__xludf.DUMMYFUNCTION("""COMPUTED_VALUE"""),"High Windows")</f>
        <v>High Windows</v>
      </c>
    </row>
    <row r="139" ht="24.75" customHeight="1">
      <c r="A139" s="328">
        <f>IFERROR(__xludf.DUMMYFUNCTION("""COMPUTED_VALUE"""),2.0)</f>
        <v>2</v>
      </c>
      <c r="B139" s="328" t="str">
        <f>IFERROR(__xludf.DUMMYFUNCTION("""COMPUTED_VALUE"""),"A208")</f>
        <v>A208</v>
      </c>
      <c r="C139" s="328">
        <f>IFERROR(__xludf.DUMMYFUNCTION("""COMPUTED_VALUE"""),8.0)</f>
        <v>8</v>
      </c>
      <c r="D139" s="329" t="str">
        <f>IFERROR(__xludf.DUMMYFUNCTION("""COMPUTED_VALUE"""),"Attendants’ Room")</f>
        <v>Attendants’ Room</v>
      </c>
      <c r="E139" s="330">
        <f>IFERROR(__xludf.DUMMYFUNCTION("""COMPUTED_VALUE"""),20.0)</f>
        <v>20</v>
      </c>
      <c r="F139" s="331">
        <f>IFERROR(__xludf.DUMMYFUNCTION("""COMPUTED_VALUE"""),58.0)</f>
        <v>58</v>
      </c>
      <c r="G139" s="331" t="str">
        <f>IFERROR(__xludf.DUMMYFUNCTION("""COMPUTED_VALUE"""),"Open")</f>
        <v>Open</v>
      </c>
      <c r="H139" s="323" t="str">
        <f>IFERROR(__xludf.DUMMYFUNCTION("""COMPUTED_VALUE"""),"")</f>
        <v/>
      </c>
      <c r="I139" s="332">
        <f>IFERROR(__xludf.DUMMYFUNCTION("""COMPUTED_VALUE"""),580.0)</f>
        <v>580</v>
      </c>
      <c r="J139" s="333" t="str">
        <f>IFERROR(__xludf.DUMMYFUNCTION("""COMPUTED_VALUE"""),"AP")</f>
        <v>AP</v>
      </c>
      <c r="K139" s="332">
        <f>IFERROR(__xludf.DUMMYFUNCTION("""COMPUTED_VALUE"""),3.4482758620689653)</f>
        <v>3.448275862</v>
      </c>
      <c r="L139" s="334" t="str">
        <f>IFERROR(__xludf.DUMMYFUNCTION("""COMPUTED_VALUE"""),"%")</f>
        <v>%</v>
      </c>
      <c r="M139" s="335">
        <f>IFERROR(__xludf.DUMMYFUNCTION("""COMPUTED_VALUE"""),1.0)</f>
        <v>1</v>
      </c>
      <c r="N139" s="332" t="str">
        <f>IFERROR(__xludf.DUMMYFUNCTION("""COMPUTED_VALUE"""),"A202")</f>
        <v>A202</v>
      </c>
      <c r="O139" s="327" t="str">
        <f>IFERROR(__xludf.DUMMYFUNCTION("""COMPUTED_VALUE"""),"")</f>
        <v/>
      </c>
      <c r="P139" s="332">
        <f>IFERROR(__xludf.DUMMYFUNCTION("""COMPUTED_VALUE"""),290.0)</f>
        <v>290</v>
      </c>
      <c r="Q139" s="333" t="str">
        <f>IFERROR(__xludf.DUMMYFUNCTION("""COMPUTED_VALUE"""),"AP")</f>
        <v>AP</v>
      </c>
      <c r="R139" s="332">
        <f>IFERROR(__xludf.DUMMYFUNCTION("""COMPUTED_VALUE"""),6.896551724137931)</f>
        <v>6.896551724</v>
      </c>
      <c r="S139" s="334" t="str">
        <f>IFERROR(__xludf.DUMMYFUNCTION("""COMPUTED_VALUE"""),"%")</f>
        <v>%</v>
      </c>
      <c r="T139" s="335">
        <f>IFERROR(__xludf.DUMMYFUNCTION("""COMPUTED_VALUE"""),2.0)</f>
        <v>2</v>
      </c>
      <c r="U139" s="332" t="str">
        <f>IFERROR(__xludf.DUMMYFUNCTION("""COMPUTED_VALUE"""),"")</f>
        <v/>
      </c>
      <c r="V139" s="327" t="str">
        <f>IFERROR(__xludf.DUMMYFUNCTION("""COMPUTED_VALUE"""),"")</f>
        <v/>
      </c>
      <c r="W139" s="332" t="str">
        <f>IFERROR(__xludf.DUMMYFUNCTION("""COMPUTED_VALUE"""),"")</f>
        <v/>
      </c>
      <c r="X139" s="333" t="str">
        <f>IFERROR(__xludf.DUMMYFUNCTION("""COMPUTED_VALUE"""),"AP")</f>
        <v>AP</v>
      </c>
      <c r="Y139" s="332">
        <f>IFERROR(__xludf.DUMMYFUNCTION("""COMPUTED_VALUE"""),0.0)</f>
        <v>0</v>
      </c>
      <c r="Z139" s="334" t="str">
        <f>IFERROR(__xludf.DUMMYFUNCTION("""COMPUTED_VALUE"""),"%")</f>
        <v>%</v>
      </c>
      <c r="AA139" s="335">
        <f>IFERROR(__xludf.DUMMYFUNCTION("""COMPUTED_VALUE"""),3.0)</f>
        <v>3</v>
      </c>
      <c r="AB139" s="332" t="str">
        <f>IFERROR(__xludf.DUMMYFUNCTION("""COMPUTED_VALUE"""),"")</f>
        <v/>
      </c>
      <c r="AC139" s="327" t="str">
        <f>IFERROR(__xludf.DUMMYFUNCTION("""COMPUTED_VALUE"""),"")</f>
        <v/>
      </c>
      <c r="AD139" s="332" t="str">
        <f>IFERROR(__xludf.DUMMYFUNCTION("""COMPUTED_VALUE"""),"")</f>
        <v/>
      </c>
      <c r="AE139" s="333" t="str">
        <f>IFERROR(__xludf.DUMMYFUNCTION("""COMPUTED_VALUE"""),"AP")</f>
        <v>AP</v>
      </c>
      <c r="AF139" s="332">
        <f>IFERROR(__xludf.DUMMYFUNCTION("""COMPUTED_VALUE"""),0.0)</f>
        <v>0</v>
      </c>
      <c r="AG139" s="334" t="str">
        <f>IFERROR(__xludf.DUMMYFUNCTION("""COMPUTED_VALUE"""),"%")</f>
        <v>%</v>
      </c>
      <c r="AH139" s="330">
        <f>IFERROR(__xludf.DUMMYFUNCTION("""COMPUTED_VALUE"""),20.0)</f>
        <v>20</v>
      </c>
      <c r="AI139" s="331">
        <f>IFERROR(__xludf.DUMMYFUNCTION("""COMPUTED_VALUE"""),58.0)</f>
        <v>58</v>
      </c>
      <c r="AJ139" s="329" t="str">
        <f>IFERROR(__xludf.DUMMYFUNCTION("""COMPUTED_VALUE"""),"Attendants’ Room")</f>
        <v>Attendants’ Room</v>
      </c>
    </row>
    <row r="140" ht="24.75" customHeight="1">
      <c r="A140" s="319">
        <f>IFERROR(__xludf.DUMMYFUNCTION("""COMPUTED_VALUE"""),3.0)</f>
        <v>3</v>
      </c>
      <c r="B140" s="319" t="str">
        <f>IFERROR(__xludf.DUMMYFUNCTION("""COMPUTED_VALUE"""),"A208")</f>
        <v>A208</v>
      </c>
      <c r="C140" s="319" t="str">
        <f>IFERROR(__xludf.DUMMYFUNCTION("""COMPUTED_VALUE"""),"")</f>
        <v/>
      </c>
      <c r="D140" s="320" t="str">
        <f>IFERROR(__xludf.DUMMYFUNCTION("""COMPUTED_VALUE"""),"")</f>
        <v/>
      </c>
      <c r="E140" s="321" t="str">
        <f>IFERROR(__xludf.DUMMYFUNCTION("""COMPUTED_VALUE"""),"")</f>
        <v/>
      </c>
      <c r="F140" s="322" t="str">
        <f>IFERROR(__xludf.DUMMYFUNCTION("""COMPUTED_VALUE"""),"")</f>
        <v/>
      </c>
      <c r="G140" s="322" t="str">
        <f>IFERROR(__xludf.DUMMYFUNCTION("""COMPUTED_VALUE"""),"")</f>
        <v/>
      </c>
      <c r="H140" s="323" t="str">
        <f>IFERROR(__xludf.DUMMYFUNCTION("""COMPUTED_VALUE""")," ")</f>
        <v> </v>
      </c>
      <c r="I140" s="324" t="str">
        <f>IFERROR(__xludf.DUMMYFUNCTION("""COMPUTED_VALUE"""),"")</f>
        <v/>
      </c>
      <c r="J140" s="325" t="str">
        <f>IFERROR(__xludf.DUMMYFUNCTION("""COMPUTED_VALUE"""),"AP")</f>
        <v>AP</v>
      </c>
      <c r="K140" s="324">
        <f>IFERROR(__xludf.DUMMYFUNCTION("""COMPUTED_VALUE"""),0.0)</f>
        <v>0</v>
      </c>
      <c r="L140" s="325" t="str">
        <f>IFERROR(__xludf.DUMMYFUNCTION("""COMPUTED_VALUE"""),"%")</f>
        <v>%</v>
      </c>
      <c r="M140" s="326">
        <f>IFERROR(__xludf.DUMMYFUNCTION("""COMPUTED_VALUE"""),1.0)</f>
        <v>1</v>
      </c>
      <c r="N140" s="324" t="str">
        <f>IFERROR(__xludf.DUMMYFUNCTION("""COMPUTED_VALUE"""),"")</f>
        <v/>
      </c>
      <c r="O140" s="327" t="str">
        <f>IFERROR(__xludf.DUMMYFUNCTION("""COMPUTED_VALUE"""),"")</f>
        <v/>
      </c>
      <c r="P140" s="324" t="str">
        <f>IFERROR(__xludf.DUMMYFUNCTION("""COMPUTED_VALUE"""),"")</f>
        <v/>
      </c>
      <c r="Q140" s="325" t="str">
        <f>IFERROR(__xludf.DUMMYFUNCTION("""COMPUTED_VALUE"""),"AP")</f>
        <v>AP</v>
      </c>
      <c r="R140" s="324">
        <f>IFERROR(__xludf.DUMMYFUNCTION("""COMPUTED_VALUE"""),0.0)</f>
        <v>0</v>
      </c>
      <c r="S140" s="325" t="str">
        <f>IFERROR(__xludf.DUMMYFUNCTION("""COMPUTED_VALUE"""),"%")</f>
        <v>%</v>
      </c>
      <c r="T140" s="326">
        <f>IFERROR(__xludf.DUMMYFUNCTION("""COMPUTED_VALUE"""),2.0)</f>
        <v>2</v>
      </c>
      <c r="U140" s="324" t="str">
        <f>IFERROR(__xludf.DUMMYFUNCTION("""COMPUTED_VALUE"""),"")</f>
        <v/>
      </c>
      <c r="V140" s="327" t="str">
        <f>IFERROR(__xludf.DUMMYFUNCTION("""COMPUTED_VALUE"""),"")</f>
        <v/>
      </c>
      <c r="W140" s="324" t="str">
        <f>IFERROR(__xludf.DUMMYFUNCTION("""COMPUTED_VALUE"""),"")</f>
        <v/>
      </c>
      <c r="X140" s="325" t="str">
        <f>IFERROR(__xludf.DUMMYFUNCTION("""COMPUTED_VALUE"""),"AP")</f>
        <v>AP</v>
      </c>
      <c r="Y140" s="324">
        <f>IFERROR(__xludf.DUMMYFUNCTION("""COMPUTED_VALUE"""),0.0)</f>
        <v>0</v>
      </c>
      <c r="Z140" s="325" t="str">
        <f>IFERROR(__xludf.DUMMYFUNCTION("""COMPUTED_VALUE"""),"%")</f>
        <v>%</v>
      </c>
      <c r="AA140" s="326">
        <f>IFERROR(__xludf.DUMMYFUNCTION("""COMPUTED_VALUE"""),3.0)</f>
        <v>3</v>
      </c>
      <c r="AB140" s="324" t="str">
        <f>IFERROR(__xludf.DUMMYFUNCTION("""COMPUTED_VALUE"""),"")</f>
        <v/>
      </c>
      <c r="AC140" s="327" t="str">
        <f>IFERROR(__xludf.DUMMYFUNCTION("""COMPUTED_VALUE"""),"")</f>
        <v/>
      </c>
      <c r="AD140" s="324" t="str">
        <f>IFERROR(__xludf.DUMMYFUNCTION("""COMPUTED_VALUE"""),"")</f>
        <v/>
      </c>
      <c r="AE140" s="325" t="str">
        <f>IFERROR(__xludf.DUMMYFUNCTION("""COMPUTED_VALUE"""),"AP")</f>
        <v>AP</v>
      </c>
      <c r="AF140" s="324">
        <f>IFERROR(__xludf.DUMMYFUNCTION("""COMPUTED_VALUE"""),0.0)</f>
        <v>0</v>
      </c>
      <c r="AG140" s="325" t="str">
        <f>IFERROR(__xludf.DUMMYFUNCTION("""COMPUTED_VALUE"""),"%")</f>
        <v>%</v>
      </c>
      <c r="AH140" s="321" t="str">
        <f>IFERROR(__xludf.DUMMYFUNCTION("""COMPUTED_VALUE"""),"")</f>
        <v/>
      </c>
      <c r="AI140" s="322" t="str">
        <f>IFERROR(__xludf.DUMMYFUNCTION("""COMPUTED_VALUE"""),"")</f>
        <v/>
      </c>
      <c r="AJ140" s="320" t="str">
        <f>IFERROR(__xludf.DUMMYFUNCTION("""COMPUTED_VALUE"""),"")</f>
        <v/>
      </c>
    </row>
    <row r="141" ht="24.75" customHeight="1">
      <c r="A141" s="328">
        <f>IFERROR(__xludf.DUMMYFUNCTION("""COMPUTED_VALUE"""),4.0)</f>
        <v>4</v>
      </c>
      <c r="B141" s="328" t="str">
        <f>IFERROR(__xludf.DUMMYFUNCTION("""COMPUTED_VALUE"""),"A208")</f>
        <v>A208</v>
      </c>
      <c r="C141" s="328" t="str">
        <f>IFERROR(__xludf.DUMMYFUNCTION("""COMPUTED_VALUE"""),"")</f>
        <v/>
      </c>
      <c r="D141" s="329" t="str">
        <f>IFERROR(__xludf.DUMMYFUNCTION("""COMPUTED_VALUE"""),"")</f>
        <v/>
      </c>
      <c r="E141" s="330" t="str">
        <f>IFERROR(__xludf.DUMMYFUNCTION("""COMPUTED_VALUE"""),"")</f>
        <v/>
      </c>
      <c r="F141" s="331" t="str">
        <f>IFERROR(__xludf.DUMMYFUNCTION("""COMPUTED_VALUE"""),"")</f>
        <v/>
      </c>
      <c r="G141" s="331" t="str">
        <f>IFERROR(__xludf.DUMMYFUNCTION("""COMPUTED_VALUE"""),"")</f>
        <v/>
      </c>
      <c r="H141" s="323" t="str">
        <f>IFERROR(__xludf.DUMMYFUNCTION("""COMPUTED_VALUE""")," ")</f>
        <v> </v>
      </c>
      <c r="I141" s="332" t="str">
        <f>IFERROR(__xludf.DUMMYFUNCTION("""COMPUTED_VALUE"""),"")</f>
        <v/>
      </c>
      <c r="J141" s="333" t="str">
        <f>IFERROR(__xludf.DUMMYFUNCTION("""COMPUTED_VALUE"""),"AP")</f>
        <v>AP</v>
      </c>
      <c r="K141" s="332">
        <f>IFERROR(__xludf.DUMMYFUNCTION("""COMPUTED_VALUE"""),0.0)</f>
        <v>0</v>
      </c>
      <c r="L141" s="334" t="str">
        <f>IFERROR(__xludf.DUMMYFUNCTION("""COMPUTED_VALUE"""),"%")</f>
        <v>%</v>
      </c>
      <c r="M141" s="335">
        <f>IFERROR(__xludf.DUMMYFUNCTION("""COMPUTED_VALUE"""),1.0)</f>
        <v>1</v>
      </c>
      <c r="N141" s="332" t="str">
        <f>IFERROR(__xludf.DUMMYFUNCTION("""COMPUTED_VALUE"""),"")</f>
        <v/>
      </c>
      <c r="O141" s="327" t="str">
        <f>IFERROR(__xludf.DUMMYFUNCTION("""COMPUTED_VALUE"""),"")</f>
        <v/>
      </c>
      <c r="P141" s="332" t="str">
        <f>IFERROR(__xludf.DUMMYFUNCTION("""COMPUTED_VALUE"""),"")</f>
        <v/>
      </c>
      <c r="Q141" s="333" t="str">
        <f>IFERROR(__xludf.DUMMYFUNCTION("""COMPUTED_VALUE"""),"AP")</f>
        <v>AP</v>
      </c>
      <c r="R141" s="332">
        <f>IFERROR(__xludf.DUMMYFUNCTION("""COMPUTED_VALUE"""),0.0)</f>
        <v>0</v>
      </c>
      <c r="S141" s="334" t="str">
        <f>IFERROR(__xludf.DUMMYFUNCTION("""COMPUTED_VALUE"""),"%")</f>
        <v>%</v>
      </c>
      <c r="T141" s="335">
        <f>IFERROR(__xludf.DUMMYFUNCTION("""COMPUTED_VALUE"""),2.0)</f>
        <v>2</v>
      </c>
      <c r="U141" s="332" t="str">
        <f>IFERROR(__xludf.DUMMYFUNCTION("""COMPUTED_VALUE"""),"")</f>
        <v/>
      </c>
      <c r="V141" s="327" t="str">
        <f>IFERROR(__xludf.DUMMYFUNCTION("""COMPUTED_VALUE"""),"")</f>
        <v/>
      </c>
      <c r="W141" s="332" t="str">
        <f>IFERROR(__xludf.DUMMYFUNCTION("""COMPUTED_VALUE"""),"")</f>
        <v/>
      </c>
      <c r="X141" s="333" t="str">
        <f>IFERROR(__xludf.DUMMYFUNCTION("""COMPUTED_VALUE"""),"AP")</f>
        <v>AP</v>
      </c>
      <c r="Y141" s="332">
        <f>IFERROR(__xludf.DUMMYFUNCTION("""COMPUTED_VALUE"""),0.0)</f>
        <v>0</v>
      </c>
      <c r="Z141" s="334" t="str">
        <f>IFERROR(__xludf.DUMMYFUNCTION("""COMPUTED_VALUE"""),"%")</f>
        <v>%</v>
      </c>
      <c r="AA141" s="335">
        <f>IFERROR(__xludf.DUMMYFUNCTION("""COMPUTED_VALUE"""),3.0)</f>
        <v>3</v>
      </c>
      <c r="AB141" s="332" t="str">
        <f>IFERROR(__xludf.DUMMYFUNCTION("""COMPUTED_VALUE"""),"")</f>
        <v/>
      </c>
      <c r="AC141" s="327" t="str">
        <f>IFERROR(__xludf.DUMMYFUNCTION("""COMPUTED_VALUE"""),"")</f>
        <v/>
      </c>
      <c r="AD141" s="332" t="str">
        <f>IFERROR(__xludf.DUMMYFUNCTION("""COMPUTED_VALUE"""),"")</f>
        <v/>
      </c>
      <c r="AE141" s="333" t="str">
        <f>IFERROR(__xludf.DUMMYFUNCTION("""COMPUTED_VALUE"""),"AP")</f>
        <v>AP</v>
      </c>
      <c r="AF141" s="332">
        <f>IFERROR(__xludf.DUMMYFUNCTION("""COMPUTED_VALUE"""),0.0)</f>
        <v>0</v>
      </c>
      <c r="AG141" s="334" t="str">
        <f>IFERROR(__xludf.DUMMYFUNCTION("""COMPUTED_VALUE"""),"%")</f>
        <v>%</v>
      </c>
      <c r="AH141" s="330" t="str">
        <f>IFERROR(__xludf.DUMMYFUNCTION("""COMPUTED_VALUE"""),"")</f>
        <v/>
      </c>
      <c r="AI141" s="331" t="str">
        <f>IFERROR(__xludf.DUMMYFUNCTION("""COMPUTED_VALUE"""),"")</f>
        <v/>
      </c>
      <c r="AJ141" s="329" t="str">
        <f>IFERROR(__xludf.DUMMYFUNCTION("""COMPUTED_VALUE"""),"")</f>
        <v/>
      </c>
    </row>
    <row r="142" ht="24.75" customHeight="1">
      <c r="A142" s="319">
        <f>IFERROR(__xludf.DUMMYFUNCTION("""COMPUTED_VALUE"""),5.0)</f>
        <v>5</v>
      </c>
      <c r="B142" s="319" t="str">
        <f>IFERROR(__xludf.DUMMYFUNCTION("""COMPUTED_VALUE"""),"A208")</f>
        <v>A208</v>
      </c>
      <c r="C142" s="319" t="str">
        <f>IFERROR(__xludf.DUMMYFUNCTION("""COMPUTED_VALUE"""),"")</f>
        <v/>
      </c>
      <c r="D142" s="320" t="str">
        <f>IFERROR(__xludf.DUMMYFUNCTION("""COMPUTED_VALUE"""),"")</f>
        <v/>
      </c>
      <c r="E142" s="321" t="str">
        <f>IFERROR(__xludf.DUMMYFUNCTION("""COMPUTED_VALUE"""),"")</f>
        <v/>
      </c>
      <c r="F142" s="322" t="str">
        <f>IFERROR(__xludf.DUMMYFUNCTION("""COMPUTED_VALUE"""),"")</f>
        <v/>
      </c>
      <c r="G142" s="322" t="str">
        <f>IFERROR(__xludf.DUMMYFUNCTION("""COMPUTED_VALUE"""),"")</f>
        <v/>
      </c>
      <c r="H142" s="323" t="str">
        <f>IFERROR(__xludf.DUMMYFUNCTION("""COMPUTED_VALUE""")," ")</f>
        <v> </v>
      </c>
      <c r="I142" s="324" t="str">
        <f>IFERROR(__xludf.DUMMYFUNCTION("""COMPUTED_VALUE"""),"")</f>
        <v/>
      </c>
      <c r="J142" s="325" t="str">
        <f>IFERROR(__xludf.DUMMYFUNCTION("""COMPUTED_VALUE"""),"AP")</f>
        <v>AP</v>
      </c>
      <c r="K142" s="324">
        <f>IFERROR(__xludf.DUMMYFUNCTION("""COMPUTED_VALUE"""),0.0)</f>
        <v>0</v>
      </c>
      <c r="L142" s="325" t="str">
        <f>IFERROR(__xludf.DUMMYFUNCTION("""COMPUTED_VALUE"""),"%")</f>
        <v>%</v>
      </c>
      <c r="M142" s="326">
        <f>IFERROR(__xludf.DUMMYFUNCTION("""COMPUTED_VALUE"""),1.0)</f>
        <v>1</v>
      </c>
      <c r="N142" s="324" t="str">
        <f>IFERROR(__xludf.DUMMYFUNCTION("""COMPUTED_VALUE"""),"")</f>
        <v/>
      </c>
      <c r="O142" s="327" t="str">
        <f>IFERROR(__xludf.DUMMYFUNCTION("""COMPUTED_VALUE"""),"")</f>
        <v/>
      </c>
      <c r="P142" s="324" t="str">
        <f>IFERROR(__xludf.DUMMYFUNCTION("""COMPUTED_VALUE"""),"")</f>
        <v/>
      </c>
      <c r="Q142" s="325" t="str">
        <f>IFERROR(__xludf.DUMMYFUNCTION("""COMPUTED_VALUE"""),"AP")</f>
        <v>AP</v>
      </c>
      <c r="R142" s="324">
        <f>IFERROR(__xludf.DUMMYFUNCTION("""COMPUTED_VALUE"""),0.0)</f>
        <v>0</v>
      </c>
      <c r="S142" s="325" t="str">
        <f>IFERROR(__xludf.DUMMYFUNCTION("""COMPUTED_VALUE"""),"%")</f>
        <v>%</v>
      </c>
      <c r="T142" s="326">
        <f>IFERROR(__xludf.DUMMYFUNCTION("""COMPUTED_VALUE"""),2.0)</f>
        <v>2</v>
      </c>
      <c r="U142" s="324" t="str">
        <f>IFERROR(__xludf.DUMMYFUNCTION("""COMPUTED_VALUE"""),"")</f>
        <v/>
      </c>
      <c r="V142" s="327" t="str">
        <f>IFERROR(__xludf.DUMMYFUNCTION("""COMPUTED_VALUE"""),"")</f>
        <v/>
      </c>
      <c r="W142" s="324" t="str">
        <f>IFERROR(__xludf.DUMMYFUNCTION("""COMPUTED_VALUE"""),"")</f>
        <v/>
      </c>
      <c r="X142" s="325" t="str">
        <f>IFERROR(__xludf.DUMMYFUNCTION("""COMPUTED_VALUE"""),"AP")</f>
        <v>AP</v>
      </c>
      <c r="Y142" s="324">
        <f>IFERROR(__xludf.DUMMYFUNCTION("""COMPUTED_VALUE"""),0.0)</f>
        <v>0</v>
      </c>
      <c r="Z142" s="325" t="str">
        <f>IFERROR(__xludf.DUMMYFUNCTION("""COMPUTED_VALUE"""),"%")</f>
        <v>%</v>
      </c>
      <c r="AA142" s="326">
        <f>IFERROR(__xludf.DUMMYFUNCTION("""COMPUTED_VALUE"""),3.0)</f>
        <v>3</v>
      </c>
      <c r="AB142" s="324" t="str">
        <f>IFERROR(__xludf.DUMMYFUNCTION("""COMPUTED_VALUE"""),"")</f>
        <v/>
      </c>
      <c r="AC142" s="327" t="str">
        <f>IFERROR(__xludf.DUMMYFUNCTION("""COMPUTED_VALUE"""),"")</f>
        <v/>
      </c>
      <c r="AD142" s="324" t="str">
        <f>IFERROR(__xludf.DUMMYFUNCTION("""COMPUTED_VALUE"""),"")</f>
        <v/>
      </c>
      <c r="AE142" s="325" t="str">
        <f>IFERROR(__xludf.DUMMYFUNCTION("""COMPUTED_VALUE"""),"AP")</f>
        <v>AP</v>
      </c>
      <c r="AF142" s="324">
        <f>IFERROR(__xludf.DUMMYFUNCTION("""COMPUTED_VALUE"""),0.0)</f>
        <v>0</v>
      </c>
      <c r="AG142" s="325" t="str">
        <f>IFERROR(__xludf.DUMMYFUNCTION("""COMPUTED_VALUE"""),"%")</f>
        <v>%</v>
      </c>
      <c r="AH142" s="321" t="str">
        <f>IFERROR(__xludf.DUMMYFUNCTION("""COMPUTED_VALUE"""),"")</f>
        <v/>
      </c>
      <c r="AI142" s="322" t="str">
        <f>IFERROR(__xludf.DUMMYFUNCTION("""COMPUTED_VALUE"""),"")</f>
        <v/>
      </c>
      <c r="AJ142" s="320" t="str">
        <f>IFERROR(__xludf.DUMMYFUNCTION("""COMPUTED_VALUE"""),"")</f>
        <v/>
      </c>
    </row>
    <row r="143">
      <c r="A143" s="336" t="str">
        <f>IFERROR(__xludf.DUMMYFUNCTION("""COMPUTED_VALUE"""),"")</f>
        <v/>
      </c>
      <c r="B143" s="337" t="str">
        <f>IFERROR(__xludf.DUMMYFUNCTION("""COMPUTED_VALUE"""),"")</f>
        <v/>
      </c>
      <c r="C143" s="338" t="str">
        <f>IFERROR(__xludf.DUMMYFUNCTION("""COMPUTED_VALUE"""),"")</f>
        <v/>
      </c>
      <c r="D143" s="339" t="str">
        <f>IFERROR(__xludf.DUMMYFUNCTION("""COMPUTED_VALUE"""),"")</f>
        <v/>
      </c>
      <c r="E143" s="337" t="str">
        <f>IFERROR(__xludf.DUMMYFUNCTION("""COMPUTED_VALUE"""),"")</f>
        <v/>
      </c>
      <c r="F143" s="337" t="str">
        <f>IFERROR(__xludf.DUMMYFUNCTION("""COMPUTED_VALUE"""),"")</f>
        <v/>
      </c>
      <c r="G143" s="337" t="str">
        <f>IFERROR(__xludf.DUMMYFUNCTION("""COMPUTED_VALUE"""),"")</f>
        <v/>
      </c>
      <c r="H143" s="337" t="str">
        <f>IFERROR(__xludf.DUMMYFUNCTION("""COMPUTED_VALUE"""),"")</f>
        <v/>
      </c>
      <c r="I143" s="337" t="str">
        <f>IFERROR(__xludf.DUMMYFUNCTION("""COMPUTED_VALUE"""),"")</f>
        <v/>
      </c>
      <c r="J143" s="341" t="str">
        <f>IFERROR(__xludf.DUMMYFUNCTION("""COMPUTED_VALUE"""),"")</f>
        <v/>
      </c>
      <c r="K143" s="337" t="str">
        <f>IFERROR(__xludf.DUMMYFUNCTION("""COMPUTED_VALUE"""),"")</f>
        <v/>
      </c>
      <c r="L143" s="341" t="str">
        <f>IFERROR(__xludf.DUMMYFUNCTION("""COMPUTED_VALUE"""),"")</f>
        <v/>
      </c>
      <c r="M143" s="337" t="str">
        <f>IFERROR(__xludf.DUMMYFUNCTION("""COMPUTED_VALUE"""),"")</f>
        <v/>
      </c>
      <c r="N143" s="337" t="str">
        <f>IFERROR(__xludf.DUMMYFUNCTION("""COMPUTED_VALUE"""),"")</f>
        <v/>
      </c>
      <c r="O143" s="337" t="str">
        <f>IFERROR(__xludf.DUMMYFUNCTION("""COMPUTED_VALUE"""),"")</f>
        <v/>
      </c>
      <c r="P143" s="337" t="str">
        <f>IFERROR(__xludf.DUMMYFUNCTION("""COMPUTED_VALUE"""),"")</f>
        <v/>
      </c>
      <c r="Q143" s="341" t="str">
        <f>IFERROR(__xludf.DUMMYFUNCTION("""COMPUTED_VALUE"""),"")</f>
        <v/>
      </c>
      <c r="R143" s="337" t="str">
        <f>IFERROR(__xludf.DUMMYFUNCTION("""COMPUTED_VALUE"""),"")</f>
        <v/>
      </c>
      <c r="S143" s="341" t="str">
        <f>IFERROR(__xludf.DUMMYFUNCTION("""COMPUTED_VALUE"""),"")</f>
        <v/>
      </c>
      <c r="T143" s="337" t="str">
        <f>IFERROR(__xludf.DUMMYFUNCTION("""COMPUTED_VALUE"""),"")</f>
        <v/>
      </c>
      <c r="U143" s="337" t="str">
        <f>IFERROR(__xludf.DUMMYFUNCTION("""COMPUTED_VALUE"""),"")</f>
        <v/>
      </c>
      <c r="V143" s="337" t="str">
        <f>IFERROR(__xludf.DUMMYFUNCTION("""COMPUTED_VALUE"""),"")</f>
        <v/>
      </c>
      <c r="W143" s="337" t="str">
        <f>IFERROR(__xludf.DUMMYFUNCTION("""COMPUTED_VALUE"""),"")</f>
        <v/>
      </c>
      <c r="X143" s="341" t="str">
        <f>IFERROR(__xludf.DUMMYFUNCTION("""COMPUTED_VALUE"""),"")</f>
        <v/>
      </c>
      <c r="Y143" s="337" t="str">
        <f>IFERROR(__xludf.DUMMYFUNCTION("""COMPUTED_VALUE"""),"")</f>
        <v/>
      </c>
      <c r="Z143" s="341" t="str">
        <f>IFERROR(__xludf.DUMMYFUNCTION("""COMPUTED_VALUE"""),"")</f>
        <v/>
      </c>
      <c r="AA143" s="337" t="str">
        <f>IFERROR(__xludf.DUMMYFUNCTION("""COMPUTED_VALUE"""),"")</f>
        <v/>
      </c>
      <c r="AB143" s="337" t="str">
        <f>IFERROR(__xludf.DUMMYFUNCTION("""COMPUTED_VALUE"""),"")</f>
        <v/>
      </c>
      <c r="AC143" s="337" t="str">
        <f>IFERROR(__xludf.DUMMYFUNCTION("""COMPUTED_VALUE"""),"")</f>
        <v/>
      </c>
      <c r="AD143" s="337" t="str">
        <f>IFERROR(__xludf.DUMMYFUNCTION("""COMPUTED_VALUE"""),"")</f>
        <v/>
      </c>
      <c r="AE143" s="341" t="str">
        <f>IFERROR(__xludf.DUMMYFUNCTION("""COMPUTED_VALUE"""),"")</f>
        <v/>
      </c>
      <c r="AF143" s="337" t="str">
        <f>IFERROR(__xludf.DUMMYFUNCTION("""COMPUTED_VALUE"""),"")</f>
        <v/>
      </c>
      <c r="AG143" s="341" t="str">
        <f>IFERROR(__xludf.DUMMYFUNCTION("""COMPUTED_VALUE"""),"")</f>
        <v/>
      </c>
      <c r="AH143" s="337" t="str">
        <f>IFERROR(__xludf.DUMMYFUNCTION("""COMPUTED_VALUE"""),"")</f>
        <v/>
      </c>
      <c r="AI143" s="337" t="str">
        <f>IFERROR(__xludf.DUMMYFUNCTION("""COMPUTED_VALUE"""),"")</f>
        <v/>
      </c>
      <c r="AJ143" s="342" t="str">
        <f>IFERROR(__xludf.DUMMYFUNCTION("""COMPUTED_VALUE"""),"")</f>
        <v/>
      </c>
    </row>
    <row r="144">
      <c r="A144" s="343" t="str">
        <f>IFERROR(__xludf.DUMMYFUNCTION("""COMPUTED_VALUE"""),"")</f>
        <v/>
      </c>
      <c r="B144" s="344" t="str">
        <f>IFERROR(__xludf.DUMMYFUNCTION("""COMPUTED_VALUE"""),"")</f>
        <v/>
      </c>
      <c r="C144" s="345" t="str">
        <f>IFERROR(__xludf.DUMMYFUNCTION("""COMPUTED_VALUE"""),"")</f>
        <v/>
      </c>
      <c r="D144" s="346" t="str">
        <f>IFERROR(__xludf.DUMMYFUNCTION("""COMPUTED_VALUE"""),"")</f>
        <v/>
      </c>
      <c r="E144" s="344" t="str">
        <f>IFERROR(__xludf.DUMMYFUNCTION("""COMPUTED_VALUE"""),"")</f>
        <v/>
      </c>
      <c r="F144" s="344" t="str">
        <f>IFERROR(__xludf.DUMMYFUNCTION("""COMPUTED_VALUE"""),"")</f>
        <v/>
      </c>
      <c r="G144" s="344" t="str">
        <f>IFERROR(__xludf.DUMMYFUNCTION("""COMPUTED_VALUE"""),"")</f>
        <v/>
      </c>
      <c r="H144" s="344" t="str">
        <f>IFERROR(__xludf.DUMMYFUNCTION("""COMPUTED_VALUE"""),"")</f>
        <v/>
      </c>
      <c r="I144" s="344" t="str">
        <f>IFERROR(__xludf.DUMMYFUNCTION("""COMPUTED_VALUE"""),"")</f>
        <v/>
      </c>
      <c r="J144" s="347" t="str">
        <f>IFERROR(__xludf.DUMMYFUNCTION("""COMPUTED_VALUE"""),"")</f>
        <v/>
      </c>
      <c r="K144" s="344" t="str">
        <f>IFERROR(__xludf.DUMMYFUNCTION("""COMPUTED_VALUE"""),"")</f>
        <v/>
      </c>
      <c r="L144" s="347" t="str">
        <f>IFERROR(__xludf.DUMMYFUNCTION("""COMPUTED_VALUE"""),"")</f>
        <v/>
      </c>
      <c r="M144" s="344" t="str">
        <f>IFERROR(__xludf.DUMMYFUNCTION("""COMPUTED_VALUE"""),"")</f>
        <v/>
      </c>
      <c r="N144" s="344" t="str">
        <f>IFERROR(__xludf.DUMMYFUNCTION("""COMPUTED_VALUE"""),"")</f>
        <v/>
      </c>
      <c r="O144" s="344" t="str">
        <f>IFERROR(__xludf.DUMMYFUNCTION("""COMPUTED_VALUE"""),"")</f>
        <v/>
      </c>
      <c r="P144" s="344" t="str">
        <f>IFERROR(__xludf.DUMMYFUNCTION("""COMPUTED_VALUE"""),"")</f>
        <v/>
      </c>
      <c r="Q144" s="347" t="str">
        <f>IFERROR(__xludf.DUMMYFUNCTION("""COMPUTED_VALUE"""),"")</f>
        <v/>
      </c>
      <c r="R144" s="344" t="str">
        <f>IFERROR(__xludf.DUMMYFUNCTION("""COMPUTED_VALUE"""),"")</f>
        <v/>
      </c>
      <c r="S144" s="347" t="str">
        <f>IFERROR(__xludf.DUMMYFUNCTION("""COMPUTED_VALUE"""),"")</f>
        <v/>
      </c>
      <c r="T144" s="344" t="str">
        <f>IFERROR(__xludf.DUMMYFUNCTION("""COMPUTED_VALUE"""),"")</f>
        <v/>
      </c>
      <c r="U144" s="344" t="str">
        <f>IFERROR(__xludf.DUMMYFUNCTION("""COMPUTED_VALUE"""),"")</f>
        <v/>
      </c>
      <c r="V144" s="344" t="str">
        <f>IFERROR(__xludf.DUMMYFUNCTION("""COMPUTED_VALUE"""),"")</f>
        <v/>
      </c>
      <c r="W144" s="344" t="str">
        <f>IFERROR(__xludf.DUMMYFUNCTION("""COMPUTED_VALUE"""),"")</f>
        <v/>
      </c>
      <c r="X144" s="347" t="str">
        <f>IFERROR(__xludf.DUMMYFUNCTION("""COMPUTED_VALUE"""),"")</f>
        <v/>
      </c>
      <c r="Y144" s="344" t="str">
        <f>IFERROR(__xludf.DUMMYFUNCTION("""COMPUTED_VALUE"""),"")</f>
        <v/>
      </c>
      <c r="Z144" s="347" t="str">
        <f>IFERROR(__xludf.DUMMYFUNCTION("""COMPUTED_VALUE"""),"")</f>
        <v/>
      </c>
      <c r="AA144" s="344" t="str">
        <f>IFERROR(__xludf.DUMMYFUNCTION("""COMPUTED_VALUE"""),"")</f>
        <v/>
      </c>
      <c r="AB144" s="344" t="str">
        <f>IFERROR(__xludf.DUMMYFUNCTION("""COMPUTED_VALUE"""),"")</f>
        <v/>
      </c>
      <c r="AC144" s="344" t="str">
        <f>IFERROR(__xludf.DUMMYFUNCTION("""COMPUTED_VALUE"""),"")</f>
        <v/>
      </c>
      <c r="AD144" s="344" t="str">
        <f>IFERROR(__xludf.DUMMYFUNCTION("""COMPUTED_VALUE"""),"")</f>
        <v/>
      </c>
      <c r="AE144" s="347" t="str">
        <f>IFERROR(__xludf.DUMMYFUNCTION("""COMPUTED_VALUE"""),"")</f>
        <v/>
      </c>
      <c r="AF144" s="344" t="str">
        <f>IFERROR(__xludf.DUMMYFUNCTION("""COMPUTED_VALUE"""),"")</f>
        <v/>
      </c>
      <c r="AG144" s="347" t="str">
        <f>IFERROR(__xludf.DUMMYFUNCTION("""COMPUTED_VALUE"""),"")</f>
        <v/>
      </c>
      <c r="AH144" s="344" t="str">
        <f>IFERROR(__xludf.DUMMYFUNCTION("""COMPUTED_VALUE"""),"")</f>
        <v/>
      </c>
      <c r="AI144" s="344" t="str">
        <f>IFERROR(__xludf.DUMMYFUNCTION("""COMPUTED_VALUE"""),"")</f>
        <v/>
      </c>
      <c r="AJ144" s="348" t="str">
        <f>IFERROR(__xludf.DUMMYFUNCTION("""COMPUTED_VALUE"""),"")</f>
        <v/>
      </c>
    </row>
    <row r="145" ht="16.5" hidden="1" customHeight="1">
      <c r="A145" s="349">
        <f>IFERROR(__xludf.DUMMYFUNCTION("""COMPUTED_VALUE"""),17.0)</f>
        <v>17</v>
      </c>
      <c r="B145" s="313" t="str">
        <f>IFERROR(__xludf.DUMMYFUNCTION("""COMPUTED_VALUE"""),"A209")</f>
        <v>A209</v>
      </c>
      <c r="C145" s="314" t="str">
        <f>IFERROR(__xludf.DUMMYFUNCTION("""COMPUTED_VALUE"""),"")</f>
        <v/>
      </c>
      <c r="D145" s="350" t="str">
        <f>IFERROR(__xludf.DUMMYFUNCTION("""COMPUTED_VALUE"""),"Meteor Horseshoe")</f>
        <v>Meteor Horseshoe</v>
      </c>
      <c r="E145" s="351" t="str">
        <f>IFERROR(__xludf.DUMMYFUNCTION("""COMPUTED_VALUE"""),"AP")</f>
        <v>AP</v>
      </c>
      <c r="F145" s="351" t="str">
        <f>IFERROR(__xludf.DUMMYFUNCTION("""COMPUTED_VALUE"""),"Runs")</f>
        <v>Runs</v>
      </c>
      <c r="G145" s="316" t="str">
        <f>IFERROR(__xludf.DUMMYFUNCTION("""COMPUTED_VALUE"""),"Status")</f>
        <v>Status</v>
      </c>
      <c r="H145" s="351" t="str">
        <f>IFERROR(__xludf.DUMMYFUNCTION("""COMPUTED_VALUE"""),"Mat")</f>
        <v>Mat</v>
      </c>
      <c r="I145" s="351" t="str">
        <f>IFERROR(__xludf.DUMMYFUNCTION("""COMPUTED_VALUE"""),"AP/Drop")</f>
        <v>AP/Drop</v>
      </c>
      <c r="J145" s="351" t="str">
        <f>IFERROR(__xludf.DUMMYFUNCTION("""COMPUTED_VALUE"""),"")</f>
        <v/>
      </c>
      <c r="K145" s="351" t="str">
        <f>IFERROR(__xludf.DUMMYFUNCTION("""COMPUTED_VALUE"""),"Droprate")</f>
        <v>Droprate</v>
      </c>
      <c r="L145" s="351" t="str">
        <f>IFERROR(__xludf.DUMMYFUNCTION("""COMPUTED_VALUE"""),"")</f>
        <v/>
      </c>
      <c r="M145" s="351" t="str">
        <f>IFERROR(__xludf.DUMMYFUNCTION("""COMPUTED_VALUE"""),"#2")</f>
        <v>#2</v>
      </c>
      <c r="N145" s="351" t="str">
        <f>IFERROR(__xludf.DUMMYFUNCTION("""COMPUTED_VALUE"""),"Item 2 ID")</f>
        <v>Item 2 ID</v>
      </c>
      <c r="O145" s="351" t="str">
        <f>IFERROR(__xludf.DUMMYFUNCTION("""COMPUTED_VALUE"""),"Mat")</f>
        <v>Mat</v>
      </c>
      <c r="P145" s="351" t="str">
        <f>IFERROR(__xludf.DUMMYFUNCTION("""COMPUTED_VALUE"""),"AP/Drop")</f>
        <v>AP/Drop</v>
      </c>
      <c r="Q145" s="351" t="str">
        <f>IFERROR(__xludf.DUMMYFUNCTION("""COMPUTED_VALUE"""),"")</f>
        <v/>
      </c>
      <c r="R145" s="351" t="str">
        <f>IFERROR(__xludf.DUMMYFUNCTION("""COMPUTED_VALUE"""),"Droprate")</f>
        <v>Droprate</v>
      </c>
      <c r="S145" s="351" t="str">
        <f>IFERROR(__xludf.DUMMYFUNCTION("""COMPUTED_VALUE"""),"")</f>
        <v/>
      </c>
      <c r="T145" s="351" t="str">
        <f>IFERROR(__xludf.DUMMYFUNCTION("""COMPUTED_VALUE"""),"#3")</f>
        <v>#3</v>
      </c>
      <c r="U145" s="351" t="str">
        <f>IFERROR(__xludf.DUMMYFUNCTION("""COMPUTED_VALUE"""),"Item 2 ID")</f>
        <v>Item 2 ID</v>
      </c>
      <c r="V145" s="351" t="str">
        <f>IFERROR(__xludf.DUMMYFUNCTION("""COMPUTED_VALUE"""),"Mat")</f>
        <v>Mat</v>
      </c>
      <c r="W145" s="351" t="str">
        <f>IFERROR(__xludf.DUMMYFUNCTION("""COMPUTED_VALUE"""),"AP/Drop")</f>
        <v>AP/Drop</v>
      </c>
      <c r="X145" s="351" t="str">
        <f>IFERROR(__xludf.DUMMYFUNCTION("""COMPUTED_VALUE"""),"")</f>
        <v/>
      </c>
      <c r="Y145" s="351" t="str">
        <f>IFERROR(__xludf.DUMMYFUNCTION("""COMPUTED_VALUE"""),"Droprate")</f>
        <v>Droprate</v>
      </c>
      <c r="Z145" s="351" t="str">
        <f>IFERROR(__xludf.DUMMYFUNCTION("""COMPUTED_VALUE"""),"")</f>
        <v/>
      </c>
      <c r="AA145" s="351" t="str">
        <f>IFERROR(__xludf.DUMMYFUNCTION("""COMPUTED_VALUE"""),"#4")</f>
        <v>#4</v>
      </c>
      <c r="AB145" s="351" t="str">
        <f>IFERROR(__xludf.DUMMYFUNCTION("""COMPUTED_VALUE"""),"Item 3 ID")</f>
        <v>Item 3 ID</v>
      </c>
      <c r="AC145" s="351" t="str">
        <f>IFERROR(__xludf.DUMMYFUNCTION("""COMPUTED_VALUE"""),"Mat")</f>
        <v>Mat</v>
      </c>
      <c r="AD145" s="351" t="str">
        <f>IFERROR(__xludf.DUMMYFUNCTION("""COMPUTED_VALUE"""),"AP/Drop")</f>
        <v>AP/Drop</v>
      </c>
      <c r="AE145" s="351" t="str">
        <f>IFERROR(__xludf.DUMMYFUNCTION("""COMPUTED_VALUE"""),"")</f>
        <v/>
      </c>
      <c r="AF145" s="351" t="str">
        <f>IFERROR(__xludf.DUMMYFUNCTION("""COMPUTED_VALUE"""),"Droprate")</f>
        <v>Droprate</v>
      </c>
      <c r="AG145" s="351" t="str">
        <f>IFERROR(__xludf.DUMMYFUNCTION("""COMPUTED_VALUE"""),"")</f>
        <v/>
      </c>
      <c r="AH145" s="351" t="str">
        <f>IFERROR(__xludf.DUMMYFUNCTION("""COMPUTED_VALUE"""),"AP")</f>
        <v>AP</v>
      </c>
      <c r="AI145" s="351" t="str">
        <f>IFERROR(__xludf.DUMMYFUNCTION("""COMPUTED_VALUE"""),"Runs")</f>
        <v>Runs</v>
      </c>
      <c r="AJ145" s="351" t="str">
        <f>IFERROR(__xludf.DUMMYFUNCTION("""COMPUTED_VALUE"""),"Node Name")</f>
        <v>Node Name</v>
      </c>
    </row>
    <row r="146" ht="16.5" hidden="1" customHeight="1">
      <c r="D146" s="317" t="str">
        <f>IFERROR(__xludf.DUMMYFUNCTION("""COMPUTED_VALUE"""),"#N/A")</f>
        <v>#N/A</v>
      </c>
      <c r="E146" s="318"/>
      <c r="F146" s="318"/>
      <c r="G146" s="318"/>
      <c r="H146" s="318"/>
      <c r="I146" s="318"/>
      <c r="J146" s="318"/>
      <c r="K146" s="318"/>
      <c r="L146" s="318"/>
      <c r="M146" s="318"/>
      <c r="N146" s="318"/>
      <c r="O146" s="318"/>
      <c r="P146" s="318"/>
      <c r="Q146" s="318"/>
      <c r="R146" s="318"/>
      <c r="S146" s="318"/>
      <c r="T146" s="318"/>
      <c r="U146" s="318"/>
      <c r="V146" s="318"/>
      <c r="W146" s="318"/>
      <c r="X146" s="318"/>
      <c r="Y146" s="318"/>
      <c r="Z146" s="318"/>
      <c r="AA146" s="318"/>
      <c r="AB146" s="318"/>
      <c r="AC146" s="318"/>
      <c r="AD146" s="318"/>
      <c r="AE146" s="318"/>
      <c r="AF146" s="318"/>
      <c r="AG146" s="318"/>
      <c r="AH146" s="318"/>
      <c r="AI146" s="318"/>
      <c r="AJ146" s="318"/>
    </row>
    <row r="147" ht="24.75" hidden="1" customHeight="1">
      <c r="A147" s="319">
        <f>IFERROR(__xludf.DUMMYFUNCTION("""COMPUTED_VALUE"""),1.0)</f>
        <v>1</v>
      </c>
      <c r="B147" s="319" t="str">
        <f>IFERROR(__xludf.DUMMYFUNCTION("""COMPUTED_VALUE"""),"A209")</f>
        <v>A209</v>
      </c>
      <c r="C147" s="319">
        <f>IFERROR(__xludf.DUMMYFUNCTION("""COMPUTED_VALUE"""),19.0)</f>
        <v>19</v>
      </c>
      <c r="D147" s="320" t="str">
        <f>IFERROR(__xludf.DUMMYFUNCTION("""COMPUTED_VALUE"""),"Stone Drop Window")</f>
        <v>Stone Drop Window</v>
      </c>
      <c r="E147" s="321">
        <f>IFERROR(__xludf.DUMMYFUNCTION("""COMPUTED_VALUE"""),30.0)</f>
        <v>30</v>
      </c>
      <c r="F147" s="322">
        <f>IFERROR(__xludf.DUMMYFUNCTION("""COMPUTED_VALUE"""),58.0)</f>
        <v>58</v>
      </c>
      <c r="G147" s="322" t="str">
        <f>IFERROR(__xludf.DUMMYFUNCTION("""COMPUTED_VALUE"""),"Open")</f>
        <v>Open</v>
      </c>
      <c r="H147" s="323" t="str">
        <f>IFERROR(__xludf.DUMMYFUNCTION("""COMPUTED_VALUE"""),"")</f>
        <v/>
      </c>
      <c r="I147" s="324">
        <f>IFERROR(__xludf.DUMMYFUNCTION("""COMPUTED_VALUE"""),102.3529411764706)</f>
        <v>102.3529412</v>
      </c>
      <c r="J147" s="325" t="str">
        <f>IFERROR(__xludf.DUMMYFUNCTION("""COMPUTED_VALUE"""),"AP")</f>
        <v>AP</v>
      </c>
      <c r="K147" s="324">
        <f>IFERROR(__xludf.DUMMYFUNCTION("""COMPUTED_VALUE"""),29.310344827586203)</f>
        <v>29.31034483</v>
      </c>
      <c r="L147" s="325" t="str">
        <f>IFERROR(__xludf.DUMMYFUNCTION("""COMPUTED_VALUE"""),"%")</f>
        <v>%</v>
      </c>
      <c r="M147" s="326">
        <f>IFERROR(__xludf.DUMMYFUNCTION("""COMPUTED_VALUE"""),1.0)</f>
        <v>1</v>
      </c>
      <c r="N147" s="324" t="str">
        <f>IFERROR(__xludf.DUMMYFUNCTION("""COMPUTED_VALUE"""),"A107")</f>
        <v>A107</v>
      </c>
      <c r="O147" s="327" t="str">
        <f>IFERROR(__xludf.DUMMYFUNCTION("""COMPUTED_VALUE"""),"")</f>
        <v/>
      </c>
      <c r="P147" s="324">
        <f>IFERROR(__xludf.DUMMYFUNCTION("""COMPUTED_VALUE"""),174.0)</f>
        <v>174</v>
      </c>
      <c r="Q147" s="325" t="str">
        <f>IFERROR(__xludf.DUMMYFUNCTION("""COMPUTED_VALUE"""),"AP")</f>
        <v>AP</v>
      </c>
      <c r="R147" s="324">
        <f>IFERROR(__xludf.DUMMYFUNCTION("""COMPUTED_VALUE"""),17.24137931034483)</f>
        <v>17.24137931</v>
      </c>
      <c r="S147" s="325" t="str">
        <f>IFERROR(__xludf.DUMMYFUNCTION("""COMPUTED_VALUE"""),"%")</f>
        <v>%</v>
      </c>
      <c r="T147" s="326">
        <f>IFERROR(__xludf.DUMMYFUNCTION("""COMPUTED_VALUE"""),2.0)</f>
        <v>2</v>
      </c>
      <c r="U147" s="324" t="str">
        <f>IFERROR(__xludf.DUMMYFUNCTION("""COMPUTED_VALUE"""),"B116")</f>
        <v>B116</v>
      </c>
      <c r="V147" s="327" t="str">
        <f>IFERROR(__xludf.DUMMYFUNCTION("""COMPUTED_VALUE"""),"")</f>
        <v/>
      </c>
      <c r="W147" s="324">
        <f>IFERROR(__xludf.DUMMYFUNCTION("""COMPUTED_VALUE"""),124.28571428571428)</f>
        <v>124.2857143</v>
      </c>
      <c r="X147" s="325" t="str">
        <f>IFERROR(__xludf.DUMMYFUNCTION("""COMPUTED_VALUE"""),"AP")</f>
        <v>AP</v>
      </c>
      <c r="Y147" s="324">
        <f>IFERROR(__xludf.DUMMYFUNCTION("""COMPUTED_VALUE"""),24.137931034482758)</f>
        <v>24.13793103</v>
      </c>
      <c r="Z147" s="325" t="str">
        <f>IFERROR(__xludf.DUMMYFUNCTION("""COMPUTED_VALUE"""),"%")</f>
        <v>%</v>
      </c>
      <c r="AA147" s="326">
        <f>IFERROR(__xludf.DUMMYFUNCTION("""COMPUTED_VALUE"""),3.0)</f>
        <v>3</v>
      </c>
      <c r="AB147" s="324" t="str">
        <f>IFERROR(__xludf.DUMMYFUNCTION("""COMPUTED_VALUE"""),"")</f>
        <v/>
      </c>
      <c r="AC147" s="327" t="str">
        <f>IFERROR(__xludf.DUMMYFUNCTION("""COMPUTED_VALUE"""),"")</f>
        <v/>
      </c>
      <c r="AD147" s="324" t="str">
        <f>IFERROR(__xludf.DUMMYFUNCTION("""COMPUTED_VALUE"""),"")</f>
        <v/>
      </c>
      <c r="AE147" s="325" t="str">
        <f>IFERROR(__xludf.DUMMYFUNCTION("""COMPUTED_VALUE"""),"AP")</f>
        <v>AP</v>
      </c>
      <c r="AF147" s="324">
        <f>IFERROR(__xludf.DUMMYFUNCTION("""COMPUTED_VALUE"""),0.0)</f>
        <v>0</v>
      </c>
      <c r="AG147" s="325" t="str">
        <f>IFERROR(__xludf.DUMMYFUNCTION("""COMPUTED_VALUE"""),"%")</f>
        <v>%</v>
      </c>
      <c r="AH147" s="321">
        <f>IFERROR(__xludf.DUMMYFUNCTION("""COMPUTED_VALUE"""),30.0)</f>
        <v>30</v>
      </c>
      <c r="AI147" s="322">
        <f>IFERROR(__xludf.DUMMYFUNCTION("""COMPUTED_VALUE"""),58.0)</f>
        <v>58</v>
      </c>
      <c r="AJ147" s="320" t="str">
        <f>IFERROR(__xludf.DUMMYFUNCTION("""COMPUTED_VALUE"""),"Stone Drop Window")</f>
        <v>Stone Drop Window</v>
      </c>
    </row>
    <row r="148" ht="24.75" hidden="1" customHeight="1">
      <c r="A148" s="328">
        <f>IFERROR(__xludf.DUMMYFUNCTION("""COMPUTED_VALUE"""),2.0)</f>
        <v>2</v>
      </c>
      <c r="B148" s="328" t="str">
        <f>IFERROR(__xludf.DUMMYFUNCTION("""COMPUTED_VALUE"""),"A209")</f>
        <v>A209</v>
      </c>
      <c r="C148" s="328" t="str">
        <f>IFERROR(__xludf.DUMMYFUNCTION("""COMPUTED_VALUE"""),"")</f>
        <v/>
      </c>
      <c r="D148" s="329" t="str">
        <f>IFERROR(__xludf.DUMMYFUNCTION("""COMPUTED_VALUE"""),"")</f>
        <v/>
      </c>
      <c r="E148" s="330" t="str">
        <f>IFERROR(__xludf.DUMMYFUNCTION("""COMPUTED_VALUE"""),"")</f>
        <v/>
      </c>
      <c r="F148" s="331" t="str">
        <f>IFERROR(__xludf.DUMMYFUNCTION("""COMPUTED_VALUE"""),"")</f>
        <v/>
      </c>
      <c r="G148" s="331" t="str">
        <f>IFERROR(__xludf.DUMMYFUNCTION("""COMPUTED_VALUE"""),"")</f>
        <v/>
      </c>
      <c r="H148" s="323" t="str">
        <f>IFERROR(__xludf.DUMMYFUNCTION("""COMPUTED_VALUE""")," ")</f>
        <v> </v>
      </c>
      <c r="I148" s="332" t="str">
        <f>IFERROR(__xludf.DUMMYFUNCTION("""COMPUTED_VALUE"""),"")</f>
        <v/>
      </c>
      <c r="J148" s="333" t="str">
        <f>IFERROR(__xludf.DUMMYFUNCTION("""COMPUTED_VALUE"""),"AP")</f>
        <v>AP</v>
      </c>
      <c r="K148" s="332">
        <f>IFERROR(__xludf.DUMMYFUNCTION("""COMPUTED_VALUE"""),0.0)</f>
        <v>0</v>
      </c>
      <c r="L148" s="334" t="str">
        <f>IFERROR(__xludf.DUMMYFUNCTION("""COMPUTED_VALUE"""),"%")</f>
        <v>%</v>
      </c>
      <c r="M148" s="335">
        <f>IFERROR(__xludf.DUMMYFUNCTION("""COMPUTED_VALUE"""),1.0)</f>
        <v>1</v>
      </c>
      <c r="N148" s="332" t="str">
        <f>IFERROR(__xludf.DUMMYFUNCTION("""COMPUTED_VALUE"""),"")</f>
        <v/>
      </c>
      <c r="O148" s="327" t="str">
        <f>IFERROR(__xludf.DUMMYFUNCTION("""COMPUTED_VALUE"""),"")</f>
        <v/>
      </c>
      <c r="P148" s="332" t="str">
        <f>IFERROR(__xludf.DUMMYFUNCTION("""COMPUTED_VALUE"""),"")</f>
        <v/>
      </c>
      <c r="Q148" s="333" t="str">
        <f>IFERROR(__xludf.DUMMYFUNCTION("""COMPUTED_VALUE"""),"AP")</f>
        <v>AP</v>
      </c>
      <c r="R148" s="332">
        <f>IFERROR(__xludf.DUMMYFUNCTION("""COMPUTED_VALUE"""),0.0)</f>
        <v>0</v>
      </c>
      <c r="S148" s="334" t="str">
        <f>IFERROR(__xludf.DUMMYFUNCTION("""COMPUTED_VALUE"""),"%")</f>
        <v>%</v>
      </c>
      <c r="T148" s="335">
        <f>IFERROR(__xludf.DUMMYFUNCTION("""COMPUTED_VALUE"""),2.0)</f>
        <v>2</v>
      </c>
      <c r="U148" s="332" t="str">
        <f>IFERROR(__xludf.DUMMYFUNCTION("""COMPUTED_VALUE"""),"")</f>
        <v/>
      </c>
      <c r="V148" s="327" t="str">
        <f>IFERROR(__xludf.DUMMYFUNCTION("""COMPUTED_VALUE"""),"")</f>
        <v/>
      </c>
      <c r="W148" s="332" t="str">
        <f>IFERROR(__xludf.DUMMYFUNCTION("""COMPUTED_VALUE"""),"")</f>
        <v/>
      </c>
      <c r="X148" s="333" t="str">
        <f>IFERROR(__xludf.DUMMYFUNCTION("""COMPUTED_VALUE"""),"AP")</f>
        <v>AP</v>
      </c>
      <c r="Y148" s="332">
        <f>IFERROR(__xludf.DUMMYFUNCTION("""COMPUTED_VALUE"""),0.0)</f>
        <v>0</v>
      </c>
      <c r="Z148" s="334" t="str">
        <f>IFERROR(__xludf.DUMMYFUNCTION("""COMPUTED_VALUE"""),"%")</f>
        <v>%</v>
      </c>
      <c r="AA148" s="335">
        <f>IFERROR(__xludf.DUMMYFUNCTION("""COMPUTED_VALUE"""),3.0)</f>
        <v>3</v>
      </c>
      <c r="AB148" s="332" t="str">
        <f>IFERROR(__xludf.DUMMYFUNCTION("""COMPUTED_VALUE"""),"")</f>
        <v/>
      </c>
      <c r="AC148" s="327" t="str">
        <f>IFERROR(__xludf.DUMMYFUNCTION("""COMPUTED_VALUE"""),"")</f>
        <v/>
      </c>
      <c r="AD148" s="332" t="str">
        <f>IFERROR(__xludf.DUMMYFUNCTION("""COMPUTED_VALUE"""),"")</f>
        <v/>
      </c>
      <c r="AE148" s="333" t="str">
        <f>IFERROR(__xludf.DUMMYFUNCTION("""COMPUTED_VALUE"""),"AP")</f>
        <v>AP</v>
      </c>
      <c r="AF148" s="332">
        <f>IFERROR(__xludf.DUMMYFUNCTION("""COMPUTED_VALUE"""),0.0)</f>
        <v>0</v>
      </c>
      <c r="AG148" s="334" t="str">
        <f>IFERROR(__xludf.DUMMYFUNCTION("""COMPUTED_VALUE"""),"%")</f>
        <v>%</v>
      </c>
      <c r="AH148" s="330" t="str">
        <f>IFERROR(__xludf.DUMMYFUNCTION("""COMPUTED_VALUE"""),"")</f>
        <v/>
      </c>
      <c r="AI148" s="331" t="str">
        <f>IFERROR(__xludf.DUMMYFUNCTION("""COMPUTED_VALUE"""),"")</f>
        <v/>
      </c>
      <c r="AJ148" s="329" t="str">
        <f>IFERROR(__xludf.DUMMYFUNCTION("""COMPUTED_VALUE"""),"")</f>
        <v/>
      </c>
    </row>
    <row r="149" ht="24.75" hidden="1" customHeight="1">
      <c r="A149" s="319">
        <f>IFERROR(__xludf.DUMMYFUNCTION("""COMPUTED_VALUE"""),3.0)</f>
        <v>3</v>
      </c>
      <c r="B149" s="319" t="str">
        <f>IFERROR(__xludf.DUMMYFUNCTION("""COMPUTED_VALUE"""),"A209")</f>
        <v>A209</v>
      </c>
      <c r="C149" s="319" t="str">
        <f>IFERROR(__xludf.DUMMYFUNCTION("""COMPUTED_VALUE"""),"")</f>
        <v/>
      </c>
      <c r="D149" s="320" t="str">
        <f>IFERROR(__xludf.DUMMYFUNCTION("""COMPUTED_VALUE"""),"")</f>
        <v/>
      </c>
      <c r="E149" s="321" t="str">
        <f>IFERROR(__xludf.DUMMYFUNCTION("""COMPUTED_VALUE"""),"")</f>
        <v/>
      </c>
      <c r="F149" s="322" t="str">
        <f>IFERROR(__xludf.DUMMYFUNCTION("""COMPUTED_VALUE"""),"")</f>
        <v/>
      </c>
      <c r="G149" s="322" t="str">
        <f>IFERROR(__xludf.DUMMYFUNCTION("""COMPUTED_VALUE"""),"")</f>
        <v/>
      </c>
      <c r="H149" s="323" t="str">
        <f>IFERROR(__xludf.DUMMYFUNCTION("""COMPUTED_VALUE""")," ")</f>
        <v> </v>
      </c>
      <c r="I149" s="324" t="str">
        <f>IFERROR(__xludf.DUMMYFUNCTION("""COMPUTED_VALUE"""),"")</f>
        <v/>
      </c>
      <c r="J149" s="325" t="str">
        <f>IFERROR(__xludf.DUMMYFUNCTION("""COMPUTED_VALUE"""),"AP")</f>
        <v>AP</v>
      </c>
      <c r="K149" s="324">
        <f>IFERROR(__xludf.DUMMYFUNCTION("""COMPUTED_VALUE"""),0.0)</f>
        <v>0</v>
      </c>
      <c r="L149" s="325" t="str">
        <f>IFERROR(__xludf.DUMMYFUNCTION("""COMPUTED_VALUE"""),"%")</f>
        <v>%</v>
      </c>
      <c r="M149" s="326">
        <f>IFERROR(__xludf.DUMMYFUNCTION("""COMPUTED_VALUE"""),1.0)</f>
        <v>1</v>
      </c>
      <c r="N149" s="324" t="str">
        <f>IFERROR(__xludf.DUMMYFUNCTION("""COMPUTED_VALUE"""),"")</f>
        <v/>
      </c>
      <c r="O149" s="327" t="str">
        <f>IFERROR(__xludf.DUMMYFUNCTION("""COMPUTED_VALUE"""),"")</f>
        <v/>
      </c>
      <c r="P149" s="324" t="str">
        <f>IFERROR(__xludf.DUMMYFUNCTION("""COMPUTED_VALUE"""),"")</f>
        <v/>
      </c>
      <c r="Q149" s="325" t="str">
        <f>IFERROR(__xludf.DUMMYFUNCTION("""COMPUTED_VALUE"""),"AP")</f>
        <v>AP</v>
      </c>
      <c r="R149" s="324">
        <f>IFERROR(__xludf.DUMMYFUNCTION("""COMPUTED_VALUE"""),0.0)</f>
        <v>0</v>
      </c>
      <c r="S149" s="325" t="str">
        <f>IFERROR(__xludf.DUMMYFUNCTION("""COMPUTED_VALUE"""),"%")</f>
        <v>%</v>
      </c>
      <c r="T149" s="326">
        <f>IFERROR(__xludf.DUMMYFUNCTION("""COMPUTED_VALUE"""),2.0)</f>
        <v>2</v>
      </c>
      <c r="U149" s="324" t="str">
        <f>IFERROR(__xludf.DUMMYFUNCTION("""COMPUTED_VALUE"""),"")</f>
        <v/>
      </c>
      <c r="V149" s="327" t="str">
        <f>IFERROR(__xludf.DUMMYFUNCTION("""COMPUTED_VALUE"""),"")</f>
        <v/>
      </c>
      <c r="W149" s="324" t="str">
        <f>IFERROR(__xludf.DUMMYFUNCTION("""COMPUTED_VALUE"""),"")</f>
        <v/>
      </c>
      <c r="X149" s="325" t="str">
        <f>IFERROR(__xludf.DUMMYFUNCTION("""COMPUTED_VALUE"""),"AP")</f>
        <v>AP</v>
      </c>
      <c r="Y149" s="324">
        <f>IFERROR(__xludf.DUMMYFUNCTION("""COMPUTED_VALUE"""),0.0)</f>
        <v>0</v>
      </c>
      <c r="Z149" s="325" t="str">
        <f>IFERROR(__xludf.DUMMYFUNCTION("""COMPUTED_VALUE"""),"%")</f>
        <v>%</v>
      </c>
      <c r="AA149" s="326">
        <f>IFERROR(__xludf.DUMMYFUNCTION("""COMPUTED_VALUE"""),3.0)</f>
        <v>3</v>
      </c>
      <c r="AB149" s="324" t="str">
        <f>IFERROR(__xludf.DUMMYFUNCTION("""COMPUTED_VALUE"""),"")</f>
        <v/>
      </c>
      <c r="AC149" s="327" t="str">
        <f>IFERROR(__xludf.DUMMYFUNCTION("""COMPUTED_VALUE"""),"")</f>
        <v/>
      </c>
      <c r="AD149" s="324" t="str">
        <f>IFERROR(__xludf.DUMMYFUNCTION("""COMPUTED_VALUE"""),"")</f>
        <v/>
      </c>
      <c r="AE149" s="325" t="str">
        <f>IFERROR(__xludf.DUMMYFUNCTION("""COMPUTED_VALUE"""),"AP")</f>
        <v>AP</v>
      </c>
      <c r="AF149" s="324">
        <f>IFERROR(__xludf.DUMMYFUNCTION("""COMPUTED_VALUE"""),0.0)</f>
        <v>0</v>
      </c>
      <c r="AG149" s="325" t="str">
        <f>IFERROR(__xludf.DUMMYFUNCTION("""COMPUTED_VALUE"""),"%")</f>
        <v>%</v>
      </c>
      <c r="AH149" s="321" t="str">
        <f>IFERROR(__xludf.DUMMYFUNCTION("""COMPUTED_VALUE"""),"")</f>
        <v/>
      </c>
      <c r="AI149" s="322" t="str">
        <f>IFERROR(__xludf.DUMMYFUNCTION("""COMPUTED_VALUE"""),"")</f>
        <v/>
      </c>
      <c r="AJ149" s="320" t="str">
        <f>IFERROR(__xludf.DUMMYFUNCTION("""COMPUTED_VALUE"""),"")</f>
        <v/>
      </c>
    </row>
    <row r="150" ht="24.75" hidden="1" customHeight="1">
      <c r="A150" s="328">
        <f>IFERROR(__xludf.DUMMYFUNCTION("""COMPUTED_VALUE"""),4.0)</f>
        <v>4</v>
      </c>
      <c r="B150" s="328" t="str">
        <f>IFERROR(__xludf.DUMMYFUNCTION("""COMPUTED_VALUE"""),"A209")</f>
        <v>A209</v>
      </c>
      <c r="C150" s="328" t="str">
        <f>IFERROR(__xludf.DUMMYFUNCTION("""COMPUTED_VALUE"""),"")</f>
        <v/>
      </c>
      <c r="D150" s="329" t="str">
        <f>IFERROR(__xludf.DUMMYFUNCTION("""COMPUTED_VALUE"""),"")</f>
        <v/>
      </c>
      <c r="E150" s="330" t="str">
        <f>IFERROR(__xludf.DUMMYFUNCTION("""COMPUTED_VALUE"""),"")</f>
        <v/>
      </c>
      <c r="F150" s="331" t="str">
        <f>IFERROR(__xludf.DUMMYFUNCTION("""COMPUTED_VALUE"""),"")</f>
        <v/>
      </c>
      <c r="G150" s="331" t="str">
        <f>IFERROR(__xludf.DUMMYFUNCTION("""COMPUTED_VALUE"""),"")</f>
        <v/>
      </c>
      <c r="H150" s="323" t="str">
        <f>IFERROR(__xludf.DUMMYFUNCTION("""COMPUTED_VALUE""")," ")</f>
        <v> </v>
      </c>
      <c r="I150" s="332" t="str">
        <f>IFERROR(__xludf.DUMMYFUNCTION("""COMPUTED_VALUE"""),"")</f>
        <v/>
      </c>
      <c r="J150" s="333" t="str">
        <f>IFERROR(__xludf.DUMMYFUNCTION("""COMPUTED_VALUE"""),"AP")</f>
        <v>AP</v>
      </c>
      <c r="K150" s="332">
        <f>IFERROR(__xludf.DUMMYFUNCTION("""COMPUTED_VALUE"""),0.0)</f>
        <v>0</v>
      </c>
      <c r="L150" s="334" t="str">
        <f>IFERROR(__xludf.DUMMYFUNCTION("""COMPUTED_VALUE"""),"%")</f>
        <v>%</v>
      </c>
      <c r="M150" s="335">
        <f>IFERROR(__xludf.DUMMYFUNCTION("""COMPUTED_VALUE"""),1.0)</f>
        <v>1</v>
      </c>
      <c r="N150" s="332" t="str">
        <f>IFERROR(__xludf.DUMMYFUNCTION("""COMPUTED_VALUE"""),"")</f>
        <v/>
      </c>
      <c r="O150" s="327" t="str">
        <f>IFERROR(__xludf.DUMMYFUNCTION("""COMPUTED_VALUE"""),"")</f>
        <v/>
      </c>
      <c r="P150" s="332" t="str">
        <f>IFERROR(__xludf.DUMMYFUNCTION("""COMPUTED_VALUE"""),"")</f>
        <v/>
      </c>
      <c r="Q150" s="333" t="str">
        <f>IFERROR(__xludf.DUMMYFUNCTION("""COMPUTED_VALUE"""),"AP")</f>
        <v>AP</v>
      </c>
      <c r="R150" s="332">
        <f>IFERROR(__xludf.DUMMYFUNCTION("""COMPUTED_VALUE"""),0.0)</f>
        <v>0</v>
      </c>
      <c r="S150" s="334" t="str">
        <f>IFERROR(__xludf.DUMMYFUNCTION("""COMPUTED_VALUE"""),"%")</f>
        <v>%</v>
      </c>
      <c r="T150" s="335">
        <f>IFERROR(__xludf.DUMMYFUNCTION("""COMPUTED_VALUE"""),2.0)</f>
        <v>2</v>
      </c>
      <c r="U150" s="332" t="str">
        <f>IFERROR(__xludf.DUMMYFUNCTION("""COMPUTED_VALUE"""),"")</f>
        <v/>
      </c>
      <c r="V150" s="327" t="str">
        <f>IFERROR(__xludf.DUMMYFUNCTION("""COMPUTED_VALUE"""),"")</f>
        <v/>
      </c>
      <c r="W150" s="332" t="str">
        <f>IFERROR(__xludf.DUMMYFUNCTION("""COMPUTED_VALUE"""),"")</f>
        <v/>
      </c>
      <c r="X150" s="333" t="str">
        <f>IFERROR(__xludf.DUMMYFUNCTION("""COMPUTED_VALUE"""),"AP")</f>
        <v>AP</v>
      </c>
      <c r="Y150" s="332">
        <f>IFERROR(__xludf.DUMMYFUNCTION("""COMPUTED_VALUE"""),0.0)</f>
        <v>0</v>
      </c>
      <c r="Z150" s="334" t="str">
        <f>IFERROR(__xludf.DUMMYFUNCTION("""COMPUTED_VALUE"""),"%")</f>
        <v>%</v>
      </c>
      <c r="AA150" s="335">
        <f>IFERROR(__xludf.DUMMYFUNCTION("""COMPUTED_VALUE"""),3.0)</f>
        <v>3</v>
      </c>
      <c r="AB150" s="332" t="str">
        <f>IFERROR(__xludf.DUMMYFUNCTION("""COMPUTED_VALUE"""),"")</f>
        <v/>
      </c>
      <c r="AC150" s="327" t="str">
        <f>IFERROR(__xludf.DUMMYFUNCTION("""COMPUTED_VALUE"""),"")</f>
        <v/>
      </c>
      <c r="AD150" s="332" t="str">
        <f>IFERROR(__xludf.DUMMYFUNCTION("""COMPUTED_VALUE"""),"")</f>
        <v/>
      </c>
      <c r="AE150" s="333" t="str">
        <f>IFERROR(__xludf.DUMMYFUNCTION("""COMPUTED_VALUE"""),"AP")</f>
        <v>AP</v>
      </c>
      <c r="AF150" s="332">
        <f>IFERROR(__xludf.DUMMYFUNCTION("""COMPUTED_VALUE"""),0.0)</f>
        <v>0</v>
      </c>
      <c r="AG150" s="334" t="str">
        <f>IFERROR(__xludf.DUMMYFUNCTION("""COMPUTED_VALUE"""),"%")</f>
        <v>%</v>
      </c>
      <c r="AH150" s="330" t="str">
        <f>IFERROR(__xludf.DUMMYFUNCTION("""COMPUTED_VALUE"""),"")</f>
        <v/>
      </c>
      <c r="AI150" s="331" t="str">
        <f>IFERROR(__xludf.DUMMYFUNCTION("""COMPUTED_VALUE"""),"")</f>
        <v/>
      </c>
      <c r="AJ150" s="329" t="str">
        <f>IFERROR(__xludf.DUMMYFUNCTION("""COMPUTED_VALUE"""),"")</f>
        <v/>
      </c>
    </row>
    <row r="151" ht="24.75" hidden="1" customHeight="1">
      <c r="A151" s="319">
        <f>IFERROR(__xludf.DUMMYFUNCTION("""COMPUTED_VALUE"""),5.0)</f>
        <v>5</v>
      </c>
      <c r="B151" s="319" t="str">
        <f>IFERROR(__xludf.DUMMYFUNCTION("""COMPUTED_VALUE"""),"A209")</f>
        <v>A209</v>
      </c>
      <c r="C151" s="319" t="str">
        <f>IFERROR(__xludf.DUMMYFUNCTION("""COMPUTED_VALUE"""),"")</f>
        <v/>
      </c>
      <c r="D151" s="320" t="str">
        <f>IFERROR(__xludf.DUMMYFUNCTION("""COMPUTED_VALUE"""),"")</f>
        <v/>
      </c>
      <c r="E151" s="321" t="str">
        <f>IFERROR(__xludf.DUMMYFUNCTION("""COMPUTED_VALUE"""),"")</f>
        <v/>
      </c>
      <c r="F151" s="322" t="str">
        <f>IFERROR(__xludf.DUMMYFUNCTION("""COMPUTED_VALUE"""),"")</f>
        <v/>
      </c>
      <c r="G151" s="322" t="str">
        <f>IFERROR(__xludf.DUMMYFUNCTION("""COMPUTED_VALUE"""),"")</f>
        <v/>
      </c>
      <c r="H151" s="323" t="str">
        <f>IFERROR(__xludf.DUMMYFUNCTION("""COMPUTED_VALUE""")," ")</f>
        <v> </v>
      </c>
      <c r="I151" s="324" t="str">
        <f>IFERROR(__xludf.DUMMYFUNCTION("""COMPUTED_VALUE"""),"")</f>
        <v/>
      </c>
      <c r="J151" s="325" t="str">
        <f>IFERROR(__xludf.DUMMYFUNCTION("""COMPUTED_VALUE"""),"AP")</f>
        <v>AP</v>
      </c>
      <c r="K151" s="324">
        <f>IFERROR(__xludf.DUMMYFUNCTION("""COMPUTED_VALUE"""),0.0)</f>
        <v>0</v>
      </c>
      <c r="L151" s="325" t="str">
        <f>IFERROR(__xludf.DUMMYFUNCTION("""COMPUTED_VALUE"""),"%")</f>
        <v>%</v>
      </c>
      <c r="M151" s="326">
        <f>IFERROR(__xludf.DUMMYFUNCTION("""COMPUTED_VALUE"""),1.0)</f>
        <v>1</v>
      </c>
      <c r="N151" s="324" t="str">
        <f>IFERROR(__xludf.DUMMYFUNCTION("""COMPUTED_VALUE"""),"")</f>
        <v/>
      </c>
      <c r="O151" s="327" t="str">
        <f>IFERROR(__xludf.DUMMYFUNCTION("""COMPUTED_VALUE"""),"")</f>
        <v/>
      </c>
      <c r="P151" s="324" t="str">
        <f>IFERROR(__xludf.DUMMYFUNCTION("""COMPUTED_VALUE"""),"")</f>
        <v/>
      </c>
      <c r="Q151" s="325" t="str">
        <f>IFERROR(__xludf.DUMMYFUNCTION("""COMPUTED_VALUE"""),"AP")</f>
        <v>AP</v>
      </c>
      <c r="R151" s="324">
        <f>IFERROR(__xludf.DUMMYFUNCTION("""COMPUTED_VALUE"""),0.0)</f>
        <v>0</v>
      </c>
      <c r="S151" s="325" t="str">
        <f>IFERROR(__xludf.DUMMYFUNCTION("""COMPUTED_VALUE"""),"%")</f>
        <v>%</v>
      </c>
      <c r="T151" s="326">
        <f>IFERROR(__xludf.DUMMYFUNCTION("""COMPUTED_VALUE"""),2.0)</f>
        <v>2</v>
      </c>
      <c r="U151" s="324" t="str">
        <f>IFERROR(__xludf.DUMMYFUNCTION("""COMPUTED_VALUE"""),"")</f>
        <v/>
      </c>
      <c r="V151" s="327" t="str">
        <f>IFERROR(__xludf.DUMMYFUNCTION("""COMPUTED_VALUE"""),"")</f>
        <v/>
      </c>
      <c r="W151" s="324" t="str">
        <f>IFERROR(__xludf.DUMMYFUNCTION("""COMPUTED_VALUE"""),"")</f>
        <v/>
      </c>
      <c r="X151" s="325" t="str">
        <f>IFERROR(__xludf.DUMMYFUNCTION("""COMPUTED_VALUE"""),"AP")</f>
        <v>AP</v>
      </c>
      <c r="Y151" s="324">
        <f>IFERROR(__xludf.DUMMYFUNCTION("""COMPUTED_VALUE"""),0.0)</f>
        <v>0</v>
      </c>
      <c r="Z151" s="325" t="str">
        <f>IFERROR(__xludf.DUMMYFUNCTION("""COMPUTED_VALUE"""),"%")</f>
        <v>%</v>
      </c>
      <c r="AA151" s="326">
        <f>IFERROR(__xludf.DUMMYFUNCTION("""COMPUTED_VALUE"""),3.0)</f>
        <v>3</v>
      </c>
      <c r="AB151" s="324" t="str">
        <f>IFERROR(__xludf.DUMMYFUNCTION("""COMPUTED_VALUE"""),"")</f>
        <v/>
      </c>
      <c r="AC151" s="327" t="str">
        <f>IFERROR(__xludf.DUMMYFUNCTION("""COMPUTED_VALUE"""),"")</f>
        <v/>
      </c>
      <c r="AD151" s="324" t="str">
        <f>IFERROR(__xludf.DUMMYFUNCTION("""COMPUTED_VALUE"""),"")</f>
        <v/>
      </c>
      <c r="AE151" s="325" t="str">
        <f>IFERROR(__xludf.DUMMYFUNCTION("""COMPUTED_VALUE"""),"AP")</f>
        <v>AP</v>
      </c>
      <c r="AF151" s="324">
        <f>IFERROR(__xludf.DUMMYFUNCTION("""COMPUTED_VALUE"""),0.0)</f>
        <v>0</v>
      </c>
      <c r="AG151" s="325" t="str">
        <f>IFERROR(__xludf.DUMMYFUNCTION("""COMPUTED_VALUE"""),"%")</f>
        <v>%</v>
      </c>
      <c r="AH151" s="321" t="str">
        <f>IFERROR(__xludf.DUMMYFUNCTION("""COMPUTED_VALUE"""),"")</f>
        <v/>
      </c>
      <c r="AI151" s="322" t="str">
        <f>IFERROR(__xludf.DUMMYFUNCTION("""COMPUTED_VALUE"""),"")</f>
        <v/>
      </c>
      <c r="AJ151" s="320" t="str">
        <f>IFERROR(__xludf.DUMMYFUNCTION("""COMPUTED_VALUE"""),"")</f>
        <v/>
      </c>
    </row>
    <row r="152" hidden="1">
      <c r="A152" s="336" t="str">
        <f>IFERROR(__xludf.DUMMYFUNCTION("""COMPUTED_VALUE"""),"")</f>
        <v/>
      </c>
      <c r="B152" s="337" t="str">
        <f>IFERROR(__xludf.DUMMYFUNCTION("""COMPUTED_VALUE"""),"")</f>
        <v/>
      </c>
      <c r="C152" s="338" t="str">
        <f>IFERROR(__xludf.DUMMYFUNCTION("""COMPUTED_VALUE"""),"")</f>
        <v/>
      </c>
      <c r="D152" s="339" t="str">
        <f>IFERROR(__xludf.DUMMYFUNCTION("""COMPUTED_VALUE"""),"")</f>
        <v/>
      </c>
      <c r="E152" s="337" t="str">
        <f>IFERROR(__xludf.DUMMYFUNCTION("""COMPUTED_VALUE"""),"")</f>
        <v/>
      </c>
      <c r="F152" s="337" t="str">
        <f>IFERROR(__xludf.DUMMYFUNCTION("""COMPUTED_VALUE"""),"")</f>
        <v/>
      </c>
      <c r="G152" s="337" t="str">
        <f>IFERROR(__xludf.DUMMYFUNCTION("""COMPUTED_VALUE"""),"")</f>
        <v/>
      </c>
      <c r="H152" s="337" t="str">
        <f>IFERROR(__xludf.DUMMYFUNCTION("""COMPUTED_VALUE"""),"")</f>
        <v/>
      </c>
      <c r="I152" s="337" t="str">
        <f>IFERROR(__xludf.DUMMYFUNCTION("""COMPUTED_VALUE"""),"")</f>
        <v/>
      </c>
      <c r="J152" s="341" t="str">
        <f>IFERROR(__xludf.DUMMYFUNCTION("""COMPUTED_VALUE"""),"")</f>
        <v/>
      </c>
      <c r="K152" s="337" t="str">
        <f>IFERROR(__xludf.DUMMYFUNCTION("""COMPUTED_VALUE"""),"")</f>
        <v/>
      </c>
      <c r="L152" s="341" t="str">
        <f>IFERROR(__xludf.DUMMYFUNCTION("""COMPUTED_VALUE"""),"")</f>
        <v/>
      </c>
      <c r="M152" s="337" t="str">
        <f>IFERROR(__xludf.DUMMYFUNCTION("""COMPUTED_VALUE"""),"")</f>
        <v/>
      </c>
      <c r="N152" s="337" t="str">
        <f>IFERROR(__xludf.DUMMYFUNCTION("""COMPUTED_VALUE"""),"")</f>
        <v/>
      </c>
      <c r="O152" s="337" t="str">
        <f>IFERROR(__xludf.DUMMYFUNCTION("""COMPUTED_VALUE"""),"")</f>
        <v/>
      </c>
      <c r="P152" s="337" t="str">
        <f>IFERROR(__xludf.DUMMYFUNCTION("""COMPUTED_VALUE"""),"")</f>
        <v/>
      </c>
      <c r="Q152" s="341" t="str">
        <f>IFERROR(__xludf.DUMMYFUNCTION("""COMPUTED_VALUE"""),"")</f>
        <v/>
      </c>
      <c r="R152" s="337" t="str">
        <f>IFERROR(__xludf.DUMMYFUNCTION("""COMPUTED_VALUE"""),"")</f>
        <v/>
      </c>
      <c r="S152" s="341" t="str">
        <f>IFERROR(__xludf.DUMMYFUNCTION("""COMPUTED_VALUE"""),"")</f>
        <v/>
      </c>
      <c r="T152" s="337" t="str">
        <f>IFERROR(__xludf.DUMMYFUNCTION("""COMPUTED_VALUE"""),"")</f>
        <v/>
      </c>
      <c r="U152" s="337" t="str">
        <f>IFERROR(__xludf.DUMMYFUNCTION("""COMPUTED_VALUE"""),"")</f>
        <v/>
      </c>
      <c r="V152" s="337" t="str">
        <f>IFERROR(__xludf.DUMMYFUNCTION("""COMPUTED_VALUE"""),"")</f>
        <v/>
      </c>
      <c r="W152" s="337" t="str">
        <f>IFERROR(__xludf.DUMMYFUNCTION("""COMPUTED_VALUE"""),"")</f>
        <v/>
      </c>
      <c r="X152" s="341" t="str">
        <f>IFERROR(__xludf.DUMMYFUNCTION("""COMPUTED_VALUE"""),"")</f>
        <v/>
      </c>
      <c r="Y152" s="337" t="str">
        <f>IFERROR(__xludf.DUMMYFUNCTION("""COMPUTED_VALUE"""),"")</f>
        <v/>
      </c>
      <c r="Z152" s="341" t="str">
        <f>IFERROR(__xludf.DUMMYFUNCTION("""COMPUTED_VALUE"""),"")</f>
        <v/>
      </c>
      <c r="AA152" s="337" t="str">
        <f>IFERROR(__xludf.DUMMYFUNCTION("""COMPUTED_VALUE"""),"")</f>
        <v/>
      </c>
      <c r="AB152" s="337" t="str">
        <f>IFERROR(__xludf.DUMMYFUNCTION("""COMPUTED_VALUE"""),"")</f>
        <v/>
      </c>
      <c r="AC152" s="337" t="str">
        <f>IFERROR(__xludf.DUMMYFUNCTION("""COMPUTED_VALUE"""),"")</f>
        <v/>
      </c>
      <c r="AD152" s="337" t="str">
        <f>IFERROR(__xludf.DUMMYFUNCTION("""COMPUTED_VALUE"""),"")</f>
        <v/>
      </c>
      <c r="AE152" s="341" t="str">
        <f>IFERROR(__xludf.DUMMYFUNCTION("""COMPUTED_VALUE"""),"")</f>
        <v/>
      </c>
      <c r="AF152" s="337" t="str">
        <f>IFERROR(__xludf.DUMMYFUNCTION("""COMPUTED_VALUE"""),"")</f>
        <v/>
      </c>
      <c r="AG152" s="341" t="str">
        <f>IFERROR(__xludf.DUMMYFUNCTION("""COMPUTED_VALUE"""),"")</f>
        <v/>
      </c>
      <c r="AH152" s="337" t="str">
        <f>IFERROR(__xludf.DUMMYFUNCTION("""COMPUTED_VALUE"""),"")</f>
        <v/>
      </c>
      <c r="AI152" s="337" t="str">
        <f>IFERROR(__xludf.DUMMYFUNCTION("""COMPUTED_VALUE"""),"")</f>
        <v/>
      </c>
      <c r="AJ152" s="342" t="str">
        <f>IFERROR(__xludf.DUMMYFUNCTION("""COMPUTED_VALUE"""),"")</f>
        <v/>
      </c>
    </row>
    <row r="153" hidden="1">
      <c r="A153" s="343" t="str">
        <f>IFERROR(__xludf.DUMMYFUNCTION("""COMPUTED_VALUE"""),"")</f>
        <v/>
      </c>
      <c r="B153" s="344" t="str">
        <f>IFERROR(__xludf.DUMMYFUNCTION("""COMPUTED_VALUE"""),"")</f>
        <v/>
      </c>
      <c r="C153" s="345" t="str">
        <f>IFERROR(__xludf.DUMMYFUNCTION("""COMPUTED_VALUE"""),"")</f>
        <v/>
      </c>
      <c r="D153" s="346" t="str">
        <f>IFERROR(__xludf.DUMMYFUNCTION("""COMPUTED_VALUE"""),"")</f>
        <v/>
      </c>
      <c r="E153" s="344" t="str">
        <f>IFERROR(__xludf.DUMMYFUNCTION("""COMPUTED_VALUE"""),"")</f>
        <v/>
      </c>
      <c r="F153" s="344" t="str">
        <f>IFERROR(__xludf.DUMMYFUNCTION("""COMPUTED_VALUE"""),"")</f>
        <v/>
      </c>
      <c r="G153" s="344" t="str">
        <f>IFERROR(__xludf.DUMMYFUNCTION("""COMPUTED_VALUE"""),"")</f>
        <v/>
      </c>
      <c r="H153" s="344" t="str">
        <f>IFERROR(__xludf.DUMMYFUNCTION("""COMPUTED_VALUE"""),"")</f>
        <v/>
      </c>
      <c r="I153" s="344" t="str">
        <f>IFERROR(__xludf.DUMMYFUNCTION("""COMPUTED_VALUE"""),"")</f>
        <v/>
      </c>
      <c r="J153" s="347" t="str">
        <f>IFERROR(__xludf.DUMMYFUNCTION("""COMPUTED_VALUE"""),"")</f>
        <v/>
      </c>
      <c r="K153" s="344" t="str">
        <f>IFERROR(__xludf.DUMMYFUNCTION("""COMPUTED_VALUE"""),"")</f>
        <v/>
      </c>
      <c r="L153" s="347" t="str">
        <f>IFERROR(__xludf.DUMMYFUNCTION("""COMPUTED_VALUE"""),"")</f>
        <v/>
      </c>
      <c r="M153" s="344" t="str">
        <f>IFERROR(__xludf.DUMMYFUNCTION("""COMPUTED_VALUE"""),"")</f>
        <v/>
      </c>
      <c r="N153" s="344" t="str">
        <f>IFERROR(__xludf.DUMMYFUNCTION("""COMPUTED_VALUE"""),"")</f>
        <v/>
      </c>
      <c r="O153" s="344" t="str">
        <f>IFERROR(__xludf.DUMMYFUNCTION("""COMPUTED_VALUE"""),"")</f>
        <v/>
      </c>
      <c r="P153" s="344" t="str">
        <f>IFERROR(__xludf.DUMMYFUNCTION("""COMPUTED_VALUE"""),"")</f>
        <v/>
      </c>
      <c r="Q153" s="347" t="str">
        <f>IFERROR(__xludf.DUMMYFUNCTION("""COMPUTED_VALUE"""),"")</f>
        <v/>
      </c>
      <c r="R153" s="344" t="str">
        <f>IFERROR(__xludf.DUMMYFUNCTION("""COMPUTED_VALUE"""),"")</f>
        <v/>
      </c>
      <c r="S153" s="347" t="str">
        <f>IFERROR(__xludf.DUMMYFUNCTION("""COMPUTED_VALUE"""),"")</f>
        <v/>
      </c>
      <c r="T153" s="344" t="str">
        <f>IFERROR(__xludf.DUMMYFUNCTION("""COMPUTED_VALUE"""),"")</f>
        <v/>
      </c>
      <c r="U153" s="344" t="str">
        <f>IFERROR(__xludf.DUMMYFUNCTION("""COMPUTED_VALUE"""),"")</f>
        <v/>
      </c>
      <c r="V153" s="344" t="str">
        <f>IFERROR(__xludf.DUMMYFUNCTION("""COMPUTED_VALUE"""),"")</f>
        <v/>
      </c>
      <c r="W153" s="344" t="str">
        <f>IFERROR(__xludf.DUMMYFUNCTION("""COMPUTED_VALUE"""),"")</f>
        <v/>
      </c>
      <c r="X153" s="347" t="str">
        <f>IFERROR(__xludf.DUMMYFUNCTION("""COMPUTED_VALUE"""),"")</f>
        <v/>
      </c>
      <c r="Y153" s="344" t="str">
        <f>IFERROR(__xludf.DUMMYFUNCTION("""COMPUTED_VALUE"""),"")</f>
        <v/>
      </c>
      <c r="Z153" s="347" t="str">
        <f>IFERROR(__xludf.DUMMYFUNCTION("""COMPUTED_VALUE"""),"")</f>
        <v/>
      </c>
      <c r="AA153" s="344" t="str">
        <f>IFERROR(__xludf.DUMMYFUNCTION("""COMPUTED_VALUE"""),"")</f>
        <v/>
      </c>
      <c r="AB153" s="344" t="str">
        <f>IFERROR(__xludf.DUMMYFUNCTION("""COMPUTED_VALUE"""),"")</f>
        <v/>
      </c>
      <c r="AC153" s="344" t="str">
        <f>IFERROR(__xludf.DUMMYFUNCTION("""COMPUTED_VALUE"""),"")</f>
        <v/>
      </c>
      <c r="AD153" s="344" t="str">
        <f>IFERROR(__xludf.DUMMYFUNCTION("""COMPUTED_VALUE"""),"")</f>
        <v/>
      </c>
      <c r="AE153" s="347" t="str">
        <f>IFERROR(__xludf.DUMMYFUNCTION("""COMPUTED_VALUE"""),"")</f>
        <v/>
      </c>
      <c r="AF153" s="344" t="str">
        <f>IFERROR(__xludf.DUMMYFUNCTION("""COMPUTED_VALUE"""),"")</f>
        <v/>
      </c>
      <c r="AG153" s="347" t="str">
        <f>IFERROR(__xludf.DUMMYFUNCTION("""COMPUTED_VALUE"""),"")</f>
        <v/>
      </c>
      <c r="AH153" s="344" t="str">
        <f>IFERROR(__xludf.DUMMYFUNCTION("""COMPUTED_VALUE"""),"")</f>
        <v/>
      </c>
      <c r="AI153" s="344" t="str">
        <f>IFERROR(__xludf.DUMMYFUNCTION("""COMPUTED_VALUE"""),"")</f>
        <v/>
      </c>
      <c r="AJ153" s="348" t="str">
        <f>IFERROR(__xludf.DUMMYFUNCTION("""COMPUTED_VALUE"""),"")</f>
        <v/>
      </c>
    </row>
    <row r="154" ht="16.5" hidden="1" customHeight="1">
      <c r="A154" s="349">
        <f>IFERROR(__xludf.DUMMYFUNCTION("""COMPUTED_VALUE"""),18.0)</f>
        <v>18</v>
      </c>
      <c r="B154" s="313" t="str">
        <f>IFERROR(__xludf.DUMMYFUNCTION("""COMPUTED_VALUE"""),"A210")</f>
        <v>A210</v>
      </c>
      <c r="C154" s="314" t="str">
        <f>IFERROR(__xludf.DUMMYFUNCTION("""COMPUTED_VALUE"""),"")</f>
        <v/>
      </c>
      <c r="D154" s="350" t="str">
        <f>IFERROR(__xludf.DUMMYFUNCTION("""COMPUTED_VALUE"""),"Great Knight Medal")</f>
        <v>Great Knight Medal</v>
      </c>
      <c r="E154" s="351" t="str">
        <f>IFERROR(__xludf.DUMMYFUNCTION("""COMPUTED_VALUE"""),"AP")</f>
        <v>AP</v>
      </c>
      <c r="F154" s="351" t="str">
        <f>IFERROR(__xludf.DUMMYFUNCTION("""COMPUTED_VALUE"""),"Runs")</f>
        <v>Runs</v>
      </c>
      <c r="G154" s="316" t="str">
        <f>IFERROR(__xludf.DUMMYFUNCTION("""COMPUTED_VALUE"""),"Status")</f>
        <v>Status</v>
      </c>
      <c r="H154" s="351" t="str">
        <f>IFERROR(__xludf.DUMMYFUNCTION("""COMPUTED_VALUE"""),"Mat")</f>
        <v>Mat</v>
      </c>
      <c r="I154" s="351" t="str">
        <f>IFERROR(__xludf.DUMMYFUNCTION("""COMPUTED_VALUE"""),"AP/Drop")</f>
        <v>AP/Drop</v>
      </c>
      <c r="J154" s="351" t="str">
        <f>IFERROR(__xludf.DUMMYFUNCTION("""COMPUTED_VALUE"""),"")</f>
        <v/>
      </c>
      <c r="K154" s="351" t="str">
        <f>IFERROR(__xludf.DUMMYFUNCTION("""COMPUTED_VALUE"""),"Droprate")</f>
        <v>Droprate</v>
      </c>
      <c r="L154" s="351" t="str">
        <f>IFERROR(__xludf.DUMMYFUNCTION("""COMPUTED_VALUE"""),"")</f>
        <v/>
      </c>
      <c r="M154" s="351" t="str">
        <f>IFERROR(__xludf.DUMMYFUNCTION("""COMPUTED_VALUE"""),"#2")</f>
        <v>#2</v>
      </c>
      <c r="N154" s="351" t="str">
        <f>IFERROR(__xludf.DUMMYFUNCTION("""COMPUTED_VALUE"""),"Item 2 ID")</f>
        <v>Item 2 ID</v>
      </c>
      <c r="O154" s="351" t="str">
        <f>IFERROR(__xludf.DUMMYFUNCTION("""COMPUTED_VALUE"""),"Mat")</f>
        <v>Mat</v>
      </c>
      <c r="P154" s="351" t="str">
        <f>IFERROR(__xludf.DUMMYFUNCTION("""COMPUTED_VALUE"""),"AP/Drop")</f>
        <v>AP/Drop</v>
      </c>
      <c r="Q154" s="351" t="str">
        <f>IFERROR(__xludf.DUMMYFUNCTION("""COMPUTED_VALUE"""),"")</f>
        <v/>
      </c>
      <c r="R154" s="351" t="str">
        <f>IFERROR(__xludf.DUMMYFUNCTION("""COMPUTED_VALUE"""),"Droprate")</f>
        <v>Droprate</v>
      </c>
      <c r="S154" s="351" t="str">
        <f>IFERROR(__xludf.DUMMYFUNCTION("""COMPUTED_VALUE"""),"")</f>
        <v/>
      </c>
      <c r="T154" s="351" t="str">
        <f>IFERROR(__xludf.DUMMYFUNCTION("""COMPUTED_VALUE"""),"#3")</f>
        <v>#3</v>
      </c>
      <c r="U154" s="351" t="str">
        <f>IFERROR(__xludf.DUMMYFUNCTION("""COMPUTED_VALUE"""),"Item 2 ID")</f>
        <v>Item 2 ID</v>
      </c>
      <c r="V154" s="351" t="str">
        <f>IFERROR(__xludf.DUMMYFUNCTION("""COMPUTED_VALUE"""),"Mat")</f>
        <v>Mat</v>
      </c>
      <c r="W154" s="351" t="str">
        <f>IFERROR(__xludf.DUMMYFUNCTION("""COMPUTED_VALUE"""),"AP/Drop")</f>
        <v>AP/Drop</v>
      </c>
      <c r="X154" s="351" t="str">
        <f>IFERROR(__xludf.DUMMYFUNCTION("""COMPUTED_VALUE"""),"")</f>
        <v/>
      </c>
      <c r="Y154" s="351" t="str">
        <f>IFERROR(__xludf.DUMMYFUNCTION("""COMPUTED_VALUE"""),"Droprate")</f>
        <v>Droprate</v>
      </c>
      <c r="Z154" s="351" t="str">
        <f>IFERROR(__xludf.DUMMYFUNCTION("""COMPUTED_VALUE"""),"")</f>
        <v/>
      </c>
      <c r="AA154" s="351" t="str">
        <f>IFERROR(__xludf.DUMMYFUNCTION("""COMPUTED_VALUE"""),"#4")</f>
        <v>#4</v>
      </c>
      <c r="AB154" s="351" t="str">
        <f>IFERROR(__xludf.DUMMYFUNCTION("""COMPUTED_VALUE"""),"Item 3 ID")</f>
        <v>Item 3 ID</v>
      </c>
      <c r="AC154" s="351" t="str">
        <f>IFERROR(__xludf.DUMMYFUNCTION("""COMPUTED_VALUE"""),"Mat")</f>
        <v>Mat</v>
      </c>
      <c r="AD154" s="351" t="str">
        <f>IFERROR(__xludf.DUMMYFUNCTION("""COMPUTED_VALUE"""),"AP/Drop")</f>
        <v>AP/Drop</v>
      </c>
      <c r="AE154" s="351" t="str">
        <f>IFERROR(__xludf.DUMMYFUNCTION("""COMPUTED_VALUE"""),"")</f>
        <v/>
      </c>
      <c r="AF154" s="351" t="str">
        <f>IFERROR(__xludf.DUMMYFUNCTION("""COMPUTED_VALUE"""),"Droprate")</f>
        <v>Droprate</v>
      </c>
      <c r="AG154" s="351" t="str">
        <f>IFERROR(__xludf.DUMMYFUNCTION("""COMPUTED_VALUE"""),"")</f>
        <v/>
      </c>
      <c r="AH154" s="351" t="str">
        <f>IFERROR(__xludf.DUMMYFUNCTION("""COMPUTED_VALUE"""),"AP")</f>
        <v>AP</v>
      </c>
      <c r="AI154" s="351" t="str">
        <f>IFERROR(__xludf.DUMMYFUNCTION("""COMPUTED_VALUE"""),"Runs")</f>
        <v>Runs</v>
      </c>
      <c r="AJ154" s="351" t="str">
        <f>IFERROR(__xludf.DUMMYFUNCTION("""COMPUTED_VALUE"""),"Node Name")</f>
        <v>Node Name</v>
      </c>
    </row>
    <row r="155" ht="16.5" hidden="1" customHeight="1">
      <c r="D155" s="317" t="str">
        <f>IFERROR(__xludf.DUMMYFUNCTION("""COMPUTED_VALUE"""),"#N/A")</f>
        <v>#N/A</v>
      </c>
      <c r="E155" s="318"/>
      <c r="F155" s="318"/>
      <c r="G155" s="318"/>
      <c r="H155" s="318"/>
      <c r="I155" s="318"/>
      <c r="J155" s="318"/>
      <c r="K155" s="318"/>
      <c r="L155" s="318"/>
      <c r="M155" s="318"/>
      <c r="N155" s="318"/>
      <c r="O155" s="318"/>
      <c r="P155" s="318"/>
      <c r="Q155" s="318"/>
      <c r="R155" s="318"/>
      <c r="S155" s="318"/>
      <c r="T155" s="318"/>
      <c r="U155" s="318"/>
      <c r="V155" s="318"/>
      <c r="W155" s="318"/>
      <c r="X155" s="318"/>
      <c r="Y155" s="318"/>
      <c r="Z155" s="318"/>
      <c r="AA155" s="318"/>
      <c r="AB155" s="318"/>
      <c r="AC155" s="318"/>
      <c r="AD155" s="318"/>
      <c r="AE155" s="318"/>
      <c r="AF155" s="318"/>
      <c r="AG155" s="318"/>
      <c r="AH155" s="318"/>
      <c r="AI155" s="318"/>
      <c r="AJ155" s="318"/>
    </row>
    <row r="156" ht="24.75" hidden="1" customHeight="1">
      <c r="A156" s="319">
        <f>IFERROR(__xludf.DUMMYFUNCTION("""COMPUTED_VALUE"""),1.0)</f>
        <v>1</v>
      </c>
      <c r="B156" s="319" t="str">
        <f>IFERROR(__xludf.DUMMYFUNCTION("""COMPUTED_VALUE"""),"A210")</f>
        <v>A210</v>
      </c>
      <c r="C156" s="319" t="str">
        <f>IFERROR(__xludf.DUMMYFUNCTION("""COMPUTED_VALUE"""),"")</f>
        <v/>
      </c>
      <c r="D156" s="320" t="str">
        <f>IFERROR(__xludf.DUMMYFUNCTION("""COMPUTED_VALUE"""),"")</f>
        <v/>
      </c>
      <c r="E156" s="321" t="str">
        <f>IFERROR(__xludf.DUMMYFUNCTION("""COMPUTED_VALUE"""),"")</f>
        <v/>
      </c>
      <c r="F156" s="322" t="str">
        <f>IFERROR(__xludf.DUMMYFUNCTION("""COMPUTED_VALUE"""),"")</f>
        <v/>
      </c>
      <c r="G156" s="322" t="str">
        <f>IFERROR(__xludf.DUMMYFUNCTION("""COMPUTED_VALUE"""),"")</f>
        <v/>
      </c>
      <c r="H156" s="323" t="str">
        <f>IFERROR(__xludf.DUMMYFUNCTION("""COMPUTED_VALUE""")," ")</f>
        <v> </v>
      </c>
      <c r="I156" s="324" t="str">
        <f>IFERROR(__xludf.DUMMYFUNCTION("""COMPUTED_VALUE"""),"")</f>
        <v/>
      </c>
      <c r="J156" s="325" t="str">
        <f>IFERROR(__xludf.DUMMYFUNCTION("""COMPUTED_VALUE"""),"AP")</f>
        <v>AP</v>
      </c>
      <c r="K156" s="324">
        <f>IFERROR(__xludf.DUMMYFUNCTION("""COMPUTED_VALUE"""),0.0)</f>
        <v>0</v>
      </c>
      <c r="L156" s="325" t="str">
        <f>IFERROR(__xludf.DUMMYFUNCTION("""COMPUTED_VALUE"""),"%")</f>
        <v>%</v>
      </c>
      <c r="M156" s="326">
        <f>IFERROR(__xludf.DUMMYFUNCTION("""COMPUTED_VALUE"""),1.0)</f>
        <v>1</v>
      </c>
      <c r="N156" s="324" t="str">
        <f>IFERROR(__xludf.DUMMYFUNCTION("""COMPUTED_VALUE"""),"")</f>
        <v/>
      </c>
      <c r="O156" s="327" t="str">
        <f>IFERROR(__xludf.DUMMYFUNCTION("""COMPUTED_VALUE"""),"")</f>
        <v/>
      </c>
      <c r="P156" s="324" t="str">
        <f>IFERROR(__xludf.DUMMYFUNCTION("""COMPUTED_VALUE"""),"")</f>
        <v/>
      </c>
      <c r="Q156" s="325" t="str">
        <f>IFERROR(__xludf.DUMMYFUNCTION("""COMPUTED_VALUE"""),"AP")</f>
        <v>AP</v>
      </c>
      <c r="R156" s="324">
        <f>IFERROR(__xludf.DUMMYFUNCTION("""COMPUTED_VALUE"""),0.0)</f>
        <v>0</v>
      </c>
      <c r="S156" s="325" t="str">
        <f>IFERROR(__xludf.DUMMYFUNCTION("""COMPUTED_VALUE"""),"%")</f>
        <v>%</v>
      </c>
      <c r="T156" s="326">
        <f>IFERROR(__xludf.DUMMYFUNCTION("""COMPUTED_VALUE"""),2.0)</f>
        <v>2</v>
      </c>
      <c r="U156" s="324" t="str">
        <f>IFERROR(__xludf.DUMMYFUNCTION("""COMPUTED_VALUE"""),"")</f>
        <v/>
      </c>
      <c r="V156" s="327" t="str">
        <f>IFERROR(__xludf.DUMMYFUNCTION("""COMPUTED_VALUE"""),"")</f>
        <v/>
      </c>
      <c r="W156" s="324" t="str">
        <f>IFERROR(__xludf.DUMMYFUNCTION("""COMPUTED_VALUE"""),"")</f>
        <v/>
      </c>
      <c r="X156" s="325" t="str">
        <f>IFERROR(__xludf.DUMMYFUNCTION("""COMPUTED_VALUE"""),"AP")</f>
        <v>AP</v>
      </c>
      <c r="Y156" s="324">
        <f>IFERROR(__xludf.DUMMYFUNCTION("""COMPUTED_VALUE"""),0.0)</f>
        <v>0</v>
      </c>
      <c r="Z156" s="325" t="str">
        <f>IFERROR(__xludf.DUMMYFUNCTION("""COMPUTED_VALUE"""),"%")</f>
        <v>%</v>
      </c>
      <c r="AA156" s="326">
        <f>IFERROR(__xludf.DUMMYFUNCTION("""COMPUTED_VALUE"""),3.0)</f>
        <v>3</v>
      </c>
      <c r="AB156" s="324" t="str">
        <f>IFERROR(__xludf.DUMMYFUNCTION("""COMPUTED_VALUE"""),"")</f>
        <v/>
      </c>
      <c r="AC156" s="327" t="str">
        <f>IFERROR(__xludf.DUMMYFUNCTION("""COMPUTED_VALUE"""),"")</f>
        <v/>
      </c>
      <c r="AD156" s="324" t="str">
        <f>IFERROR(__xludf.DUMMYFUNCTION("""COMPUTED_VALUE"""),"")</f>
        <v/>
      </c>
      <c r="AE156" s="325" t="str">
        <f>IFERROR(__xludf.DUMMYFUNCTION("""COMPUTED_VALUE"""),"AP")</f>
        <v>AP</v>
      </c>
      <c r="AF156" s="324">
        <f>IFERROR(__xludf.DUMMYFUNCTION("""COMPUTED_VALUE"""),0.0)</f>
        <v>0</v>
      </c>
      <c r="AG156" s="325" t="str">
        <f>IFERROR(__xludf.DUMMYFUNCTION("""COMPUTED_VALUE"""),"%")</f>
        <v>%</v>
      </c>
      <c r="AH156" s="321" t="str">
        <f>IFERROR(__xludf.DUMMYFUNCTION("""COMPUTED_VALUE"""),"")</f>
        <v/>
      </c>
      <c r="AI156" s="322" t="str">
        <f>IFERROR(__xludf.DUMMYFUNCTION("""COMPUTED_VALUE"""),"")</f>
        <v/>
      </c>
      <c r="AJ156" s="320" t="str">
        <f>IFERROR(__xludf.DUMMYFUNCTION("""COMPUTED_VALUE"""),"")</f>
        <v/>
      </c>
    </row>
    <row r="157" ht="24.75" hidden="1" customHeight="1">
      <c r="A157" s="328">
        <f>IFERROR(__xludf.DUMMYFUNCTION("""COMPUTED_VALUE"""),2.0)</f>
        <v>2</v>
      </c>
      <c r="B157" s="328" t="str">
        <f>IFERROR(__xludf.DUMMYFUNCTION("""COMPUTED_VALUE"""),"A210")</f>
        <v>A210</v>
      </c>
      <c r="C157" s="328" t="str">
        <f>IFERROR(__xludf.DUMMYFUNCTION("""COMPUTED_VALUE"""),"")</f>
        <v/>
      </c>
      <c r="D157" s="329" t="str">
        <f>IFERROR(__xludf.DUMMYFUNCTION("""COMPUTED_VALUE"""),"")</f>
        <v/>
      </c>
      <c r="E157" s="330" t="str">
        <f>IFERROR(__xludf.DUMMYFUNCTION("""COMPUTED_VALUE"""),"")</f>
        <v/>
      </c>
      <c r="F157" s="331" t="str">
        <f>IFERROR(__xludf.DUMMYFUNCTION("""COMPUTED_VALUE"""),"")</f>
        <v/>
      </c>
      <c r="G157" s="331" t="str">
        <f>IFERROR(__xludf.DUMMYFUNCTION("""COMPUTED_VALUE"""),"")</f>
        <v/>
      </c>
      <c r="H157" s="323" t="str">
        <f>IFERROR(__xludf.DUMMYFUNCTION("""COMPUTED_VALUE""")," ")</f>
        <v> </v>
      </c>
      <c r="I157" s="332" t="str">
        <f>IFERROR(__xludf.DUMMYFUNCTION("""COMPUTED_VALUE"""),"")</f>
        <v/>
      </c>
      <c r="J157" s="333" t="str">
        <f>IFERROR(__xludf.DUMMYFUNCTION("""COMPUTED_VALUE"""),"AP")</f>
        <v>AP</v>
      </c>
      <c r="K157" s="332">
        <f>IFERROR(__xludf.DUMMYFUNCTION("""COMPUTED_VALUE"""),0.0)</f>
        <v>0</v>
      </c>
      <c r="L157" s="334" t="str">
        <f>IFERROR(__xludf.DUMMYFUNCTION("""COMPUTED_VALUE"""),"%")</f>
        <v>%</v>
      </c>
      <c r="M157" s="335">
        <f>IFERROR(__xludf.DUMMYFUNCTION("""COMPUTED_VALUE"""),1.0)</f>
        <v>1</v>
      </c>
      <c r="N157" s="332" t="str">
        <f>IFERROR(__xludf.DUMMYFUNCTION("""COMPUTED_VALUE"""),"")</f>
        <v/>
      </c>
      <c r="O157" s="327" t="str">
        <f>IFERROR(__xludf.DUMMYFUNCTION("""COMPUTED_VALUE"""),"")</f>
        <v/>
      </c>
      <c r="P157" s="332" t="str">
        <f>IFERROR(__xludf.DUMMYFUNCTION("""COMPUTED_VALUE"""),"")</f>
        <v/>
      </c>
      <c r="Q157" s="333" t="str">
        <f>IFERROR(__xludf.DUMMYFUNCTION("""COMPUTED_VALUE"""),"AP")</f>
        <v>AP</v>
      </c>
      <c r="R157" s="332">
        <f>IFERROR(__xludf.DUMMYFUNCTION("""COMPUTED_VALUE"""),0.0)</f>
        <v>0</v>
      </c>
      <c r="S157" s="334" t="str">
        <f>IFERROR(__xludf.DUMMYFUNCTION("""COMPUTED_VALUE"""),"%")</f>
        <v>%</v>
      </c>
      <c r="T157" s="335">
        <f>IFERROR(__xludf.DUMMYFUNCTION("""COMPUTED_VALUE"""),2.0)</f>
        <v>2</v>
      </c>
      <c r="U157" s="332" t="str">
        <f>IFERROR(__xludf.DUMMYFUNCTION("""COMPUTED_VALUE"""),"")</f>
        <v/>
      </c>
      <c r="V157" s="327" t="str">
        <f>IFERROR(__xludf.DUMMYFUNCTION("""COMPUTED_VALUE"""),"")</f>
        <v/>
      </c>
      <c r="W157" s="332" t="str">
        <f>IFERROR(__xludf.DUMMYFUNCTION("""COMPUTED_VALUE"""),"")</f>
        <v/>
      </c>
      <c r="X157" s="333" t="str">
        <f>IFERROR(__xludf.DUMMYFUNCTION("""COMPUTED_VALUE"""),"AP")</f>
        <v>AP</v>
      </c>
      <c r="Y157" s="332">
        <f>IFERROR(__xludf.DUMMYFUNCTION("""COMPUTED_VALUE"""),0.0)</f>
        <v>0</v>
      </c>
      <c r="Z157" s="334" t="str">
        <f>IFERROR(__xludf.DUMMYFUNCTION("""COMPUTED_VALUE"""),"%")</f>
        <v>%</v>
      </c>
      <c r="AA157" s="335">
        <f>IFERROR(__xludf.DUMMYFUNCTION("""COMPUTED_VALUE"""),3.0)</f>
        <v>3</v>
      </c>
      <c r="AB157" s="332" t="str">
        <f>IFERROR(__xludf.DUMMYFUNCTION("""COMPUTED_VALUE"""),"")</f>
        <v/>
      </c>
      <c r="AC157" s="327" t="str">
        <f>IFERROR(__xludf.DUMMYFUNCTION("""COMPUTED_VALUE"""),"")</f>
        <v/>
      </c>
      <c r="AD157" s="332" t="str">
        <f>IFERROR(__xludf.DUMMYFUNCTION("""COMPUTED_VALUE"""),"")</f>
        <v/>
      </c>
      <c r="AE157" s="333" t="str">
        <f>IFERROR(__xludf.DUMMYFUNCTION("""COMPUTED_VALUE"""),"AP")</f>
        <v>AP</v>
      </c>
      <c r="AF157" s="332">
        <f>IFERROR(__xludf.DUMMYFUNCTION("""COMPUTED_VALUE"""),0.0)</f>
        <v>0</v>
      </c>
      <c r="AG157" s="334" t="str">
        <f>IFERROR(__xludf.DUMMYFUNCTION("""COMPUTED_VALUE"""),"%")</f>
        <v>%</v>
      </c>
      <c r="AH157" s="330" t="str">
        <f>IFERROR(__xludf.DUMMYFUNCTION("""COMPUTED_VALUE"""),"")</f>
        <v/>
      </c>
      <c r="AI157" s="331" t="str">
        <f>IFERROR(__xludf.DUMMYFUNCTION("""COMPUTED_VALUE"""),"")</f>
        <v/>
      </c>
      <c r="AJ157" s="329" t="str">
        <f>IFERROR(__xludf.DUMMYFUNCTION("""COMPUTED_VALUE"""),"")</f>
        <v/>
      </c>
    </row>
    <row r="158" ht="24.75" hidden="1" customHeight="1">
      <c r="A158" s="319">
        <f>IFERROR(__xludf.DUMMYFUNCTION("""COMPUTED_VALUE"""),3.0)</f>
        <v>3</v>
      </c>
      <c r="B158" s="319" t="str">
        <f>IFERROR(__xludf.DUMMYFUNCTION("""COMPUTED_VALUE"""),"A210")</f>
        <v>A210</v>
      </c>
      <c r="C158" s="319" t="str">
        <f>IFERROR(__xludf.DUMMYFUNCTION("""COMPUTED_VALUE"""),"")</f>
        <v/>
      </c>
      <c r="D158" s="320" t="str">
        <f>IFERROR(__xludf.DUMMYFUNCTION("""COMPUTED_VALUE"""),"")</f>
        <v/>
      </c>
      <c r="E158" s="321" t="str">
        <f>IFERROR(__xludf.DUMMYFUNCTION("""COMPUTED_VALUE"""),"")</f>
        <v/>
      </c>
      <c r="F158" s="322" t="str">
        <f>IFERROR(__xludf.DUMMYFUNCTION("""COMPUTED_VALUE"""),"")</f>
        <v/>
      </c>
      <c r="G158" s="322" t="str">
        <f>IFERROR(__xludf.DUMMYFUNCTION("""COMPUTED_VALUE"""),"")</f>
        <v/>
      </c>
      <c r="H158" s="323" t="str">
        <f>IFERROR(__xludf.DUMMYFUNCTION("""COMPUTED_VALUE""")," ")</f>
        <v> </v>
      </c>
      <c r="I158" s="324" t="str">
        <f>IFERROR(__xludf.DUMMYFUNCTION("""COMPUTED_VALUE"""),"")</f>
        <v/>
      </c>
      <c r="J158" s="325" t="str">
        <f>IFERROR(__xludf.DUMMYFUNCTION("""COMPUTED_VALUE"""),"AP")</f>
        <v>AP</v>
      </c>
      <c r="K158" s="324">
        <f>IFERROR(__xludf.DUMMYFUNCTION("""COMPUTED_VALUE"""),0.0)</f>
        <v>0</v>
      </c>
      <c r="L158" s="325" t="str">
        <f>IFERROR(__xludf.DUMMYFUNCTION("""COMPUTED_VALUE"""),"%")</f>
        <v>%</v>
      </c>
      <c r="M158" s="326">
        <f>IFERROR(__xludf.DUMMYFUNCTION("""COMPUTED_VALUE"""),1.0)</f>
        <v>1</v>
      </c>
      <c r="N158" s="324" t="str">
        <f>IFERROR(__xludf.DUMMYFUNCTION("""COMPUTED_VALUE"""),"")</f>
        <v/>
      </c>
      <c r="O158" s="327" t="str">
        <f>IFERROR(__xludf.DUMMYFUNCTION("""COMPUTED_VALUE"""),"")</f>
        <v/>
      </c>
      <c r="P158" s="324" t="str">
        <f>IFERROR(__xludf.DUMMYFUNCTION("""COMPUTED_VALUE"""),"")</f>
        <v/>
      </c>
      <c r="Q158" s="325" t="str">
        <f>IFERROR(__xludf.DUMMYFUNCTION("""COMPUTED_VALUE"""),"AP")</f>
        <v>AP</v>
      </c>
      <c r="R158" s="324">
        <f>IFERROR(__xludf.DUMMYFUNCTION("""COMPUTED_VALUE"""),0.0)</f>
        <v>0</v>
      </c>
      <c r="S158" s="325" t="str">
        <f>IFERROR(__xludf.DUMMYFUNCTION("""COMPUTED_VALUE"""),"%")</f>
        <v>%</v>
      </c>
      <c r="T158" s="326">
        <f>IFERROR(__xludf.DUMMYFUNCTION("""COMPUTED_VALUE"""),2.0)</f>
        <v>2</v>
      </c>
      <c r="U158" s="324" t="str">
        <f>IFERROR(__xludf.DUMMYFUNCTION("""COMPUTED_VALUE"""),"")</f>
        <v/>
      </c>
      <c r="V158" s="327" t="str">
        <f>IFERROR(__xludf.DUMMYFUNCTION("""COMPUTED_VALUE"""),"")</f>
        <v/>
      </c>
      <c r="W158" s="324" t="str">
        <f>IFERROR(__xludf.DUMMYFUNCTION("""COMPUTED_VALUE"""),"")</f>
        <v/>
      </c>
      <c r="X158" s="325" t="str">
        <f>IFERROR(__xludf.DUMMYFUNCTION("""COMPUTED_VALUE"""),"AP")</f>
        <v>AP</v>
      </c>
      <c r="Y158" s="324">
        <f>IFERROR(__xludf.DUMMYFUNCTION("""COMPUTED_VALUE"""),0.0)</f>
        <v>0</v>
      </c>
      <c r="Z158" s="325" t="str">
        <f>IFERROR(__xludf.DUMMYFUNCTION("""COMPUTED_VALUE"""),"%")</f>
        <v>%</v>
      </c>
      <c r="AA158" s="326">
        <f>IFERROR(__xludf.DUMMYFUNCTION("""COMPUTED_VALUE"""),3.0)</f>
        <v>3</v>
      </c>
      <c r="AB158" s="324" t="str">
        <f>IFERROR(__xludf.DUMMYFUNCTION("""COMPUTED_VALUE"""),"")</f>
        <v/>
      </c>
      <c r="AC158" s="327" t="str">
        <f>IFERROR(__xludf.DUMMYFUNCTION("""COMPUTED_VALUE"""),"")</f>
        <v/>
      </c>
      <c r="AD158" s="324" t="str">
        <f>IFERROR(__xludf.DUMMYFUNCTION("""COMPUTED_VALUE"""),"")</f>
        <v/>
      </c>
      <c r="AE158" s="325" t="str">
        <f>IFERROR(__xludf.DUMMYFUNCTION("""COMPUTED_VALUE"""),"AP")</f>
        <v>AP</v>
      </c>
      <c r="AF158" s="324">
        <f>IFERROR(__xludf.DUMMYFUNCTION("""COMPUTED_VALUE"""),0.0)</f>
        <v>0</v>
      </c>
      <c r="AG158" s="325" t="str">
        <f>IFERROR(__xludf.DUMMYFUNCTION("""COMPUTED_VALUE"""),"%")</f>
        <v>%</v>
      </c>
      <c r="AH158" s="321" t="str">
        <f>IFERROR(__xludf.DUMMYFUNCTION("""COMPUTED_VALUE"""),"")</f>
        <v/>
      </c>
      <c r="AI158" s="322" t="str">
        <f>IFERROR(__xludf.DUMMYFUNCTION("""COMPUTED_VALUE"""),"")</f>
        <v/>
      </c>
      <c r="AJ158" s="320" t="str">
        <f>IFERROR(__xludf.DUMMYFUNCTION("""COMPUTED_VALUE"""),"")</f>
        <v/>
      </c>
    </row>
    <row r="159" ht="24.75" hidden="1" customHeight="1">
      <c r="A159" s="328">
        <f>IFERROR(__xludf.DUMMYFUNCTION("""COMPUTED_VALUE"""),4.0)</f>
        <v>4</v>
      </c>
      <c r="B159" s="328" t="str">
        <f>IFERROR(__xludf.DUMMYFUNCTION("""COMPUTED_VALUE"""),"A210")</f>
        <v>A210</v>
      </c>
      <c r="C159" s="328" t="str">
        <f>IFERROR(__xludf.DUMMYFUNCTION("""COMPUTED_VALUE"""),"")</f>
        <v/>
      </c>
      <c r="D159" s="329" t="str">
        <f>IFERROR(__xludf.DUMMYFUNCTION("""COMPUTED_VALUE"""),"")</f>
        <v/>
      </c>
      <c r="E159" s="330" t="str">
        <f>IFERROR(__xludf.DUMMYFUNCTION("""COMPUTED_VALUE"""),"")</f>
        <v/>
      </c>
      <c r="F159" s="331" t="str">
        <f>IFERROR(__xludf.DUMMYFUNCTION("""COMPUTED_VALUE"""),"")</f>
        <v/>
      </c>
      <c r="G159" s="331" t="str">
        <f>IFERROR(__xludf.DUMMYFUNCTION("""COMPUTED_VALUE"""),"")</f>
        <v/>
      </c>
      <c r="H159" s="323" t="str">
        <f>IFERROR(__xludf.DUMMYFUNCTION("""COMPUTED_VALUE""")," ")</f>
        <v> </v>
      </c>
      <c r="I159" s="332" t="str">
        <f>IFERROR(__xludf.DUMMYFUNCTION("""COMPUTED_VALUE"""),"")</f>
        <v/>
      </c>
      <c r="J159" s="333" t="str">
        <f>IFERROR(__xludf.DUMMYFUNCTION("""COMPUTED_VALUE"""),"AP")</f>
        <v>AP</v>
      </c>
      <c r="K159" s="332">
        <f>IFERROR(__xludf.DUMMYFUNCTION("""COMPUTED_VALUE"""),0.0)</f>
        <v>0</v>
      </c>
      <c r="L159" s="334" t="str">
        <f>IFERROR(__xludf.DUMMYFUNCTION("""COMPUTED_VALUE"""),"%")</f>
        <v>%</v>
      </c>
      <c r="M159" s="335">
        <f>IFERROR(__xludf.DUMMYFUNCTION("""COMPUTED_VALUE"""),1.0)</f>
        <v>1</v>
      </c>
      <c r="N159" s="332" t="str">
        <f>IFERROR(__xludf.DUMMYFUNCTION("""COMPUTED_VALUE"""),"")</f>
        <v/>
      </c>
      <c r="O159" s="327" t="str">
        <f>IFERROR(__xludf.DUMMYFUNCTION("""COMPUTED_VALUE"""),"")</f>
        <v/>
      </c>
      <c r="P159" s="332" t="str">
        <f>IFERROR(__xludf.DUMMYFUNCTION("""COMPUTED_VALUE"""),"")</f>
        <v/>
      </c>
      <c r="Q159" s="333" t="str">
        <f>IFERROR(__xludf.DUMMYFUNCTION("""COMPUTED_VALUE"""),"AP")</f>
        <v>AP</v>
      </c>
      <c r="R159" s="332">
        <f>IFERROR(__xludf.DUMMYFUNCTION("""COMPUTED_VALUE"""),0.0)</f>
        <v>0</v>
      </c>
      <c r="S159" s="334" t="str">
        <f>IFERROR(__xludf.DUMMYFUNCTION("""COMPUTED_VALUE"""),"%")</f>
        <v>%</v>
      </c>
      <c r="T159" s="335">
        <f>IFERROR(__xludf.DUMMYFUNCTION("""COMPUTED_VALUE"""),2.0)</f>
        <v>2</v>
      </c>
      <c r="U159" s="332" t="str">
        <f>IFERROR(__xludf.DUMMYFUNCTION("""COMPUTED_VALUE"""),"")</f>
        <v/>
      </c>
      <c r="V159" s="327" t="str">
        <f>IFERROR(__xludf.DUMMYFUNCTION("""COMPUTED_VALUE"""),"")</f>
        <v/>
      </c>
      <c r="W159" s="332" t="str">
        <f>IFERROR(__xludf.DUMMYFUNCTION("""COMPUTED_VALUE"""),"")</f>
        <v/>
      </c>
      <c r="X159" s="333" t="str">
        <f>IFERROR(__xludf.DUMMYFUNCTION("""COMPUTED_VALUE"""),"AP")</f>
        <v>AP</v>
      </c>
      <c r="Y159" s="332">
        <f>IFERROR(__xludf.DUMMYFUNCTION("""COMPUTED_VALUE"""),0.0)</f>
        <v>0</v>
      </c>
      <c r="Z159" s="334" t="str">
        <f>IFERROR(__xludf.DUMMYFUNCTION("""COMPUTED_VALUE"""),"%")</f>
        <v>%</v>
      </c>
      <c r="AA159" s="335">
        <f>IFERROR(__xludf.DUMMYFUNCTION("""COMPUTED_VALUE"""),3.0)</f>
        <v>3</v>
      </c>
      <c r="AB159" s="332" t="str">
        <f>IFERROR(__xludf.DUMMYFUNCTION("""COMPUTED_VALUE"""),"")</f>
        <v/>
      </c>
      <c r="AC159" s="327" t="str">
        <f>IFERROR(__xludf.DUMMYFUNCTION("""COMPUTED_VALUE"""),"")</f>
        <v/>
      </c>
      <c r="AD159" s="332" t="str">
        <f>IFERROR(__xludf.DUMMYFUNCTION("""COMPUTED_VALUE"""),"")</f>
        <v/>
      </c>
      <c r="AE159" s="333" t="str">
        <f>IFERROR(__xludf.DUMMYFUNCTION("""COMPUTED_VALUE"""),"AP")</f>
        <v>AP</v>
      </c>
      <c r="AF159" s="332">
        <f>IFERROR(__xludf.DUMMYFUNCTION("""COMPUTED_VALUE"""),0.0)</f>
        <v>0</v>
      </c>
      <c r="AG159" s="334" t="str">
        <f>IFERROR(__xludf.DUMMYFUNCTION("""COMPUTED_VALUE"""),"%")</f>
        <v>%</v>
      </c>
      <c r="AH159" s="330" t="str">
        <f>IFERROR(__xludf.DUMMYFUNCTION("""COMPUTED_VALUE"""),"")</f>
        <v/>
      </c>
      <c r="AI159" s="331" t="str">
        <f>IFERROR(__xludf.DUMMYFUNCTION("""COMPUTED_VALUE"""),"")</f>
        <v/>
      </c>
      <c r="AJ159" s="329" t="str">
        <f>IFERROR(__xludf.DUMMYFUNCTION("""COMPUTED_VALUE"""),"")</f>
        <v/>
      </c>
    </row>
    <row r="160" ht="24.75" hidden="1" customHeight="1">
      <c r="A160" s="319">
        <f>IFERROR(__xludf.DUMMYFUNCTION("""COMPUTED_VALUE"""),5.0)</f>
        <v>5</v>
      </c>
      <c r="B160" s="319" t="str">
        <f>IFERROR(__xludf.DUMMYFUNCTION("""COMPUTED_VALUE"""),"A210")</f>
        <v>A210</v>
      </c>
      <c r="C160" s="319" t="str">
        <f>IFERROR(__xludf.DUMMYFUNCTION("""COMPUTED_VALUE"""),"")</f>
        <v/>
      </c>
      <c r="D160" s="320" t="str">
        <f>IFERROR(__xludf.DUMMYFUNCTION("""COMPUTED_VALUE"""),"")</f>
        <v/>
      </c>
      <c r="E160" s="321" t="str">
        <f>IFERROR(__xludf.DUMMYFUNCTION("""COMPUTED_VALUE"""),"")</f>
        <v/>
      </c>
      <c r="F160" s="322" t="str">
        <f>IFERROR(__xludf.DUMMYFUNCTION("""COMPUTED_VALUE"""),"")</f>
        <v/>
      </c>
      <c r="G160" s="322" t="str">
        <f>IFERROR(__xludf.DUMMYFUNCTION("""COMPUTED_VALUE"""),"")</f>
        <v/>
      </c>
      <c r="H160" s="323" t="str">
        <f>IFERROR(__xludf.DUMMYFUNCTION("""COMPUTED_VALUE""")," ")</f>
        <v> </v>
      </c>
      <c r="I160" s="324" t="str">
        <f>IFERROR(__xludf.DUMMYFUNCTION("""COMPUTED_VALUE"""),"")</f>
        <v/>
      </c>
      <c r="J160" s="325" t="str">
        <f>IFERROR(__xludf.DUMMYFUNCTION("""COMPUTED_VALUE"""),"AP")</f>
        <v>AP</v>
      </c>
      <c r="K160" s="324">
        <f>IFERROR(__xludf.DUMMYFUNCTION("""COMPUTED_VALUE"""),0.0)</f>
        <v>0</v>
      </c>
      <c r="L160" s="325" t="str">
        <f>IFERROR(__xludf.DUMMYFUNCTION("""COMPUTED_VALUE"""),"%")</f>
        <v>%</v>
      </c>
      <c r="M160" s="326">
        <f>IFERROR(__xludf.DUMMYFUNCTION("""COMPUTED_VALUE"""),1.0)</f>
        <v>1</v>
      </c>
      <c r="N160" s="324" t="str">
        <f>IFERROR(__xludf.DUMMYFUNCTION("""COMPUTED_VALUE"""),"")</f>
        <v/>
      </c>
      <c r="O160" s="327" t="str">
        <f>IFERROR(__xludf.DUMMYFUNCTION("""COMPUTED_VALUE"""),"")</f>
        <v/>
      </c>
      <c r="P160" s="324" t="str">
        <f>IFERROR(__xludf.DUMMYFUNCTION("""COMPUTED_VALUE"""),"")</f>
        <v/>
      </c>
      <c r="Q160" s="325" t="str">
        <f>IFERROR(__xludf.DUMMYFUNCTION("""COMPUTED_VALUE"""),"AP")</f>
        <v>AP</v>
      </c>
      <c r="R160" s="324">
        <f>IFERROR(__xludf.DUMMYFUNCTION("""COMPUTED_VALUE"""),0.0)</f>
        <v>0</v>
      </c>
      <c r="S160" s="325" t="str">
        <f>IFERROR(__xludf.DUMMYFUNCTION("""COMPUTED_VALUE"""),"%")</f>
        <v>%</v>
      </c>
      <c r="T160" s="326">
        <f>IFERROR(__xludf.DUMMYFUNCTION("""COMPUTED_VALUE"""),2.0)</f>
        <v>2</v>
      </c>
      <c r="U160" s="324" t="str">
        <f>IFERROR(__xludf.DUMMYFUNCTION("""COMPUTED_VALUE"""),"")</f>
        <v/>
      </c>
      <c r="V160" s="327" t="str">
        <f>IFERROR(__xludf.DUMMYFUNCTION("""COMPUTED_VALUE"""),"")</f>
        <v/>
      </c>
      <c r="W160" s="324" t="str">
        <f>IFERROR(__xludf.DUMMYFUNCTION("""COMPUTED_VALUE"""),"")</f>
        <v/>
      </c>
      <c r="X160" s="325" t="str">
        <f>IFERROR(__xludf.DUMMYFUNCTION("""COMPUTED_VALUE"""),"AP")</f>
        <v>AP</v>
      </c>
      <c r="Y160" s="324">
        <f>IFERROR(__xludf.DUMMYFUNCTION("""COMPUTED_VALUE"""),0.0)</f>
        <v>0</v>
      </c>
      <c r="Z160" s="325" t="str">
        <f>IFERROR(__xludf.DUMMYFUNCTION("""COMPUTED_VALUE"""),"%")</f>
        <v>%</v>
      </c>
      <c r="AA160" s="326">
        <f>IFERROR(__xludf.DUMMYFUNCTION("""COMPUTED_VALUE"""),3.0)</f>
        <v>3</v>
      </c>
      <c r="AB160" s="324" t="str">
        <f>IFERROR(__xludf.DUMMYFUNCTION("""COMPUTED_VALUE"""),"")</f>
        <v/>
      </c>
      <c r="AC160" s="327" t="str">
        <f>IFERROR(__xludf.DUMMYFUNCTION("""COMPUTED_VALUE"""),"")</f>
        <v/>
      </c>
      <c r="AD160" s="324" t="str">
        <f>IFERROR(__xludf.DUMMYFUNCTION("""COMPUTED_VALUE"""),"")</f>
        <v/>
      </c>
      <c r="AE160" s="325" t="str">
        <f>IFERROR(__xludf.DUMMYFUNCTION("""COMPUTED_VALUE"""),"AP")</f>
        <v>AP</v>
      </c>
      <c r="AF160" s="324">
        <f>IFERROR(__xludf.DUMMYFUNCTION("""COMPUTED_VALUE"""),0.0)</f>
        <v>0</v>
      </c>
      <c r="AG160" s="325" t="str">
        <f>IFERROR(__xludf.DUMMYFUNCTION("""COMPUTED_VALUE"""),"%")</f>
        <v>%</v>
      </c>
      <c r="AH160" s="321" t="str">
        <f>IFERROR(__xludf.DUMMYFUNCTION("""COMPUTED_VALUE"""),"")</f>
        <v/>
      </c>
      <c r="AI160" s="322" t="str">
        <f>IFERROR(__xludf.DUMMYFUNCTION("""COMPUTED_VALUE"""),"")</f>
        <v/>
      </c>
      <c r="AJ160" s="320" t="str">
        <f>IFERROR(__xludf.DUMMYFUNCTION("""COMPUTED_VALUE"""),"")</f>
        <v/>
      </c>
    </row>
    <row r="161" hidden="1">
      <c r="A161" s="336" t="str">
        <f>IFERROR(__xludf.DUMMYFUNCTION("""COMPUTED_VALUE"""),"")</f>
        <v/>
      </c>
      <c r="B161" s="337" t="str">
        <f>IFERROR(__xludf.DUMMYFUNCTION("""COMPUTED_VALUE"""),"")</f>
        <v/>
      </c>
      <c r="C161" s="338" t="str">
        <f>IFERROR(__xludf.DUMMYFUNCTION("""COMPUTED_VALUE"""),"")</f>
        <v/>
      </c>
      <c r="D161" s="339" t="str">
        <f>IFERROR(__xludf.DUMMYFUNCTION("""COMPUTED_VALUE"""),"")</f>
        <v/>
      </c>
      <c r="E161" s="337" t="str">
        <f>IFERROR(__xludf.DUMMYFUNCTION("""COMPUTED_VALUE"""),"")</f>
        <v/>
      </c>
      <c r="F161" s="337" t="str">
        <f>IFERROR(__xludf.DUMMYFUNCTION("""COMPUTED_VALUE"""),"")</f>
        <v/>
      </c>
      <c r="G161" s="337" t="str">
        <f>IFERROR(__xludf.DUMMYFUNCTION("""COMPUTED_VALUE"""),"")</f>
        <v/>
      </c>
      <c r="H161" s="337" t="str">
        <f>IFERROR(__xludf.DUMMYFUNCTION("""COMPUTED_VALUE"""),"")</f>
        <v/>
      </c>
      <c r="I161" s="337" t="str">
        <f>IFERROR(__xludf.DUMMYFUNCTION("""COMPUTED_VALUE"""),"")</f>
        <v/>
      </c>
      <c r="J161" s="341" t="str">
        <f>IFERROR(__xludf.DUMMYFUNCTION("""COMPUTED_VALUE"""),"")</f>
        <v/>
      </c>
      <c r="K161" s="337" t="str">
        <f>IFERROR(__xludf.DUMMYFUNCTION("""COMPUTED_VALUE"""),"")</f>
        <v/>
      </c>
      <c r="L161" s="341" t="str">
        <f>IFERROR(__xludf.DUMMYFUNCTION("""COMPUTED_VALUE"""),"")</f>
        <v/>
      </c>
      <c r="M161" s="337" t="str">
        <f>IFERROR(__xludf.DUMMYFUNCTION("""COMPUTED_VALUE"""),"")</f>
        <v/>
      </c>
      <c r="N161" s="337" t="str">
        <f>IFERROR(__xludf.DUMMYFUNCTION("""COMPUTED_VALUE"""),"")</f>
        <v/>
      </c>
      <c r="O161" s="337" t="str">
        <f>IFERROR(__xludf.DUMMYFUNCTION("""COMPUTED_VALUE"""),"")</f>
        <v/>
      </c>
      <c r="P161" s="337" t="str">
        <f>IFERROR(__xludf.DUMMYFUNCTION("""COMPUTED_VALUE"""),"")</f>
        <v/>
      </c>
      <c r="Q161" s="341" t="str">
        <f>IFERROR(__xludf.DUMMYFUNCTION("""COMPUTED_VALUE"""),"")</f>
        <v/>
      </c>
      <c r="R161" s="337" t="str">
        <f>IFERROR(__xludf.DUMMYFUNCTION("""COMPUTED_VALUE"""),"")</f>
        <v/>
      </c>
      <c r="S161" s="341" t="str">
        <f>IFERROR(__xludf.DUMMYFUNCTION("""COMPUTED_VALUE"""),"")</f>
        <v/>
      </c>
      <c r="T161" s="337" t="str">
        <f>IFERROR(__xludf.DUMMYFUNCTION("""COMPUTED_VALUE"""),"")</f>
        <v/>
      </c>
      <c r="U161" s="337" t="str">
        <f>IFERROR(__xludf.DUMMYFUNCTION("""COMPUTED_VALUE"""),"")</f>
        <v/>
      </c>
      <c r="V161" s="337" t="str">
        <f>IFERROR(__xludf.DUMMYFUNCTION("""COMPUTED_VALUE"""),"")</f>
        <v/>
      </c>
      <c r="W161" s="337" t="str">
        <f>IFERROR(__xludf.DUMMYFUNCTION("""COMPUTED_VALUE"""),"")</f>
        <v/>
      </c>
      <c r="X161" s="341" t="str">
        <f>IFERROR(__xludf.DUMMYFUNCTION("""COMPUTED_VALUE"""),"")</f>
        <v/>
      </c>
      <c r="Y161" s="337" t="str">
        <f>IFERROR(__xludf.DUMMYFUNCTION("""COMPUTED_VALUE"""),"")</f>
        <v/>
      </c>
      <c r="Z161" s="341" t="str">
        <f>IFERROR(__xludf.DUMMYFUNCTION("""COMPUTED_VALUE"""),"")</f>
        <v/>
      </c>
      <c r="AA161" s="337" t="str">
        <f>IFERROR(__xludf.DUMMYFUNCTION("""COMPUTED_VALUE"""),"")</f>
        <v/>
      </c>
      <c r="AB161" s="337" t="str">
        <f>IFERROR(__xludf.DUMMYFUNCTION("""COMPUTED_VALUE"""),"")</f>
        <v/>
      </c>
      <c r="AC161" s="337" t="str">
        <f>IFERROR(__xludf.DUMMYFUNCTION("""COMPUTED_VALUE"""),"")</f>
        <v/>
      </c>
      <c r="AD161" s="337" t="str">
        <f>IFERROR(__xludf.DUMMYFUNCTION("""COMPUTED_VALUE"""),"")</f>
        <v/>
      </c>
      <c r="AE161" s="341" t="str">
        <f>IFERROR(__xludf.DUMMYFUNCTION("""COMPUTED_VALUE"""),"")</f>
        <v/>
      </c>
      <c r="AF161" s="337" t="str">
        <f>IFERROR(__xludf.DUMMYFUNCTION("""COMPUTED_VALUE"""),"")</f>
        <v/>
      </c>
      <c r="AG161" s="341" t="str">
        <f>IFERROR(__xludf.DUMMYFUNCTION("""COMPUTED_VALUE"""),"")</f>
        <v/>
      </c>
      <c r="AH161" s="337" t="str">
        <f>IFERROR(__xludf.DUMMYFUNCTION("""COMPUTED_VALUE"""),"")</f>
        <v/>
      </c>
      <c r="AI161" s="337" t="str">
        <f>IFERROR(__xludf.DUMMYFUNCTION("""COMPUTED_VALUE"""),"")</f>
        <v/>
      </c>
      <c r="AJ161" s="342" t="str">
        <f>IFERROR(__xludf.DUMMYFUNCTION("""COMPUTED_VALUE"""),"")</f>
        <v/>
      </c>
    </row>
    <row r="162" hidden="1">
      <c r="A162" s="343" t="str">
        <f>IFERROR(__xludf.DUMMYFUNCTION("""COMPUTED_VALUE"""),"")</f>
        <v/>
      </c>
      <c r="B162" s="344" t="str">
        <f>IFERROR(__xludf.DUMMYFUNCTION("""COMPUTED_VALUE"""),"")</f>
        <v/>
      </c>
      <c r="C162" s="345" t="str">
        <f>IFERROR(__xludf.DUMMYFUNCTION("""COMPUTED_VALUE"""),"")</f>
        <v/>
      </c>
      <c r="D162" s="346" t="str">
        <f>IFERROR(__xludf.DUMMYFUNCTION("""COMPUTED_VALUE"""),"")</f>
        <v/>
      </c>
      <c r="E162" s="344" t="str">
        <f>IFERROR(__xludf.DUMMYFUNCTION("""COMPUTED_VALUE"""),"")</f>
        <v/>
      </c>
      <c r="F162" s="344" t="str">
        <f>IFERROR(__xludf.DUMMYFUNCTION("""COMPUTED_VALUE"""),"")</f>
        <v/>
      </c>
      <c r="G162" s="344" t="str">
        <f>IFERROR(__xludf.DUMMYFUNCTION("""COMPUTED_VALUE"""),"")</f>
        <v/>
      </c>
      <c r="H162" s="344" t="str">
        <f>IFERROR(__xludf.DUMMYFUNCTION("""COMPUTED_VALUE"""),"")</f>
        <v/>
      </c>
      <c r="I162" s="344" t="str">
        <f>IFERROR(__xludf.DUMMYFUNCTION("""COMPUTED_VALUE"""),"")</f>
        <v/>
      </c>
      <c r="J162" s="347" t="str">
        <f>IFERROR(__xludf.DUMMYFUNCTION("""COMPUTED_VALUE"""),"")</f>
        <v/>
      </c>
      <c r="K162" s="344" t="str">
        <f>IFERROR(__xludf.DUMMYFUNCTION("""COMPUTED_VALUE"""),"")</f>
        <v/>
      </c>
      <c r="L162" s="347" t="str">
        <f>IFERROR(__xludf.DUMMYFUNCTION("""COMPUTED_VALUE"""),"")</f>
        <v/>
      </c>
      <c r="M162" s="344" t="str">
        <f>IFERROR(__xludf.DUMMYFUNCTION("""COMPUTED_VALUE"""),"")</f>
        <v/>
      </c>
      <c r="N162" s="344" t="str">
        <f>IFERROR(__xludf.DUMMYFUNCTION("""COMPUTED_VALUE"""),"")</f>
        <v/>
      </c>
      <c r="O162" s="344" t="str">
        <f>IFERROR(__xludf.DUMMYFUNCTION("""COMPUTED_VALUE"""),"")</f>
        <v/>
      </c>
      <c r="P162" s="344" t="str">
        <f>IFERROR(__xludf.DUMMYFUNCTION("""COMPUTED_VALUE"""),"")</f>
        <v/>
      </c>
      <c r="Q162" s="347" t="str">
        <f>IFERROR(__xludf.DUMMYFUNCTION("""COMPUTED_VALUE"""),"")</f>
        <v/>
      </c>
      <c r="R162" s="344" t="str">
        <f>IFERROR(__xludf.DUMMYFUNCTION("""COMPUTED_VALUE"""),"")</f>
        <v/>
      </c>
      <c r="S162" s="347" t="str">
        <f>IFERROR(__xludf.DUMMYFUNCTION("""COMPUTED_VALUE"""),"")</f>
        <v/>
      </c>
      <c r="T162" s="344" t="str">
        <f>IFERROR(__xludf.DUMMYFUNCTION("""COMPUTED_VALUE"""),"")</f>
        <v/>
      </c>
      <c r="U162" s="344" t="str">
        <f>IFERROR(__xludf.DUMMYFUNCTION("""COMPUTED_VALUE"""),"")</f>
        <v/>
      </c>
      <c r="V162" s="344" t="str">
        <f>IFERROR(__xludf.DUMMYFUNCTION("""COMPUTED_VALUE"""),"")</f>
        <v/>
      </c>
      <c r="W162" s="344" t="str">
        <f>IFERROR(__xludf.DUMMYFUNCTION("""COMPUTED_VALUE"""),"")</f>
        <v/>
      </c>
      <c r="X162" s="347" t="str">
        <f>IFERROR(__xludf.DUMMYFUNCTION("""COMPUTED_VALUE"""),"")</f>
        <v/>
      </c>
      <c r="Y162" s="344" t="str">
        <f>IFERROR(__xludf.DUMMYFUNCTION("""COMPUTED_VALUE"""),"")</f>
        <v/>
      </c>
      <c r="Z162" s="347" t="str">
        <f>IFERROR(__xludf.DUMMYFUNCTION("""COMPUTED_VALUE"""),"")</f>
        <v/>
      </c>
      <c r="AA162" s="344" t="str">
        <f>IFERROR(__xludf.DUMMYFUNCTION("""COMPUTED_VALUE"""),"")</f>
        <v/>
      </c>
      <c r="AB162" s="344" t="str">
        <f>IFERROR(__xludf.DUMMYFUNCTION("""COMPUTED_VALUE"""),"")</f>
        <v/>
      </c>
      <c r="AC162" s="344" t="str">
        <f>IFERROR(__xludf.DUMMYFUNCTION("""COMPUTED_VALUE"""),"")</f>
        <v/>
      </c>
      <c r="AD162" s="344" t="str">
        <f>IFERROR(__xludf.DUMMYFUNCTION("""COMPUTED_VALUE"""),"")</f>
        <v/>
      </c>
      <c r="AE162" s="347" t="str">
        <f>IFERROR(__xludf.DUMMYFUNCTION("""COMPUTED_VALUE"""),"")</f>
        <v/>
      </c>
      <c r="AF162" s="344" t="str">
        <f>IFERROR(__xludf.DUMMYFUNCTION("""COMPUTED_VALUE"""),"")</f>
        <v/>
      </c>
      <c r="AG162" s="347" t="str">
        <f>IFERROR(__xludf.DUMMYFUNCTION("""COMPUTED_VALUE"""),"")</f>
        <v/>
      </c>
      <c r="AH162" s="344" t="str">
        <f>IFERROR(__xludf.DUMMYFUNCTION("""COMPUTED_VALUE"""),"")</f>
        <v/>
      </c>
      <c r="AI162" s="344" t="str">
        <f>IFERROR(__xludf.DUMMYFUNCTION("""COMPUTED_VALUE"""),"")</f>
        <v/>
      </c>
      <c r="AJ162" s="348" t="str">
        <f>IFERROR(__xludf.DUMMYFUNCTION("""COMPUTED_VALUE"""),"")</f>
        <v/>
      </c>
    </row>
    <row r="163" ht="16.5" hidden="1" customHeight="1">
      <c r="A163" s="349">
        <f>IFERROR(__xludf.DUMMYFUNCTION("""COMPUTED_VALUE"""),19.0)</f>
        <v>19</v>
      </c>
      <c r="B163" s="313" t="str">
        <f>IFERROR(__xludf.DUMMYFUNCTION("""COMPUTED_VALUE"""),"A301")</f>
        <v>A301</v>
      </c>
      <c r="C163" s="314" t="str">
        <f>IFERROR(__xludf.DUMMYFUNCTION("""COMPUTED_VALUE"""),"")</f>
        <v/>
      </c>
      <c r="D163" s="350" t="str">
        <f>IFERROR(__xludf.DUMMYFUNCTION("""COMPUTED_VALUE"""),"Proof of Hero")</f>
        <v>Proof of Hero</v>
      </c>
      <c r="E163" s="351" t="str">
        <f>IFERROR(__xludf.DUMMYFUNCTION("""COMPUTED_VALUE"""),"AP")</f>
        <v>AP</v>
      </c>
      <c r="F163" s="351" t="str">
        <f>IFERROR(__xludf.DUMMYFUNCTION("""COMPUTED_VALUE"""),"Runs")</f>
        <v>Runs</v>
      </c>
      <c r="G163" s="316" t="str">
        <f>IFERROR(__xludf.DUMMYFUNCTION("""COMPUTED_VALUE"""),"Status")</f>
        <v>Status</v>
      </c>
      <c r="H163" s="351" t="str">
        <f>IFERROR(__xludf.DUMMYFUNCTION("""COMPUTED_VALUE"""),"Mat")</f>
        <v>Mat</v>
      </c>
      <c r="I163" s="351" t="str">
        <f>IFERROR(__xludf.DUMMYFUNCTION("""COMPUTED_VALUE"""),"AP/Drop")</f>
        <v>AP/Drop</v>
      </c>
      <c r="J163" s="351" t="str">
        <f>IFERROR(__xludf.DUMMYFUNCTION("""COMPUTED_VALUE"""),"")</f>
        <v/>
      </c>
      <c r="K163" s="351" t="str">
        <f>IFERROR(__xludf.DUMMYFUNCTION("""COMPUTED_VALUE"""),"Droprate")</f>
        <v>Droprate</v>
      </c>
      <c r="L163" s="351" t="str">
        <f>IFERROR(__xludf.DUMMYFUNCTION("""COMPUTED_VALUE"""),"")</f>
        <v/>
      </c>
      <c r="M163" s="351" t="str">
        <f>IFERROR(__xludf.DUMMYFUNCTION("""COMPUTED_VALUE"""),"#2")</f>
        <v>#2</v>
      </c>
      <c r="N163" s="351" t="str">
        <f>IFERROR(__xludf.DUMMYFUNCTION("""COMPUTED_VALUE"""),"Item 2 ID")</f>
        <v>Item 2 ID</v>
      </c>
      <c r="O163" s="351" t="str">
        <f>IFERROR(__xludf.DUMMYFUNCTION("""COMPUTED_VALUE"""),"Mat")</f>
        <v>Mat</v>
      </c>
      <c r="P163" s="351" t="str">
        <f>IFERROR(__xludf.DUMMYFUNCTION("""COMPUTED_VALUE"""),"AP/Drop")</f>
        <v>AP/Drop</v>
      </c>
      <c r="Q163" s="351" t="str">
        <f>IFERROR(__xludf.DUMMYFUNCTION("""COMPUTED_VALUE"""),"")</f>
        <v/>
      </c>
      <c r="R163" s="351" t="str">
        <f>IFERROR(__xludf.DUMMYFUNCTION("""COMPUTED_VALUE"""),"Droprate")</f>
        <v>Droprate</v>
      </c>
      <c r="S163" s="351" t="str">
        <f>IFERROR(__xludf.DUMMYFUNCTION("""COMPUTED_VALUE"""),"")</f>
        <v/>
      </c>
      <c r="T163" s="351" t="str">
        <f>IFERROR(__xludf.DUMMYFUNCTION("""COMPUTED_VALUE"""),"#3")</f>
        <v>#3</v>
      </c>
      <c r="U163" s="351" t="str">
        <f>IFERROR(__xludf.DUMMYFUNCTION("""COMPUTED_VALUE"""),"Item 2 ID")</f>
        <v>Item 2 ID</v>
      </c>
      <c r="V163" s="351" t="str">
        <f>IFERROR(__xludf.DUMMYFUNCTION("""COMPUTED_VALUE"""),"Mat")</f>
        <v>Mat</v>
      </c>
      <c r="W163" s="351" t="str">
        <f>IFERROR(__xludf.DUMMYFUNCTION("""COMPUTED_VALUE"""),"AP/Drop")</f>
        <v>AP/Drop</v>
      </c>
      <c r="X163" s="351" t="str">
        <f>IFERROR(__xludf.DUMMYFUNCTION("""COMPUTED_VALUE"""),"")</f>
        <v/>
      </c>
      <c r="Y163" s="351" t="str">
        <f>IFERROR(__xludf.DUMMYFUNCTION("""COMPUTED_VALUE"""),"Droprate")</f>
        <v>Droprate</v>
      </c>
      <c r="Z163" s="351" t="str">
        <f>IFERROR(__xludf.DUMMYFUNCTION("""COMPUTED_VALUE"""),"")</f>
        <v/>
      </c>
      <c r="AA163" s="351" t="str">
        <f>IFERROR(__xludf.DUMMYFUNCTION("""COMPUTED_VALUE"""),"#4")</f>
        <v>#4</v>
      </c>
      <c r="AB163" s="351" t="str">
        <f>IFERROR(__xludf.DUMMYFUNCTION("""COMPUTED_VALUE"""),"Item 3 ID")</f>
        <v>Item 3 ID</v>
      </c>
      <c r="AC163" s="351" t="str">
        <f>IFERROR(__xludf.DUMMYFUNCTION("""COMPUTED_VALUE"""),"Mat")</f>
        <v>Mat</v>
      </c>
      <c r="AD163" s="351" t="str">
        <f>IFERROR(__xludf.DUMMYFUNCTION("""COMPUTED_VALUE"""),"AP/Drop")</f>
        <v>AP/Drop</v>
      </c>
      <c r="AE163" s="351" t="str">
        <f>IFERROR(__xludf.DUMMYFUNCTION("""COMPUTED_VALUE"""),"")</f>
        <v/>
      </c>
      <c r="AF163" s="351" t="str">
        <f>IFERROR(__xludf.DUMMYFUNCTION("""COMPUTED_VALUE"""),"Droprate")</f>
        <v>Droprate</v>
      </c>
      <c r="AG163" s="351" t="str">
        <f>IFERROR(__xludf.DUMMYFUNCTION("""COMPUTED_VALUE"""),"")</f>
        <v/>
      </c>
      <c r="AH163" s="351" t="str">
        <f>IFERROR(__xludf.DUMMYFUNCTION("""COMPUTED_VALUE"""),"AP")</f>
        <v>AP</v>
      </c>
      <c r="AI163" s="351" t="str">
        <f>IFERROR(__xludf.DUMMYFUNCTION("""COMPUTED_VALUE"""),"Runs")</f>
        <v>Runs</v>
      </c>
      <c r="AJ163" s="351" t="str">
        <f>IFERROR(__xludf.DUMMYFUNCTION("""COMPUTED_VALUE"""),"Node Name")</f>
        <v>Node Name</v>
      </c>
    </row>
    <row r="164" ht="16.5" hidden="1" customHeight="1">
      <c r="D164" s="317" t="str">
        <f>IFERROR(__xludf.DUMMYFUNCTION("""COMPUTED_VALUE"""),"#N/A")</f>
        <v>#N/A</v>
      </c>
      <c r="E164" s="318"/>
      <c r="F164" s="318"/>
      <c r="G164" s="318"/>
      <c r="H164" s="318"/>
      <c r="I164" s="318"/>
      <c r="J164" s="318"/>
      <c r="K164" s="318"/>
      <c r="L164" s="318"/>
      <c r="M164" s="318"/>
      <c r="N164" s="318"/>
      <c r="O164" s="318"/>
      <c r="P164" s="318"/>
      <c r="Q164" s="318"/>
      <c r="R164" s="318"/>
      <c r="S164" s="318"/>
      <c r="T164" s="318"/>
      <c r="U164" s="318"/>
      <c r="V164" s="318"/>
      <c r="W164" s="318"/>
      <c r="X164" s="318"/>
      <c r="Y164" s="318"/>
      <c r="Z164" s="318"/>
      <c r="AA164" s="318"/>
      <c r="AB164" s="318"/>
      <c r="AC164" s="318"/>
      <c r="AD164" s="318"/>
      <c r="AE164" s="318"/>
      <c r="AF164" s="318"/>
      <c r="AG164" s="318"/>
      <c r="AH164" s="318"/>
      <c r="AI164" s="318"/>
      <c r="AJ164" s="318"/>
    </row>
    <row r="165" ht="24.75" hidden="1" customHeight="1">
      <c r="A165" s="319">
        <f>IFERROR(__xludf.DUMMYFUNCTION("""COMPUTED_VALUE"""),1.0)</f>
        <v>1</v>
      </c>
      <c r="B165" s="319" t="str">
        <f>IFERROR(__xludf.DUMMYFUNCTION("""COMPUTED_VALUE"""),"A301")</f>
        <v>A301</v>
      </c>
      <c r="C165" s="319">
        <f>IFERROR(__xludf.DUMMYFUNCTION("""COMPUTED_VALUE"""),2.0)</f>
        <v>2</v>
      </c>
      <c r="D165" s="320" t="str">
        <f>IFERROR(__xludf.DUMMYFUNCTION("""COMPUTED_VALUE"""),"Underground Factory")</f>
        <v>Underground Factory</v>
      </c>
      <c r="E165" s="321">
        <f>IFERROR(__xludf.DUMMYFUNCTION("""COMPUTED_VALUE"""),40.0)</f>
        <v>40</v>
      </c>
      <c r="F165" s="322">
        <f>IFERROR(__xludf.DUMMYFUNCTION("""COMPUTED_VALUE"""),65.0)</f>
        <v>65</v>
      </c>
      <c r="G165" s="322" t="str">
        <f>IFERROR(__xludf.DUMMYFUNCTION("""COMPUTED_VALUE"""),"Open")</f>
        <v>Open</v>
      </c>
      <c r="H165" s="323" t="str">
        <f>IFERROR(__xludf.DUMMYFUNCTION("""COMPUTED_VALUE"""),"")</f>
        <v/>
      </c>
      <c r="I165" s="324">
        <f>IFERROR(__xludf.DUMMYFUNCTION("""COMPUTED_VALUE"""),50.98039215686275)</f>
        <v>50.98039216</v>
      </c>
      <c r="J165" s="325" t="str">
        <f>IFERROR(__xludf.DUMMYFUNCTION("""COMPUTED_VALUE"""),"AP")</f>
        <v>AP</v>
      </c>
      <c r="K165" s="324">
        <f>IFERROR(__xludf.DUMMYFUNCTION("""COMPUTED_VALUE"""),78.46153846153847)</f>
        <v>78.46153846</v>
      </c>
      <c r="L165" s="325" t="str">
        <f>IFERROR(__xludf.DUMMYFUNCTION("""COMPUTED_VALUE"""),"%")</f>
        <v>%</v>
      </c>
      <c r="M165" s="326">
        <f>IFERROR(__xludf.DUMMYFUNCTION("""COMPUTED_VALUE"""),1.0)</f>
        <v>1</v>
      </c>
      <c r="N165" s="324" t="str">
        <f>IFERROR(__xludf.DUMMYFUNCTION("""COMPUTED_VALUE"""),"B114")</f>
        <v>B114</v>
      </c>
      <c r="O165" s="327" t="str">
        <f>IFERROR(__xludf.DUMMYFUNCTION("""COMPUTED_VALUE"""),"")</f>
        <v/>
      </c>
      <c r="P165" s="324">
        <f>IFERROR(__xludf.DUMMYFUNCTION("""COMPUTED_VALUE"""),83.87096774193547)</f>
        <v>83.87096774</v>
      </c>
      <c r="Q165" s="325" t="str">
        <f>IFERROR(__xludf.DUMMYFUNCTION("""COMPUTED_VALUE"""),"AP")</f>
        <v>AP</v>
      </c>
      <c r="R165" s="324">
        <f>IFERROR(__xludf.DUMMYFUNCTION("""COMPUTED_VALUE"""),47.69230769230769)</f>
        <v>47.69230769</v>
      </c>
      <c r="S165" s="325" t="str">
        <f>IFERROR(__xludf.DUMMYFUNCTION("""COMPUTED_VALUE"""),"%")</f>
        <v>%</v>
      </c>
      <c r="T165" s="326">
        <f>IFERROR(__xludf.DUMMYFUNCTION("""COMPUTED_VALUE"""),2.0)</f>
        <v>2</v>
      </c>
      <c r="U165" s="324" t="str">
        <f>IFERROR(__xludf.DUMMYFUNCTION("""COMPUTED_VALUE"""),"B116")</f>
        <v>B116</v>
      </c>
      <c r="V165" s="327" t="str">
        <f>IFERROR(__xludf.DUMMYFUNCTION("""COMPUTED_VALUE"""),"")</f>
        <v/>
      </c>
      <c r="W165" s="324">
        <f>IFERROR(__xludf.DUMMYFUNCTION("""COMPUTED_VALUE"""),65.0)</f>
        <v>65</v>
      </c>
      <c r="X165" s="325" t="str">
        <f>IFERROR(__xludf.DUMMYFUNCTION("""COMPUTED_VALUE"""),"AP")</f>
        <v>AP</v>
      </c>
      <c r="Y165" s="324">
        <f>IFERROR(__xludf.DUMMYFUNCTION("""COMPUTED_VALUE"""),61.53846153846154)</f>
        <v>61.53846154</v>
      </c>
      <c r="Z165" s="325" t="str">
        <f>IFERROR(__xludf.DUMMYFUNCTION("""COMPUTED_VALUE"""),"%")</f>
        <v>%</v>
      </c>
      <c r="AA165" s="326">
        <f>IFERROR(__xludf.DUMMYFUNCTION("""COMPUTED_VALUE"""),3.0)</f>
        <v>3</v>
      </c>
      <c r="AB165" s="324" t="str">
        <f>IFERROR(__xludf.DUMMYFUNCTION("""COMPUTED_VALUE"""),"B117")</f>
        <v>B117</v>
      </c>
      <c r="AC165" s="327" t="str">
        <f>IFERROR(__xludf.DUMMYFUNCTION("""COMPUTED_VALUE"""),"")</f>
        <v/>
      </c>
      <c r="AD165" s="324">
        <f>IFERROR(__xludf.DUMMYFUNCTION("""COMPUTED_VALUE"""),260.0)</f>
        <v>260</v>
      </c>
      <c r="AE165" s="325" t="str">
        <f>IFERROR(__xludf.DUMMYFUNCTION("""COMPUTED_VALUE"""),"AP")</f>
        <v>AP</v>
      </c>
      <c r="AF165" s="324">
        <f>IFERROR(__xludf.DUMMYFUNCTION("""COMPUTED_VALUE"""),15.384615384615385)</f>
        <v>15.38461538</v>
      </c>
      <c r="AG165" s="325" t="str">
        <f>IFERROR(__xludf.DUMMYFUNCTION("""COMPUTED_VALUE"""),"%")</f>
        <v>%</v>
      </c>
      <c r="AH165" s="321">
        <f>IFERROR(__xludf.DUMMYFUNCTION("""COMPUTED_VALUE"""),40.0)</f>
        <v>40</v>
      </c>
      <c r="AI165" s="322">
        <f>IFERROR(__xludf.DUMMYFUNCTION("""COMPUTED_VALUE"""),65.0)</f>
        <v>65</v>
      </c>
      <c r="AJ165" s="320" t="str">
        <f>IFERROR(__xludf.DUMMYFUNCTION("""COMPUTED_VALUE"""),"Underground Factory")</f>
        <v>Underground Factory</v>
      </c>
    </row>
    <row r="166" ht="24.75" hidden="1" customHeight="1">
      <c r="A166" s="328">
        <f>IFERROR(__xludf.DUMMYFUNCTION("""COMPUTED_VALUE"""),2.0)</f>
        <v>2</v>
      </c>
      <c r="B166" s="328" t="str">
        <f>IFERROR(__xludf.DUMMYFUNCTION("""COMPUTED_VALUE"""),"A301")</f>
        <v>A301</v>
      </c>
      <c r="C166" s="328" t="str">
        <f>IFERROR(__xludf.DUMMYFUNCTION("""COMPUTED_VALUE"""),"")</f>
        <v/>
      </c>
      <c r="D166" s="329" t="str">
        <f>IFERROR(__xludf.DUMMYFUNCTION("""COMPUTED_VALUE"""),"")</f>
        <v/>
      </c>
      <c r="E166" s="330" t="str">
        <f>IFERROR(__xludf.DUMMYFUNCTION("""COMPUTED_VALUE"""),"")</f>
        <v/>
      </c>
      <c r="F166" s="331" t="str">
        <f>IFERROR(__xludf.DUMMYFUNCTION("""COMPUTED_VALUE"""),"")</f>
        <v/>
      </c>
      <c r="G166" s="331" t="str">
        <f>IFERROR(__xludf.DUMMYFUNCTION("""COMPUTED_VALUE"""),"")</f>
        <v/>
      </c>
      <c r="H166" s="323" t="str">
        <f>IFERROR(__xludf.DUMMYFUNCTION("""COMPUTED_VALUE""")," ")</f>
        <v> </v>
      </c>
      <c r="I166" s="332" t="str">
        <f>IFERROR(__xludf.DUMMYFUNCTION("""COMPUTED_VALUE"""),"")</f>
        <v/>
      </c>
      <c r="J166" s="333" t="str">
        <f>IFERROR(__xludf.DUMMYFUNCTION("""COMPUTED_VALUE"""),"AP")</f>
        <v>AP</v>
      </c>
      <c r="K166" s="332">
        <f>IFERROR(__xludf.DUMMYFUNCTION("""COMPUTED_VALUE"""),0.0)</f>
        <v>0</v>
      </c>
      <c r="L166" s="334" t="str">
        <f>IFERROR(__xludf.DUMMYFUNCTION("""COMPUTED_VALUE"""),"%")</f>
        <v>%</v>
      </c>
      <c r="M166" s="335">
        <f>IFERROR(__xludf.DUMMYFUNCTION("""COMPUTED_VALUE"""),1.0)</f>
        <v>1</v>
      </c>
      <c r="N166" s="332" t="str">
        <f>IFERROR(__xludf.DUMMYFUNCTION("""COMPUTED_VALUE"""),"")</f>
        <v/>
      </c>
      <c r="O166" s="327" t="str">
        <f>IFERROR(__xludf.DUMMYFUNCTION("""COMPUTED_VALUE"""),"")</f>
        <v/>
      </c>
      <c r="P166" s="332" t="str">
        <f>IFERROR(__xludf.DUMMYFUNCTION("""COMPUTED_VALUE"""),"")</f>
        <v/>
      </c>
      <c r="Q166" s="333" t="str">
        <f>IFERROR(__xludf.DUMMYFUNCTION("""COMPUTED_VALUE"""),"AP")</f>
        <v>AP</v>
      </c>
      <c r="R166" s="332">
        <f>IFERROR(__xludf.DUMMYFUNCTION("""COMPUTED_VALUE"""),0.0)</f>
        <v>0</v>
      </c>
      <c r="S166" s="334" t="str">
        <f>IFERROR(__xludf.DUMMYFUNCTION("""COMPUTED_VALUE"""),"%")</f>
        <v>%</v>
      </c>
      <c r="T166" s="335">
        <f>IFERROR(__xludf.DUMMYFUNCTION("""COMPUTED_VALUE"""),2.0)</f>
        <v>2</v>
      </c>
      <c r="U166" s="332" t="str">
        <f>IFERROR(__xludf.DUMMYFUNCTION("""COMPUTED_VALUE"""),"")</f>
        <v/>
      </c>
      <c r="V166" s="327" t="str">
        <f>IFERROR(__xludf.DUMMYFUNCTION("""COMPUTED_VALUE"""),"")</f>
        <v/>
      </c>
      <c r="W166" s="332" t="str">
        <f>IFERROR(__xludf.DUMMYFUNCTION("""COMPUTED_VALUE"""),"")</f>
        <v/>
      </c>
      <c r="X166" s="333" t="str">
        <f>IFERROR(__xludf.DUMMYFUNCTION("""COMPUTED_VALUE"""),"AP")</f>
        <v>AP</v>
      </c>
      <c r="Y166" s="332">
        <f>IFERROR(__xludf.DUMMYFUNCTION("""COMPUTED_VALUE"""),0.0)</f>
        <v>0</v>
      </c>
      <c r="Z166" s="334" t="str">
        <f>IFERROR(__xludf.DUMMYFUNCTION("""COMPUTED_VALUE"""),"%")</f>
        <v>%</v>
      </c>
      <c r="AA166" s="335">
        <f>IFERROR(__xludf.DUMMYFUNCTION("""COMPUTED_VALUE"""),3.0)</f>
        <v>3</v>
      </c>
      <c r="AB166" s="332" t="str">
        <f>IFERROR(__xludf.DUMMYFUNCTION("""COMPUTED_VALUE"""),"")</f>
        <v/>
      </c>
      <c r="AC166" s="327" t="str">
        <f>IFERROR(__xludf.DUMMYFUNCTION("""COMPUTED_VALUE"""),"")</f>
        <v/>
      </c>
      <c r="AD166" s="332" t="str">
        <f>IFERROR(__xludf.DUMMYFUNCTION("""COMPUTED_VALUE"""),"")</f>
        <v/>
      </c>
      <c r="AE166" s="333" t="str">
        <f>IFERROR(__xludf.DUMMYFUNCTION("""COMPUTED_VALUE"""),"AP")</f>
        <v>AP</v>
      </c>
      <c r="AF166" s="332">
        <f>IFERROR(__xludf.DUMMYFUNCTION("""COMPUTED_VALUE"""),0.0)</f>
        <v>0</v>
      </c>
      <c r="AG166" s="334" t="str">
        <f>IFERROR(__xludf.DUMMYFUNCTION("""COMPUTED_VALUE"""),"%")</f>
        <v>%</v>
      </c>
      <c r="AH166" s="330" t="str">
        <f>IFERROR(__xludf.DUMMYFUNCTION("""COMPUTED_VALUE"""),"")</f>
        <v/>
      </c>
      <c r="AI166" s="331" t="str">
        <f>IFERROR(__xludf.DUMMYFUNCTION("""COMPUTED_VALUE"""),"")</f>
        <v/>
      </c>
      <c r="AJ166" s="329" t="str">
        <f>IFERROR(__xludf.DUMMYFUNCTION("""COMPUTED_VALUE"""),"")</f>
        <v/>
      </c>
    </row>
    <row r="167" ht="24.75" hidden="1" customHeight="1">
      <c r="A167" s="319">
        <f>IFERROR(__xludf.DUMMYFUNCTION("""COMPUTED_VALUE"""),3.0)</f>
        <v>3</v>
      </c>
      <c r="B167" s="319" t="str">
        <f>IFERROR(__xludf.DUMMYFUNCTION("""COMPUTED_VALUE"""),"A301")</f>
        <v>A301</v>
      </c>
      <c r="C167" s="319" t="str">
        <f>IFERROR(__xludf.DUMMYFUNCTION("""COMPUTED_VALUE"""),"")</f>
        <v/>
      </c>
      <c r="D167" s="320" t="str">
        <f>IFERROR(__xludf.DUMMYFUNCTION("""COMPUTED_VALUE"""),"")</f>
        <v/>
      </c>
      <c r="E167" s="321" t="str">
        <f>IFERROR(__xludf.DUMMYFUNCTION("""COMPUTED_VALUE"""),"")</f>
        <v/>
      </c>
      <c r="F167" s="322" t="str">
        <f>IFERROR(__xludf.DUMMYFUNCTION("""COMPUTED_VALUE"""),"")</f>
        <v/>
      </c>
      <c r="G167" s="322" t="str">
        <f>IFERROR(__xludf.DUMMYFUNCTION("""COMPUTED_VALUE"""),"")</f>
        <v/>
      </c>
      <c r="H167" s="323" t="str">
        <f>IFERROR(__xludf.DUMMYFUNCTION("""COMPUTED_VALUE""")," ")</f>
        <v> </v>
      </c>
      <c r="I167" s="324" t="str">
        <f>IFERROR(__xludf.DUMMYFUNCTION("""COMPUTED_VALUE"""),"")</f>
        <v/>
      </c>
      <c r="J167" s="325" t="str">
        <f>IFERROR(__xludf.DUMMYFUNCTION("""COMPUTED_VALUE"""),"AP")</f>
        <v>AP</v>
      </c>
      <c r="K167" s="324">
        <f>IFERROR(__xludf.DUMMYFUNCTION("""COMPUTED_VALUE"""),0.0)</f>
        <v>0</v>
      </c>
      <c r="L167" s="325" t="str">
        <f>IFERROR(__xludf.DUMMYFUNCTION("""COMPUTED_VALUE"""),"%")</f>
        <v>%</v>
      </c>
      <c r="M167" s="326">
        <f>IFERROR(__xludf.DUMMYFUNCTION("""COMPUTED_VALUE"""),1.0)</f>
        <v>1</v>
      </c>
      <c r="N167" s="324" t="str">
        <f>IFERROR(__xludf.DUMMYFUNCTION("""COMPUTED_VALUE"""),"")</f>
        <v/>
      </c>
      <c r="O167" s="327" t="str">
        <f>IFERROR(__xludf.DUMMYFUNCTION("""COMPUTED_VALUE"""),"")</f>
        <v/>
      </c>
      <c r="P167" s="324" t="str">
        <f>IFERROR(__xludf.DUMMYFUNCTION("""COMPUTED_VALUE"""),"")</f>
        <v/>
      </c>
      <c r="Q167" s="325" t="str">
        <f>IFERROR(__xludf.DUMMYFUNCTION("""COMPUTED_VALUE"""),"AP")</f>
        <v>AP</v>
      </c>
      <c r="R167" s="324">
        <f>IFERROR(__xludf.DUMMYFUNCTION("""COMPUTED_VALUE"""),0.0)</f>
        <v>0</v>
      </c>
      <c r="S167" s="325" t="str">
        <f>IFERROR(__xludf.DUMMYFUNCTION("""COMPUTED_VALUE"""),"%")</f>
        <v>%</v>
      </c>
      <c r="T167" s="326">
        <f>IFERROR(__xludf.DUMMYFUNCTION("""COMPUTED_VALUE"""),2.0)</f>
        <v>2</v>
      </c>
      <c r="U167" s="324" t="str">
        <f>IFERROR(__xludf.DUMMYFUNCTION("""COMPUTED_VALUE"""),"")</f>
        <v/>
      </c>
      <c r="V167" s="327" t="str">
        <f>IFERROR(__xludf.DUMMYFUNCTION("""COMPUTED_VALUE"""),"")</f>
        <v/>
      </c>
      <c r="W167" s="324" t="str">
        <f>IFERROR(__xludf.DUMMYFUNCTION("""COMPUTED_VALUE"""),"")</f>
        <v/>
      </c>
      <c r="X167" s="325" t="str">
        <f>IFERROR(__xludf.DUMMYFUNCTION("""COMPUTED_VALUE"""),"AP")</f>
        <v>AP</v>
      </c>
      <c r="Y167" s="324">
        <f>IFERROR(__xludf.DUMMYFUNCTION("""COMPUTED_VALUE"""),0.0)</f>
        <v>0</v>
      </c>
      <c r="Z167" s="325" t="str">
        <f>IFERROR(__xludf.DUMMYFUNCTION("""COMPUTED_VALUE"""),"%")</f>
        <v>%</v>
      </c>
      <c r="AA167" s="326">
        <f>IFERROR(__xludf.DUMMYFUNCTION("""COMPUTED_VALUE"""),3.0)</f>
        <v>3</v>
      </c>
      <c r="AB167" s="324" t="str">
        <f>IFERROR(__xludf.DUMMYFUNCTION("""COMPUTED_VALUE"""),"")</f>
        <v/>
      </c>
      <c r="AC167" s="327" t="str">
        <f>IFERROR(__xludf.DUMMYFUNCTION("""COMPUTED_VALUE"""),"")</f>
        <v/>
      </c>
      <c r="AD167" s="324" t="str">
        <f>IFERROR(__xludf.DUMMYFUNCTION("""COMPUTED_VALUE"""),"")</f>
        <v/>
      </c>
      <c r="AE167" s="325" t="str">
        <f>IFERROR(__xludf.DUMMYFUNCTION("""COMPUTED_VALUE"""),"AP")</f>
        <v>AP</v>
      </c>
      <c r="AF167" s="324">
        <f>IFERROR(__xludf.DUMMYFUNCTION("""COMPUTED_VALUE"""),0.0)</f>
        <v>0</v>
      </c>
      <c r="AG167" s="325" t="str">
        <f>IFERROR(__xludf.DUMMYFUNCTION("""COMPUTED_VALUE"""),"%")</f>
        <v>%</v>
      </c>
      <c r="AH167" s="321" t="str">
        <f>IFERROR(__xludf.DUMMYFUNCTION("""COMPUTED_VALUE"""),"")</f>
        <v/>
      </c>
      <c r="AI167" s="322" t="str">
        <f>IFERROR(__xludf.DUMMYFUNCTION("""COMPUTED_VALUE"""),"")</f>
        <v/>
      </c>
      <c r="AJ167" s="320" t="str">
        <f>IFERROR(__xludf.DUMMYFUNCTION("""COMPUTED_VALUE"""),"")</f>
        <v/>
      </c>
    </row>
    <row r="168" ht="24.75" hidden="1" customHeight="1">
      <c r="A168" s="328">
        <f>IFERROR(__xludf.DUMMYFUNCTION("""COMPUTED_VALUE"""),4.0)</f>
        <v>4</v>
      </c>
      <c r="B168" s="328" t="str">
        <f>IFERROR(__xludf.DUMMYFUNCTION("""COMPUTED_VALUE"""),"A301")</f>
        <v>A301</v>
      </c>
      <c r="C168" s="328" t="str">
        <f>IFERROR(__xludf.DUMMYFUNCTION("""COMPUTED_VALUE"""),"")</f>
        <v/>
      </c>
      <c r="D168" s="329" t="str">
        <f>IFERROR(__xludf.DUMMYFUNCTION("""COMPUTED_VALUE"""),"")</f>
        <v/>
      </c>
      <c r="E168" s="330" t="str">
        <f>IFERROR(__xludf.DUMMYFUNCTION("""COMPUTED_VALUE"""),"")</f>
        <v/>
      </c>
      <c r="F168" s="331" t="str">
        <f>IFERROR(__xludf.DUMMYFUNCTION("""COMPUTED_VALUE"""),"")</f>
        <v/>
      </c>
      <c r="G168" s="331" t="str">
        <f>IFERROR(__xludf.DUMMYFUNCTION("""COMPUTED_VALUE"""),"")</f>
        <v/>
      </c>
      <c r="H168" s="323" t="str">
        <f>IFERROR(__xludf.DUMMYFUNCTION("""COMPUTED_VALUE""")," ")</f>
        <v> </v>
      </c>
      <c r="I168" s="332" t="str">
        <f>IFERROR(__xludf.DUMMYFUNCTION("""COMPUTED_VALUE"""),"")</f>
        <v/>
      </c>
      <c r="J168" s="333" t="str">
        <f>IFERROR(__xludf.DUMMYFUNCTION("""COMPUTED_VALUE"""),"AP")</f>
        <v>AP</v>
      </c>
      <c r="K168" s="332">
        <f>IFERROR(__xludf.DUMMYFUNCTION("""COMPUTED_VALUE"""),0.0)</f>
        <v>0</v>
      </c>
      <c r="L168" s="334" t="str">
        <f>IFERROR(__xludf.DUMMYFUNCTION("""COMPUTED_VALUE"""),"%")</f>
        <v>%</v>
      </c>
      <c r="M168" s="335">
        <f>IFERROR(__xludf.DUMMYFUNCTION("""COMPUTED_VALUE"""),1.0)</f>
        <v>1</v>
      </c>
      <c r="N168" s="332" t="str">
        <f>IFERROR(__xludf.DUMMYFUNCTION("""COMPUTED_VALUE"""),"")</f>
        <v/>
      </c>
      <c r="O168" s="327" t="str">
        <f>IFERROR(__xludf.DUMMYFUNCTION("""COMPUTED_VALUE"""),"")</f>
        <v/>
      </c>
      <c r="P168" s="332" t="str">
        <f>IFERROR(__xludf.DUMMYFUNCTION("""COMPUTED_VALUE"""),"")</f>
        <v/>
      </c>
      <c r="Q168" s="333" t="str">
        <f>IFERROR(__xludf.DUMMYFUNCTION("""COMPUTED_VALUE"""),"AP")</f>
        <v>AP</v>
      </c>
      <c r="R168" s="332">
        <f>IFERROR(__xludf.DUMMYFUNCTION("""COMPUTED_VALUE"""),0.0)</f>
        <v>0</v>
      </c>
      <c r="S168" s="334" t="str">
        <f>IFERROR(__xludf.DUMMYFUNCTION("""COMPUTED_VALUE"""),"%")</f>
        <v>%</v>
      </c>
      <c r="T168" s="335">
        <f>IFERROR(__xludf.DUMMYFUNCTION("""COMPUTED_VALUE"""),2.0)</f>
        <v>2</v>
      </c>
      <c r="U168" s="332" t="str">
        <f>IFERROR(__xludf.DUMMYFUNCTION("""COMPUTED_VALUE"""),"")</f>
        <v/>
      </c>
      <c r="V168" s="327" t="str">
        <f>IFERROR(__xludf.DUMMYFUNCTION("""COMPUTED_VALUE"""),"")</f>
        <v/>
      </c>
      <c r="W168" s="332" t="str">
        <f>IFERROR(__xludf.DUMMYFUNCTION("""COMPUTED_VALUE"""),"")</f>
        <v/>
      </c>
      <c r="X168" s="333" t="str">
        <f>IFERROR(__xludf.DUMMYFUNCTION("""COMPUTED_VALUE"""),"AP")</f>
        <v>AP</v>
      </c>
      <c r="Y168" s="332">
        <f>IFERROR(__xludf.DUMMYFUNCTION("""COMPUTED_VALUE"""),0.0)</f>
        <v>0</v>
      </c>
      <c r="Z168" s="334" t="str">
        <f>IFERROR(__xludf.DUMMYFUNCTION("""COMPUTED_VALUE"""),"%")</f>
        <v>%</v>
      </c>
      <c r="AA168" s="335">
        <f>IFERROR(__xludf.DUMMYFUNCTION("""COMPUTED_VALUE"""),3.0)</f>
        <v>3</v>
      </c>
      <c r="AB168" s="332" t="str">
        <f>IFERROR(__xludf.DUMMYFUNCTION("""COMPUTED_VALUE"""),"")</f>
        <v/>
      </c>
      <c r="AC168" s="327" t="str">
        <f>IFERROR(__xludf.DUMMYFUNCTION("""COMPUTED_VALUE"""),"")</f>
        <v/>
      </c>
      <c r="AD168" s="332" t="str">
        <f>IFERROR(__xludf.DUMMYFUNCTION("""COMPUTED_VALUE"""),"")</f>
        <v/>
      </c>
      <c r="AE168" s="333" t="str">
        <f>IFERROR(__xludf.DUMMYFUNCTION("""COMPUTED_VALUE"""),"AP")</f>
        <v>AP</v>
      </c>
      <c r="AF168" s="332">
        <f>IFERROR(__xludf.DUMMYFUNCTION("""COMPUTED_VALUE"""),0.0)</f>
        <v>0</v>
      </c>
      <c r="AG168" s="334" t="str">
        <f>IFERROR(__xludf.DUMMYFUNCTION("""COMPUTED_VALUE"""),"%")</f>
        <v>%</v>
      </c>
      <c r="AH168" s="330" t="str">
        <f>IFERROR(__xludf.DUMMYFUNCTION("""COMPUTED_VALUE"""),"")</f>
        <v/>
      </c>
      <c r="AI168" s="331" t="str">
        <f>IFERROR(__xludf.DUMMYFUNCTION("""COMPUTED_VALUE"""),"")</f>
        <v/>
      </c>
      <c r="AJ168" s="329" t="str">
        <f>IFERROR(__xludf.DUMMYFUNCTION("""COMPUTED_VALUE"""),"")</f>
        <v/>
      </c>
    </row>
    <row r="169" ht="24.75" hidden="1" customHeight="1">
      <c r="A169" s="319">
        <f>IFERROR(__xludf.DUMMYFUNCTION("""COMPUTED_VALUE"""),5.0)</f>
        <v>5</v>
      </c>
      <c r="B169" s="319" t="str">
        <f>IFERROR(__xludf.DUMMYFUNCTION("""COMPUTED_VALUE"""),"A301")</f>
        <v>A301</v>
      </c>
      <c r="C169" s="319" t="str">
        <f>IFERROR(__xludf.DUMMYFUNCTION("""COMPUTED_VALUE"""),"")</f>
        <v/>
      </c>
      <c r="D169" s="320" t="str">
        <f>IFERROR(__xludf.DUMMYFUNCTION("""COMPUTED_VALUE"""),"")</f>
        <v/>
      </c>
      <c r="E169" s="321" t="str">
        <f>IFERROR(__xludf.DUMMYFUNCTION("""COMPUTED_VALUE"""),"")</f>
        <v/>
      </c>
      <c r="F169" s="322" t="str">
        <f>IFERROR(__xludf.DUMMYFUNCTION("""COMPUTED_VALUE"""),"")</f>
        <v/>
      </c>
      <c r="G169" s="322" t="str">
        <f>IFERROR(__xludf.DUMMYFUNCTION("""COMPUTED_VALUE"""),"")</f>
        <v/>
      </c>
      <c r="H169" s="323" t="str">
        <f>IFERROR(__xludf.DUMMYFUNCTION("""COMPUTED_VALUE""")," ")</f>
        <v> </v>
      </c>
      <c r="I169" s="324" t="str">
        <f>IFERROR(__xludf.DUMMYFUNCTION("""COMPUTED_VALUE"""),"")</f>
        <v/>
      </c>
      <c r="J169" s="325" t="str">
        <f>IFERROR(__xludf.DUMMYFUNCTION("""COMPUTED_VALUE"""),"AP")</f>
        <v>AP</v>
      </c>
      <c r="K169" s="324">
        <f>IFERROR(__xludf.DUMMYFUNCTION("""COMPUTED_VALUE"""),0.0)</f>
        <v>0</v>
      </c>
      <c r="L169" s="325" t="str">
        <f>IFERROR(__xludf.DUMMYFUNCTION("""COMPUTED_VALUE"""),"%")</f>
        <v>%</v>
      </c>
      <c r="M169" s="326">
        <f>IFERROR(__xludf.DUMMYFUNCTION("""COMPUTED_VALUE"""),1.0)</f>
        <v>1</v>
      </c>
      <c r="N169" s="324" t="str">
        <f>IFERROR(__xludf.DUMMYFUNCTION("""COMPUTED_VALUE"""),"")</f>
        <v/>
      </c>
      <c r="O169" s="327" t="str">
        <f>IFERROR(__xludf.DUMMYFUNCTION("""COMPUTED_VALUE"""),"")</f>
        <v/>
      </c>
      <c r="P169" s="324" t="str">
        <f>IFERROR(__xludf.DUMMYFUNCTION("""COMPUTED_VALUE"""),"")</f>
        <v/>
      </c>
      <c r="Q169" s="325" t="str">
        <f>IFERROR(__xludf.DUMMYFUNCTION("""COMPUTED_VALUE"""),"AP")</f>
        <v>AP</v>
      </c>
      <c r="R169" s="324">
        <f>IFERROR(__xludf.DUMMYFUNCTION("""COMPUTED_VALUE"""),0.0)</f>
        <v>0</v>
      </c>
      <c r="S169" s="325" t="str">
        <f>IFERROR(__xludf.DUMMYFUNCTION("""COMPUTED_VALUE"""),"%")</f>
        <v>%</v>
      </c>
      <c r="T169" s="326">
        <f>IFERROR(__xludf.DUMMYFUNCTION("""COMPUTED_VALUE"""),2.0)</f>
        <v>2</v>
      </c>
      <c r="U169" s="324" t="str">
        <f>IFERROR(__xludf.DUMMYFUNCTION("""COMPUTED_VALUE"""),"")</f>
        <v/>
      </c>
      <c r="V169" s="327" t="str">
        <f>IFERROR(__xludf.DUMMYFUNCTION("""COMPUTED_VALUE"""),"")</f>
        <v/>
      </c>
      <c r="W169" s="324" t="str">
        <f>IFERROR(__xludf.DUMMYFUNCTION("""COMPUTED_VALUE"""),"")</f>
        <v/>
      </c>
      <c r="X169" s="325" t="str">
        <f>IFERROR(__xludf.DUMMYFUNCTION("""COMPUTED_VALUE"""),"AP")</f>
        <v>AP</v>
      </c>
      <c r="Y169" s="324">
        <f>IFERROR(__xludf.DUMMYFUNCTION("""COMPUTED_VALUE"""),0.0)</f>
        <v>0</v>
      </c>
      <c r="Z169" s="325" t="str">
        <f>IFERROR(__xludf.DUMMYFUNCTION("""COMPUTED_VALUE"""),"%")</f>
        <v>%</v>
      </c>
      <c r="AA169" s="326">
        <f>IFERROR(__xludf.DUMMYFUNCTION("""COMPUTED_VALUE"""),3.0)</f>
        <v>3</v>
      </c>
      <c r="AB169" s="324" t="str">
        <f>IFERROR(__xludf.DUMMYFUNCTION("""COMPUTED_VALUE"""),"")</f>
        <v/>
      </c>
      <c r="AC169" s="327" t="str">
        <f>IFERROR(__xludf.DUMMYFUNCTION("""COMPUTED_VALUE"""),"")</f>
        <v/>
      </c>
      <c r="AD169" s="324" t="str">
        <f>IFERROR(__xludf.DUMMYFUNCTION("""COMPUTED_VALUE"""),"")</f>
        <v/>
      </c>
      <c r="AE169" s="325" t="str">
        <f>IFERROR(__xludf.DUMMYFUNCTION("""COMPUTED_VALUE"""),"AP")</f>
        <v>AP</v>
      </c>
      <c r="AF169" s="324">
        <f>IFERROR(__xludf.DUMMYFUNCTION("""COMPUTED_VALUE"""),0.0)</f>
        <v>0</v>
      </c>
      <c r="AG169" s="325" t="str">
        <f>IFERROR(__xludf.DUMMYFUNCTION("""COMPUTED_VALUE"""),"%")</f>
        <v>%</v>
      </c>
      <c r="AH169" s="321" t="str">
        <f>IFERROR(__xludf.DUMMYFUNCTION("""COMPUTED_VALUE"""),"")</f>
        <v/>
      </c>
      <c r="AI169" s="322" t="str">
        <f>IFERROR(__xludf.DUMMYFUNCTION("""COMPUTED_VALUE"""),"")</f>
        <v/>
      </c>
      <c r="AJ169" s="320" t="str">
        <f>IFERROR(__xludf.DUMMYFUNCTION("""COMPUTED_VALUE"""),"")</f>
        <v/>
      </c>
    </row>
    <row r="170" hidden="1">
      <c r="A170" s="336" t="str">
        <f>IFERROR(__xludf.DUMMYFUNCTION("""COMPUTED_VALUE"""),"")</f>
        <v/>
      </c>
      <c r="B170" s="337" t="str">
        <f>IFERROR(__xludf.DUMMYFUNCTION("""COMPUTED_VALUE"""),"")</f>
        <v/>
      </c>
      <c r="C170" s="338" t="str">
        <f>IFERROR(__xludf.DUMMYFUNCTION("""COMPUTED_VALUE"""),"")</f>
        <v/>
      </c>
      <c r="D170" s="339" t="str">
        <f>IFERROR(__xludf.DUMMYFUNCTION("""COMPUTED_VALUE"""),"")</f>
        <v/>
      </c>
      <c r="E170" s="337" t="str">
        <f>IFERROR(__xludf.DUMMYFUNCTION("""COMPUTED_VALUE"""),"")</f>
        <v/>
      </c>
      <c r="F170" s="337" t="str">
        <f>IFERROR(__xludf.DUMMYFUNCTION("""COMPUTED_VALUE"""),"")</f>
        <v/>
      </c>
      <c r="G170" s="337" t="str">
        <f>IFERROR(__xludf.DUMMYFUNCTION("""COMPUTED_VALUE"""),"")</f>
        <v/>
      </c>
      <c r="H170" s="337" t="str">
        <f>IFERROR(__xludf.DUMMYFUNCTION("""COMPUTED_VALUE"""),"")</f>
        <v/>
      </c>
      <c r="I170" s="337" t="str">
        <f>IFERROR(__xludf.DUMMYFUNCTION("""COMPUTED_VALUE"""),"")</f>
        <v/>
      </c>
      <c r="J170" s="341" t="str">
        <f>IFERROR(__xludf.DUMMYFUNCTION("""COMPUTED_VALUE"""),"")</f>
        <v/>
      </c>
      <c r="K170" s="337" t="str">
        <f>IFERROR(__xludf.DUMMYFUNCTION("""COMPUTED_VALUE"""),"")</f>
        <v/>
      </c>
      <c r="L170" s="341" t="str">
        <f>IFERROR(__xludf.DUMMYFUNCTION("""COMPUTED_VALUE"""),"")</f>
        <v/>
      </c>
      <c r="M170" s="337" t="str">
        <f>IFERROR(__xludf.DUMMYFUNCTION("""COMPUTED_VALUE"""),"")</f>
        <v/>
      </c>
      <c r="N170" s="337" t="str">
        <f>IFERROR(__xludf.DUMMYFUNCTION("""COMPUTED_VALUE"""),"")</f>
        <v/>
      </c>
      <c r="O170" s="337" t="str">
        <f>IFERROR(__xludf.DUMMYFUNCTION("""COMPUTED_VALUE"""),"")</f>
        <v/>
      </c>
      <c r="P170" s="337" t="str">
        <f>IFERROR(__xludf.DUMMYFUNCTION("""COMPUTED_VALUE"""),"")</f>
        <v/>
      </c>
      <c r="Q170" s="341" t="str">
        <f>IFERROR(__xludf.DUMMYFUNCTION("""COMPUTED_VALUE"""),"")</f>
        <v/>
      </c>
      <c r="R170" s="337" t="str">
        <f>IFERROR(__xludf.DUMMYFUNCTION("""COMPUTED_VALUE"""),"")</f>
        <v/>
      </c>
      <c r="S170" s="341" t="str">
        <f>IFERROR(__xludf.DUMMYFUNCTION("""COMPUTED_VALUE"""),"")</f>
        <v/>
      </c>
      <c r="T170" s="337" t="str">
        <f>IFERROR(__xludf.DUMMYFUNCTION("""COMPUTED_VALUE"""),"")</f>
        <v/>
      </c>
      <c r="U170" s="337" t="str">
        <f>IFERROR(__xludf.DUMMYFUNCTION("""COMPUTED_VALUE"""),"")</f>
        <v/>
      </c>
      <c r="V170" s="337" t="str">
        <f>IFERROR(__xludf.DUMMYFUNCTION("""COMPUTED_VALUE"""),"")</f>
        <v/>
      </c>
      <c r="W170" s="337" t="str">
        <f>IFERROR(__xludf.DUMMYFUNCTION("""COMPUTED_VALUE"""),"")</f>
        <v/>
      </c>
      <c r="X170" s="341" t="str">
        <f>IFERROR(__xludf.DUMMYFUNCTION("""COMPUTED_VALUE"""),"")</f>
        <v/>
      </c>
      <c r="Y170" s="337" t="str">
        <f>IFERROR(__xludf.DUMMYFUNCTION("""COMPUTED_VALUE"""),"")</f>
        <v/>
      </c>
      <c r="Z170" s="341" t="str">
        <f>IFERROR(__xludf.DUMMYFUNCTION("""COMPUTED_VALUE"""),"")</f>
        <v/>
      </c>
      <c r="AA170" s="337" t="str">
        <f>IFERROR(__xludf.DUMMYFUNCTION("""COMPUTED_VALUE"""),"")</f>
        <v/>
      </c>
      <c r="AB170" s="337" t="str">
        <f>IFERROR(__xludf.DUMMYFUNCTION("""COMPUTED_VALUE"""),"")</f>
        <v/>
      </c>
      <c r="AC170" s="337" t="str">
        <f>IFERROR(__xludf.DUMMYFUNCTION("""COMPUTED_VALUE"""),"")</f>
        <v/>
      </c>
      <c r="AD170" s="337" t="str">
        <f>IFERROR(__xludf.DUMMYFUNCTION("""COMPUTED_VALUE"""),"")</f>
        <v/>
      </c>
      <c r="AE170" s="341" t="str">
        <f>IFERROR(__xludf.DUMMYFUNCTION("""COMPUTED_VALUE"""),"")</f>
        <v/>
      </c>
      <c r="AF170" s="337" t="str">
        <f>IFERROR(__xludf.DUMMYFUNCTION("""COMPUTED_VALUE"""),"")</f>
        <v/>
      </c>
      <c r="AG170" s="341" t="str">
        <f>IFERROR(__xludf.DUMMYFUNCTION("""COMPUTED_VALUE"""),"")</f>
        <v/>
      </c>
      <c r="AH170" s="337" t="str">
        <f>IFERROR(__xludf.DUMMYFUNCTION("""COMPUTED_VALUE"""),"")</f>
        <v/>
      </c>
      <c r="AI170" s="337" t="str">
        <f>IFERROR(__xludf.DUMMYFUNCTION("""COMPUTED_VALUE"""),"")</f>
        <v/>
      </c>
      <c r="AJ170" s="342" t="str">
        <f>IFERROR(__xludf.DUMMYFUNCTION("""COMPUTED_VALUE"""),"")</f>
        <v/>
      </c>
    </row>
    <row r="171" hidden="1">
      <c r="A171" s="343" t="str">
        <f>IFERROR(__xludf.DUMMYFUNCTION("""COMPUTED_VALUE"""),"")</f>
        <v/>
      </c>
      <c r="B171" s="344" t="str">
        <f>IFERROR(__xludf.DUMMYFUNCTION("""COMPUTED_VALUE"""),"")</f>
        <v/>
      </c>
      <c r="C171" s="345" t="str">
        <f>IFERROR(__xludf.DUMMYFUNCTION("""COMPUTED_VALUE"""),"")</f>
        <v/>
      </c>
      <c r="D171" s="346" t="str">
        <f>IFERROR(__xludf.DUMMYFUNCTION("""COMPUTED_VALUE"""),"")</f>
        <v/>
      </c>
      <c r="E171" s="344" t="str">
        <f>IFERROR(__xludf.DUMMYFUNCTION("""COMPUTED_VALUE"""),"")</f>
        <v/>
      </c>
      <c r="F171" s="344" t="str">
        <f>IFERROR(__xludf.DUMMYFUNCTION("""COMPUTED_VALUE"""),"")</f>
        <v/>
      </c>
      <c r="G171" s="344" t="str">
        <f>IFERROR(__xludf.DUMMYFUNCTION("""COMPUTED_VALUE"""),"")</f>
        <v/>
      </c>
      <c r="H171" s="344" t="str">
        <f>IFERROR(__xludf.DUMMYFUNCTION("""COMPUTED_VALUE"""),"")</f>
        <v/>
      </c>
      <c r="I171" s="344" t="str">
        <f>IFERROR(__xludf.DUMMYFUNCTION("""COMPUTED_VALUE"""),"")</f>
        <v/>
      </c>
      <c r="J171" s="347" t="str">
        <f>IFERROR(__xludf.DUMMYFUNCTION("""COMPUTED_VALUE"""),"")</f>
        <v/>
      </c>
      <c r="K171" s="344" t="str">
        <f>IFERROR(__xludf.DUMMYFUNCTION("""COMPUTED_VALUE"""),"")</f>
        <v/>
      </c>
      <c r="L171" s="347" t="str">
        <f>IFERROR(__xludf.DUMMYFUNCTION("""COMPUTED_VALUE"""),"")</f>
        <v/>
      </c>
      <c r="M171" s="344" t="str">
        <f>IFERROR(__xludf.DUMMYFUNCTION("""COMPUTED_VALUE"""),"")</f>
        <v/>
      </c>
      <c r="N171" s="344" t="str">
        <f>IFERROR(__xludf.DUMMYFUNCTION("""COMPUTED_VALUE"""),"")</f>
        <v/>
      </c>
      <c r="O171" s="344" t="str">
        <f>IFERROR(__xludf.DUMMYFUNCTION("""COMPUTED_VALUE"""),"")</f>
        <v/>
      </c>
      <c r="P171" s="344" t="str">
        <f>IFERROR(__xludf.DUMMYFUNCTION("""COMPUTED_VALUE"""),"")</f>
        <v/>
      </c>
      <c r="Q171" s="347" t="str">
        <f>IFERROR(__xludf.DUMMYFUNCTION("""COMPUTED_VALUE"""),"")</f>
        <v/>
      </c>
      <c r="R171" s="344" t="str">
        <f>IFERROR(__xludf.DUMMYFUNCTION("""COMPUTED_VALUE"""),"")</f>
        <v/>
      </c>
      <c r="S171" s="347" t="str">
        <f>IFERROR(__xludf.DUMMYFUNCTION("""COMPUTED_VALUE"""),"")</f>
        <v/>
      </c>
      <c r="T171" s="344" t="str">
        <f>IFERROR(__xludf.DUMMYFUNCTION("""COMPUTED_VALUE"""),"")</f>
        <v/>
      </c>
      <c r="U171" s="344" t="str">
        <f>IFERROR(__xludf.DUMMYFUNCTION("""COMPUTED_VALUE"""),"")</f>
        <v/>
      </c>
      <c r="V171" s="344" t="str">
        <f>IFERROR(__xludf.DUMMYFUNCTION("""COMPUTED_VALUE"""),"")</f>
        <v/>
      </c>
      <c r="W171" s="344" t="str">
        <f>IFERROR(__xludf.DUMMYFUNCTION("""COMPUTED_VALUE"""),"")</f>
        <v/>
      </c>
      <c r="X171" s="347" t="str">
        <f>IFERROR(__xludf.DUMMYFUNCTION("""COMPUTED_VALUE"""),"")</f>
        <v/>
      </c>
      <c r="Y171" s="344" t="str">
        <f>IFERROR(__xludf.DUMMYFUNCTION("""COMPUTED_VALUE"""),"")</f>
        <v/>
      </c>
      <c r="Z171" s="347" t="str">
        <f>IFERROR(__xludf.DUMMYFUNCTION("""COMPUTED_VALUE"""),"")</f>
        <v/>
      </c>
      <c r="AA171" s="344" t="str">
        <f>IFERROR(__xludf.DUMMYFUNCTION("""COMPUTED_VALUE"""),"")</f>
        <v/>
      </c>
      <c r="AB171" s="344" t="str">
        <f>IFERROR(__xludf.DUMMYFUNCTION("""COMPUTED_VALUE"""),"")</f>
        <v/>
      </c>
      <c r="AC171" s="344" t="str">
        <f>IFERROR(__xludf.DUMMYFUNCTION("""COMPUTED_VALUE"""),"")</f>
        <v/>
      </c>
      <c r="AD171" s="344" t="str">
        <f>IFERROR(__xludf.DUMMYFUNCTION("""COMPUTED_VALUE"""),"")</f>
        <v/>
      </c>
      <c r="AE171" s="347" t="str">
        <f>IFERROR(__xludf.DUMMYFUNCTION("""COMPUTED_VALUE"""),"")</f>
        <v/>
      </c>
      <c r="AF171" s="344" t="str">
        <f>IFERROR(__xludf.DUMMYFUNCTION("""COMPUTED_VALUE"""),"")</f>
        <v/>
      </c>
      <c r="AG171" s="347" t="str">
        <f>IFERROR(__xludf.DUMMYFUNCTION("""COMPUTED_VALUE"""),"")</f>
        <v/>
      </c>
      <c r="AH171" s="344" t="str">
        <f>IFERROR(__xludf.DUMMYFUNCTION("""COMPUTED_VALUE"""),"")</f>
        <v/>
      </c>
      <c r="AI171" s="344" t="str">
        <f>IFERROR(__xludf.DUMMYFUNCTION("""COMPUTED_VALUE"""),"")</f>
        <v/>
      </c>
      <c r="AJ171" s="348" t="str">
        <f>IFERROR(__xludf.DUMMYFUNCTION("""COMPUTED_VALUE"""),"")</f>
        <v/>
      </c>
    </row>
    <row r="172" ht="16.5" hidden="1" customHeight="1">
      <c r="A172" s="349">
        <f>IFERROR(__xludf.DUMMYFUNCTION("""COMPUTED_VALUE"""),20.0)</f>
        <v>20</v>
      </c>
      <c r="B172" s="313" t="str">
        <f>IFERROR(__xludf.DUMMYFUNCTION("""COMPUTED_VALUE"""),"A302")</f>
        <v>A302</v>
      </c>
      <c r="C172" s="314" t="str">
        <f>IFERROR(__xludf.DUMMYFUNCTION("""COMPUTED_VALUE"""),"")</f>
        <v/>
      </c>
      <c r="D172" s="350" t="str">
        <f>IFERROR(__xludf.DUMMYFUNCTION("""COMPUTED_VALUE"""),"Evil Bone")</f>
        <v>Evil Bone</v>
      </c>
      <c r="E172" s="351" t="str">
        <f>IFERROR(__xludf.DUMMYFUNCTION("""COMPUTED_VALUE"""),"AP")</f>
        <v>AP</v>
      </c>
      <c r="F172" s="351" t="str">
        <f>IFERROR(__xludf.DUMMYFUNCTION("""COMPUTED_VALUE"""),"Runs")</f>
        <v>Runs</v>
      </c>
      <c r="G172" s="316" t="str">
        <f>IFERROR(__xludf.DUMMYFUNCTION("""COMPUTED_VALUE"""),"Status")</f>
        <v>Status</v>
      </c>
      <c r="H172" s="351" t="str">
        <f>IFERROR(__xludf.DUMMYFUNCTION("""COMPUTED_VALUE"""),"Mat")</f>
        <v>Mat</v>
      </c>
      <c r="I172" s="351" t="str">
        <f>IFERROR(__xludf.DUMMYFUNCTION("""COMPUTED_VALUE"""),"AP/Drop")</f>
        <v>AP/Drop</v>
      </c>
      <c r="J172" s="351" t="str">
        <f>IFERROR(__xludf.DUMMYFUNCTION("""COMPUTED_VALUE"""),"")</f>
        <v/>
      </c>
      <c r="K172" s="351" t="str">
        <f>IFERROR(__xludf.DUMMYFUNCTION("""COMPUTED_VALUE"""),"Droprate")</f>
        <v>Droprate</v>
      </c>
      <c r="L172" s="351" t="str">
        <f>IFERROR(__xludf.DUMMYFUNCTION("""COMPUTED_VALUE"""),"")</f>
        <v/>
      </c>
      <c r="M172" s="351" t="str">
        <f>IFERROR(__xludf.DUMMYFUNCTION("""COMPUTED_VALUE"""),"#2")</f>
        <v>#2</v>
      </c>
      <c r="N172" s="351" t="str">
        <f>IFERROR(__xludf.DUMMYFUNCTION("""COMPUTED_VALUE"""),"Item 2 ID")</f>
        <v>Item 2 ID</v>
      </c>
      <c r="O172" s="351" t="str">
        <f>IFERROR(__xludf.DUMMYFUNCTION("""COMPUTED_VALUE"""),"Mat")</f>
        <v>Mat</v>
      </c>
      <c r="P172" s="351" t="str">
        <f>IFERROR(__xludf.DUMMYFUNCTION("""COMPUTED_VALUE"""),"AP/Drop")</f>
        <v>AP/Drop</v>
      </c>
      <c r="Q172" s="351" t="str">
        <f>IFERROR(__xludf.DUMMYFUNCTION("""COMPUTED_VALUE"""),"")</f>
        <v/>
      </c>
      <c r="R172" s="351" t="str">
        <f>IFERROR(__xludf.DUMMYFUNCTION("""COMPUTED_VALUE"""),"Droprate")</f>
        <v>Droprate</v>
      </c>
      <c r="S172" s="351" t="str">
        <f>IFERROR(__xludf.DUMMYFUNCTION("""COMPUTED_VALUE"""),"")</f>
        <v/>
      </c>
      <c r="T172" s="351" t="str">
        <f>IFERROR(__xludf.DUMMYFUNCTION("""COMPUTED_VALUE"""),"#3")</f>
        <v>#3</v>
      </c>
      <c r="U172" s="351" t="str">
        <f>IFERROR(__xludf.DUMMYFUNCTION("""COMPUTED_VALUE"""),"Item 2 ID")</f>
        <v>Item 2 ID</v>
      </c>
      <c r="V172" s="351" t="str">
        <f>IFERROR(__xludf.DUMMYFUNCTION("""COMPUTED_VALUE"""),"Mat")</f>
        <v>Mat</v>
      </c>
      <c r="W172" s="351" t="str">
        <f>IFERROR(__xludf.DUMMYFUNCTION("""COMPUTED_VALUE"""),"AP/Drop")</f>
        <v>AP/Drop</v>
      </c>
      <c r="X172" s="351" t="str">
        <f>IFERROR(__xludf.DUMMYFUNCTION("""COMPUTED_VALUE"""),"")</f>
        <v/>
      </c>
      <c r="Y172" s="351" t="str">
        <f>IFERROR(__xludf.DUMMYFUNCTION("""COMPUTED_VALUE"""),"Droprate")</f>
        <v>Droprate</v>
      </c>
      <c r="Z172" s="351" t="str">
        <f>IFERROR(__xludf.DUMMYFUNCTION("""COMPUTED_VALUE"""),"")</f>
        <v/>
      </c>
      <c r="AA172" s="351" t="str">
        <f>IFERROR(__xludf.DUMMYFUNCTION("""COMPUTED_VALUE"""),"#4")</f>
        <v>#4</v>
      </c>
      <c r="AB172" s="351" t="str">
        <f>IFERROR(__xludf.DUMMYFUNCTION("""COMPUTED_VALUE"""),"Item 3 ID")</f>
        <v>Item 3 ID</v>
      </c>
      <c r="AC172" s="351" t="str">
        <f>IFERROR(__xludf.DUMMYFUNCTION("""COMPUTED_VALUE"""),"Mat")</f>
        <v>Mat</v>
      </c>
      <c r="AD172" s="351" t="str">
        <f>IFERROR(__xludf.DUMMYFUNCTION("""COMPUTED_VALUE"""),"AP/Drop")</f>
        <v>AP/Drop</v>
      </c>
      <c r="AE172" s="351" t="str">
        <f>IFERROR(__xludf.DUMMYFUNCTION("""COMPUTED_VALUE"""),"")</f>
        <v/>
      </c>
      <c r="AF172" s="351" t="str">
        <f>IFERROR(__xludf.DUMMYFUNCTION("""COMPUTED_VALUE"""),"Droprate")</f>
        <v>Droprate</v>
      </c>
      <c r="AG172" s="351" t="str">
        <f>IFERROR(__xludf.DUMMYFUNCTION("""COMPUTED_VALUE"""),"")</f>
        <v/>
      </c>
      <c r="AH172" s="351" t="str">
        <f>IFERROR(__xludf.DUMMYFUNCTION("""COMPUTED_VALUE"""),"AP")</f>
        <v>AP</v>
      </c>
      <c r="AI172" s="351" t="str">
        <f>IFERROR(__xludf.DUMMYFUNCTION("""COMPUTED_VALUE"""),"Runs")</f>
        <v>Runs</v>
      </c>
      <c r="AJ172" s="351" t="str">
        <f>IFERROR(__xludf.DUMMYFUNCTION("""COMPUTED_VALUE"""),"Node Name")</f>
        <v>Node Name</v>
      </c>
    </row>
    <row r="173" ht="16.5" hidden="1" customHeight="1">
      <c r="D173" s="317" t="str">
        <f>IFERROR(__xludf.DUMMYFUNCTION("""COMPUTED_VALUE"""),"#N/A")</f>
        <v>#N/A</v>
      </c>
      <c r="E173" s="318"/>
      <c r="F173" s="318"/>
      <c r="G173" s="318"/>
      <c r="H173" s="318"/>
      <c r="I173" s="318"/>
      <c r="J173" s="318"/>
      <c r="K173" s="318"/>
      <c r="L173" s="318"/>
      <c r="M173" s="318"/>
      <c r="N173" s="318"/>
      <c r="O173" s="318"/>
      <c r="P173" s="318"/>
      <c r="Q173" s="318"/>
      <c r="R173" s="318"/>
      <c r="S173" s="318"/>
      <c r="T173" s="318"/>
      <c r="U173" s="318"/>
      <c r="V173" s="318"/>
      <c r="W173" s="318"/>
      <c r="X173" s="318"/>
      <c r="Y173" s="318"/>
      <c r="Z173" s="318"/>
      <c r="AA173" s="318"/>
      <c r="AB173" s="318"/>
      <c r="AC173" s="318"/>
      <c r="AD173" s="318"/>
      <c r="AE173" s="318"/>
      <c r="AF173" s="318"/>
      <c r="AG173" s="318"/>
      <c r="AH173" s="318"/>
      <c r="AI173" s="318"/>
      <c r="AJ173" s="318"/>
    </row>
    <row r="174" ht="24.75" hidden="1" customHeight="1">
      <c r="A174" s="319">
        <f>IFERROR(__xludf.DUMMYFUNCTION("""COMPUTED_VALUE"""),1.0)</f>
        <v>1</v>
      </c>
      <c r="B174" s="319" t="str">
        <f>IFERROR(__xludf.DUMMYFUNCTION("""COMPUTED_VALUE"""),"A302")</f>
        <v>A302</v>
      </c>
      <c r="C174" s="319">
        <f>IFERROR(__xludf.DUMMYFUNCTION("""COMPUTED_VALUE"""),18.0)</f>
        <v>18</v>
      </c>
      <c r="D174" s="320" t="str">
        <f>IFERROR(__xludf.DUMMYFUNCTION("""COMPUTED_VALUE"""),"Armory")</f>
        <v>Armory</v>
      </c>
      <c r="E174" s="321">
        <f>IFERROR(__xludf.DUMMYFUNCTION("""COMPUTED_VALUE"""),20.0)</f>
        <v>20</v>
      </c>
      <c r="F174" s="322">
        <f>IFERROR(__xludf.DUMMYFUNCTION("""COMPUTED_VALUE"""),40.0)</f>
        <v>40</v>
      </c>
      <c r="G174" s="322" t="str">
        <f>IFERROR(__xludf.DUMMYFUNCTION("""COMPUTED_VALUE"""),"Open")</f>
        <v>Open</v>
      </c>
      <c r="H174" s="323" t="str">
        <f>IFERROR(__xludf.DUMMYFUNCTION("""COMPUTED_VALUE"""),"")</f>
        <v/>
      </c>
      <c r="I174" s="324">
        <f>IFERROR(__xludf.DUMMYFUNCTION("""COMPUTED_VALUE"""),400.0)</f>
        <v>400</v>
      </c>
      <c r="J174" s="325" t="str">
        <f>IFERROR(__xludf.DUMMYFUNCTION("""COMPUTED_VALUE"""),"AP")</f>
        <v>AP</v>
      </c>
      <c r="K174" s="324">
        <f>IFERROR(__xludf.DUMMYFUNCTION("""COMPUTED_VALUE"""),5.0)</f>
        <v>5</v>
      </c>
      <c r="L174" s="325" t="str">
        <f>IFERROR(__xludf.DUMMYFUNCTION("""COMPUTED_VALUE"""),"%")</f>
        <v>%</v>
      </c>
      <c r="M174" s="326">
        <f>IFERROR(__xludf.DUMMYFUNCTION("""COMPUTED_VALUE"""),1.0)</f>
        <v>1</v>
      </c>
      <c r="N174" s="324" t="str">
        <f>IFERROR(__xludf.DUMMYFUNCTION("""COMPUTED_VALUE"""),"B104")</f>
        <v>B104</v>
      </c>
      <c r="O174" s="327" t="str">
        <f>IFERROR(__xludf.DUMMYFUNCTION("""COMPUTED_VALUE"""),"")</f>
        <v/>
      </c>
      <c r="P174" s="324">
        <f>IFERROR(__xludf.DUMMYFUNCTION("""COMPUTED_VALUE"""),800.0)</f>
        <v>800</v>
      </c>
      <c r="Q174" s="325" t="str">
        <f>IFERROR(__xludf.DUMMYFUNCTION("""COMPUTED_VALUE"""),"AP")</f>
        <v>AP</v>
      </c>
      <c r="R174" s="324">
        <f>IFERROR(__xludf.DUMMYFUNCTION("""COMPUTED_VALUE"""),2.5)</f>
        <v>2.5</v>
      </c>
      <c r="S174" s="325" t="str">
        <f>IFERROR(__xludf.DUMMYFUNCTION("""COMPUTED_VALUE"""),"%")</f>
        <v>%</v>
      </c>
      <c r="T174" s="326">
        <f>IFERROR(__xludf.DUMMYFUNCTION("""COMPUTED_VALUE"""),2.0)</f>
        <v>2</v>
      </c>
      <c r="U174" s="324" t="str">
        <f>IFERROR(__xludf.DUMMYFUNCTION("""COMPUTED_VALUE"""),"B114")</f>
        <v>B114</v>
      </c>
      <c r="V174" s="327" t="str">
        <f>IFERROR(__xludf.DUMMYFUNCTION("""COMPUTED_VALUE"""),"")</f>
        <v/>
      </c>
      <c r="W174" s="324">
        <f>IFERROR(__xludf.DUMMYFUNCTION("""COMPUTED_VALUE"""),400.0)</f>
        <v>400</v>
      </c>
      <c r="X174" s="325" t="str">
        <f>IFERROR(__xludf.DUMMYFUNCTION("""COMPUTED_VALUE"""),"AP")</f>
        <v>AP</v>
      </c>
      <c r="Y174" s="324">
        <f>IFERROR(__xludf.DUMMYFUNCTION("""COMPUTED_VALUE"""),5.0)</f>
        <v>5</v>
      </c>
      <c r="Z174" s="325" t="str">
        <f>IFERROR(__xludf.DUMMYFUNCTION("""COMPUTED_VALUE"""),"%")</f>
        <v>%</v>
      </c>
      <c r="AA174" s="326">
        <f>IFERROR(__xludf.DUMMYFUNCTION("""COMPUTED_VALUE"""),3.0)</f>
        <v>3</v>
      </c>
      <c r="AB174" s="324" t="str">
        <f>IFERROR(__xludf.DUMMYFUNCTION("""COMPUTED_VALUE"""),"")</f>
        <v/>
      </c>
      <c r="AC174" s="327" t="str">
        <f>IFERROR(__xludf.DUMMYFUNCTION("""COMPUTED_VALUE"""),"")</f>
        <v/>
      </c>
      <c r="AD174" s="324" t="str">
        <f>IFERROR(__xludf.DUMMYFUNCTION("""COMPUTED_VALUE"""),"")</f>
        <v/>
      </c>
      <c r="AE174" s="325" t="str">
        <f>IFERROR(__xludf.DUMMYFUNCTION("""COMPUTED_VALUE"""),"AP")</f>
        <v>AP</v>
      </c>
      <c r="AF174" s="324">
        <f>IFERROR(__xludf.DUMMYFUNCTION("""COMPUTED_VALUE"""),0.0)</f>
        <v>0</v>
      </c>
      <c r="AG174" s="325" t="str">
        <f>IFERROR(__xludf.DUMMYFUNCTION("""COMPUTED_VALUE"""),"%")</f>
        <v>%</v>
      </c>
      <c r="AH174" s="321">
        <f>IFERROR(__xludf.DUMMYFUNCTION("""COMPUTED_VALUE"""),20.0)</f>
        <v>20</v>
      </c>
      <c r="AI174" s="322">
        <f>IFERROR(__xludf.DUMMYFUNCTION("""COMPUTED_VALUE"""),40.0)</f>
        <v>40</v>
      </c>
      <c r="AJ174" s="320" t="str">
        <f>IFERROR(__xludf.DUMMYFUNCTION("""COMPUTED_VALUE"""),"Armory")</f>
        <v>Armory</v>
      </c>
    </row>
    <row r="175" ht="24.75" hidden="1" customHeight="1">
      <c r="A175" s="328">
        <f>IFERROR(__xludf.DUMMYFUNCTION("""COMPUTED_VALUE"""),2.0)</f>
        <v>2</v>
      </c>
      <c r="B175" s="328" t="str">
        <f>IFERROR(__xludf.DUMMYFUNCTION("""COMPUTED_VALUE"""),"A302")</f>
        <v>A302</v>
      </c>
      <c r="C175" s="328" t="str">
        <f>IFERROR(__xludf.DUMMYFUNCTION("""COMPUTED_VALUE"""),"")</f>
        <v/>
      </c>
      <c r="D175" s="329" t="str">
        <f>IFERROR(__xludf.DUMMYFUNCTION("""COMPUTED_VALUE"""),"")</f>
        <v/>
      </c>
      <c r="E175" s="330" t="str">
        <f>IFERROR(__xludf.DUMMYFUNCTION("""COMPUTED_VALUE"""),"")</f>
        <v/>
      </c>
      <c r="F175" s="331" t="str">
        <f>IFERROR(__xludf.DUMMYFUNCTION("""COMPUTED_VALUE"""),"")</f>
        <v/>
      </c>
      <c r="G175" s="331" t="str">
        <f>IFERROR(__xludf.DUMMYFUNCTION("""COMPUTED_VALUE"""),"")</f>
        <v/>
      </c>
      <c r="H175" s="323" t="str">
        <f>IFERROR(__xludf.DUMMYFUNCTION("""COMPUTED_VALUE""")," ")</f>
        <v> </v>
      </c>
      <c r="I175" s="332" t="str">
        <f>IFERROR(__xludf.DUMMYFUNCTION("""COMPUTED_VALUE"""),"")</f>
        <v/>
      </c>
      <c r="J175" s="333" t="str">
        <f>IFERROR(__xludf.DUMMYFUNCTION("""COMPUTED_VALUE"""),"AP")</f>
        <v>AP</v>
      </c>
      <c r="K175" s="332">
        <f>IFERROR(__xludf.DUMMYFUNCTION("""COMPUTED_VALUE"""),0.0)</f>
        <v>0</v>
      </c>
      <c r="L175" s="334" t="str">
        <f>IFERROR(__xludf.DUMMYFUNCTION("""COMPUTED_VALUE"""),"%")</f>
        <v>%</v>
      </c>
      <c r="M175" s="335">
        <f>IFERROR(__xludf.DUMMYFUNCTION("""COMPUTED_VALUE"""),1.0)</f>
        <v>1</v>
      </c>
      <c r="N175" s="332" t="str">
        <f>IFERROR(__xludf.DUMMYFUNCTION("""COMPUTED_VALUE"""),"")</f>
        <v/>
      </c>
      <c r="O175" s="327" t="str">
        <f>IFERROR(__xludf.DUMMYFUNCTION("""COMPUTED_VALUE"""),"")</f>
        <v/>
      </c>
      <c r="P175" s="332" t="str">
        <f>IFERROR(__xludf.DUMMYFUNCTION("""COMPUTED_VALUE"""),"")</f>
        <v/>
      </c>
      <c r="Q175" s="333" t="str">
        <f>IFERROR(__xludf.DUMMYFUNCTION("""COMPUTED_VALUE"""),"AP")</f>
        <v>AP</v>
      </c>
      <c r="R175" s="332">
        <f>IFERROR(__xludf.DUMMYFUNCTION("""COMPUTED_VALUE"""),0.0)</f>
        <v>0</v>
      </c>
      <c r="S175" s="334" t="str">
        <f>IFERROR(__xludf.DUMMYFUNCTION("""COMPUTED_VALUE"""),"%")</f>
        <v>%</v>
      </c>
      <c r="T175" s="335">
        <f>IFERROR(__xludf.DUMMYFUNCTION("""COMPUTED_VALUE"""),2.0)</f>
        <v>2</v>
      </c>
      <c r="U175" s="332" t="str">
        <f>IFERROR(__xludf.DUMMYFUNCTION("""COMPUTED_VALUE"""),"")</f>
        <v/>
      </c>
      <c r="V175" s="327" t="str">
        <f>IFERROR(__xludf.DUMMYFUNCTION("""COMPUTED_VALUE"""),"")</f>
        <v/>
      </c>
      <c r="W175" s="332" t="str">
        <f>IFERROR(__xludf.DUMMYFUNCTION("""COMPUTED_VALUE"""),"")</f>
        <v/>
      </c>
      <c r="X175" s="333" t="str">
        <f>IFERROR(__xludf.DUMMYFUNCTION("""COMPUTED_VALUE"""),"AP")</f>
        <v>AP</v>
      </c>
      <c r="Y175" s="332">
        <f>IFERROR(__xludf.DUMMYFUNCTION("""COMPUTED_VALUE"""),0.0)</f>
        <v>0</v>
      </c>
      <c r="Z175" s="334" t="str">
        <f>IFERROR(__xludf.DUMMYFUNCTION("""COMPUTED_VALUE"""),"%")</f>
        <v>%</v>
      </c>
      <c r="AA175" s="335">
        <f>IFERROR(__xludf.DUMMYFUNCTION("""COMPUTED_VALUE"""),3.0)</f>
        <v>3</v>
      </c>
      <c r="AB175" s="332" t="str">
        <f>IFERROR(__xludf.DUMMYFUNCTION("""COMPUTED_VALUE"""),"")</f>
        <v/>
      </c>
      <c r="AC175" s="327" t="str">
        <f>IFERROR(__xludf.DUMMYFUNCTION("""COMPUTED_VALUE"""),"")</f>
        <v/>
      </c>
      <c r="AD175" s="332" t="str">
        <f>IFERROR(__xludf.DUMMYFUNCTION("""COMPUTED_VALUE"""),"")</f>
        <v/>
      </c>
      <c r="AE175" s="333" t="str">
        <f>IFERROR(__xludf.DUMMYFUNCTION("""COMPUTED_VALUE"""),"AP")</f>
        <v>AP</v>
      </c>
      <c r="AF175" s="332">
        <f>IFERROR(__xludf.DUMMYFUNCTION("""COMPUTED_VALUE"""),0.0)</f>
        <v>0</v>
      </c>
      <c r="AG175" s="334" t="str">
        <f>IFERROR(__xludf.DUMMYFUNCTION("""COMPUTED_VALUE"""),"%")</f>
        <v>%</v>
      </c>
      <c r="AH175" s="330" t="str">
        <f>IFERROR(__xludf.DUMMYFUNCTION("""COMPUTED_VALUE"""),"")</f>
        <v/>
      </c>
      <c r="AI175" s="331" t="str">
        <f>IFERROR(__xludf.DUMMYFUNCTION("""COMPUTED_VALUE"""),"")</f>
        <v/>
      </c>
      <c r="AJ175" s="329" t="str">
        <f>IFERROR(__xludf.DUMMYFUNCTION("""COMPUTED_VALUE"""),"")</f>
        <v/>
      </c>
    </row>
    <row r="176" ht="24.75" hidden="1" customHeight="1">
      <c r="A176" s="319">
        <f>IFERROR(__xludf.DUMMYFUNCTION("""COMPUTED_VALUE"""),3.0)</f>
        <v>3</v>
      </c>
      <c r="B176" s="319" t="str">
        <f>IFERROR(__xludf.DUMMYFUNCTION("""COMPUTED_VALUE"""),"A302")</f>
        <v>A302</v>
      </c>
      <c r="C176" s="319" t="str">
        <f>IFERROR(__xludf.DUMMYFUNCTION("""COMPUTED_VALUE"""),"")</f>
        <v/>
      </c>
      <c r="D176" s="320" t="str">
        <f>IFERROR(__xludf.DUMMYFUNCTION("""COMPUTED_VALUE"""),"")</f>
        <v/>
      </c>
      <c r="E176" s="321" t="str">
        <f>IFERROR(__xludf.DUMMYFUNCTION("""COMPUTED_VALUE"""),"")</f>
        <v/>
      </c>
      <c r="F176" s="322" t="str">
        <f>IFERROR(__xludf.DUMMYFUNCTION("""COMPUTED_VALUE"""),"")</f>
        <v/>
      </c>
      <c r="G176" s="322" t="str">
        <f>IFERROR(__xludf.DUMMYFUNCTION("""COMPUTED_VALUE"""),"")</f>
        <v/>
      </c>
      <c r="H176" s="323" t="str">
        <f>IFERROR(__xludf.DUMMYFUNCTION("""COMPUTED_VALUE""")," ")</f>
        <v> </v>
      </c>
      <c r="I176" s="324" t="str">
        <f>IFERROR(__xludf.DUMMYFUNCTION("""COMPUTED_VALUE"""),"")</f>
        <v/>
      </c>
      <c r="J176" s="325" t="str">
        <f>IFERROR(__xludf.DUMMYFUNCTION("""COMPUTED_VALUE"""),"AP")</f>
        <v>AP</v>
      </c>
      <c r="K176" s="324">
        <f>IFERROR(__xludf.DUMMYFUNCTION("""COMPUTED_VALUE"""),0.0)</f>
        <v>0</v>
      </c>
      <c r="L176" s="325" t="str">
        <f>IFERROR(__xludf.DUMMYFUNCTION("""COMPUTED_VALUE"""),"%")</f>
        <v>%</v>
      </c>
      <c r="M176" s="326">
        <f>IFERROR(__xludf.DUMMYFUNCTION("""COMPUTED_VALUE"""),1.0)</f>
        <v>1</v>
      </c>
      <c r="N176" s="324" t="str">
        <f>IFERROR(__xludf.DUMMYFUNCTION("""COMPUTED_VALUE"""),"")</f>
        <v/>
      </c>
      <c r="O176" s="327" t="str">
        <f>IFERROR(__xludf.DUMMYFUNCTION("""COMPUTED_VALUE"""),"")</f>
        <v/>
      </c>
      <c r="P176" s="324" t="str">
        <f>IFERROR(__xludf.DUMMYFUNCTION("""COMPUTED_VALUE"""),"")</f>
        <v/>
      </c>
      <c r="Q176" s="325" t="str">
        <f>IFERROR(__xludf.DUMMYFUNCTION("""COMPUTED_VALUE"""),"AP")</f>
        <v>AP</v>
      </c>
      <c r="R176" s="324">
        <f>IFERROR(__xludf.DUMMYFUNCTION("""COMPUTED_VALUE"""),0.0)</f>
        <v>0</v>
      </c>
      <c r="S176" s="325" t="str">
        <f>IFERROR(__xludf.DUMMYFUNCTION("""COMPUTED_VALUE"""),"%")</f>
        <v>%</v>
      </c>
      <c r="T176" s="326">
        <f>IFERROR(__xludf.DUMMYFUNCTION("""COMPUTED_VALUE"""),2.0)</f>
        <v>2</v>
      </c>
      <c r="U176" s="324" t="str">
        <f>IFERROR(__xludf.DUMMYFUNCTION("""COMPUTED_VALUE"""),"")</f>
        <v/>
      </c>
      <c r="V176" s="327" t="str">
        <f>IFERROR(__xludf.DUMMYFUNCTION("""COMPUTED_VALUE"""),"")</f>
        <v/>
      </c>
      <c r="W176" s="324" t="str">
        <f>IFERROR(__xludf.DUMMYFUNCTION("""COMPUTED_VALUE"""),"")</f>
        <v/>
      </c>
      <c r="X176" s="325" t="str">
        <f>IFERROR(__xludf.DUMMYFUNCTION("""COMPUTED_VALUE"""),"AP")</f>
        <v>AP</v>
      </c>
      <c r="Y176" s="324">
        <f>IFERROR(__xludf.DUMMYFUNCTION("""COMPUTED_VALUE"""),0.0)</f>
        <v>0</v>
      </c>
      <c r="Z176" s="325" t="str">
        <f>IFERROR(__xludf.DUMMYFUNCTION("""COMPUTED_VALUE"""),"%")</f>
        <v>%</v>
      </c>
      <c r="AA176" s="326">
        <f>IFERROR(__xludf.DUMMYFUNCTION("""COMPUTED_VALUE"""),3.0)</f>
        <v>3</v>
      </c>
      <c r="AB176" s="324" t="str">
        <f>IFERROR(__xludf.DUMMYFUNCTION("""COMPUTED_VALUE"""),"")</f>
        <v/>
      </c>
      <c r="AC176" s="327" t="str">
        <f>IFERROR(__xludf.DUMMYFUNCTION("""COMPUTED_VALUE"""),"")</f>
        <v/>
      </c>
      <c r="AD176" s="324" t="str">
        <f>IFERROR(__xludf.DUMMYFUNCTION("""COMPUTED_VALUE"""),"")</f>
        <v/>
      </c>
      <c r="AE176" s="325" t="str">
        <f>IFERROR(__xludf.DUMMYFUNCTION("""COMPUTED_VALUE"""),"AP")</f>
        <v>AP</v>
      </c>
      <c r="AF176" s="324">
        <f>IFERROR(__xludf.DUMMYFUNCTION("""COMPUTED_VALUE"""),0.0)</f>
        <v>0</v>
      </c>
      <c r="AG176" s="325" t="str">
        <f>IFERROR(__xludf.DUMMYFUNCTION("""COMPUTED_VALUE"""),"%")</f>
        <v>%</v>
      </c>
      <c r="AH176" s="321" t="str">
        <f>IFERROR(__xludf.DUMMYFUNCTION("""COMPUTED_VALUE"""),"")</f>
        <v/>
      </c>
      <c r="AI176" s="322" t="str">
        <f>IFERROR(__xludf.DUMMYFUNCTION("""COMPUTED_VALUE"""),"")</f>
        <v/>
      </c>
      <c r="AJ176" s="320" t="str">
        <f>IFERROR(__xludf.DUMMYFUNCTION("""COMPUTED_VALUE"""),"")</f>
        <v/>
      </c>
    </row>
    <row r="177" ht="24.75" hidden="1" customHeight="1">
      <c r="A177" s="328">
        <f>IFERROR(__xludf.DUMMYFUNCTION("""COMPUTED_VALUE"""),4.0)</f>
        <v>4</v>
      </c>
      <c r="B177" s="328" t="str">
        <f>IFERROR(__xludf.DUMMYFUNCTION("""COMPUTED_VALUE"""),"A302")</f>
        <v>A302</v>
      </c>
      <c r="C177" s="328" t="str">
        <f>IFERROR(__xludf.DUMMYFUNCTION("""COMPUTED_VALUE"""),"")</f>
        <v/>
      </c>
      <c r="D177" s="329" t="str">
        <f>IFERROR(__xludf.DUMMYFUNCTION("""COMPUTED_VALUE"""),"")</f>
        <v/>
      </c>
      <c r="E177" s="330" t="str">
        <f>IFERROR(__xludf.DUMMYFUNCTION("""COMPUTED_VALUE"""),"")</f>
        <v/>
      </c>
      <c r="F177" s="331" t="str">
        <f>IFERROR(__xludf.DUMMYFUNCTION("""COMPUTED_VALUE"""),"")</f>
        <v/>
      </c>
      <c r="G177" s="331" t="str">
        <f>IFERROR(__xludf.DUMMYFUNCTION("""COMPUTED_VALUE"""),"")</f>
        <v/>
      </c>
      <c r="H177" s="323" t="str">
        <f>IFERROR(__xludf.DUMMYFUNCTION("""COMPUTED_VALUE""")," ")</f>
        <v> </v>
      </c>
      <c r="I177" s="332" t="str">
        <f>IFERROR(__xludf.DUMMYFUNCTION("""COMPUTED_VALUE"""),"")</f>
        <v/>
      </c>
      <c r="J177" s="333" t="str">
        <f>IFERROR(__xludf.DUMMYFUNCTION("""COMPUTED_VALUE"""),"AP")</f>
        <v>AP</v>
      </c>
      <c r="K177" s="332">
        <f>IFERROR(__xludf.DUMMYFUNCTION("""COMPUTED_VALUE"""),0.0)</f>
        <v>0</v>
      </c>
      <c r="L177" s="334" t="str">
        <f>IFERROR(__xludf.DUMMYFUNCTION("""COMPUTED_VALUE"""),"%")</f>
        <v>%</v>
      </c>
      <c r="M177" s="335">
        <f>IFERROR(__xludf.DUMMYFUNCTION("""COMPUTED_VALUE"""),1.0)</f>
        <v>1</v>
      </c>
      <c r="N177" s="332" t="str">
        <f>IFERROR(__xludf.DUMMYFUNCTION("""COMPUTED_VALUE"""),"")</f>
        <v/>
      </c>
      <c r="O177" s="327" t="str">
        <f>IFERROR(__xludf.DUMMYFUNCTION("""COMPUTED_VALUE"""),"")</f>
        <v/>
      </c>
      <c r="P177" s="332" t="str">
        <f>IFERROR(__xludf.DUMMYFUNCTION("""COMPUTED_VALUE"""),"")</f>
        <v/>
      </c>
      <c r="Q177" s="333" t="str">
        <f>IFERROR(__xludf.DUMMYFUNCTION("""COMPUTED_VALUE"""),"AP")</f>
        <v>AP</v>
      </c>
      <c r="R177" s="332">
        <f>IFERROR(__xludf.DUMMYFUNCTION("""COMPUTED_VALUE"""),0.0)</f>
        <v>0</v>
      </c>
      <c r="S177" s="334" t="str">
        <f>IFERROR(__xludf.DUMMYFUNCTION("""COMPUTED_VALUE"""),"%")</f>
        <v>%</v>
      </c>
      <c r="T177" s="335">
        <f>IFERROR(__xludf.DUMMYFUNCTION("""COMPUTED_VALUE"""),2.0)</f>
        <v>2</v>
      </c>
      <c r="U177" s="332" t="str">
        <f>IFERROR(__xludf.DUMMYFUNCTION("""COMPUTED_VALUE"""),"")</f>
        <v/>
      </c>
      <c r="V177" s="327" t="str">
        <f>IFERROR(__xludf.DUMMYFUNCTION("""COMPUTED_VALUE"""),"")</f>
        <v/>
      </c>
      <c r="W177" s="332" t="str">
        <f>IFERROR(__xludf.DUMMYFUNCTION("""COMPUTED_VALUE"""),"")</f>
        <v/>
      </c>
      <c r="X177" s="333" t="str">
        <f>IFERROR(__xludf.DUMMYFUNCTION("""COMPUTED_VALUE"""),"AP")</f>
        <v>AP</v>
      </c>
      <c r="Y177" s="332">
        <f>IFERROR(__xludf.DUMMYFUNCTION("""COMPUTED_VALUE"""),0.0)</f>
        <v>0</v>
      </c>
      <c r="Z177" s="334" t="str">
        <f>IFERROR(__xludf.DUMMYFUNCTION("""COMPUTED_VALUE"""),"%")</f>
        <v>%</v>
      </c>
      <c r="AA177" s="335">
        <f>IFERROR(__xludf.DUMMYFUNCTION("""COMPUTED_VALUE"""),3.0)</f>
        <v>3</v>
      </c>
      <c r="AB177" s="332" t="str">
        <f>IFERROR(__xludf.DUMMYFUNCTION("""COMPUTED_VALUE"""),"")</f>
        <v/>
      </c>
      <c r="AC177" s="327" t="str">
        <f>IFERROR(__xludf.DUMMYFUNCTION("""COMPUTED_VALUE"""),"")</f>
        <v/>
      </c>
      <c r="AD177" s="332" t="str">
        <f>IFERROR(__xludf.DUMMYFUNCTION("""COMPUTED_VALUE"""),"")</f>
        <v/>
      </c>
      <c r="AE177" s="333" t="str">
        <f>IFERROR(__xludf.DUMMYFUNCTION("""COMPUTED_VALUE"""),"AP")</f>
        <v>AP</v>
      </c>
      <c r="AF177" s="332">
        <f>IFERROR(__xludf.DUMMYFUNCTION("""COMPUTED_VALUE"""),0.0)</f>
        <v>0</v>
      </c>
      <c r="AG177" s="334" t="str">
        <f>IFERROR(__xludf.DUMMYFUNCTION("""COMPUTED_VALUE"""),"%")</f>
        <v>%</v>
      </c>
      <c r="AH177" s="330" t="str">
        <f>IFERROR(__xludf.DUMMYFUNCTION("""COMPUTED_VALUE"""),"")</f>
        <v/>
      </c>
      <c r="AI177" s="331" t="str">
        <f>IFERROR(__xludf.DUMMYFUNCTION("""COMPUTED_VALUE"""),"")</f>
        <v/>
      </c>
      <c r="AJ177" s="329" t="str">
        <f>IFERROR(__xludf.DUMMYFUNCTION("""COMPUTED_VALUE"""),"")</f>
        <v/>
      </c>
    </row>
    <row r="178" ht="24.75" hidden="1" customHeight="1">
      <c r="A178" s="319">
        <f>IFERROR(__xludf.DUMMYFUNCTION("""COMPUTED_VALUE"""),5.0)</f>
        <v>5</v>
      </c>
      <c r="B178" s="319" t="str">
        <f>IFERROR(__xludf.DUMMYFUNCTION("""COMPUTED_VALUE"""),"A302")</f>
        <v>A302</v>
      </c>
      <c r="C178" s="319" t="str">
        <f>IFERROR(__xludf.DUMMYFUNCTION("""COMPUTED_VALUE"""),"")</f>
        <v/>
      </c>
      <c r="D178" s="320" t="str">
        <f>IFERROR(__xludf.DUMMYFUNCTION("""COMPUTED_VALUE"""),"")</f>
        <v/>
      </c>
      <c r="E178" s="321" t="str">
        <f>IFERROR(__xludf.DUMMYFUNCTION("""COMPUTED_VALUE"""),"")</f>
        <v/>
      </c>
      <c r="F178" s="322" t="str">
        <f>IFERROR(__xludf.DUMMYFUNCTION("""COMPUTED_VALUE"""),"")</f>
        <v/>
      </c>
      <c r="G178" s="322" t="str">
        <f>IFERROR(__xludf.DUMMYFUNCTION("""COMPUTED_VALUE"""),"")</f>
        <v/>
      </c>
      <c r="H178" s="323" t="str">
        <f>IFERROR(__xludf.DUMMYFUNCTION("""COMPUTED_VALUE""")," ")</f>
        <v> </v>
      </c>
      <c r="I178" s="324" t="str">
        <f>IFERROR(__xludf.DUMMYFUNCTION("""COMPUTED_VALUE"""),"")</f>
        <v/>
      </c>
      <c r="J178" s="325" t="str">
        <f>IFERROR(__xludf.DUMMYFUNCTION("""COMPUTED_VALUE"""),"AP")</f>
        <v>AP</v>
      </c>
      <c r="K178" s="324">
        <f>IFERROR(__xludf.DUMMYFUNCTION("""COMPUTED_VALUE"""),0.0)</f>
        <v>0</v>
      </c>
      <c r="L178" s="325" t="str">
        <f>IFERROR(__xludf.DUMMYFUNCTION("""COMPUTED_VALUE"""),"%")</f>
        <v>%</v>
      </c>
      <c r="M178" s="326">
        <f>IFERROR(__xludf.DUMMYFUNCTION("""COMPUTED_VALUE"""),1.0)</f>
        <v>1</v>
      </c>
      <c r="N178" s="324" t="str">
        <f>IFERROR(__xludf.DUMMYFUNCTION("""COMPUTED_VALUE"""),"")</f>
        <v/>
      </c>
      <c r="O178" s="327" t="str">
        <f>IFERROR(__xludf.DUMMYFUNCTION("""COMPUTED_VALUE"""),"")</f>
        <v/>
      </c>
      <c r="P178" s="324" t="str">
        <f>IFERROR(__xludf.DUMMYFUNCTION("""COMPUTED_VALUE"""),"")</f>
        <v/>
      </c>
      <c r="Q178" s="325" t="str">
        <f>IFERROR(__xludf.DUMMYFUNCTION("""COMPUTED_VALUE"""),"AP")</f>
        <v>AP</v>
      </c>
      <c r="R178" s="324">
        <f>IFERROR(__xludf.DUMMYFUNCTION("""COMPUTED_VALUE"""),0.0)</f>
        <v>0</v>
      </c>
      <c r="S178" s="325" t="str">
        <f>IFERROR(__xludf.DUMMYFUNCTION("""COMPUTED_VALUE"""),"%")</f>
        <v>%</v>
      </c>
      <c r="T178" s="326">
        <f>IFERROR(__xludf.DUMMYFUNCTION("""COMPUTED_VALUE"""),2.0)</f>
        <v>2</v>
      </c>
      <c r="U178" s="324" t="str">
        <f>IFERROR(__xludf.DUMMYFUNCTION("""COMPUTED_VALUE"""),"")</f>
        <v/>
      </c>
      <c r="V178" s="327" t="str">
        <f>IFERROR(__xludf.DUMMYFUNCTION("""COMPUTED_VALUE"""),"")</f>
        <v/>
      </c>
      <c r="W178" s="324" t="str">
        <f>IFERROR(__xludf.DUMMYFUNCTION("""COMPUTED_VALUE"""),"")</f>
        <v/>
      </c>
      <c r="X178" s="325" t="str">
        <f>IFERROR(__xludf.DUMMYFUNCTION("""COMPUTED_VALUE"""),"AP")</f>
        <v>AP</v>
      </c>
      <c r="Y178" s="324">
        <f>IFERROR(__xludf.DUMMYFUNCTION("""COMPUTED_VALUE"""),0.0)</f>
        <v>0</v>
      </c>
      <c r="Z178" s="325" t="str">
        <f>IFERROR(__xludf.DUMMYFUNCTION("""COMPUTED_VALUE"""),"%")</f>
        <v>%</v>
      </c>
      <c r="AA178" s="326">
        <f>IFERROR(__xludf.DUMMYFUNCTION("""COMPUTED_VALUE"""),3.0)</f>
        <v>3</v>
      </c>
      <c r="AB178" s="324" t="str">
        <f>IFERROR(__xludf.DUMMYFUNCTION("""COMPUTED_VALUE"""),"")</f>
        <v/>
      </c>
      <c r="AC178" s="327" t="str">
        <f>IFERROR(__xludf.DUMMYFUNCTION("""COMPUTED_VALUE"""),"")</f>
        <v/>
      </c>
      <c r="AD178" s="324" t="str">
        <f>IFERROR(__xludf.DUMMYFUNCTION("""COMPUTED_VALUE"""),"")</f>
        <v/>
      </c>
      <c r="AE178" s="325" t="str">
        <f>IFERROR(__xludf.DUMMYFUNCTION("""COMPUTED_VALUE"""),"AP")</f>
        <v>AP</v>
      </c>
      <c r="AF178" s="324">
        <f>IFERROR(__xludf.DUMMYFUNCTION("""COMPUTED_VALUE"""),0.0)</f>
        <v>0</v>
      </c>
      <c r="AG178" s="325" t="str">
        <f>IFERROR(__xludf.DUMMYFUNCTION("""COMPUTED_VALUE"""),"%")</f>
        <v>%</v>
      </c>
      <c r="AH178" s="321" t="str">
        <f>IFERROR(__xludf.DUMMYFUNCTION("""COMPUTED_VALUE"""),"")</f>
        <v/>
      </c>
      <c r="AI178" s="322" t="str">
        <f>IFERROR(__xludf.DUMMYFUNCTION("""COMPUTED_VALUE"""),"")</f>
        <v/>
      </c>
      <c r="AJ178" s="320" t="str">
        <f>IFERROR(__xludf.DUMMYFUNCTION("""COMPUTED_VALUE"""),"")</f>
        <v/>
      </c>
    </row>
    <row r="179" hidden="1">
      <c r="A179" s="336" t="str">
        <f>IFERROR(__xludf.DUMMYFUNCTION("""COMPUTED_VALUE"""),"")</f>
        <v/>
      </c>
      <c r="B179" s="337" t="str">
        <f>IFERROR(__xludf.DUMMYFUNCTION("""COMPUTED_VALUE"""),"")</f>
        <v/>
      </c>
      <c r="C179" s="338" t="str">
        <f>IFERROR(__xludf.DUMMYFUNCTION("""COMPUTED_VALUE"""),"")</f>
        <v/>
      </c>
      <c r="D179" s="339" t="str">
        <f>IFERROR(__xludf.DUMMYFUNCTION("""COMPUTED_VALUE"""),"")</f>
        <v/>
      </c>
      <c r="E179" s="337" t="str">
        <f>IFERROR(__xludf.DUMMYFUNCTION("""COMPUTED_VALUE"""),"")</f>
        <v/>
      </c>
      <c r="F179" s="337" t="str">
        <f>IFERROR(__xludf.DUMMYFUNCTION("""COMPUTED_VALUE"""),"")</f>
        <v/>
      </c>
      <c r="G179" s="337" t="str">
        <f>IFERROR(__xludf.DUMMYFUNCTION("""COMPUTED_VALUE"""),"")</f>
        <v/>
      </c>
      <c r="H179" s="337" t="str">
        <f>IFERROR(__xludf.DUMMYFUNCTION("""COMPUTED_VALUE"""),"")</f>
        <v/>
      </c>
      <c r="I179" s="337" t="str">
        <f>IFERROR(__xludf.DUMMYFUNCTION("""COMPUTED_VALUE"""),"")</f>
        <v/>
      </c>
      <c r="J179" s="341" t="str">
        <f>IFERROR(__xludf.DUMMYFUNCTION("""COMPUTED_VALUE"""),"")</f>
        <v/>
      </c>
      <c r="K179" s="337" t="str">
        <f>IFERROR(__xludf.DUMMYFUNCTION("""COMPUTED_VALUE"""),"")</f>
        <v/>
      </c>
      <c r="L179" s="341" t="str">
        <f>IFERROR(__xludf.DUMMYFUNCTION("""COMPUTED_VALUE"""),"")</f>
        <v/>
      </c>
      <c r="M179" s="337" t="str">
        <f>IFERROR(__xludf.DUMMYFUNCTION("""COMPUTED_VALUE"""),"")</f>
        <v/>
      </c>
      <c r="N179" s="337" t="str">
        <f>IFERROR(__xludf.DUMMYFUNCTION("""COMPUTED_VALUE"""),"")</f>
        <v/>
      </c>
      <c r="O179" s="337" t="str">
        <f>IFERROR(__xludf.DUMMYFUNCTION("""COMPUTED_VALUE"""),"")</f>
        <v/>
      </c>
      <c r="P179" s="337" t="str">
        <f>IFERROR(__xludf.DUMMYFUNCTION("""COMPUTED_VALUE"""),"")</f>
        <v/>
      </c>
      <c r="Q179" s="341" t="str">
        <f>IFERROR(__xludf.DUMMYFUNCTION("""COMPUTED_VALUE"""),"")</f>
        <v/>
      </c>
      <c r="R179" s="337" t="str">
        <f>IFERROR(__xludf.DUMMYFUNCTION("""COMPUTED_VALUE"""),"")</f>
        <v/>
      </c>
      <c r="S179" s="341" t="str">
        <f>IFERROR(__xludf.DUMMYFUNCTION("""COMPUTED_VALUE"""),"")</f>
        <v/>
      </c>
      <c r="T179" s="337" t="str">
        <f>IFERROR(__xludf.DUMMYFUNCTION("""COMPUTED_VALUE"""),"")</f>
        <v/>
      </c>
      <c r="U179" s="337" t="str">
        <f>IFERROR(__xludf.DUMMYFUNCTION("""COMPUTED_VALUE"""),"")</f>
        <v/>
      </c>
      <c r="V179" s="337" t="str">
        <f>IFERROR(__xludf.DUMMYFUNCTION("""COMPUTED_VALUE"""),"")</f>
        <v/>
      </c>
      <c r="W179" s="337" t="str">
        <f>IFERROR(__xludf.DUMMYFUNCTION("""COMPUTED_VALUE"""),"")</f>
        <v/>
      </c>
      <c r="X179" s="341" t="str">
        <f>IFERROR(__xludf.DUMMYFUNCTION("""COMPUTED_VALUE"""),"")</f>
        <v/>
      </c>
      <c r="Y179" s="337" t="str">
        <f>IFERROR(__xludf.DUMMYFUNCTION("""COMPUTED_VALUE"""),"")</f>
        <v/>
      </c>
      <c r="Z179" s="341" t="str">
        <f>IFERROR(__xludf.DUMMYFUNCTION("""COMPUTED_VALUE"""),"")</f>
        <v/>
      </c>
      <c r="AA179" s="337" t="str">
        <f>IFERROR(__xludf.DUMMYFUNCTION("""COMPUTED_VALUE"""),"")</f>
        <v/>
      </c>
      <c r="AB179" s="337" t="str">
        <f>IFERROR(__xludf.DUMMYFUNCTION("""COMPUTED_VALUE"""),"")</f>
        <v/>
      </c>
      <c r="AC179" s="337" t="str">
        <f>IFERROR(__xludf.DUMMYFUNCTION("""COMPUTED_VALUE"""),"")</f>
        <v/>
      </c>
      <c r="AD179" s="337" t="str">
        <f>IFERROR(__xludf.DUMMYFUNCTION("""COMPUTED_VALUE"""),"")</f>
        <v/>
      </c>
      <c r="AE179" s="341" t="str">
        <f>IFERROR(__xludf.DUMMYFUNCTION("""COMPUTED_VALUE"""),"")</f>
        <v/>
      </c>
      <c r="AF179" s="337" t="str">
        <f>IFERROR(__xludf.DUMMYFUNCTION("""COMPUTED_VALUE"""),"")</f>
        <v/>
      </c>
      <c r="AG179" s="341" t="str">
        <f>IFERROR(__xludf.DUMMYFUNCTION("""COMPUTED_VALUE"""),"")</f>
        <v/>
      </c>
      <c r="AH179" s="337" t="str">
        <f>IFERROR(__xludf.DUMMYFUNCTION("""COMPUTED_VALUE"""),"")</f>
        <v/>
      </c>
      <c r="AI179" s="337" t="str">
        <f>IFERROR(__xludf.DUMMYFUNCTION("""COMPUTED_VALUE"""),"")</f>
        <v/>
      </c>
      <c r="AJ179" s="342" t="str">
        <f>IFERROR(__xludf.DUMMYFUNCTION("""COMPUTED_VALUE"""),"")</f>
        <v/>
      </c>
    </row>
    <row r="180" hidden="1">
      <c r="A180" s="343" t="str">
        <f>IFERROR(__xludf.DUMMYFUNCTION("""COMPUTED_VALUE"""),"")</f>
        <v/>
      </c>
      <c r="B180" s="344" t="str">
        <f>IFERROR(__xludf.DUMMYFUNCTION("""COMPUTED_VALUE"""),"")</f>
        <v/>
      </c>
      <c r="C180" s="345" t="str">
        <f>IFERROR(__xludf.DUMMYFUNCTION("""COMPUTED_VALUE"""),"")</f>
        <v/>
      </c>
      <c r="D180" s="346" t="str">
        <f>IFERROR(__xludf.DUMMYFUNCTION("""COMPUTED_VALUE"""),"")</f>
        <v/>
      </c>
      <c r="E180" s="344" t="str">
        <f>IFERROR(__xludf.DUMMYFUNCTION("""COMPUTED_VALUE"""),"")</f>
        <v/>
      </c>
      <c r="F180" s="344" t="str">
        <f>IFERROR(__xludf.DUMMYFUNCTION("""COMPUTED_VALUE"""),"")</f>
        <v/>
      </c>
      <c r="G180" s="344" t="str">
        <f>IFERROR(__xludf.DUMMYFUNCTION("""COMPUTED_VALUE"""),"")</f>
        <v/>
      </c>
      <c r="H180" s="344" t="str">
        <f>IFERROR(__xludf.DUMMYFUNCTION("""COMPUTED_VALUE"""),"")</f>
        <v/>
      </c>
      <c r="I180" s="344" t="str">
        <f>IFERROR(__xludf.DUMMYFUNCTION("""COMPUTED_VALUE"""),"")</f>
        <v/>
      </c>
      <c r="J180" s="347" t="str">
        <f>IFERROR(__xludf.DUMMYFUNCTION("""COMPUTED_VALUE"""),"")</f>
        <v/>
      </c>
      <c r="K180" s="344" t="str">
        <f>IFERROR(__xludf.DUMMYFUNCTION("""COMPUTED_VALUE"""),"")</f>
        <v/>
      </c>
      <c r="L180" s="347" t="str">
        <f>IFERROR(__xludf.DUMMYFUNCTION("""COMPUTED_VALUE"""),"")</f>
        <v/>
      </c>
      <c r="M180" s="344" t="str">
        <f>IFERROR(__xludf.DUMMYFUNCTION("""COMPUTED_VALUE"""),"")</f>
        <v/>
      </c>
      <c r="N180" s="344" t="str">
        <f>IFERROR(__xludf.DUMMYFUNCTION("""COMPUTED_VALUE"""),"")</f>
        <v/>
      </c>
      <c r="O180" s="344" t="str">
        <f>IFERROR(__xludf.DUMMYFUNCTION("""COMPUTED_VALUE"""),"")</f>
        <v/>
      </c>
      <c r="P180" s="344" t="str">
        <f>IFERROR(__xludf.DUMMYFUNCTION("""COMPUTED_VALUE"""),"")</f>
        <v/>
      </c>
      <c r="Q180" s="347" t="str">
        <f>IFERROR(__xludf.DUMMYFUNCTION("""COMPUTED_VALUE"""),"")</f>
        <v/>
      </c>
      <c r="R180" s="344" t="str">
        <f>IFERROR(__xludf.DUMMYFUNCTION("""COMPUTED_VALUE"""),"")</f>
        <v/>
      </c>
      <c r="S180" s="347" t="str">
        <f>IFERROR(__xludf.DUMMYFUNCTION("""COMPUTED_VALUE"""),"")</f>
        <v/>
      </c>
      <c r="T180" s="344" t="str">
        <f>IFERROR(__xludf.DUMMYFUNCTION("""COMPUTED_VALUE"""),"")</f>
        <v/>
      </c>
      <c r="U180" s="344" t="str">
        <f>IFERROR(__xludf.DUMMYFUNCTION("""COMPUTED_VALUE"""),"")</f>
        <v/>
      </c>
      <c r="V180" s="344" t="str">
        <f>IFERROR(__xludf.DUMMYFUNCTION("""COMPUTED_VALUE"""),"")</f>
        <v/>
      </c>
      <c r="W180" s="344" t="str">
        <f>IFERROR(__xludf.DUMMYFUNCTION("""COMPUTED_VALUE"""),"")</f>
        <v/>
      </c>
      <c r="X180" s="347" t="str">
        <f>IFERROR(__xludf.DUMMYFUNCTION("""COMPUTED_VALUE"""),"")</f>
        <v/>
      </c>
      <c r="Y180" s="344" t="str">
        <f>IFERROR(__xludf.DUMMYFUNCTION("""COMPUTED_VALUE"""),"")</f>
        <v/>
      </c>
      <c r="Z180" s="347" t="str">
        <f>IFERROR(__xludf.DUMMYFUNCTION("""COMPUTED_VALUE"""),"")</f>
        <v/>
      </c>
      <c r="AA180" s="344" t="str">
        <f>IFERROR(__xludf.DUMMYFUNCTION("""COMPUTED_VALUE"""),"")</f>
        <v/>
      </c>
      <c r="AB180" s="344" t="str">
        <f>IFERROR(__xludf.DUMMYFUNCTION("""COMPUTED_VALUE"""),"")</f>
        <v/>
      </c>
      <c r="AC180" s="344" t="str">
        <f>IFERROR(__xludf.DUMMYFUNCTION("""COMPUTED_VALUE"""),"")</f>
        <v/>
      </c>
      <c r="AD180" s="344" t="str">
        <f>IFERROR(__xludf.DUMMYFUNCTION("""COMPUTED_VALUE"""),"")</f>
        <v/>
      </c>
      <c r="AE180" s="347" t="str">
        <f>IFERROR(__xludf.DUMMYFUNCTION("""COMPUTED_VALUE"""),"")</f>
        <v/>
      </c>
      <c r="AF180" s="344" t="str">
        <f>IFERROR(__xludf.DUMMYFUNCTION("""COMPUTED_VALUE"""),"")</f>
        <v/>
      </c>
      <c r="AG180" s="347" t="str">
        <f>IFERROR(__xludf.DUMMYFUNCTION("""COMPUTED_VALUE"""),"")</f>
        <v/>
      </c>
      <c r="AH180" s="344" t="str">
        <f>IFERROR(__xludf.DUMMYFUNCTION("""COMPUTED_VALUE"""),"")</f>
        <v/>
      </c>
      <c r="AI180" s="344" t="str">
        <f>IFERROR(__xludf.DUMMYFUNCTION("""COMPUTED_VALUE"""),"")</f>
        <v/>
      </c>
      <c r="AJ180" s="348" t="str">
        <f>IFERROR(__xludf.DUMMYFUNCTION("""COMPUTED_VALUE"""),"")</f>
        <v/>
      </c>
    </row>
  </sheetData>
  <mergeCells count="700">
    <mergeCell ref="U118:U119"/>
    <mergeCell ref="T118:T119"/>
    <mergeCell ref="O109:O110"/>
    <mergeCell ref="U109:U110"/>
    <mergeCell ref="N118:N119"/>
    <mergeCell ref="O118:O119"/>
    <mergeCell ref="V118:V119"/>
    <mergeCell ref="W118:W119"/>
    <mergeCell ref="X118:X119"/>
    <mergeCell ref="O145:O146"/>
    <mergeCell ref="N145:N146"/>
    <mergeCell ref="W145:W146"/>
    <mergeCell ref="V145:V146"/>
    <mergeCell ref="X145:X146"/>
    <mergeCell ref="Y145:Y146"/>
    <mergeCell ref="L145:L146"/>
    <mergeCell ref="P145:P146"/>
    <mergeCell ref="V163:V164"/>
    <mergeCell ref="U163:U164"/>
    <mergeCell ref="T163:T164"/>
    <mergeCell ref="S163:S164"/>
    <mergeCell ref="W163:W164"/>
    <mergeCell ref="Z163:Z164"/>
    <mergeCell ref="AA163:AA164"/>
    <mergeCell ref="U100:U101"/>
    <mergeCell ref="W100:W101"/>
    <mergeCell ref="T127:T128"/>
    <mergeCell ref="P127:P128"/>
    <mergeCell ref="Q127:Q128"/>
    <mergeCell ref="S127:S128"/>
    <mergeCell ref="R127:R128"/>
    <mergeCell ref="U127:U128"/>
    <mergeCell ref="U145:U146"/>
    <mergeCell ref="S136:S137"/>
    <mergeCell ref="O136:O137"/>
    <mergeCell ref="P136:P137"/>
    <mergeCell ref="Q136:Q137"/>
    <mergeCell ref="R136:R137"/>
    <mergeCell ref="N136:N137"/>
    <mergeCell ref="V154:V155"/>
    <mergeCell ref="W154:W155"/>
    <mergeCell ref="T145:T146"/>
    <mergeCell ref="T109:T110"/>
    <mergeCell ref="P118:P119"/>
    <mergeCell ref="S118:S119"/>
    <mergeCell ref="Q118:Q119"/>
    <mergeCell ref="R118:R119"/>
    <mergeCell ref="Q91:Q92"/>
    <mergeCell ref="R91:R92"/>
    <mergeCell ref="S145:S146"/>
    <mergeCell ref="S82:S83"/>
    <mergeCell ref="R82:R83"/>
    <mergeCell ref="P73:P74"/>
    <mergeCell ref="T64:T65"/>
    <mergeCell ref="P82:P83"/>
    <mergeCell ref="S91:S92"/>
    <mergeCell ref="P91:P92"/>
    <mergeCell ref="Q145:Q146"/>
    <mergeCell ref="R145:R146"/>
    <mergeCell ref="S73:S74"/>
    <mergeCell ref="R73:R74"/>
    <mergeCell ref="Q73:Q74"/>
    <mergeCell ref="Q109:Q110"/>
    <mergeCell ref="Q82:Q83"/>
    <mergeCell ref="Q28:Q29"/>
    <mergeCell ref="Q55:Q56"/>
    <mergeCell ref="R109:R110"/>
    <mergeCell ref="P109:P110"/>
    <mergeCell ref="Q64:Q65"/>
    <mergeCell ref="P64:P65"/>
    <mergeCell ref="P28:P29"/>
    <mergeCell ref="P19:P20"/>
    <mergeCell ref="Q19:Q20"/>
    <mergeCell ref="P55:P56"/>
    <mergeCell ref="S46:S47"/>
    <mergeCell ref="T46:T47"/>
    <mergeCell ref="R19:R20"/>
    <mergeCell ref="S19:S20"/>
    <mergeCell ref="S64:S65"/>
    <mergeCell ref="R64:R65"/>
    <mergeCell ref="R37:R38"/>
    <mergeCell ref="R28:R29"/>
    <mergeCell ref="T19:T20"/>
    <mergeCell ref="T55:T56"/>
    <mergeCell ref="T28:T29"/>
    <mergeCell ref="AE19:AE20"/>
    <mergeCell ref="AD19:AD20"/>
    <mergeCell ref="AA19:AA20"/>
    <mergeCell ref="Z19:Z20"/>
    <mergeCell ref="V19:V20"/>
    <mergeCell ref="W10:W11"/>
    <mergeCell ref="W19:W20"/>
    <mergeCell ref="V10:V11"/>
    <mergeCell ref="AG10:AG11"/>
    <mergeCell ref="AH10:AH11"/>
    <mergeCell ref="AE10:AE11"/>
    <mergeCell ref="AF10:AF11"/>
    <mergeCell ref="AC10:AC11"/>
    <mergeCell ref="AD10:AD11"/>
    <mergeCell ref="L1:L2"/>
    <mergeCell ref="AG1:AG2"/>
    <mergeCell ref="AE1:AE2"/>
    <mergeCell ref="AF1:AF2"/>
    <mergeCell ref="AI19:AI20"/>
    <mergeCell ref="AJ19:AJ20"/>
    <mergeCell ref="AC19:AC20"/>
    <mergeCell ref="AB19:AB20"/>
    <mergeCell ref="R46:R47"/>
    <mergeCell ref="Q46:Q47"/>
    <mergeCell ref="O46:O47"/>
    <mergeCell ref="P46:P47"/>
    <mergeCell ref="N55:N56"/>
    <mergeCell ref="U64:U65"/>
    <mergeCell ref="N46:N47"/>
    <mergeCell ref="U46:U47"/>
    <mergeCell ref="V46:V47"/>
    <mergeCell ref="O55:O56"/>
    <mergeCell ref="X55:X56"/>
    <mergeCell ref="U55:U56"/>
    <mergeCell ref="W55:W56"/>
    <mergeCell ref="V55:V56"/>
    <mergeCell ref="R55:R56"/>
    <mergeCell ref="S55:S56"/>
    <mergeCell ref="U82:U83"/>
    <mergeCell ref="V82:V83"/>
    <mergeCell ref="X91:X92"/>
    <mergeCell ref="X82:X83"/>
    <mergeCell ref="W91:W92"/>
    <mergeCell ref="W82:W83"/>
    <mergeCell ref="X46:X47"/>
    <mergeCell ref="W46:W47"/>
    <mergeCell ref="N109:N110"/>
    <mergeCell ref="S109:S110"/>
    <mergeCell ref="P100:P101"/>
    <mergeCell ref="O100:O101"/>
    <mergeCell ref="Q100:Q101"/>
    <mergeCell ref="S100:S101"/>
    <mergeCell ref="T100:T101"/>
    <mergeCell ref="R100:R101"/>
    <mergeCell ref="O37:O38"/>
    <mergeCell ref="N37:N38"/>
    <mergeCell ref="U37:U38"/>
    <mergeCell ref="V37:V38"/>
    <mergeCell ref="T37:T38"/>
    <mergeCell ref="S37:S38"/>
    <mergeCell ref="X37:X38"/>
    <mergeCell ref="Q37:Q38"/>
    <mergeCell ref="W37:W38"/>
    <mergeCell ref="P37:P38"/>
    <mergeCell ref="V91:V92"/>
    <mergeCell ref="T91:T92"/>
    <mergeCell ref="U91:U92"/>
    <mergeCell ref="O91:O92"/>
    <mergeCell ref="AA154:AA155"/>
    <mergeCell ref="X154:X155"/>
    <mergeCell ref="Q154:Q155"/>
    <mergeCell ref="AB154:AB155"/>
    <mergeCell ref="P154:P155"/>
    <mergeCell ref="O154:O155"/>
    <mergeCell ref="N154:N155"/>
    <mergeCell ref="L154:L155"/>
    <mergeCell ref="M154:M155"/>
    <mergeCell ref="W28:W29"/>
    <mergeCell ref="AA28:AA29"/>
    <mergeCell ref="AD28:AD29"/>
    <mergeCell ref="AF28:AF29"/>
    <mergeCell ref="O28:O29"/>
    <mergeCell ref="N28:N29"/>
    <mergeCell ref="AB28:AB29"/>
    <mergeCell ref="AE28:AE29"/>
    <mergeCell ref="AC28:AC29"/>
    <mergeCell ref="AG28:AG29"/>
    <mergeCell ref="AH28:AH29"/>
    <mergeCell ref="AI28:AI29"/>
    <mergeCell ref="AJ28:AJ29"/>
    <mergeCell ref="S28:S29"/>
    <mergeCell ref="Q10:Q11"/>
    <mergeCell ref="R10:R11"/>
    <mergeCell ref="N10:N11"/>
    <mergeCell ref="U10:U11"/>
    <mergeCell ref="U19:U20"/>
    <mergeCell ref="P10:P11"/>
    <mergeCell ref="O10:O11"/>
    <mergeCell ref="Y28:Y29"/>
    <mergeCell ref="Z28:Z29"/>
    <mergeCell ref="AG19:AG20"/>
    <mergeCell ref="AH19:AH20"/>
    <mergeCell ref="N19:N20"/>
    <mergeCell ref="O19:O20"/>
    <mergeCell ref="X19:X20"/>
    <mergeCell ref="Y19:Y20"/>
    <mergeCell ref="AF19:AF20"/>
    <mergeCell ref="X28:X29"/>
    <mergeCell ref="U28:U29"/>
    <mergeCell ref="V28:V29"/>
    <mergeCell ref="M28:M29"/>
    <mergeCell ref="L28:L29"/>
    <mergeCell ref="Y64:Y65"/>
    <mergeCell ref="Z64:Z65"/>
    <mergeCell ref="AJ64:AJ65"/>
    <mergeCell ref="Y73:Y74"/>
    <mergeCell ref="Z73:Z74"/>
    <mergeCell ref="AJ73:AJ74"/>
    <mergeCell ref="AG73:AG74"/>
    <mergeCell ref="AH73:AH74"/>
    <mergeCell ref="AC73:AC74"/>
    <mergeCell ref="AC100:AC101"/>
    <mergeCell ref="AB100:AB101"/>
    <mergeCell ref="AB109:AB110"/>
    <mergeCell ref="AI37:AI38"/>
    <mergeCell ref="AF37:AF38"/>
    <mergeCell ref="Y46:Y47"/>
    <mergeCell ref="Y37:Y38"/>
    <mergeCell ref="AB136:AB137"/>
    <mergeCell ref="AB118:AB119"/>
    <mergeCell ref="AB127:AB128"/>
    <mergeCell ref="AJ136:AJ137"/>
    <mergeCell ref="AJ145:AJ146"/>
    <mergeCell ref="AJ154:AJ155"/>
    <mergeCell ref="AB163:AB164"/>
    <mergeCell ref="AB145:AB146"/>
    <mergeCell ref="AB82:AB83"/>
    <mergeCell ref="AB55:AB56"/>
    <mergeCell ref="AB73:AB74"/>
    <mergeCell ref="AB64:AB65"/>
    <mergeCell ref="AB91:AB92"/>
    <mergeCell ref="AI55:AI56"/>
    <mergeCell ref="AI46:AI47"/>
    <mergeCell ref="AG37:AG38"/>
    <mergeCell ref="AH37:AH38"/>
    <mergeCell ref="AB37:AB38"/>
    <mergeCell ref="AD37:AD38"/>
    <mergeCell ref="AC37:AC38"/>
    <mergeCell ref="Z37:Z38"/>
    <mergeCell ref="Z46:Z47"/>
    <mergeCell ref="AH64:AH65"/>
    <mergeCell ref="AG64:AG65"/>
    <mergeCell ref="AA46:AA47"/>
    <mergeCell ref="AB46:AB47"/>
    <mergeCell ref="AI73:AI74"/>
    <mergeCell ref="AI64:AI65"/>
    <mergeCell ref="AH91:AH92"/>
    <mergeCell ref="AG91:AG92"/>
    <mergeCell ref="AI82:AI83"/>
    <mergeCell ref="AH82:AH83"/>
    <mergeCell ref="AG82:AG83"/>
    <mergeCell ref="AJ109:AJ110"/>
    <mergeCell ref="AI109:AI110"/>
    <mergeCell ref="AJ82:AJ83"/>
    <mergeCell ref="AI91:AI92"/>
    <mergeCell ref="AJ91:AJ92"/>
    <mergeCell ref="AI100:AI101"/>
    <mergeCell ref="AH100:AH101"/>
    <mergeCell ref="AI127:AI128"/>
    <mergeCell ref="AH127:AH128"/>
    <mergeCell ref="AI118:AI119"/>
    <mergeCell ref="AG118:AG119"/>
    <mergeCell ref="AH118:AH119"/>
    <mergeCell ref="AJ127:AJ128"/>
    <mergeCell ref="AJ118:AJ119"/>
    <mergeCell ref="AG109:AG110"/>
    <mergeCell ref="AH109:AH110"/>
    <mergeCell ref="AG100:AG101"/>
    <mergeCell ref="AJ100:AJ101"/>
    <mergeCell ref="AG127:AG128"/>
    <mergeCell ref="Y55:Y56"/>
    <mergeCell ref="Y82:Y83"/>
    <mergeCell ref="AA145:AA146"/>
    <mergeCell ref="Z145:Z146"/>
    <mergeCell ref="AA73:AA74"/>
    <mergeCell ref="AA55:AA56"/>
    <mergeCell ref="Z55:Z56"/>
    <mergeCell ref="AA64:AA65"/>
    <mergeCell ref="Y109:Y110"/>
    <mergeCell ref="AA82:AA83"/>
    <mergeCell ref="AA100:AA101"/>
    <mergeCell ref="AA91:AA92"/>
    <mergeCell ref="Z109:Z110"/>
    <mergeCell ref="AA109:AA110"/>
    <mergeCell ref="Y91:Y92"/>
    <mergeCell ref="Z91:Z92"/>
    <mergeCell ref="Z100:Z101"/>
    <mergeCell ref="Y100:Y101"/>
    <mergeCell ref="Z118:Z119"/>
    <mergeCell ref="Z127:Z128"/>
    <mergeCell ref="AA118:AA119"/>
    <mergeCell ref="Y118:Y119"/>
    <mergeCell ref="AA127:AA128"/>
    <mergeCell ref="Y127:Y128"/>
    <mergeCell ref="AF127:AF128"/>
    <mergeCell ref="AF136:AF137"/>
    <mergeCell ref="AF154:AF155"/>
    <mergeCell ref="AE154:AE155"/>
    <mergeCell ref="AE127:AE128"/>
    <mergeCell ref="AD127:AD128"/>
    <mergeCell ref="AE163:AE164"/>
    <mergeCell ref="AE145:AE146"/>
    <mergeCell ref="AD145:AD146"/>
    <mergeCell ref="AF145:AF146"/>
    <mergeCell ref="AD118:AD119"/>
    <mergeCell ref="AF118:AF119"/>
    <mergeCell ref="AE118:AE119"/>
    <mergeCell ref="AF163:AF164"/>
    <mergeCell ref="AD73:AD74"/>
    <mergeCell ref="AE55:AE56"/>
    <mergeCell ref="AF82:AF83"/>
    <mergeCell ref="AF91:AF92"/>
    <mergeCell ref="AD154:AD155"/>
    <mergeCell ref="AD136:AD137"/>
    <mergeCell ref="AE136:AE137"/>
    <mergeCell ref="AC109:AC110"/>
    <mergeCell ref="AF100:AF101"/>
    <mergeCell ref="AD109:AD110"/>
    <mergeCell ref="AE100:AE101"/>
    <mergeCell ref="AE109:AE110"/>
    <mergeCell ref="AF109:AF110"/>
    <mergeCell ref="AD100:AD101"/>
    <mergeCell ref="AC55:AC56"/>
    <mergeCell ref="AD55:AD56"/>
    <mergeCell ref="AE82:AE83"/>
    <mergeCell ref="AD82:AD83"/>
    <mergeCell ref="AC64:AC65"/>
    <mergeCell ref="AC91:AC92"/>
    <mergeCell ref="AC82:AC83"/>
    <mergeCell ref="AC118:AC119"/>
    <mergeCell ref="AC127:AC128"/>
    <mergeCell ref="AD91:AD92"/>
    <mergeCell ref="AE91:AE92"/>
    <mergeCell ref="AE46:AE47"/>
    <mergeCell ref="AF46:AF47"/>
    <mergeCell ref="AD46:AD47"/>
    <mergeCell ref="AC46:AC47"/>
    <mergeCell ref="AF55:AF56"/>
    <mergeCell ref="AF64:AF65"/>
    <mergeCell ref="AH136:AH137"/>
    <mergeCell ref="AI136:AI137"/>
    <mergeCell ref="AH145:AH146"/>
    <mergeCell ref="AI145:AI146"/>
    <mergeCell ref="AH154:AH155"/>
    <mergeCell ref="AI154:AI155"/>
    <mergeCell ref="AC136:AC137"/>
    <mergeCell ref="AG136:AG137"/>
    <mergeCell ref="AG145:AG146"/>
    <mergeCell ref="AG154:AG155"/>
    <mergeCell ref="Z136:Z137"/>
    <mergeCell ref="Z154:Z155"/>
    <mergeCell ref="Y154:Y155"/>
    <mergeCell ref="AC154:AC155"/>
    <mergeCell ref="Y136:Y137"/>
    <mergeCell ref="AA136:AA137"/>
    <mergeCell ref="AD172:AD173"/>
    <mergeCell ref="AE172:AE173"/>
    <mergeCell ref="AG172:AG173"/>
    <mergeCell ref="AF172:AF173"/>
    <mergeCell ref="AC145:AC146"/>
    <mergeCell ref="AH46:AH47"/>
    <mergeCell ref="AG55:AG56"/>
    <mergeCell ref="AH55:AH56"/>
    <mergeCell ref="AG46:AG47"/>
    <mergeCell ref="AE73:AE74"/>
    <mergeCell ref="AF73:AF74"/>
    <mergeCell ref="AJ37:AJ38"/>
    <mergeCell ref="AA37:AA38"/>
    <mergeCell ref="AJ46:AJ47"/>
    <mergeCell ref="AJ55:AJ56"/>
    <mergeCell ref="AE37:AE38"/>
    <mergeCell ref="L127:L128"/>
    <mergeCell ref="J82:J83"/>
    <mergeCell ref="K82:K83"/>
    <mergeCell ref="L91:L92"/>
    <mergeCell ref="L109:L110"/>
    <mergeCell ref="L100:L101"/>
    <mergeCell ref="K109:K110"/>
    <mergeCell ref="K91:K92"/>
    <mergeCell ref="E145:E146"/>
    <mergeCell ref="E127:E128"/>
    <mergeCell ref="G10:G11"/>
    <mergeCell ref="M127:M128"/>
    <mergeCell ref="K55:K56"/>
    <mergeCell ref="I73:I74"/>
    <mergeCell ref="E91:E92"/>
    <mergeCell ref="F163:F164"/>
    <mergeCell ref="G163:G164"/>
    <mergeCell ref="A163:A164"/>
    <mergeCell ref="E154:E155"/>
    <mergeCell ref="A154:A155"/>
    <mergeCell ref="B154:B155"/>
    <mergeCell ref="C154:C155"/>
    <mergeCell ref="G154:G155"/>
    <mergeCell ref="H154:H155"/>
    <mergeCell ref="K154:K155"/>
    <mergeCell ref="I154:I155"/>
    <mergeCell ref="H145:H146"/>
    <mergeCell ref="G145:G146"/>
    <mergeCell ref="K145:K146"/>
    <mergeCell ref="H127:H128"/>
    <mergeCell ref="I127:I128"/>
    <mergeCell ref="G118:G119"/>
    <mergeCell ref="J145:J146"/>
    <mergeCell ref="I145:I146"/>
    <mergeCell ref="B163:B164"/>
    <mergeCell ref="C163:C164"/>
    <mergeCell ref="E163:E164"/>
    <mergeCell ref="F154:F155"/>
    <mergeCell ref="J154:J155"/>
    <mergeCell ref="C127:C128"/>
    <mergeCell ref="B127:B128"/>
    <mergeCell ref="B10:B11"/>
    <mergeCell ref="A10:A11"/>
    <mergeCell ref="F55:F56"/>
    <mergeCell ref="H55:H56"/>
    <mergeCell ref="C64:C65"/>
    <mergeCell ref="A46:A47"/>
    <mergeCell ref="A55:A56"/>
    <mergeCell ref="C73:C74"/>
    <mergeCell ref="C55:C56"/>
    <mergeCell ref="E64:E65"/>
    <mergeCell ref="E55:E56"/>
    <mergeCell ref="C46:C47"/>
    <mergeCell ref="B46:B47"/>
    <mergeCell ref="F37:F38"/>
    <mergeCell ref="G37:G38"/>
    <mergeCell ref="A19:A20"/>
    <mergeCell ref="A28:A29"/>
    <mergeCell ref="C37:C38"/>
    <mergeCell ref="A37:A38"/>
    <mergeCell ref="F10:F11"/>
    <mergeCell ref="E10:E11"/>
    <mergeCell ref="F64:F65"/>
    <mergeCell ref="G64:G65"/>
    <mergeCell ref="H64:H65"/>
    <mergeCell ref="H37:H38"/>
    <mergeCell ref="E37:E38"/>
    <mergeCell ref="M55:M56"/>
    <mergeCell ref="M64:M65"/>
    <mergeCell ref="H10:H11"/>
    <mergeCell ref="H19:H20"/>
    <mergeCell ref="F28:F29"/>
    <mergeCell ref="G28:G29"/>
    <mergeCell ref="H28:H29"/>
    <mergeCell ref="L37:L38"/>
    <mergeCell ref="J37:J38"/>
    <mergeCell ref="K37:K38"/>
    <mergeCell ref="I37:I38"/>
    <mergeCell ref="I46:I47"/>
    <mergeCell ref="J55:J56"/>
    <mergeCell ref="I55:I56"/>
    <mergeCell ref="J46:J47"/>
    <mergeCell ref="G19:G20"/>
    <mergeCell ref="L19:L20"/>
    <mergeCell ref="J19:J20"/>
    <mergeCell ref="K19:K20"/>
    <mergeCell ref="M19:M20"/>
    <mergeCell ref="F19:F20"/>
    <mergeCell ref="J127:J128"/>
    <mergeCell ref="K127:K128"/>
    <mergeCell ref="F127:F128"/>
    <mergeCell ref="G127:G128"/>
    <mergeCell ref="H118:H119"/>
    <mergeCell ref="J118:J119"/>
    <mergeCell ref="K118:K119"/>
    <mergeCell ref="F118:F119"/>
    <mergeCell ref="L118:L119"/>
    <mergeCell ref="I64:I65"/>
    <mergeCell ref="I82:I83"/>
    <mergeCell ref="I118:I119"/>
    <mergeCell ref="I100:I101"/>
    <mergeCell ref="I91:I92"/>
    <mergeCell ref="I109:I110"/>
    <mergeCell ref="M91:M92"/>
    <mergeCell ref="M109:M110"/>
    <mergeCell ref="M100:M101"/>
    <mergeCell ref="M118:M119"/>
    <mergeCell ref="K64:K65"/>
    <mergeCell ref="J64:J65"/>
    <mergeCell ref="J73:J74"/>
    <mergeCell ref="F145:F146"/>
    <mergeCell ref="F73:F74"/>
    <mergeCell ref="F100:F101"/>
    <mergeCell ref="F109:F110"/>
    <mergeCell ref="F91:F92"/>
    <mergeCell ref="H73:H74"/>
    <mergeCell ref="G55:G56"/>
    <mergeCell ref="G73:G74"/>
    <mergeCell ref="G109:G110"/>
    <mergeCell ref="H109:H110"/>
    <mergeCell ref="J109:J110"/>
    <mergeCell ref="H82:H83"/>
    <mergeCell ref="G82:G83"/>
    <mergeCell ref="G100:G101"/>
    <mergeCell ref="H100:H101"/>
    <mergeCell ref="J100:J101"/>
    <mergeCell ref="K100:K101"/>
    <mergeCell ref="J91:J92"/>
    <mergeCell ref="L82:L83"/>
    <mergeCell ref="C118:C119"/>
    <mergeCell ref="A118:A119"/>
    <mergeCell ref="B118:B119"/>
    <mergeCell ref="E109:E110"/>
    <mergeCell ref="C109:C110"/>
    <mergeCell ref="A109:A110"/>
    <mergeCell ref="B109:B110"/>
    <mergeCell ref="B100:B101"/>
    <mergeCell ref="A100:A101"/>
    <mergeCell ref="B145:B146"/>
    <mergeCell ref="C145:C146"/>
    <mergeCell ref="A145:A146"/>
    <mergeCell ref="E118:E119"/>
    <mergeCell ref="E100:E101"/>
    <mergeCell ref="A127:A128"/>
    <mergeCell ref="C100:C101"/>
    <mergeCell ref="L10:L11"/>
    <mergeCell ref="K10:K11"/>
    <mergeCell ref="J10:J11"/>
    <mergeCell ref="I10:I11"/>
    <mergeCell ref="I28:I29"/>
    <mergeCell ref="I19:I20"/>
    <mergeCell ref="M73:M74"/>
    <mergeCell ref="K73:K74"/>
    <mergeCell ref="M10:M11"/>
    <mergeCell ref="M37:M38"/>
    <mergeCell ref="G91:G92"/>
    <mergeCell ref="H91:H92"/>
    <mergeCell ref="M82:M83"/>
    <mergeCell ref="F82:F83"/>
    <mergeCell ref="B91:B92"/>
    <mergeCell ref="A91:A92"/>
    <mergeCell ref="B64:B65"/>
    <mergeCell ref="A64:A65"/>
    <mergeCell ref="B82:B83"/>
    <mergeCell ref="E82:E83"/>
    <mergeCell ref="E73:E74"/>
    <mergeCell ref="B73:B74"/>
    <mergeCell ref="C91:C92"/>
    <mergeCell ref="L64:L65"/>
    <mergeCell ref="L55:L56"/>
    <mergeCell ref="O64:O65"/>
    <mergeCell ref="N64:N65"/>
    <mergeCell ref="B37:B38"/>
    <mergeCell ref="B55:B56"/>
    <mergeCell ref="B28:B29"/>
    <mergeCell ref="C28:C29"/>
    <mergeCell ref="E28:E29"/>
    <mergeCell ref="N82:N83"/>
    <mergeCell ref="N91:N92"/>
    <mergeCell ref="C82:C83"/>
    <mergeCell ref="A82:A83"/>
    <mergeCell ref="A73:A74"/>
    <mergeCell ref="L73:L74"/>
    <mergeCell ref="M136:M137"/>
    <mergeCell ref="M145:M146"/>
    <mergeCell ref="O82:O83"/>
    <mergeCell ref="O127:O128"/>
    <mergeCell ref="N127:N128"/>
    <mergeCell ref="N100:N101"/>
    <mergeCell ref="N73:N74"/>
    <mergeCell ref="O73:O74"/>
    <mergeCell ref="B19:B20"/>
    <mergeCell ref="C19:C20"/>
    <mergeCell ref="E19:E20"/>
    <mergeCell ref="H46:H47"/>
    <mergeCell ref="G46:G47"/>
    <mergeCell ref="M46:M47"/>
    <mergeCell ref="K46:K47"/>
    <mergeCell ref="L46:L47"/>
    <mergeCell ref="J28:J29"/>
    <mergeCell ref="K28:K29"/>
    <mergeCell ref="F46:F47"/>
    <mergeCell ref="E46:E47"/>
    <mergeCell ref="W136:W137"/>
    <mergeCell ref="V136:V137"/>
    <mergeCell ref="F136:F137"/>
    <mergeCell ref="A136:A137"/>
    <mergeCell ref="E136:E137"/>
    <mergeCell ref="B136:B137"/>
    <mergeCell ref="C136:C137"/>
    <mergeCell ref="I136:I137"/>
    <mergeCell ref="J136:J137"/>
    <mergeCell ref="U136:U137"/>
    <mergeCell ref="T136:T137"/>
    <mergeCell ref="H136:H137"/>
    <mergeCell ref="G136:G137"/>
    <mergeCell ref="X136:X137"/>
    <mergeCell ref="K136:K137"/>
    <mergeCell ref="L136:L137"/>
    <mergeCell ref="O163:O164"/>
    <mergeCell ref="N163:N164"/>
    <mergeCell ref="H163:H164"/>
    <mergeCell ref="K163:K164"/>
    <mergeCell ref="I163:I164"/>
    <mergeCell ref="J163:J164"/>
    <mergeCell ref="L163:L164"/>
    <mergeCell ref="M163:M164"/>
    <mergeCell ref="P163:P164"/>
    <mergeCell ref="AC163:AC164"/>
    <mergeCell ref="Y163:Y164"/>
    <mergeCell ref="Q163:Q164"/>
    <mergeCell ref="R163:R164"/>
    <mergeCell ref="AJ163:AJ164"/>
    <mergeCell ref="AI163:AI164"/>
    <mergeCell ref="AD163:AD164"/>
    <mergeCell ref="AH163:AH164"/>
    <mergeCell ref="AG163:AG164"/>
    <mergeCell ref="X163:X164"/>
    <mergeCell ref="J172:J173"/>
    <mergeCell ref="I172:I173"/>
    <mergeCell ref="C172:C173"/>
    <mergeCell ref="B172:B173"/>
    <mergeCell ref="N172:N173"/>
    <mergeCell ref="G172:G173"/>
    <mergeCell ref="H172:H173"/>
    <mergeCell ref="L172:L173"/>
    <mergeCell ref="M172:M173"/>
    <mergeCell ref="A172:A173"/>
    <mergeCell ref="K172:K173"/>
    <mergeCell ref="R172:R173"/>
    <mergeCell ref="S172:S173"/>
    <mergeCell ref="X172:X173"/>
    <mergeCell ref="W172:W173"/>
    <mergeCell ref="Y172:Y173"/>
    <mergeCell ref="Z172:Z173"/>
    <mergeCell ref="AA172:AA173"/>
    <mergeCell ref="AC172:AC173"/>
    <mergeCell ref="AB172:AB173"/>
    <mergeCell ref="T172:T173"/>
    <mergeCell ref="U172:U173"/>
    <mergeCell ref="AJ172:AJ173"/>
    <mergeCell ref="AI172:AI173"/>
    <mergeCell ref="AH172:AH173"/>
    <mergeCell ref="O172:O173"/>
    <mergeCell ref="Q172:Q173"/>
    <mergeCell ref="P172:P173"/>
    <mergeCell ref="V172:V173"/>
    <mergeCell ref="E172:E173"/>
    <mergeCell ref="F172:F173"/>
    <mergeCell ref="X109:X110"/>
    <mergeCell ref="W109:W110"/>
    <mergeCell ref="T154:T155"/>
    <mergeCell ref="S154:S155"/>
    <mergeCell ref="U154:U155"/>
    <mergeCell ref="R154:R155"/>
    <mergeCell ref="V73:V74"/>
    <mergeCell ref="V109:V110"/>
    <mergeCell ref="X127:X128"/>
    <mergeCell ref="V127:V128"/>
    <mergeCell ref="W127:W128"/>
    <mergeCell ref="V100:V101"/>
    <mergeCell ref="X100:X101"/>
    <mergeCell ref="T73:T74"/>
    <mergeCell ref="T82:T83"/>
    <mergeCell ref="AE64:AE65"/>
    <mergeCell ref="AD64:AD65"/>
    <mergeCell ref="U73:U74"/>
    <mergeCell ref="X64:X65"/>
    <mergeCell ref="X73:X74"/>
    <mergeCell ref="W64:W65"/>
    <mergeCell ref="W73:W74"/>
    <mergeCell ref="V64:V65"/>
    <mergeCell ref="Z82:Z83"/>
    <mergeCell ref="M1:M2"/>
    <mergeCell ref="N1:N2"/>
    <mergeCell ref="O1:O2"/>
    <mergeCell ref="P1:P2"/>
    <mergeCell ref="Q1:Q2"/>
    <mergeCell ref="R1:R2"/>
    <mergeCell ref="K1:K2"/>
    <mergeCell ref="J1:J2"/>
    <mergeCell ref="S1:S2"/>
    <mergeCell ref="T1:T2"/>
    <mergeCell ref="B1:B2"/>
    <mergeCell ref="C1:C2"/>
    <mergeCell ref="H1:H2"/>
    <mergeCell ref="I1:I2"/>
    <mergeCell ref="G1:G2"/>
    <mergeCell ref="A1:A2"/>
    <mergeCell ref="U1:U2"/>
    <mergeCell ref="V1:V2"/>
    <mergeCell ref="T10:T11"/>
    <mergeCell ref="AA10:AA11"/>
    <mergeCell ref="X10:X11"/>
    <mergeCell ref="Z10:Z11"/>
    <mergeCell ref="Y10:Y11"/>
    <mergeCell ref="C10:C11"/>
    <mergeCell ref="AB1:AB2"/>
    <mergeCell ref="AA1:AA2"/>
    <mergeCell ref="Z1:Z2"/>
    <mergeCell ref="W1:W2"/>
    <mergeCell ref="X1:X2"/>
    <mergeCell ref="Y1:Y2"/>
    <mergeCell ref="AD1:AD2"/>
    <mergeCell ref="AC1:AC2"/>
    <mergeCell ref="AI10:AI11"/>
    <mergeCell ref="S10:S11"/>
    <mergeCell ref="AJ1:AJ2"/>
    <mergeCell ref="AJ10:AJ11"/>
    <mergeCell ref="AI1:AI2"/>
    <mergeCell ref="AH1:AH2"/>
    <mergeCell ref="AB10:AB11"/>
    <mergeCell ref="E1:E2"/>
    <mergeCell ref="F1:F2"/>
  </mergeCells>
  <conditionalFormatting sqref="G3:G7 G12:G16 G21:G25 G30:G34 G39:G43 G48:G52 G57:G61 G66:G70 G75:G79 G84:G88 G93:G97 G102:G106 G111:G115 G120:G124 G129:G133 G138:G142 G147:G151 G156:G160 G165:G169 G174:G178">
    <cfRule type="cellIs" dxfId="5" priority="1" operator="equal">
      <formula>"Open"</formula>
    </cfRule>
  </conditionalFormatting>
  <conditionalFormatting sqref="G3:G7 G12:G16 G21:G25 G30:G34 G39:G43 G48:G52 G57:G61 G66:G70 G75:G79 G84:G88 G93:G97 G102:G106 G111:G115 G120:G124 G129:G133 G138:G142 G147:G151 G156:G160 G165:G169 G174:G178">
    <cfRule type="cellIs" dxfId="6" priority="2" operator="equal">
      <formula>"Closed"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hidden="1" min="2" max="3" width="7.43"/>
    <col customWidth="1" min="4" max="4" width="22.0"/>
    <col customWidth="1" min="5" max="5" width="5.29"/>
    <col customWidth="1" min="6" max="6" width="7.29"/>
    <col customWidth="1" min="7" max="7" width="6.86"/>
    <col customWidth="1" min="8" max="8" width="12.43"/>
    <col customWidth="1" min="9" max="29" width="8.0"/>
    <col customWidth="1" min="30" max="30" width="6.57"/>
  </cols>
  <sheetData>
    <row r="1">
      <c r="A1" s="375" t="str">
        <f>IFERROR(__xludf.DUMMYFUNCTION("IMPORTRANGE(Setup!C2,Setup!C3&amp;""!""&amp;Setup!F3)"),"Highest Currency Drops per Run")</f>
        <v>Highest Currency Drops per Run</v>
      </c>
      <c r="B1" s="305"/>
      <c r="C1" s="305"/>
      <c r="D1" s="305"/>
      <c r="E1" s="309"/>
      <c r="F1" s="376" t="str">
        <f>IFERROR(__xludf.DUMMYFUNCTION("""COMPUTED_VALUE"""),"")</f>
        <v/>
      </c>
      <c r="G1" s="377" t="str">
        <f>IFERROR(__xludf.DUMMYFUNCTION("""COMPUTED_VALUE"""),"")</f>
        <v/>
      </c>
      <c r="H1" s="378" t="str">
        <f>IFERROR(__xludf.DUMMYFUNCTION("""COMPUTED_VALUE"""),"")</f>
        <v/>
      </c>
      <c r="I1" s="379" t="str">
        <f>IFERROR(__xludf.DUMMYFUNCTION("""COMPUTED_VALUE"""),"Submissions")</f>
        <v>Submissions</v>
      </c>
      <c r="J1" s="305"/>
      <c r="K1" s="309"/>
      <c r="L1" s="19" t="str">
        <f>IFERROR(__xludf.DUMMYFUNCTION("""COMPUTED_VALUE"""),"")</f>
        <v/>
      </c>
      <c r="M1" s="24" t="str">
        <f>IFERROR(__xludf.DUMMYFUNCTION("""COMPUTED_VALUE"""),"")</f>
        <v/>
      </c>
      <c r="N1" s="24" t="str">
        <f>IFERROR(__xludf.DUMMYFUNCTION("""COMPUTED_VALUE"""),"")</f>
        <v/>
      </c>
      <c r="O1" s="24" t="str">
        <f>IFERROR(__xludf.DUMMYFUNCTION("""COMPUTED_VALUE"""),"")</f>
        <v/>
      </c>
      <c r="P1" s="24" t="str">
        <f>IFERROR(__xludf.DUMMYFUNCTION("""COMPUTED_VALUE"""),"")</f>
        <v/>
      </c>
      <c r="Q1" s="24" t="str">
        <f>IFERROR(__xludf.DUMMYFUNCTION("""COMPUTED_VALUE"""),"")</f>
        <v/>
      </c>
      <c r="R1" s="24" t="str">
        <f>IFERROR(__xludf.DUMMYFUNCTION("""COMPUTED_VALUE"""),"")</f>
        <v/>
      </c>
      <c r="S1" s="24" t="str">
        <f>IFERROR(__xludf.DUMMYFUNCTION("""COMPUTED_VALUE"""),"")</f>
        <v/>
      </c>
      <c r="T1" s="24" t="str">
        <f>IFERROR(__xludf.DUMMYFUNCTION("""COMPUTED_VALUE"""),"")</f>
        <v/>
      </c>
      <c r="U1" s="24" t="str">
        <f>IFERROR(__xludf.DUMMYFUNCTION("""COMPUTED_VALUE"""),"")</f>
        <v/>
      </c>
      <c r="V1" s="24" t="str">
        <f>IFERROR(__xludf.DUMMYFUNCTION("""COMPUTED_VALUE"""),"")</f>
        <v/>
      </c>
      <c r="W1" s="24" t="str">
        <f>IFERROR(__xludf.DUMMYFUNCTION("""COMPUTED_VALUE"""),"")</f>
        <v/>
      </c>
      <c r="X1" s="24" t="str">
        <f>IFERROR(__xludf.DUMMYFUNCTION("""COMPUTED_VALUE"""),"")</f>
        <v/>
      </c>
      <c r="Y1" s="24" t="str">
        <f>IFERROR(__xludf.DUMMYFUNCTION("""COMPUTED_VALUE"""),"")</f>
        <v/>
      </c>
      <c r="Z1" s="24" t="str">
        <f>IFERROR(__xludf.DUMMYFUNCTION("""COMPUTED_VALUE"""),"")</f>
        <v/>
      </c>
      <c r="AA1" s="24" t="str">
        <f>IFERROR(__xludf.DUMMYFUNCTION("""COMPUTED_VALUE"""),"")</f>
        <v/>
      </c>
      <c r="AB1" s="24" t="str">
        <f>IFERROR(__xludf.DUMMYFUNCTION("""COMPUTED_VALUE"""),"")</f>
        <v/>
      </c>
      <c r="AC1" s="24" t="str">
        <f>IFERROR(__xludf.DUMMYFUNCTION("""COMPUTED_VALUE"""),"")</f>
        <v/>
      </c>
      <c r="AD1" s="24"/>
      <c r="AE1" s="380"/>
    </row>
    <row r="2">
      <c r="A2" s="381" t="str">
        <f>IFERROR(__xludf.DUMMYFUNCTION("""COMPUTED_VALUE"""),"")</f>
        <v/>
      </c>
      <c r="B2" s="382" t="str">
        <f>IFERROR(__xludf.DUMMYFUNCTION("""COMPUTED_VALUE"""),"")</f>
        <v/>
      </c>
      <c r="C2" s="382" t="str">
        <f>IFERROR(__xludf.DUMMYFUNCTION("""COMPUTED_VALUE"""),"")</f>
        <v/>
      </c>
      <c r="D2" s="382" t="str">
        <f>IFERROR(__xludf.DUMMYFUNCTION("""COMPUTED_VALUE"""),"")</f>
        <v/>
      </c>
      <c r="E2" s="383" t="str">
        <f>IFERROR(__xludf.DUMMYFUNCTION("""COMPUTED_VALUE"""),"")</f>
        <v/>
      </c>
      <c r="F2" s="384" t="str">
        <f>IFERROR(__xludf.DUMMYFUNCTION("""COMPUTED_VALUE"""),"")</f>
        <v/>
      </c>
      <c r="G2" s="385" t="str">
        <f>IFERROR(__xludf.DUMMYFUNCTION("""COMPUTED_VALUE"""),"")</f>
        <v/>
      </c>
      <c r="H2" s="385" t="str">
        <f>IFERROR(__xludf.DUMMYFUNCTION("""COMPUTED_VALUE"""),"")</f>
        <v/>
      </c>
      <c r="I2" s="386" t="str">
        <f>IFERROR(__xludf.DUMMYFUNCTION("""COMPUTED_VALUE"""),"Bonus Values ==&gt;")</f>
        <v>Bonus Values ==&gt;</v>
      </c>
      <c r="J2" s="387" t="str">
        <f>IFERROR(__xludf.DUMMYFUNCTION("""COMPUTED_VALUE"""),"")</f>
        <v/>
      </c>
      <c r="K2" s="387" t="str">
        <f>IFERROR(__xludf.DUMMYFUNCTION("""COMPUTED_VALUE"""),"")</f>
        <v/>
      </c>
      <c r="L2" s="388" t="str">
        <f>IFERROR(__xludf.DUMMYFUNCTION("""COMPUTED_VALUE"""),"")</f>
        <v/>
      </c>
      <c r="M2" s="384" t="str">
        <f>IFERROR(__xludf.DUMMYFUNCTION("""COMPUTED_VALUE"""),"")</f>
        <v/>
      </c>
      <c r="N2" s="384" t="str">
        <f>IFERROR(__xludf.DUMMYFUNCTION("""COMPUTED_VALUE"""),"")</f>
        <v/>
      </c>
      <c r="O2" s="384" t="str">
        <f>IFERROR(__xludf.DUMMYFUNCTION("""COMPUTED_VALUE"""),"")</f>
        <v/>
      </c>
      <c r="P2" s="384" t="str">
        <f>IFERROR(__xludf.DUMMYFUNCTION("""COMPUTED_VALUE"""),"")</f>
        <v/>
      </c>
      <c r="Q2" s="384" t="str">
        <f>IFERROR(__xludf.DUMMYFUNCTION("""COMPUTED_VALUE"""),"")</f>
        <v/>
      </c>
      <c r="R2" s="384" t="str">
        <f>IFERROR(__xludf.DUMMYFUNCTION("""COMPUTED_VALUE"""),"")</f>
        <v/>
      </c>
      <c r="S2" s="384" t="str">
        <f>IFERROR(__xludf.DUMMYFUNCTION("""COMPUTED_VALUE"""),"")</f>
        <v/>
      </c>
      <c r="T2" s="384" t="str">
        <f>IFERROR(__xludf.DUMMYFUNCTION("""COMPUTED_VALUE"""),"")</f>
        <v/>
      </c>
      <c r="U2" s="384" t="str">
        <f>IFERROR(__xludf.DUMMYFUNCTION("""COMPUTED_VALUE"""),"")</f>
        <v/>
      </c>
      <c r="V2" s="384" t="str">
        <f>IFERROR(__xludf.DUMMYFUNCTION("""COMPUTED_VALUE"""),"")</f>
        <v/>
      </c>
      <c r="W2" s="384" t="str">
        <f>IFERROR(__xludf.DUMMYFUNCTION("""COMPUTED_VALUE"""),"")</f>
        <v/>
      </c>
      <c r="X2" s="384" t="str">
        <f>IFERROR(__xludf.DUMMYFUNCTION("""COMPUTED_VALUE"""),"")</f>
        <v/>
      </c>
      <c r="Y2" s="384" t="str">
        <f>IFERROR(__xludf.DUMMYFUNCTION("""COMPUTED_VALUE"""),"")</f>
        <v/>
      </c>
      <c r="Z2" s="384" t="str">
        <f>IFERROR(__xludf.DUMMYFUNCTION("""COMPUTED_VALUE"""),"")</f>
        <v/>
      </c>
      <c r="AA2" s="384" t="str">
        <f>IFERROR(__xludf.DUMMYFUNCTION("""COMPUTED_VALUE"""),"")</f>
        <v/>
      </c>
      <c r="AB2" s="384" t="str">
        <f>IFERROR(__xludf.DUMMYFUNCTION("""COMPUTED_VALUE"""),"")</f>
        <v/>
      </c>
      <c r="AC2" s="384" t="str">
        <f>IFERROR(__xludf.DUMMYFUNCTION("""COMPUTED_VALUE"""),"")</f>
        <v/>
      </c>
      <c r="AD2" s="389"/>
      <c r="AE2" s="390"/>
    </row>
    <row r="3" ht="41.25" customHeight="1">
      <c r="A3" s="391" t="str">
        <f>IFERROR(__xludf.DUMMYFUNCTION("""COMPUTED_VALUE"""),"")</f>
        <v/>
      </c>
      <c r="B3" s="392" t="str">
        <f>IFERROR(__xludf.DUMMYFUNCTION("""COMPUTED_VALUE"""),"E19051")</f>
        <v>E19051</v>
      </c>
      <c r="C3" s="392" t="str">
        <f>IFERROR(__xludf.DUMMYFUNCTION("""COMPUTED_VALUE"""),"HIDE")</f>
        <v>HIDE</v>
      </c>
      <c r="D3" s="392" t="str">
        <f>IFERROR(__xludf.DUMMYFUNCTION("""COMPUTED_VALUE"""),"Beam Cookie")</f>
        <v>Beam Cookie</v>
      </c>
      <c r="E3" s="393" t="str">
        <f>IFERROR(__xludf.DUMMYFUNCTION("""COMPUTED_VALUE"""),"Cost")</f>
        <v>Cost</v>
      </c>
      <c r="F3" s="394" t="str">
        <f>IFERROR(__xludf.DUMMYFUNCTION("""COMPUTED_VALUE"""),"# Runs")</f>
        <v># Runs</v>
      </c>
      <c r="G3" s="395" t="str">
        <f>IFERROR(__xludf.DUMMYFUNCTION("""COMPUTED_VALUE"""),"Status")</f>
        <v>Status</v>
      </c>
      <c r="H3" s="396" t="str">
        <f>IFERROR(__xludf.DUMMYFUNCTION("""COMPUTED_VALUE"""),"Currency/AP @ +0")</f>
        <v>Currency/AP @ +0</v>
      </c>
      <c r="I3" s="397">
        <f>IFERROR(__xludf.DUMMYFUNCTION("""COMPUTED_VALUE"""),0.0)</f>
        <v>0</v>
      </c>
      <c r="J3" s="398">
        <f>IFERROR(__xludf.DUMMYFUNCTION("""COMPUTED_VALUE"""),1.0)</f>
        <v>1</v>
      </c>
      <c r="K3" s="398">
        <f>IFERROR(__xludf.DUMMYFUNCTION("""COMPUTED_VALUE"""),2.0)</f>
        <v>2</v>
      </c>
      <c r="L3" s="398">
        <f>IFERROR(__xludf.DUMMYFUNCTION("""COMPUTED_VALUE"""),3.0)</f>
        <v>3</v>
      </c>
      <c r="M3" s="398">
        <f>IFERROR(__xludf.DUMMYFUNCTION("""COMPUTED_VALUE"""),4.0)</f>
        <v>4</v>
      </c>
      <c r="N3" s="398">
        <f>IFERROR(__xludf.DUMMYFUNCTION("""COMPUTED_VALUE"""),5.0)</f>
        <v>5</v>
      </c>
      <c r="O3" s="398">
        <f>IFERROR(__xludf.DUMMYFUNCTION("""COMPUTED_VALUE"""),6.0)</f>
        <v>6</v>
      </c>
      <c r="P3" s="398">
        <f>IFERROR(__xludf.DUMMYFUNCTION("""COMPUTED_VALUE"""),7.0)</f>
        <v>7</v>
      </c>
      <c r="Q3" s="398">
        <f>IFERROR(__xludf.DUMMYFUNCTION("""COMPUTED_VALUE"""),8.0)</f>
        <v>8</v>
      </c>
      <c r="R3" s="398">
        <f>IFERROR(__xludf.DUMMYFUNCTION("""COMPUTED_VALUE"""),9.0)</f>
        <v>9</v>
      </c>
      <c r="S3" s="398">
        <f>IFERROR(__xludf.DUMMYFUNCTION("""COMPUTED_VALUE"""),10.0)</f>
        <v>10</v>
      </c>
      <c r="T3" s="398">
        <f>IFERROR(__xludf.DUMMYFUNCTION("""COMPUTED_VALUE"""),11.0)</f>
        <v>11</v>
      </c>
      <c r="U3" s="398">
        <f>IFERROR(__xludf.DUMMYFUNCTION("""COMPUTED_VALUE"""),12.0)</f>
        <v>12</v>
      </c>
      <c r="V3" s="398">
        <f>IFERROR(__xludf.DUMMYFUNCTION("""COMPUTED_VALUE"""),13.0)</f>
        <v>13</v>
      </c>
      <c r="W3" s="398">
        <f>IFERROR(__xludf.DUMMYFUNCTION("""COMPUTED_VALUE"""),14.0)</f>
        <v>14</v>
      </c>
      <c r="X3" s="398">
        <f>IFERROR(__xludf.DUMMYFUNCTION("""COMPUTED_VALUE"""),15.0)</f>
        <v>15</v>
      </c>
      <c r="Y3" s="398">
        <f>IFERROR(__xludf.DUMMYFUNCTION("""COMPUTED_VALUE"""),16.0)</f>
        <v>16</v>
      </c>
      <c r="Z3" s="398">
        <f>IFERROR(__xludf.DUMMYFUNCTION("""COMPUTED_VALUE"""),17.0)</f>
        <v>17</v>
      </c>
      <c r="AA3" s="398">
        <f>IFERROR(__xludf.DUMMYFUNCTION("""COMPUTED_VALUE"""),18.0)</f>
        <v>18</v>
      </c>
      <c r="AB3" s="398">
        <f>IFERROR(__xludf.DUMMYFUNCTION("""COMPUTED_VALUE"""),19.0)</f>
        <v>19</v>
      </c>
      <c r="AC3" s="399">
        <f>IFERROR(__xludf.DUMMYFUNCTION("""COMPUTED_VALUE"""),20.0)</f>
        <v>20</v>
      </c>
      <c r="AD3" s="400"/>
      <c r="AE3" s="401"/>
    </row>
    <row r="4" hidden="1">
      <c r="A4" s="402" t="str">
        <f>IFERROR(__xludf.DUMMYFUNCTION("""COMPUTED_VALUE"""),"HIDE")</f>
        <v>HIDE</v>
      </c>
      <c r="B4" s="403">
        <f>IFERROR(__xludf.DUMMYFUNCTION("""COMPUTED_VALUE"""),7.0)</f>
        <v>7</v>
      </c>
      <c r="C4" s="404">
        <f>IFERROR(__xludf.DUMMYFUNCTION("""COMPUTED_VALUE"""),20.0)</f>
        <v>20</v>
      </c>
      <c r="D4" s="405" t="str">
        <f>IFERROR(__xludf.DUMMYFUNCTION("""COMPUTED_VALUE"""),"")</f>
        <v/>
      </c>
      <c r="E4" s="406" t="str">
        <f>IFERROR(__xludf.DUMMYFUNCTION("""COMPUTED_VALUE"""),"")</f>
        <v/>
      </c>
      <c r="F4" s="407" t="str">
        <f>IFERROR(__xludf.DUMMYFUNCTION("""COMPUTED_VALUE"""),"")</f>
        <v/>
      </c>
      <c r="G4" s="408" t="str">
        <f>IFERROR(__xludf.DUMMYFUNCTION("""COMPUTED_VALUE"""),"")</f>
        <v/>
      </c>
      <c r="H4" s="409" t="str">
        <f>IFERROR(__xludf.DUMMYFUNCTION("""COMPUTED_VALUE"""),"")</f>
        <v/>
      </c>
      <c r="I4" s="410" t="str">
        <f>IFERROR(__xludf.DUMMYFUNCTION("""COMPUTED_VALUE"""),"")</f>
        <v/>
      </c>
      <c r="J4" s="410" t="str">
        <f>IFERROR(__xludf.DUMMYFUNCTION("""COMPUTED_VALUE"""),"")</f>
        <v/>
      </c>
      <c r="K4" s="410" t="str">
        <f>IFERROR(__xludf.DUMMYFUNCTION("""COMPUTED_VALUE"""),"")</f>
        <v/>
      </c>
      <c r="L4" s="410" t="str">
        <f>IFERROR(__xludf.DUMMYFUNCTION("""COMPUTED_VALUE"""),"")</f>
        <v/>
      </c>
      <c r="M4" s="410" t="str">
        <f>IFERROR(__xludf.DUMMYFUNCTION("""COMPUTED_VALUE"""),"")</f>
        <v/>
      </c>
      <c r="N4" s="410" t="str">
        <f>IFERROR(__xludf.DUMMYFUNCTION("""COMPUTED_VALUE"""),"")</f>
        <v/>
      </c>
      <c r="O4" s="410" t="str">
        <f>IFERROR(__xludf.DUMMYFUNCTION("""COMPUTED_VALUE"""),"")</f>
        <v/>
      </c>
      <c r="P4" s="410" t="str">
        <f>IFERROR(__xludf.DUMMYFUNCTION("""COMPUTED_VALUE"""),"")</f>
        <v/>
      </c>
      <c r="Q4" s="410" t="str">
        <f>IFERROR(__xludf.DUMMYFUNCTION("""COMPUTED_VALUE"""),"")</f>
        <v/>
      </c>
      <c r="R4" s="410" t="str">
        <f>IFERROR(__xludf.DUMMYFUNCTION("""COMPUTED_VALUE"""),"")</f>
        <v/>
      </c>
      <c r="S4" s="410" t="str">
        <f>IFERROR(__xludf.DUMMYFUNCTION("""COMPUTED_VALUE"""),"")</f>
        <v/>
      </c>
      <c r="T4" s="410" t="str">
        <f>IFERROR(__xludf.DUMMYFUNCTION("""COMPUTED_VALUE"""),"")</f>
        <v/>
      </c>
      <c r="U4" s="410" t="str">
        <f>IFERROR(__xludf.DUMMYFUNCTION("""COMPUTED_VALUE"""),"")</f>
        <v/>
      </c>
      <c r="V4" s="410" t="str">
        <f>IFERROR(__xludf.DUMMYFUNCTION("""COMPUTED_VALUE"""),"")</f>
        <v/>
      </c>
      <c r="W4" s="410" t="str">
        <f>IFERROR(__xludf.DUMMYFUNCTION("""COMPUTED_VALUE"""),"")</f>
        <v/>
      </c>
      <c r="X4" s="410" t="str">
        <f>IFERROR(__xludf.DUMMYFUNCTION("""COMPUTED_VALUE"""),"")</f>
        <v/>
      </c>
      <c r="Y4" s="410" t="str">
        <f>IFERROR(__xludf.DUMMYFUNCTION("""COMPUTED_VALUE"""),"")</f>
        <v/>
      </c>
      <c r="Z4" s="410" t="str">
        <f>IFERROR(__xludf.DUMMYFUNCTION("""COMPUTED_VALUE"""),"")</f>
        <v/>
      </c>
      <c r="AA4" s="410" t="str">
        <f>IFERROR(__xludf.DUMMYFUNCTION("""COMPUTED_VALUE"""),"")</f>
        <v/>
      </c>
      <c r="AB4" s="410" t="str">
        <f>IFERROR(__xludf.DUMMYFUNCTION("""COMPUTED_VALUE"""),"")</f>
        <v/>
      </c>
      <c r="AC4" s="411" t="str">
        <f>IFERROR(__xludf.DUMMYFUNCTION("""COMPUTED_VALUE"""),"")</f>
        <v/>
      </c>
      <c r="AD4" s="400"/>
      <c r="AE4" s="401"/>
    </row>
    <row r="5">
      <c r="A5" s="412" t="str">
        <f>IFERROR(__xludf.DUMMYFUNCTION("""COMPUTED_VALUE"""),"BEST NOW")</f>
        <v>BEST NOW</v>
      </c>
      <c r="B5" s="413">
        <f>IFERROR(__xludf.DUMMYFUNCTION("""COMPUTED_VALUE"""),2.0)</f>
        <v>2</v>
      </c>
      <c r="C5" s="413">
        <f>IFERROR(__xludf.DUMMYFUNCTION("""COMPUTED_VALUE"""),5.0)</f>
        <v>5</v>
      </c>
      <c r="D5" s="414" t="str">
        <f>IFERROR(__xludf.DUMMYFUNCTION("""COMPUTED_VALUE"""),"Underground Factory")</f>
        <v>Underground Factory</v>
      </c>
      <c r="E5" s="415">
        <f>IFERROR(__xludf.DUMMYFUNCTION("""COMPUTED_VALUE"""),40.0)</f>
        <v>40</v>
      </c>
      <c r="F5" s="416">
        <f>IFERROR(__xludf.DUMMYFUNCTION("""COMPUTED_VALUE"""),65.0)</f>
        <v>65</v>
      </c>
      <c r="G5" s="417" t="str">
        <f>IFERROR(__xludf.DUMMYFUNCTION("""COMPUTED_VALUE"""),"Open")</f>
        <v>Open</v>
      </c>
      <c r="H5" s="418">
        <f>IFERROR(__xludf.DUMMYFUNCTION("""COMPUTED_VALUE"""),2.5523076923076924)</f>
        <v>2.552307692</v>
      </c>
      <c r="I5" s="419">
        <f>IFERROR(__xludf.DUMMYFUNCTION("""COMPUTED_VALUE"""),102.0923076923077)</f>
        <v>102.0923077</v>
      </c>
      <c r="J5" s="419">
        <f>IFERROR(__xludf.DUMMYFUNCTION("""COMPUTED_VALUE"""),147.13846153846154)</f>
        <v>147.1384615</v>
      </c>
      <c r="K5" s="419">
        <f>IFERROR(__xludf.DUMMYFUNCTION("""COMPUTED_VALUE"""),192.1846153846154)</f>
        <v>192.1846154</v>
      </c>
      <c r="L5" s="419">
        <f>IFERROR(__xludf.DUMMYFUNCTION("""COMPUTED_VALUE"""),237.23076923076923)</f>
        <v>237.2307692</v>
      </c>
      <c r="M5" s="419">
        <f>IFERROR(__xludf.DUMMYFUNCTION("""COMPUTED_VALUE"""),282.2769230769231)</f>
        <v>282.2769231</v>
      </c>
      <c r="N5" s="419">
        <f>IFERROR(__xludf.DUMMYFUNCTION("""COMPUTED_VALUE"""),327.32307692307694)</f>
        <v>327.3230769</v>
      </c>
      <c r="O5" s="419">
        <f>IFERROR(__xludf.DUMMYFUNCTION("""COMPUTED_VALUE"""),372.3692307692308)</f>
        <v>372.3692308</v>
      </c>
      <c r="P5" s="419">
        <f>IFERROR(__xludf.DUMMYFUNCTION("""COMPUTED_VALUE"""),417.41538461538465)</f>
        <v>417.4153846</v>
      </c>
      <c r="Q5" s="419">
        <f>IFERROR(__xludf.DUMMYFUNCTION("""COMPUTED_VALUE"""),462.4615384615385)</f>
        <v>462.4615385</v>
      </c>
      <c r="R5" s="419">
        <f>IFERROR(__xludf.DUMMYFUNCTION("""COMPUTED_VALUE"""),507.50769230769237)</f>
        <v>507.5076923</v>
      </c>
      <c r="S5" s="419">
        <f>IFERROR(__xludf.DUMMYFUNCTION("""COMPUTED_VALUE"""),552.5538461538462)</f>
        <v>552.5538462</v>
      </c>
      <c r="T5" s="419">
        <f>IFERROR(__xludf.DUMMYFUNCTION("""COMPUTED_VALUE"""),597.6)</f>
        <v>597.6</v>
      </c>
      <c r="U5" s="419">
        <f>IFERROR(__xludf.DUMMYFUNCTION("""COMPUTED_VALUE"""),642.6461538461539)</f>
        <v>642.6461538</v>
      </c>
      <c r="V5" s="419">
        <f>IFERROR(__xludf.DUMMYFUNCTION("""COMPUTED_VALUE"""),687.6923076923077)</f>
        <v>687.6923077</v>
      </c>
      <c r="W5" s="419">
        <f>IFERROR(__xludf.DUMMYFUNCTION("""COMPUTED_VALUE"""),732.7384615384616)</f>
        <v>732.7384615</v>
      </c>
      <c r="X5" s="419">
        <f>IFERROR(__xludf.DUMMYFUNCTION("""COMPUTED_VALUE"""),777.7846153846154)</f>
        <v>777.7846154</v>
      </c>
      <c r="Y5" s="419">
        <f>IFERROR(__xludf.DUMMYFUNCTION("""COMPUTED_VALUE"""),822.8307692307693)</f>
        <v>822.8307692</v>
      </c>
      <c r="Z5" s="419">
        <f>IFERROR(__xludf.DUMMYFUNCTION("""COMPUTED_VALUE"""),867.8769230769232)</f>
        <v>867.8769231</v>
      </c>
      <c r="AA5" s="419">
        <f>IFERROR(__xludf.DUMMYFUNCTION("""COMPUTED_VALUE"""),912.923076923077)</f>
        <v>912.9230769</v>
      </c>
      <c r="AB5" s="419">
        <f>IFERROR(__xludf.DUMMYFUNCTION("""COMPUTED_VALUE"""),957.9692307692309)</f>
        <v>957.9692308</v>
      </c>
      <c r="AC5" s="420">
        <f>IFERROR(__xludf.DUMMYFUNCTION("""COMPUTED_VALUE"""),1003.0153846153847)</f>
        <v>1003.015385</v>
      </c>
      <c r="AD5" s="10"/>
      <c r="AE5" s="390"/>
    </row>
    <row r="6">
      <c r="A6" s="421">
        <f>IFERROR(__xludf.DUMMYFUNCTION("""COMPUTED_VALUE"""),1.0)</f>
        <v>1</v>
      </c>
      <c r="B6" s="422">
        <f>IFERROR(__xludf.DUMMYFUNCTION("""COMPUTED_VALUE"""),2.0)</f>
        <v>2</v>
      </c>
      <c r="C6" s="422">
        <f>IFERROR(__xludf.DUMMYFUNCTION("""COMPUTED_VALUE"""),5.0)</f>
        <v>5</v>
      </c>
      <c r="D6" s="423" t="str">
        <f>IFERROR(__xludf.DUMMYFUNCTION("""COMPUTED_VALUE"""),"Underground Factory")</f>
        <v>Underground Factory</v>
      </c>
      <c r="E6" s="424">
        <f>IFERROR(__xludf.DUMMYFUNCTION("""COMPUTED_VALUE"""),40.0)</f>
        <v>40</v>
      </c>
      <c r="F6" s="425">
        <f>IFERROR(__xludf.DUMMYFUNCTION("""COMPUTED_VALUE"""),65.0)</f>
        <v>65</v>
      </c>
      <c r="G6" s="426" t="str">
        <f>IFERROR(__xludf.DUMMYFUNCTION("""COMPUTED_VALUE"""),"Open")</f>
        <v>Open</v>
      </c>
      <c r="H6" s="427">
        <f>IFERROR(__xludf.DUMMYFUNCTION("""COMPUTED_VALUE"""),2.5523076923076924)</f>
        <v>2.552307692</v>
      </c>
      <c r="I6" s="428">
        <f>IFERROR(__xludf.DUMMYFUNCTION("""COMPUTED_VALUE"""),102.0923076923077)</f>
        <v>102.0923077</v>
      </c>
      <c r="J6" s="428">
        <f>IFERROR(__xludf.DUMMYFUNCTION("""COMPUTED_VALUE"""),147.13846153846154)</f>
        <v>147.1384615</v>
      </c>
      <c r="K6" s="428">
        <f>IFERROR(__xludf.DUMMYFUNCTION("""COMPUTED_VALUE"""),192.1846153846154)</f>
        <v>192.1846154</v>
      </c>
      <c r="L6" s="428">
        <f>IFERROR(__xludf.DUMMYFUNCTION("""COMPUTED_VALUE"""),237.23076923076923)</f>
        <v>237.2307692</v>
      </c>
      <c r="M6" s="428">
        <f>IFERROR(__xludf.DUMMYFUNCTION("""COMPUTED_VALUE"""),282.2769230769231)</f>
        <v>282.2769231</v>
      </c>
      <c r="N6" s="428">
        <f>IFERROR(__xludf.DUMMYFUNCTION("""COMPUTED_VALUE"""),327.32307692307694)</f>
        <v>327.3230769</v>
      </c>
      <c r="O6" s="428">
        <f>IFERROR(__xludf.DUMMYFUNCTION("""COMPUTED_VALUE"""),372.3692307692308)</f>
        <v>372.3692308</v>
      </c>
      <c r="P6" s="428">
        <f>IFERROR(__xludf.DUMMYFUNCTION("""COMPUTED_VALUE"""),417.41538461538465)</f>
        <v>417.4153846</v>
      </c>
      <c r="Q6" s="428">
        <f>IFERROR(__xludf.DUMMYFUNCTION("""COMPUTED_VALUE"""),462.4615384615385)</f>
        <v>462.4615385</v>
      </c>
      <c r="R6" s="428">
        <f>IFERROR(__xludf.DUMMYFUNCTION("""COMPUTED_VALUE"""),507.50769230769237)</f>
        <v>507.5076923</v>
      </c>
      <c r="S6" s="428">
        <f>IFERROR(__xludf.DUMMYFUNCTION("""COMPUTED_VALUE"""),552.5538461538462)</f>
        <v>552.5538462</v>
      </c>
      <c r="T6" s="428">
        <f>IFERROR(__xludf.DUMMYFUNCTION("""COMPUTED_VALUE"""),597.6)</f>
        <v>597.6</v>
      </c>
      <c r="U6" s="428">
        <f>IFERROR(__xludf.DUMMYFUNCTION("""COMPUTED_VALUE"""),642.6461538461539)</f>
        <v>642.6461538</v>
      </c>
      <c r="V6" s="428">
        <f>IFERROR(__xludf.DUMMYFUNCTION("""COMPUTED_VALUE"""),687.6923076923077)</f>
        <v>687.6923077</v>
      </c>
      <c r="W6" s="428">
        <f>IFERROR(__xludf.DUMMYFUNCTION("""COMPUTED_VALUE"""),732.7384615384616)</f>
        <v>732.7384615</v>
      </c>
      <c r="X6" s="428">
        <f>IFERROR(__xludf.DUMMYFUNCTION("""COMPUTED_VALUE"""),777.7846153846154)</f>
        <v>777.7846154</v>
      </c>
      <c r="Y6" s="428">
        <f>IFERROR(__xludf.DUMMYFUNCTION("""COMPUTED_VALUE"""),822.8307692307693)</f>
        <v>822.8307692</v>
      </c>
      <c r="Z6" s="428">
        <f>IFERROR(__xludf.DUMMYFUNCTION("""COMPUTED_VALUE"""),867.8769230769232)</f>
        <v>867.8769231</v>
      </c>
      <c r="AA6" s="428">
        <f>IFERROR(__xludf.DUMMYFUNCTION("""COMPUTED_VALUE"""),912.923076923077)</f>
        <v>912.9230769</v>
      </c>
      <c r="AB6" s="428">
        <f>IFERROR(__xludf.DUMMYFUNCTION("""COMPUTED_VALUE"""),957.9692307692309)</f>
        <v>957.9692308</v>
      </c>
      <c r="AC6" s="429">
        <f>IFERROR(__xludf.DUMMYFUNCTION("""COMPUTED_VALUE"""),1003.0153846153847)</f>
        <v>1003.015385</v>
      </c>
      <c r="AD6" s="10"/>
      <c r="AE6" s="390"/>
    </row>
    <row r="7">
      <c r="A7" s="421">
        <f>IFERROR(__xludf.DUMMYFUNCTION("""COMPUTED_VALUE"""),2.0)</f>
        <v>2</v>
      </c>
      <c r="B7" s="422">
        <f>IFERROR(__xludf.DUMMYFUNCTION("""COMPUTED_VALUE"""),3.0)</f>
        <v>3</v>
      </c>
      <c r="C7" s="422">
        <f>IFERROR(__xludf.DUMMYFUNCTION("""COMPUTED_VALUE"""),6.0)</f>
        <v>6</v>
      </c>
      <c r="D7" s="423" t="str">
        <f>IFERROR(__xludf.DUMMYFUNCTION("""COMPUTED_VALUE"""),"Old Well")</f>
        <v>Old Well</v>
      </c>
      <c r="E7" s="424">
        <f>IFERROR(__xludf.DUMMYFUNCTION("""COMPUTED_VALUE"""),40.0)</f>
        <v>40</v>
      </c>
      <c r="F7" s="425">
        <f>IFERROR(__xludf.DUMMYFUNCTION("""COMPUTED_VALUE"""),128.0)</f>
        <v>128</v>
      </c>
      <c r="G7" s="426" t="str">
        <f>IFERROR(__xludf.DUMMYFUNCTION("""COMPUTED_VALUE"""),"Open")</f>
        <v>Open</v>
      </c>
      <c r="H7" s="427">
        <f>IFERROR(__xludf.DUMMYFUNCTION("""COMPUTED_VALUE"""),2.233203125)</f>
        <v>2.233203125</v>
      </c>
      <c r="I7" s="428">
        <f>IFERROR(__xludf.DUMMYFUNCTION("""COMPUTED_VALUE"""),89.328125)</f>
        <v>89.328125</v>
      </c>
      <c r="J7" s="428">
        <f>IFERROR(__xludf.DUMMYFUNCTION("""COMPUTED_VALUE"""),128.0078125)</f>
        <v>128.0078125</v>
      </c>
      <c r="K7" s="428">
        <f>IFERROR(__xludf.DUMMYFUNCTION("""COMPUTED_VALUE"""),166.6875)</f>
        <v>166.6875</v>
      </c>
      <c r="L7" s="428">
        <f>IFERROR(__xludf.DUMMYFUNCTION("""COMPUTED_VALUE"""),205.3671875)</f>
        <v>205.3671875</v>
      </c>
      <c r="M7" s="428">
        <f>IFERROR(__xludf.DUMMYFUNCTION("""COMPUTED_VALUE"""),244.046875)</f>
        <v>244.046875</v>
      </c>
      <c r="N7" s="428">
        <f>IFERROR(__xludf.DUMMYFUNCTION("""COMPUTED_VALUE"""),282.7265625)</f>
        <v>282.7265625</v>
      </c>
      <c r="O7" s="428">
        <f>IFERROR(__xludf.DUMMYFUNCTION("""COMPUTED_VALUE"""),321.40625)</f>
        <v>321.40625</v>
      </c>
      <c r="P7" s="428">
        <f>IFERROR(__xludf.DUMMYFUNCTION("""COMPUTED_VALUE"""),360.0859375)</f>
        <v>360.0859375</v>
      </c>
      <c r="Q7" s="428">
        <f>IFERROR(__xludf.DUMMYFUNCTION("""COMPUTED_VALUE"""),398.765625)</f>
        <v>398.765625</v>
      </c>
      <c r="R7" s="428">
        <f>IFERROR(__xludf.DUMMYFUNCTION("""COMPUTED_VALUE"""),437.4453125)</f>
        <v>437.4453125</v>
      </c>
      <c r="S7" s="428">
        <f>IFERROR(__xludf.DUMMYFUNCTION("""COMPUTED_VALUE"""),476.125)</f>
        <v>476.125</v>
      </c>
      <c r="T7" s="428">
        <f>IFERROR(__xludf.DUMMYFUNCTION("""COMPUTED_VALUE"""),514.8046875)</f>
        <v>514.8046875</v>
      </c>
      <c r="U7" s="428">
        <f>IFERROR(__xludf.DUMMYFUNCTION("""COMPUTED_VALUE"""),553.484375)</f>
        <v>553.484375</v>
      </c>
      <c r="V7" s="428">
        <f>IFERROR(__xludf.DUMMYFUNCTION("""COMPUTED_VALUE"""),592.1640625)</f>
        <v>592.1640625</v>
      </c>
      <c r="W7" s="428">
        <f>IFERROR(__xludf.DUMMYFUNCTION("""COMPUTED_VALUE"""),630.84375)</f>
        <v>630.84375</v>
      </c>
      <c r="X7" s="428">
        <f>IFERROR(__xludf.DUMMYFUNCTION("""COMPUTED_VALUE"""),669.5234375)</f>
        <v>669.5234375</v>
      </c>
      <c r="Y7" s="428">
        <f>IFERROR(__xludf.DUMMYFUNCTION("""COMPUTED_VALUE"""),708.203125)</f>
        <v>708.203125</v>
      </c>
      <c r="Z7" s="428">
        <f>IFERROR(__xludf.DUMMYFUNCTION("""COMPUTED_VALUE"""),746.8828125)</f>
        <v>746.8828125</v>
      </c>
      <c r="AA7" s="428">
        <f>IFERROR(__xludf.DUMMYFUNCTION("""COMPUTED_VALUE"""),785.5625)</f>
        <v>785.5625</v>
      </c>
      <c r="AB7" s="428">
        <f>IFERROR(__xludf.DUMMYFUNCTION("""COMPUTED_VALUE"""),824.2421875)</f>
        <v>824.2421875</v>
      </c>
      <c r="AC7" s="429">
        <f>IFERROR(__xludf.DUMMYFUNCTION("""COMPUTED_VALUE"""),862.921875)</f>
        <v>862.921875</v>
      </c>
      <c r="AD7" s="10"/>
      <c r="AE7" s="390"/>
    </row>
    <row r="8">
      <c r="A8" s="421">
        <f>IFERROR(__xludf.DUMMYFUNCTION("""COMPUTED_VALUE"""),3.0)</f>
        <v>3</v>
      </c>
      <c r="B8" s="422">
        <f>IFERROR(__xludf.DUMMYFUNCTION("""COMPUTED_VALUE"""),23.0)</f>
        <v>23</v>
      </c>
      <c r="C8" s="422">
        <f>IFERROR(__xludf.DUMMYFUNCTION("""COMPUTED_VALUE"""),26.0)</f>
        <v>26</v>
      </c>
      <c r="D8" s="423" t="str">
        <f>IFERROR(__xludf.DUMMYFUNCTION("""COMPUTED_VALUE"""),"Grand Chidori Gable")</f>
        <v>Grand Chidori Gable</v>
      </c>
      <c r="E8" s="424">
        <f>IFERROR(__xludf.DUMMYFUNCTION("""COMPUTED_VALUE"""),40.0)</f>
        <v>40</v>
      </c>
      <c r="F8" s="425">
        <f>IFERROR(__xludf.DUMMYFUNCTION("""COMPUTED_VALUE"""),14.0)</f>
        <v>14</v>
      </c>
      <c r="G8" s="430" t="str">
        <f>IFERROR(__xludf.DUMMYFUNCTION("""COMPUTED_VALUE"""),"Open")</f>
        <v>Open</v>
      </c>
      <c r="H8" s="427">
        <f>IFERROR(__xludf.DUMMYFUNCTION("""COMPUTED_VALUE"""),1.6982142857142857)</f>
        <v>1.698214286</v>
      </c>
      <c r="I8" s="428">
        <f>IFERROR(__xludf.DUMMYFUNCTION("""COMPUTED_VALUE"""),67.92857142857143)</f>
        <v>67.92857143</v>
      </c>
      <c r="J8" s="428">
        <f>IFERROR(__xludf.DUMMYFUNCTION("""COMPUTED_VALUE"""),98.42857142857143)</f>
        <v>98.42857143</v>
      </c>
      <c r="K8" s="428">
        <f>IFERROR(__xludf.DUMMYFUNCTION("""COMPUTED_VALUE"""),128.92857142857144)</f>
        <v>128.9285714</v>
      </c>
      <c r="L8" s="428">
        <f>IFERROR(__xludf.DUMMYFUNCTION("""COMPUTED_VALUE"""),159.42857142857144)</f>
        <v>159.4285714</v>
      </c>
      <c r="M8" s="428">
        <f>IFERROR(__xludf.DUMMYFUNCTION("""COMPUTED_VALUE"""),189.92857142857144)</f>
        <v>189.9285714</v>
      </c>
      <c r="N8" s="428">
        <f>IFERROR(__xludf.DUMMYFUNCTION("""COMPUTED_VALUE"""),220.42857142857144)</f>
        <v>220.4285714</v>
      </c>
      <c r="O8" s="428">
        <f>IFERROR(__xludf.DUMMYFUNCTION("""COMPUTED_VALUE"""),250.92857142857144)</f>
        <v>250.9285714</v>
      </c>
      <c r="P8" s="428">
        <f>IFERROR(__xludf.DUMMYFUNCTION("""COMPUTED_VALUE"""),281.42857142857144)</f>
        <v>281.4285714</v>
      </c>
      <c r="Q8" s="428">
        <f>IFERROR(__xludf.DUMMYFUNCTION("""COMPUTED_VALUE"""),311.92857142857144)</f>
        <v>311.9285714</v>
      </c>
      <c r="R8" s="428">
        <f>IFERROR(__xludf.DUMMYFUNCTION("""COMPUTED_VALUE"""),342.42857142857144)</f>
        <v>342.4285714</v>
      </c>
      <c r="S8" s="428">
        <f>IFERROR(__xludf.DUMMYFUNCTION("""COMPUTED_VALUE"""),372.92857142857144)</f>
        <v>372.9285714</v>
      </c>
      <c r="T8" s="428">
        <f>IFERROR(__xludf.DUMMYFUNCTION("""COMPUTED_VALUE"""),403.42857142857144)</f>
        <v>403.4285714</v>
      </c>
      <c r="U8" s="428">
        <f>IFERROR(__xludf.DUMMYFUNCTION("""COMPUTED_VALUE"""),433.92857142857144)</f>
        <v>433.9285714</v>
      </c>
      <c r="V8" s="428">
        <f>IFERROR(__xludf.DUMMYFUNCTION("""COMPUTED_VALUE"""),464.42857142857144)</f>
        <v>464.4285714</v>
      </c>
      <c r="W8" s="428">
        <f>IFERROR(__xludf.DUMMYFUNCTION("""COMPUTED_VALUE"""),494.92857142857144)</f>
        <v>494.9285714</v>
      </c>
      <c r="X8" s="428">
        <f>IFERROR(__xludf.DUMMYFUNCTION("""COMPUTED_VALUE"""),525.4285714285714)</f>
        <v>525.4285714</v>
      </c>
      <c r="Y8" s="428">
        <f>IFERROR(__xludf.DUMMYFUNCTION("""COMPUTED_VALUE"""),555.9285714285714)</f>
        <v>555.9285714</v>
      </c>
      <c r="Z8" s="428">
        <f>IFERROR(__xludf.DUMMYFUNCTION("""COMPUTED_VALUE"""),586.4285714285714)</f>
        <v>586.4285714</v>
      </c>
      <c r="AA8" s="428">
        <f>IFERROR(__xludf.DUMMYFUNCTION("""COMPUTED_VALUE"""),616.9285714285714)</f>
        <v>616.9285714</v>
      </c>
      <c r="AB8" s="428">
        <f>IFERROR(__xludf.DUMMYFUNCTION("""COMPUTED_VALUE"""),647.4285714285714)</f>
        <v>647.4285714</v>
      </c>
      <c r="AC8" s="429">
        <f>IFERROR(__xludf.DUMMYFUNCTION("""COMPUTED_VALUE"""),677.9285714285714)</f>
        <v>677.9285714</v>
      </c>
      <c r="AD8" s="10"/>
      <c r="AE8" s="390"/>
    </row>
    <row r="9">
      <c r="A9" s="421">
        <f>IFERROR(__xludf.DUMMYFUNCTION("""COMPUTED_VALUE"""),4.0)</f>
        <v>4</v>
      </c>
      <c r="B9" s="422">
        <f>IFERROR(__xludf.DUMMYFUNCTION("""COMPUTED_VALUE"""),20.0)</f>
        <v>20</v>
      </c>
      <c r="C9" s="422">
        <f>IFERROR(__xludf.DUMMYFUNCTION("""COMPUTED_VALUE"""),23.0)</f>
        <v>23</v>
      </c>
      <c r="D9" s="423" t="str">
        <f>IFERROR(__xludf.DUMMYFUNCTION("""COMPUTED_VALUE"""),"Lookout Post")</f>
        <v>Lookout Post</v>
      </c>
      <c r="E9" s="424">
        <f>IFERROR(__xludf.DUMMYFUNCTION("""COMPUTED_VALUE"""),30.0)</f>
        <v>30</v>
      </c>
      <c r="F9" s="425">
        <f>IFERROR(__xludf.DUMMYFUNCTION("""COMPUTED_VALUE"""),29.0)</f>
        <v>29</v>
      </c>
      <c r="G9" s="430" t="str">
        <f>IFERROR(__xludf.DUMMYFUNCTION("""COMPUTED_VALUE"""),"Open")</f>
        <v>Open</v>
      </c>
      <c r="H9" s="427">
        <f>IFERROR(__xludf.DUMMYFUNCTION("""COMPUTED_VALUE"""),1.435632183908046)</f>
        <v>1.435632184</v>
      </c>
      <c r="I9" s="428">
        <f>IFERROR(__xludf.DUMMYFUNCTION("""COMPUTED_VALUE"""),43.06896551724138)</f>
        <v>43.06896552</v>
      </c>
      <c r="J9" s="428">
        <f>IFERROR(__xludf.DUMMYFUNCTION("""COMPUTED_VALUE"""),63.20689655172414)</f>
        <v>63.20689655</v>
      </c>
      <c r="K9" s="428">
        <f>IFERROR(__xludf.DUMMYFUNCTION("""COMPUTED_VALUE"""),83.34482758620689)</f>
        <v>83.34482759</v>
      </c>
      <c r="L9" s="428">
        <f>IFERROR(__xludf.DUMMYFUNCTION("""COMPUTED_VALUE"""),103.48275862068965)</f>
        <v>103.4827586</v>
      </c>
      <c r="M9" s="428">
        <f>IFERROR(__xludf.DUMMYFUNCTION("""COMPUTED_VALUE"""),123.62068965517241)</f>
        <v>123.6206897</v>
      </c>
      <c r="N9" s="428">
        <f>IFERROR(__xludf.DUMMYFUNCTION("""COMPUTED_VALUE"""),143.75862068965517)</f>
        <v>143.7586207</v>
      </c>
      <c r="O9" s="428">
        <f>IFERROR(__xludf.DUMMYFUNCTION("""COMPUTED_VALUE"""),163.8965517241379)</f>
        <v>163.8965517</v>
      </c>
      <c r="P9" s="428">
        <f>IFERROR(__xludf.DUMMYFUNCTION("""COMPUTED_VALUE"""),184.0344827586207)</f>
        <v>184.0344828</v>
      </c>
      <c r="Q9" s="428">
        <f>IFERROR(__xludf.DUMMYFUNCTION("""COMPUTED_VALUE"""),204.17241379310343)</f>
        <v>204.1724138</v>
      </c>
      <c r="R9" s="428">
        <f>IFERROR(__xludf.DUMMYFUNCTION("""COMPUTED_VALUE"""),224.31034482758622)</f>
        <v>224.3103448</v>
      </c>
      <c r="S9" s="428">
        <f>IFERROR(__xludf.DUMMYFUNCTION("""COMPUTED_VALUE"""),244.44827586206895)</f>
        <v>244.4482759</v>
      </c>
      <c r="T9" s="428">
        <f>IFERROR(__xludf.DUMMYFUNCTION("""COMPUTED_VALUE"""),264.58620689655174)</f>
        <v>264.5862069</v>
      </c>
      <c r="U9" s="428">
        <f>IFERROR(__xludf.DUMMYFUNCTION("""COMPUTED_VALUE"""),284.7241379310345)</f>
        <v>284.7241379</v>
      </c>
      <c r="V9" s="428">
        <f>IFERROR(__xludf.DUMMYFUNCTION("""COMPUTED_VALUE"""),304.86206896551727)</f>
        <v>304.862069</v>
      </c>
      <c r="W9" s="428">
        <f>IFERROR(__xludf.DUMMYFUNCTION("""COMPUTED_VALUE"""),325.0)</f>
        <v>325</v>
      </c>
      <c r="X9" s="428">
        <f>IFERROR(__xludf.DUMMYFUNCTION("""COMPUTED_VALUE"""),345.1379310344828)</f>
        <v>345.137931</v>
      </c>
      <c r="Y9" s="428">
        <f>IFERROR(__xludf.DUMMYFUNCTION("""COMPUTED_VALUE"""),365.2758620689655)</f>
        <v>365.2758621</v>
      </c>
      <c r="Z9" s="428">
        <f>IFERROR(__xludf.DUMMYFUNCTION("""COMPUTED_VALUE"""),385.41379310344826)</f>
        <v>385.4137931</v>
      </c>
      <c r="AA9" s="428">
        <f>IFERROR(__xludf.DUMMYFUNCTION("""COMPUTED_VALUE"""),405.55172413793105)</f>
        <v>405.5517241</v>
      </c>
      <c r="AB9" s="428">
        <f>IFERROR(__xludf.DUMMYFUNCTION("""COMPUTED_VALUE"""),425.6896551724138)</f>
        <v>425.6896552</v>
      </c>
      <c r="AC9" s="429">
        <f>IFERROR(__xludf.DUMMYFUNCTION("""COMPUTED_VALUE"""),445.82758620689657)</f>
        <v>445.8275862</v>
      </c>
      <c r="AD9" s="10"/>
      <c r="AE9" s="390"/>
    </row>
    <row r="10">
      <c r="A10" s="421">
        <f>IFERROR(__xludf.DUMMYFUNCTION("""COMPUTED_VALUE"""),5.0)</f>
        <v>5</v>
      </c>
      <c r="B10" s="422">
        <f>IFERROR(__xludf.DUMMYFUNCTION("""COMPUTED_VALUE"""),26.0)</f>
        <v>26</v>
      </c>
      <c r="C10" s="422">
        <f>IFERROR(__xludf.DUMMYFUNCTION("""COMPUTED_VALUE"""),29.0)</f>
        <v>29</v>
      </c>
      <c r="D10" s="423" t="str">
        <f>IFERROR(__xludf.DUMMYFUNCTION("""COMPUTED_VALUE"""),"Left Shachi")</f>
        <v>Left Shachi</v>
      </c>
      <c r="E10" s="424">
        <f>IFERROR(__xludf.DUMMYFUNCTION("""COMPUTED_VALUE"""),40.0)</f>
        <v>40</v>
      </c>
      <c r="F10" s="425">
        <f>IFERROR(__xludf.DUMMYFUNCTION("""COMPUTED_VALUE"""),19.0)</f>
        <v>19</v>
      </c>
      <c r="G10" s="430" t="str">
        <f>IFERROR(__xludf.DUMMYFUNCTION("""COMPUTED_VALUE"""),"Open")</f>
        <v>Open</v>
      </c>
      <c r="H10" s="427">
        <f>IFERROR(__xludf.DUMMYFUNCTION("""COMPUTED_VALUE"""),0.7973684210526316)</f>
        <v>0.7973684211</v>
      </c>
      <c r="I10" s="428">
        <f>IFERROR(__xludf.DUMMYFUNCTION("""COMPUTED_VALUE"""),31.894736842105264)</f>
        <v>31.89473684</v>
      </c>
      <c r="J10" s="428">
        <f>IFERROR(__xludf.DUMMYFUNCTION("""COMPUTED_VALUE"""),46.73684210526316)</f>
        <v>46.73684211</v>
      </c>
      <c r="K10" s="428">
        <f>IFERROR(__xludf.DUMMYFUNCTION("""COMPUTED_VALUE"""),61.578947368421055)</f>
        <v>61.57894737</v>
      </c>
      <c r="L10" s="428">
        <f>IFERROR(__xludf.DUMMYFUNCTION("""COMPUTED_VALUE"""),76.42105263157895)</f>
        <v>76.42105263</v>
      </c>
      <c r="M10" s="428">
        <f>IFERROR(__xludf.DUMMYFUNCTION("""COMPUTED_VALUE"""),91.26315789473685)</f>
        <v>91.26315789</v>
      </c>
      <c r="N10" s="428">
        <f>IFERROR(__xludf.DUMMYFUNCTION("""COMPUTED_VALUE"""),106.10526315789474)</f>
        <v>106.1052632</v>
      </c>
      <c r="O10" s="428">
        <f>IFERROR(__xludf.DUMMYFUNCTION("""COMPUTED_VALUE"""),120.94736842105263)</f>
        <v>120.9473684</v>
      </c>
      <c r="P10" s="428">
        <f>IFERROR(__xludf.DUMMYFUNCTION("""COMPUTED_VALUE"""),135.78947368421055)</f>
        <v>135.7894737</v>
      </c>
      <c r="Q10" s="428">
        <f>IFERROR(__xludf.DUMMYFUNCTION("""COMPUTED_VALUE"""),150.63157894736844)</f>
        <v>150.6315789</v>
      </c>
      <c r="R10" s="428">
        <f>IFERROR(__xludf.DUMMYFUNCTION("""COMPUTED_VALUE"""),165.47368421052633)</f>
        <v>165.4736842</v>
      </c>
      <c r="S10" s="428">
        <f>IFERROR(__xludf.DUMMYFUNCTION("""COMPUTED_VALUE"""),180.31578947368422)</f>
        <v>180.3157895</v>
      </c>
      <c r="T10" s="428">
        <f>IFERROR(__xludf.DUMMYFUNCTION("""COMPUTED_VALUE"""),195.1578947368421)</f>
        <v>195.1578947</v>
      </c>
      <c r="U10" s="428">
        <f>IFERROR(__xludf.DUMMYFUNCTION("""COMPUTED_VALUE"""),210.0)</f>
        <v>210</v>
      </c>
      <c r="V10" s="428">
        <f>IFERROR(__xludf.DUMMYFUNCTION("""COMPUTED_VALUE"""),224.8421052631579)</f>
        <v>224.8421053</v>
      </c>
      <c r="W10" s="428">
        <f>IFERROR(__xludf.DUMMYFUNCTION("""COMPUTED_VALUE"""),239.6842105263158)</f>
        <v>239.6842105</v>
      </c>
      <c r="X10" s="428">
        <f>IFERROR(__xludf.DUMMYFUNCTION("""COMPUTED_VALUE"""),254.5263157894737)</f>
        <v>254.5263158</v>
      </c>
      <c r="Y10" s="428">
        <f>IFERROR(__xludf.DUMMYFUNCTION("""COMPUTED_VALUE"""),269.3684210526316)</f>
        <v>269.3684211</v>
      </c>
      <c r="Z10" s="428">
        <f>IFERROR(__xludf.DUMMYFUNCTION("""COMPUTED_VALUE"""),284.2105263157895)</f>
        <v>284.2105263</v>
      </c>
      <c r="AA10" s="428">
        <f>IFERROR(__xludf.DUMMYFUNCTION("""COMPUTED_VALUE"""),299.0526315789474)</f>
        <v>299.0526316</v>
      </c>
      <c r="AB10" s="428">
        <f>IFERROR(__xludf.DUMMYFUNCTION("""COMPUTED_VALUE"""),313.89473684210526)</f>
        <v>313.8947368</v>
      </c>
      <c r="AC10" s="429">
        <f>IFERROR(__xludf.DUMMYFUNCTION("""COMPUTED_VALUE"""),328.7368421052632)</f>
        <v>328.7368421</v>
      </c>
      <c r="AD10" s="10"/>
      <c r="AE10" s="390"/>
    </row>
    <row r="11">
      <c r="A11" s="421">
        <f>IFERROR(__xludf.DUMMYFUNCTION("""COMPUTED_VALUE"""),6.0)</f>
        <v>6</v>
      </c>
      <c r="B11" s="422">
        <f>IFERROR(__xludf.DUMMYFUNCTION("""COMPUTED_VALUE"""),25.0)</f>
        <v>25</v>
      </c>
      <c r="C11" s="422">
        <f>IFERROR(__xludf.DUMMYFUNCTION("""COMPUTED_VALUE"""),28.0)</f>
        <v>28</v>
      </c>
      <c r="D11" s="423" t="str">
        <f>IFERROR(__xludf.DUMMYFUNCTION("""COMPUTED_VALUE"""),"Great East Pillar")</f>
        <v>Great East Pillar</v>
      </c>
      <c r="E11" s="424">
        <f>IFERROR(__xludf.DUMMYFUNCTION("""COMPUTED_VALUE"""),30.0)</f>
        <v>30</v>
      </c>
      <c r="F11" s="425">
        <f>IFERROR(__xludf.DUMMYFUNCTION("""COMPUTED_VALUE"""),29.0)</f>
        <v>29</v>
      </c>
      <c r="G11" s="430" t="str">
        <f>IFERROR(__xludf.DUMMYFUNCTION("""COMPUTED_VALUE"""),"Open")</f>
        <v>Open</v>
      </c>
      <c r="H11" s="427">
        <f>IFERROR(__xludf.DUMMYFUNCTION("""COMPUTED_VALUE"""),0.942528735632184)</f>
        <v>0.9425287356</v>
      </c>
      <c r="I11" s="428">
        <f>IFERROR(__xludf.DUMMYFUNCTION("""COMPUTED_VALUE"""),28.27586206896552)</f>
        <v>28.27586207</v>
      </c>
      <c r="J11" s="428">
        <f>IFERROR(__xludf.DUMMYFUNCTION("""COMPUTED_VALUE"""),41.37931034482759)</f>
        <v>41.37931034</v>
      </c>
      <c r="K11" s="428">
        <f>IFERROR(__xludf.DUMMYFUNCTION("""COMPUTED_VALUE"""),54.48275862068966)</f>
        <v>54.48275862</v>
      </c>
      <c r="L11" s="428">
        <f>IFERROR(__xludf.DUMMYFUNCTION("""COMPUTED_VALUE"""),67.58620689655173)</f>
        <v>67.5862069</v>
      </c>
      <c r="M11" s="428">
        <f>IFERROR(__xludf.DUMMYFUNCTION("""COMPUTED_VALUE"""),80.6896551724138)</f>
        <v>80.68965517</v>
      </c>
      <c r="N11" s="428">
        <f>IFERROR(__xludf.DUMMYFUNCTION("""COMPUTED_VALUE"""),93.79310344827587)</f>
        <v>93.79310345</v>
      </c>
      <c r="O11" s="428">
        <f>IFERROR(__xludf.DUMMYFUNCTION("""COMPUTED_VALUE"""),106.89655172413794)</f>
        <v>106.8965517</v>
      </c>
      <c r="P11" s="428">
        <f>IFERROR(__xludf.DUMMYFUNCTION("""COMPUTED_VALUE"""),120.00000000000001)</f>
        <v>120</v>
      </c>
      <c r="Q11" s="428">
        <f>IFERROR(__xludf.DUMMYFUNCTION("""COMPUTED_VALUE"""),133.10344827586206)</f>
        <v>133.1034483</v>
      </c>
      <c r="R11" s="428">
        <f>IFERROR(__xludf.DUMMYFUNCTION("""COMPUTED_VALUE"""),146.20689655172413)</f>
        <v>146.2068966</v>
      </c>
      <c r="S11" s="428">
        <f>IFERROR(__xludf.DUMMYFUNCTION("""COMPUTED_VALUE"""),159.31034482758622)</f>
        <v>159.3103448</v>
      </c>
      <c r="T11" s="428">
        <f>IFERROR(__xludf.DUMMYFUNCTION("""COMPUTED_VALUE"""),172.41379310344828)</f>
        <v>172.4137931</v>
      </c>
      <c r="U11" s="428">
        <f>IFERROR(__xludf.DUMMYFUNCTION("""COMPUTED_VALUE"""),185.51724137931035)</f>
        <v>185.5172414</v>
      </c>
      <c r="V11" s="428">
        <f>IFERROR(__xludf.DUMMYFUNCTION("""COMPUTED_VALUE"""),198.6206896551724)</f>
        <v>198.6206897</v>
      </c>
      <c r="W11" s="428">
        <f>IFERROR(__xludf.DUMMYFUNCTION("""COMPUTED_VALUE"""),211.7241379310345)</f>
        <v>211.7241379</v>
      </c>
      <c r="X11" s="428">
        <f>IFERROR(__xludf.DUMMYFUNCTION("""COMPUTED_VALUE"""),224.82758620689657)</f>
        <v>224.8275862</v>
      </c>
      <c r="Y11" s="428">
        <f>IFERROR(__xludf.DUMMYFUNCTION("""COMPUTED_VALUE"""),237.93103448275863)</f>
        <v>237.9310345</v>
      </c>
      <c r="Z11" s="428">
        <f>IFERROR(__xludf.DUMMYFUNCTION("""COMPUTED_VALUE"""),251.0344827586207)</f>
        <v>251.0344828</v>
      </c>
      <c r="AA11" s="428">
        <f>IFERROR(__xludf.DUMMYFUNCTION("""COMPUTED_VALUE"""),264.13793103448273)</f>
        <v>264.137931</v>
      </c>
      <c r="AB11" s="428">
        <f>IFERROR(__xludf.DUMMYFUNCTION("""COMPUTED_VALUE"""),277.2413793103448)</f>
        <v>277.2413793</v>
      </c>
      <c r="AC11" s="429">
        <f>IFERROR(__xludf.DUMMYFUNCTION("""COMPUTED_VALUE"""),290.3448275862069)</f>
        <v>290.3448276</v>
      </c>
      <c r="AD11" s="10"/>
      <c r="AE11" s="390"/>
    </row>
    <row r="12">
      <c r="A12" s="421">
        <f>IFERROR(__xludf.DUMMYFUNCTION("""COMPUTED_VALUE"""),7.0)</f>
        <v>7</v>
      </c>
      <c r="B12" s="422">
        <f>IFERROR(__xludf.DUMMYFUNCTION("""COMPUTED_VALUE"""),11.0)</f>
        <v>11</v>
      </c>
      <c r="C12" s="422">
        <f>IFERROR(__xludf.DUMMYFUNCTION("""COMPUTED_VALUE"""),14.0)</f>
        <v>14</v>
      </c>
      <c r="D12" s="423" t="str">
        <f>IFERROR(__xludf.DUMMYFUNCTION("""COMPUTED_VALUE"""),"Ventilation Shaft")</f>
        <v>Ventilation Shaft</v>
      </c>
      <c r="E12" s="424">
        <f>IFERROR(__xludf.DUMMYFUNCTION("""COMPUTED_VALUE"""),30.0)</f>
        <v>30</v>
      </c>
      <c r="F12" s="425">
        <f>IFERROR(__xludf.DUMMYFUNCTION("""COMPUTED_VALUE"""),92.0)</f>
        <v>92</v>
      </c>
      <c r="G12" s="430" t="str">
        <f>IFERROR(__xludf.DUMMYFUNCTION("""COMPUTED_VALUE"""),"Open")</f>
        <v>Open</v>
      </c>
      <c r="H12" s="427">
        <f>IFERROR(__xludf.DUMMYFUNCTION("""COMPUTED_VALUE"""),0.5358695652173913)</f>
        <v>0.5358695652</v>
      </c>
      <c r="I12" s="428">
        <f>IFERROR(__xludf.DUMMYFUNCTION("""COMPUTED_VALUE"""),16.07608695652174)</f>
        <v>16.07608696</v>
      </c>
      <c r="J12" s="428">
        <f>IFERROR(__xludf.DUMMYFUNCTION("""COMPUTED_VALUE"""),23.880434782608695)</f>
        <v>23.88043478</v>
      </c>
      <c r="K12" s="428">
        <f>IFERROR(__xludf.DUMMYFUNCTION("""COMPUTED_VALUE"""),31.684782608695652)</f>
        <v>31.68478261</v>
      </c>
      <c r="L12" s="428">
        <f>IFERROR(__xludf.DUMMYFUNCTION("""COMPUTED_VALUE"""),39.48913043478261)</f>
        <v>39.48913043</v>
      </c>
      <c r="M12" s="428">
        <f>IFERROR(__xludf.DUMMYFUNCTION("""COMPUTED_VALUE"""),47.29347826086956)</f>
        <v>47.29347826</v>
      </c>
      <c r="N12" s="428">
        <f>IFERROR(__xludf.DUMMYFUNCTION("""COMPUTED_VALUE"""),55.097826086956516)</f>
        <v>55.09782609</v>
      </c>
      <c r="O12" s="428">
        <f>IFERROR(__xludf.DUMMYFUNCTION("""COMPUTED_VALUE"""),62.902173913043484)</f>
        <v>62.90217391</v>
      </c>
      <c r="P12" s="428">
        <f>IFERROR(__xludf.DUMMYFUNCTION("""COMPUTED_VALUE"""),70.70652173913044)</f>
        <v>70.70652174</v>
      </c>
      <c r="Q12" s="428">
        <f>IFERROR(__xludf.DUMMYFUNCTION("""COMPUTED_VALUE"""),78.51086956521739)</f>
        <v>78.51086957</v>
      </c>
      <c r="R12" s="428">
        <f>IFERROR(__xludf.DUMMYFUNCTION("""COMPUTED_VALUE"""),86.31521739130434)</f>
        <v>86.31521739</v>
      </c>
      <c r="S12" s="428">
        <f>IFERROR(__xludf.DUMMYFUNCTION("""COMPUTED_VALUE"""),94.1195652173913)</f>
        <v>94.11956522</v>
      </c>
      <c r="T12" s="428">
        <f>IFERROR(__xludf.DUMMYFUNCTION("""COMPUTED_VALUE"""),101.92391304347827)</f>
        <v>101.923913</v>
      </c>
      <c r="U12" s="428">
        <f>IFERROR(__xludf.DUMMYFUNCTION("""COMPUTED_VALUE"""),109.72826086956522)</f>
        <v>109.7282609</v>
      </c>
      <c r="V12" s="428">
        <f>IFERROR(__xludf.DUMMYFUNCTION("""COMPUTED_VALUE"""),117.53260869565217)</f>
        <v>117.5326087</v>
      </c>
      <c r="W12" s="428">
        <f>IFERROR(__xludf.DUMMYFUNCTION("""COMPUTED_VALUE"""),125.33695652173914)</f>
        <v>125.3369565</v>
      </c>
      <c r="X12" s="428">
        <f>IFERROR(__xludf.DUMMYFUNCTION("""COMPUTED_VALUE"""),133.1413043478261)</f>
        <v>133.1413043</v>
      </c>
      <c r="Y12" s="428">
        <f>IFERROR(__xludf.DUMMYFUNCTION("""COMPUTED_VALUE"""),140.94565217391306)</f>
        <v>140.9456522</v>
      </c>
      <c r="Z12" s="428">
        <f>IFERROR(__xludf.DUMMYFUNCTION("""COMPUTED_VALUE"""),148.75000000000003)</f>
        <v>148.75</v>
      </c>
      <c r="AA12" s="428">
        <f>IFERROR(__xludf.DUMMYFUNCTION("""COMPUTED_VALUE"""),156.55434782608697)</f>
        <v>156.5543478</v>
      </c>
      <c r="AB12" s="428">
        <f>IFERROR(__xludf.DUMMYFUNCTION("""COMPUTED_VALUE"""),164.35869565217394)</f>
        <v>164.3586957</v>
      </c>
      <c r="AC12" s="429">
        <f>IFERROR(__xludf.DUMMYFUNCTION("""COMPUTED_VALUE"""),172.16304347826087)</f>
        <v>172.1630435</v>
      </c>
      <c r="AD12" s="10"/>
      <c r="AE12" s="390"/>
    </row>
    <row r="13">
      <c r="A13" s="431">
        <f>IFERROR(__xludf.DUMMYFUNCTION("""COMPUTED_VALUE"""),8.0)</f>
        <v>8</v>
      </c>
      <c r="B13" s="432">
        <f>IFERROR(__xludf.DUMMYFUNCTION("""COMPUTED_VALUE"""),18.0)</f>
        <v>18</v>
      </c>
      <c r="C13" s="432">
        <f>IFERROR(__xludf.DUMMYFUNCTION("""COMPUTED_VALUE"""),21.0)</f>
        <v>21</v>
      </c>
      <c r="D13" s="433" t="str">
        <f>IFERROR(__xludf.DUMMYFUNCTION("""COMPUTED_VALUE"""),"Armory")</f>
        <v>Armory</v>
      </c>
      <c r="E13" s="434">
        <f>IFERROR(__xludf.DUMMYFUNCTION("""COMPUTED_VALUE"""),20.0)</f>
        <v>20</v>
      </c>
      <c r="F13" s="435">
        <f>IFERROR(__xludf.DUMMYFUNCTION("""COMPUTED_VALUE"""),40.0)</f>
        <v>40</v>
      </c>
      <c r="G13" s="436" t="str">
        <f>IFERROR(__xludf.DUMMYFUNCTION("""COMPUTED_VALUE"""),"Open")</f>
        <v>Open</v>
      </c>
      <c r="H13" s="437">
        <f>IFERROR(__xludf.DUMMYFUNCTION("""COMPUTED_VALUE"""),0.45875000000000005)</f>
        <v>0.45875</v>
      </c>
      <c r="I13" s="438">
        <f>IFERROR(__xludf.DUMMYFUNCTION("""COMPUTED_VALUE"""),9.175)</f>
        <v>9.175</v>
      </c>
      <c r="J13" s="438">
        <f>IFERROR(__xludf.DUMMYFUNCTION("""COMPUTED_VALUE"""),13.075000000000001)</f>
        <v>13.075</v>
      </c>
      <c r="K13" s="438">
        <f>IFERROR(__xludf.DUMMYFUNCTION("""COMPUTED_VALUE"""),16.975)</f>
        <v>16.975</v>
      </c>
      <c r="L13" s="438">
        <f>IFERROR(__xludf.DUMMYFUNCTION("""COMPUTED_VALUE"""),20.875)</f>
        <v>20.875</v>
      </c>
      <c r="M13" s="438">
        <f>IFERROR(__xludf.DUMMYFUNCTION("""COMPUTED_VALUE"""),24.775)</f>
        <v>24.775</v>
      </c>
      <c r="N13" s="438">
        <f>IFERROR(__xludf.DUMMYFUNCTION("""COMPUTED_VALUE"""),28.675)</f>
        <v>28.675</v>
      </c>
      <c r="O13" s="438">
        <f>IFERROR(__xludf.DUMMYFUNCTION("""COMPUTED_VALUE"""),32.575)</f>
        <v>32.575</v>
      </c>
      <c r="P13" s="438">
        <f>IFERROR(__xludf.DUMMYFUNCTION("""COMPUTED_VALUE"""),36.475)</f>
        <v>36.475</v>
      </c>
      <c r="Q13" s="438">
        <f>IFERROR(__xludf.DUMMYFUNCTION("""COMPUTED_VALUE"""),40.375)</f>
        <v>40.375</v>
      </c>
      <c r="R13" s="438">
        <f>IFERROR(__xludf.DUMMYFUNCTION("""COMPUTED_VALUE"""),44.275000000000006)</f>
        <v>44.275</v>
      </c>
      <c r="S13" s="438">
        <f>IFERROR(__xludf.DUMMYFUNCTION("""COMPUTED_VALUE"""),48.175)</f>
        <v>48.175</v>
      </c>
      <c r="T13" s="438">
        <f>IFERROR(__xludf.DUMMYFUNCTION("""COMPUTED_VALUE"""),52.075)</f>
        <v>52.075</v>
      </c>
      <c r="U13" s="438">
        <f>IFERROR(__xludf.DUMMYFUNCTION("""COMPUTED_VALUE"""),55.974999999999994)</f>
        <v>55.975</v>
      </c>
      <c r="V13" s="438">
        <f>IFERROR(__xludf.DUMMYFUNCTION("""COMPUTED_VALUE"""),59.875)</f>
        <v>59.875</v>
      </c>
      <c r="W13" s="438">
        <f>IFERROR(__xludf.DUMMYFUNCTION("""COMPUTED_VALUE"""),63.775000000000006)</f>
        <v>63.775</v>
      </c>
      <c r="X13" s="438">
        <f>IFERROR(__xludf.DUMMYFUNCTION("""COMPUTED_VALUE"""),67.675)</f>
        <v>67.675</v>
      </c>
      <c r="Y13" s="438">
        <f>IFERROR(__xludf.DUMMYFUNCTION("""COMPUTED_VALUE"""),71.575)</f>
        <v>71.575</v>
      </c>
      <c r="Z13" s="438">
        <f>IFERROR(__xludf.DUMMYFUNCTION("""COMPUTED_VALUE"""),75.475)</f>
        <v>75.475</v>
      </c>
      <c r="AA13" s="438">
        <f>IFERROR(__xludf.DUMMYFUNCTION("""COMPUTED_VALUE"""),79.375)</f>
        <v>79.375</v>
      </c>
      <c r="AB13" s="438">
        <f>IFERROR(__xludf.DUMMYFUNCTION("""COMPUTED_VALUE"""),83.27499999999999)</f>
        <v>83.275</v>
      </c>
      <c r="AC13" s="439">
        <f>IFERROR(__xludf.DUMMYFUNCTION("""COMPUTED_VALUE"""),87.175)</f>
        <v>87.175</v>
      </c>
      <c r="AD13" s="10"/>
      <c r="AE13" s="390"/>
    </row>
    <row r="14">
      <c r="A14" s="381" t="str">
        <f>IFERROR(__xludf.DUMMYFUNCTION("""COMPUTED_VALUE"""),"")</f>
        <v/>
      </c>
      <c r="B14" s="382" t="str">
        <f>IFERROR(__xludf.DUMMYFUNCTION("""COMPUTED_VALUE"""),"")</f>
        <v/>
      </c>
      <c r="C14" s="382" t="str">
        <f>IFERROR(__xludf.DUMMYFUNCTION("""COMPUTED_VALUE"""),"")</f>
        <v/>
      </c>
      <c r="D14" s="382" t="str">
        <f>IFERROR(__xludf.DUMMYFUNCTION("""COMPUTED_VALUE"""),"")</f>
        <v/>
      </c>
      <c r="E14" s="383" t="str">
        <f>IFERROR(__xludf.DUMMYFUNCTION("""COMPUTED_VALUE"""),"")</f>
        <v/>
      </c>
      <c r="F14" s="382" t="str">
        <f>IFERROR(__xludf.DUMMYFUNCTION("""COMPUTED_VALUE"""),"")</f>
        <v/>
      </c>
      <c r="G14" s="382" t="str">
        <f>IFERROR(__xludf.DUMMYFUNCTION("""COMPUTED_VALUE"""),"")</f>
        <v/>
      </c>
      <c r="H14" s="382" t="str">
        <f>IFERROR(__xludf.DUMMYFUNCTION("""COMPUTED_VALUE"""),"")</f>
        <v/>
      </c>
      <c r="I14" s="382" t="str">
        <f>IFERROR(__xludf.DUMMYFUNCTION("""COMPUTED_VALUE"""),"")</f>
        <v/>
      </c>
      <c r="J14" s="382" t="str">
        <f>IFERROR(__xludf.DUMMYFUNCTION("""COMPUTED_VALUE"""),"")</f>
        <v/>
      </c>
      <c r="K14" s="382" t="str">
        <f>IFERROR(__xludf.DUMMYFUNCTION("""COMPUTED_VALUE"""),"")</f>
        <v/>
      </c>
      <c r="L14" s="382" t="str">
        <f>IFERROR(__xludf.DUMMYFUNCTION("""COMPUTED_VALUE"""),"")</f>
        <v/>
      </c>
      <c r="M14" s="382" t="str">
        <f>IFERROR(__xludf.DUMMYFUNCTION("""COMPUTED_VALUE"""),"")</f>
        <v/>
      </c>
      <c r="N14" s="382" t="str">
        <f>IFERROR(__xludf.DUMMYFUNCTION("""COMPUTED_VALUE"""),"")</f>
        <v/>
      </c>
      <c r="O14" s="382" t="str">
        <f>IFERROR(__xludf.DUMMYFUNCTION("""COMPUTED_VALUE"""),"")</f>
        <v/>
      </c>
      <c r="P14" s="382" t="str">
        <f>IFERROR(__xludf.DUMMYFUNCTION("""COMPUTED_VALUE"""),"")</f>
        <v/>
      </c>
      <c r="Q14" s="382" t="str">
        <f>IFERROR(__xludf.DUMMYFUNCTION("""COMPUTED_VALUE"""),"")</f>
        <v/>
      </c>
      <c r="R14" s="382" t="str">
        <f>IFERROR(__xludf.DUMMYFUNCTION("""COMPUTED_VALUE"""),"")</f>
        <v/>
      </c>
      <c r="S14" s="382" t="str">
        <f>IFERROR(__xludf.DUMMYFUNCTION("""COMPUTED_VALUE"""),"")</f>
        <v/>
      </c>
      <c r="T14" s="382" t="str">
        <f>IFERROR(__xludf.DUMMYFUNCTION("""COMPUTED_VALUE"""),"")</f>
        <v/>
      </c>
      <c r="U14" s="382" t="str">
        <f>IFERROR(__xludf.DUMMYFUNCTION("""COMPUTED_VALUE"""),"")</f>
        <v/>
      </c>
      <c r="V14" s="382" t="str">
        <f>IFERROR(__xludf.DUMMYFUNCTION("""COMPUTED_VALUE"""),"")</f>
        <v/>
      </c>
      <c r="W14" s="382" t="str">
        <f>IFERROR(__xludf.DUMMYFUNCTION("""COMPUTED_VALUE"""),"")</f>
        <v/>
      </c>
      <c r="X14" s="382" t="str">
        <f>IFERROR(__xludf.DUMMYFUNCTION("""COMPUTED_VALUE"""),"")</f>
        <v/>
      </c>
      <c r="Y14" s="382" t="str">
        <f>IFERROR(__xludf.DUMMYFUNCTION("""COMPUTED_VALUE"""),"")</f>
        <v/>
      </c>
      <c r="Z14" s="382" t="str">
        <f>IFERROR(__xludf.DUMMYFUNCTION("""COMPUTED_VALUE"""),"")</f>
        <v/>
      </c>
      <c r="AA14" s="382" t="str">
        <f>IFERROR(__xludf.DUMMYFUNCTION("""COMPUTED_VALUE"""),"")</f>
        <v/>
      </c>
      <c r="AB14" s="382" t="str">
        <f>IFERROR(__xludf.DUMMYFUNCTION("""COMPUTED_VALUE"""),"")</f>
        <v/>
      </c>
      <c r="AC14" s="382" t="str">
        <f>IFERROR(__xludf.DUMMYFUNCTION("""COMPUTED_VALUE"""),"")</f>
        <v/>
      </c>
      <c r="AD14" s="389"/>
      <c r="AE14" s="390"/>
    </row>
    <row r="15" ht="41.25" customHeight="1">
      <c r="A15" s="391" t="str">
        <f>IFERROR(__xludf.DUMMYFUNCTION("""COMPUTED_VALUE"""),"")</f>
        <v/>
      </c>
      <c r="B15" s="440" t="str">
        <f>IFERROR(__xludf.DUMMYFUNCTION("""COMPUTED_VALUE"""),"E19052")</f>
        <v>E19052</v>
      </c>
      <c r="C15" s="392" t="str">
        <f>IFERROR(__xludf.DUMMYFUNCTION("""COMPUTED_VALUE"""),"HIDE")</f>
        <v>HIDE</v>
      </c>
      <c r="D15" s="392" t="str">
        <f>IFERROR(__xludf.DUMMYFUNCTION("""COMPUTED_VALUE"""),"Missile Ramune")</f>
        <v>Missile Ramune</v>
      </c>
      <c r="E15" s="393" t="str">
        <f>IFERROR(__xludf.DUMMYFUNCTION("""COMPUTED_VALUE"""),"Cost")</f>
        <v>Cost</v>
      </c>
      <c r="F15" s="394" t="str">
        <f>IFERROR(__xludf.DUMMYFUNCTION("""COMPUTED_VALUE"""),"# Runs")</f>
        <v># Runs</v>
      </c>
      <c r="G15" s="395" t="str">
        <f>IFERROR(__xludf.DUMMYFUNCTION("""COMPUTED_VALUE"""),"Status")</f>
        <v>Status</v>
      </c>
      <c r="H15" s="396" t="str">
        <f>IFERROR(__xludf.DUMMYFUNCTION("""COMPUTED_VALUE"""),"Currency/AP @ +0")</f>
        <v>Currency/AP @ +0</v>
      </c>
      <c r="I15" s="397">
        <f>IFERROR(__xludf.DUMMYFUNCTION("""COMPUTED_VALUE"""),0.0)</f>
        <v>0</v>
      </c>
      <c r="J15" s="398">
        <f>IFERROR(__xludf.DUMMYFUNCTION("""COMPUTED_VALUE"""),1.0)</f>
        <v>1</v>
      </c>
      <c r="K15" s="398">
        <f>IFERROR(__xludf.DUMMYFUNCTION("""COMPUTED_VALUE"""),2.0)</f>
        <v>2</v>
      </c>
      <c r="L15" s="398">
        <f>IFERROR(__xludf.DUMMYFUNCTION("""COMPUTED_VALUE"""),3.0)</f>
        <v>3</v>
      </c>
      <c r="M15" s="398">
        <f>IFERROR(__xludf.DUMMYFUNCTION("""COMPUTED_VALUE"""),4.0)</f>
        <v>4</v>
      </c>
      <c r="N15" s="398">
        <f>IFERROR(__xludf.DUMMYFUNCTION("""COMPUTED_VALUE"""),5.0)</f>
        <v>5</v>
      </c>
      <c r="O15" s="398">
        <f>IFERROR(__xludf.DUMMYFUNCTION("""COMPUTED_VALUE"""),6.0)</f>
        <v>6</v>
      </c>
      <c r="P15" s="398">
        <f>IFERROR(__xludf.DUMMYFUNCTION("""COMPUTED_VALUE"""),7.0)</f>
        <v>7</v>
      </c>
      <c r="Q15" s="398">
        <f>IFERROR(__xludf.DUMMYFUNCTION("""COMPUTED_VALUE"""),8.0)</f>
        <v>8</v>
      </c>
      <c r="R15" s="398">
        <f>IFERROR(__xludf.DUMMYFUNCTION("""COMPUTED_VALUE"""),9.0)</f>
        <v>9</v>
      </c>
      <c r="S15" s="398">
        <f>IFERROR(__xludf.DUMMYFUNCTION("""COMPUTED_VALUE"""),10.0)</f>
        <v>10</v>
      </c>
      <c r="T15" s="398">
        <f>IFERROR(__xludf.DUMMYFUNCTION("""COMPUTED_VALUE"""),11.0)</f>
        <v>11</v>
      </c>
      <c r="U15" s="398">
        <f>IFERROR(__xludf.DUMMYFUNCTION("""COMPUTED_VALUE"""),12.0)</f>
        <v>12</v>
      </c>
      <c r="V15" s="398">
        <f>IFERROR(__xludf.DUMMYFUNCTION("""COMPUTED_VALUE"""),13.0)</f>
        <v>13</v>
      </c>
      <c r="W15" s="398">
        <f>IFERROR(__xludf.DUMMYFUNCTION("""COMPUTED_VALUE"""),14.0)</f>
        <v>14</v>
      </c>
      <c r="X15" s="398">
        <f>IFERROR(__xludf.DUMMYFUNCTION("""COMPUTED_VALUE"""),15.0)</f>
        <v>15</v>
      </c>
      <c r="Y15" s="398">
        <f>IFERROR(__xludf.DUMMYFUNCTION("""COMPUTED_VALUE"""),16.0)</f>
        <v>16</v>
      </c>
      <c r="Z15" s="398">
        <f>IFERROR(__xludf.DUMMYFUNCTION("""COMPUTED_VALUE"""),17.0)</f>
        <v>17</v>
      </c>
      <c r="AA15" s="398">
        <f>IFERROR(__xludf.DUMMYFUNCTION("""COMPUTED_VALUE"""),18.0)</f>
        <v>18</v>
      </c>
      <c r="AB15" s="398">
        <f>IFERROR(__xludf.DUMMYFUNCTION("""COMPUTED_VALUE"""),19.0)</f>
        <v>19</v>
      </c>
      <c r="AC15" s="399">
        <f>IFERROR(__xludf.DUMMYFUNCTION("""COMPUTED_VALUE"""),20.0)</f>
        <v>20</v>
      </c>
      <c r="AD15" s="400"/>
      <c r="AE15" s="401"/>
    </row>
    <row r="16" hidden="1">
      <c r="A16" s="441" t="str">
        <f>IFERROR(__xludf.DUMMYFUNCTION("""COMPUTED_VALUE"""),"HIDE")</f>
        <v>HIDE</v>
      </c>
      <c r="B16" s="442">
        <f>IFERROR(__xludf.DUMMYFUNCTION("""COMPUTED_VALUE"""),8.0)</f>
        <v>8</v>
      </c>
      <c r="C16" s="443">
        <f>IFERROR(__xludf.DUMMYFUNCTION("""COMPUTED_VALUE"""),21.0)</f>
        <v>21</v>
      </c>
      <c r="D16" s="444" t="str">
        <f>IFERROR(__xludf.DUMMYFUNCTION("""COMPUTED_VALUE"""),"")</f>
        <v/>
      </c>
      <c r="E16" s="445" t="str">
        <f>IFERROR(__xludf.DUMMYFUNCTION("""COMPUTED_VALUE"""),"")</f>
        <v/>
      </c>
      <c r="F16" s="446" t="str">
        <f>IFERROR(__xludf.DUMMYFUNCTION("""COMPUTED_VALUE"""),"")</f>
        <v/>
      </c>
      <c r="G16" s="447" t="str">
        <f>IFERROR(__xludf.DUMMYFUNCTION("""COMPUTED_VALUE"""),"")</f>
        <v/>
      </c>
      <c r="H16" s="409" t="str">
        <f>IFERROR(__xludf.DUMMYFUNCTION("""COMPUTED_VALUE"""),"")</f>
        <v/>
      </c>
      <c r="I16" s="410" t="str">
        <f>IFERROR(__xludf.DUMMYFUNCTION("""COMPUTED_VALUE"""),"")</f>
        <v/>
      </c>
      <c r="J16" s="410" t="str">
        <f>IFERROR(__xludf.DUMMYFUNCTION("""COMPUTED_VALUE"""),"")</f>
        <v/>
      </c>
      <c r="K16" s="410" t="str">
        <f>IFERROR(__xludf.DUMMYFUNCTION("""COMPUTED_VALUE"""),"")</f>
        <v/>
      </c>
      <c r="L16" s="410" t="str">
        <f>IFERROR(__xludf.DUMMYFUNCTION("""COMPUTED_VALUE"""),"")</f>
        <v/>
      </c>
      <c r="M16" s="410" t="str">
        <f>IFERROR(__xludf.DUMMYFUNCTION("""COMPUTED_VALUE"""),"")</f>
        <v/>
      </c>
      <c r="N16" s="410" t="str">
        <f>IFERROR(__xludf.DUMMYFUNCTION("""COMPUTED_VALUE"""),"")</f>
        <v/>
      </c>
      <c r="O16" s="410" t="str">
        <f>IFERROR(__xludf.DUMMYFUNCTION("""COMPUTED_VALUE"""),"")</f>
        <v/>
      </c>
      <c r="P16" s="410" t="str">
        <f>IFERROR(__xludf.DUMMYFUNCTION("""COMPUTED_VALUE"""),"")</f>
        <v/>
      </c>
      <c r="Q16" s="410" t="str">
        <f>IFERROR(__xludf.DUMMYFUNCTION("""COMPUTED_VALUE"""),"")</f>
        <v/>
      </c>
      <c r="R16" s="410" t="str">
        <f>IFERROR(__xludf.DUMMYFUNCTION("""COMPUTED_VALUE"""),"")</f>
        <v/>
      </c>
      <c r="S16" s="410" t="str">
        <f>IFERROR(__xludf.DUMMYFUNCTION("""COMPUTED_VALUE"""),"")</f>
        <v/>
      </c>
      <c r="T16" s="410" t="str">
        <f>IFERROR(__xludf.DUMMYFUNCTION("""COMPUTED_VALUE"""),"")</f>
        <v/>
      </c>
      <c r="U16" s="410" t="str">
        <f>IFERROR(__xludf.DUMMYFUNCTION("""COMPUTED_VALUE"""),"")</f>
        <v/>
      </c>
      <c r="V16" s="410" t="str">
        <f>IFERROR(__xludf.DUMMYFUNCTION("""COMPUTED_VALUE"""),"")</f>
        <v/>
      </c>
      <c r="W16" s="410" t="str">
        <f>IFERROR(__xludf.DUMMYFUNCTION("""COMPUTED_VALUE"""),"")</f>
        <v/>
      </c>
      <c r="X16" s="410" t="str">
        <f>IFERROR(__xludf.DUMMYFUNCTION("""COMPUTED_VALUE"""),"")</f>
        <v/>
      </c>
      <c r="Y16" s="410" t="str">
        <f>IFERROR(__xludf.DUMMYFUNCTION("""COMPUTED_VALUE"""),"")</f>
        <v/>
      </c>
      <c r="Z16" s="410" t="str">
        <f>IFERROR(__xludf.DUMMYFUNCTION("""COMPUTED_VALUE"""),"")</f>
        <v/>
      </c>
      <c r="AA16" s="410" t="str">
        <f>IFERROR(__xludf.DUMMYFUNCTION("""COMPUTED_VALUE"""),"")</f>
        <v/>
      </c>
      <c r="AB16" s="410" t="str">
        <f>IFERROR(__xludf.DUMMYFUNCTION("""COMPUTED_VALUE"""),"")</f>
        <v/>
      </c>
      <c r="AC16" s="411" t="str">
        <f>IFERROR(__xludf.DUMMYFUNCTION("""COMPUTED_VALUE"""),"")</f>
        <v/>
      </c>
      <c r="AD16" s="400"/>
      <c r="AE16" s="401"/>
    </row>
    <row r="17">
      <c r="A17" s="412" t="str">
        <f>IFERROR(__xludf.DUMMYFUNCTION("""COMPUTED_VALUE"""),"BEST NOW")</f>
        <v>BEST NOW</v>
      </c>
      <c r="B17" s="413">
        <f>IFERROR(__xludf.DUMMYFUNCTION("""COMPUTED_VALUE"""),27.0)</f>
        <v>27</v>
      </c>
      <c r="C17" s="413">
        <f>IFERROR(__xludf.DUMMYFUNCTION("""COMPUTED_VALUE"""),30.0)</f>
        <v>30</v>
      </c>
      <c r="D17" s="414" t="str">
        <f>IFERROR(__xludf.DUMMYFUNCTION("""COMPUTED_VALUE"""),"Right Shachi")</f>
        <v>Right Shachi</v>
      </c>
      <c r="E17" s="415">
        <f>IFERROR(__xludf.DUMMYFUNCTION("""COMPUTED_VALUE"""),40.0)</f>
        <v>40</v>
      </c>
      <c r="F17" s="416">
        <f>IFERROR(__xludf.DUMMYFUNCTION("""COMPUTED_VALUE"""),64.0)</f>
        <v>64</v>
      </c>
      <c r="G17" s="417" t="str">
        <f>IFERROR(__xludf.DUMMYFUNCTION("""COMPUTED_VALUE"""),"Open")</f>
        <v>Open</v>
      </c>
      <c r="H17" s="448">
        <f>IFERROR(__xludf.DUMMYFUNCTION("""COMPUTED_VALUE"""),2.13046875)</f>
        <v>2.13046875</v>
      </c>
      <c r="I17" s="449">
        <f>IFERROR(__xludf.DUMMYFUNCTION("""COMPUTED_VALUE"""),85.21875)</f>
        <v>85.21875</v>
      </c>
      <c r="J17" s="419">
        <f>IFERROR(__xludf.DUMMYFUNCTION("""COMPUTED_VALUE"""),121.84375)</f>
        <v>121.84375</v>
      </c>
      <c r="K17" s="419">
        <f>IFERROR(__xludf.DUMMYFUNCTION("""COMPUTED_VALUE"""),158.46875)</f>
        <v>158.46875</v>
      </c>
      <c r="L17" s="419">
        <f>IFERROR(__xludf.DUMMYFUNCTION("""COMPUTED_VALUE"""),195.09375)</f>
        <v>195.09375</v>
      </c>
      <c r="M17" s="419">
        <f>IFERROR(__xludf.DUMMYFUNCTION("""COMPUTED_VALUE"""),231.71875)</f>
        <v>231.71875</v>
      </c>
      <c r="N17" s="419">
        <f>IFERROR(__xludf.DUMMYFUNCTION("""COMPUTED_VALUE"""),268.34375)</f>
        <v>268.34375</v>
      </c>
      <c r="O17" s="419">
        <f>IFERROR(__xludf.DUMMYFUNCTION("""COMPUTED_VALUE"""),304.96875)</f>
        <v>304.96875</v>
      </c>
      <c r="P17" s="419">
        <f>IFERROR(__xludf.DUMMYFUNCTION("""COMPUTED_VALUE"""),341.59375)</f>
        <v>341.59375</v>
      </c>
      <c r="Q17" s="419">
        <f>IFERROR(__xludf.DUMMYFUNCTION("""COMPUTED_VALUE"""),378.21875)</f>
        <v>378.21875</v>
      </c>
      <c r="R17" s="419">
        <f>IFERROR(__xludf.DUMMYFUNCTION("""COMPUTED_VALUE"""),414.84375)</f>
        <v>414.84375</v>
      </c>
      <c r="S17" s="419">
        <f>IFERROR(__xludf.DUMMYFUNCTION("""COMPUTED_VALUE"""),451.46875)</f>
        <v>451.46875</v>
      </c>
      <c r="T17" s="419">
        <f>IFERROR(__xludf.DUMMYFUNCTION("""COMPUTED_VALUE"""),488.09375)</f>
        <v>488.09375</v>
      </c>
      <c r="U17" s="419">
        <f>IFERROR(__xludf.DUMMYFUNCTION("""COMPUTED_VALUE"""),524.71875)</f>
        <v>524.71875</v>
      </c>
      <c r="V17" s="419">
        <f>IFERROR(__xludf.DUMMYFUNCTION("""COMPUTED_VALUE"""),561.34375)</f>
        <v>561.34375</v>
      </c>
      <c r="W17" s="419">
        <f>IFERROR(__xludf.DUMMYFUNCTION("""COMPUTED_VALUE"""),597.96875)</f>
        <v>597.96875</v>
      </c>
      <c r="X17" s="419">
        <f>IFERROR(__xludf.DUMMYFUNCTION("""COMPUTED_VALUE"""),634.59375)</f>
        <v>634.59375</v>
      </c>
      <c r="Y17" s="419">
        <f>IFERROR(__xludf.DUMMYFUNCTION("""COMPUTED_VALUE"""),671.21875)</f>
        <v>671.21875</v>
      </c>
      <c r="Z17" s="419">
        <f>IFERROR(__xludf.DUMMYFUNCTION("""COMPUTED_VALUE"""),707.84375)</f>
        <v>707.84375</v>
      </c>
      <c r="AA17" s="419">
        <f>IFERROR(__xludf.DUMMYFUNCTION("""COMPUTED_VALUE"""),744.46875)</f>
        <v>744.46875</v>
      </c>
      <c r="AB17" s="419">
        <f>IFERROR(__xludf.DUMMYFUNCTION("""COMPUTED_VALUE"""),781.09375)</f>
        <v>781.09375</v>
      </c>
      <c r="AC17" s="420">
        <f>IFERROR(__xludf.DUMMYFUNCTION("""COMPUTED_VALUE"""),817.71875)</f>
        <v>817.71875</v>
      </c>
      <c r="AD17" s="10"/>
      <c r="AE17" s="390"/>
    </row>
    <row r="18">
      <c r="A18" s="450">
        <f>IFERROR(__xludf.DUMMYFUNCTION("""COMPUTED_VALUE"""),1.0)</f>
        <v>1</v>
      </c>
      <c r="B18" s="451">
        <f>IFERROR(__xludf.DUMMYFUNCTION("""COMPUTED_VALUE"""),27.0)</f>
        <v>27</v>
      </c>
      <c r="C18" s="422">
        <f>IFERROR(__xludf.DUMMYFUNCTION("""COMPUTED_VALUE"""),30.0)</f>
        <v>30</v>
      </c>
      <c r="D18" s="452" t="str">
        <f>IFERROR(__xludf.DUMMYFUNCTION("""COMPUTED_VALUE"""),"Right Shachi")</f>
        <v>Right Shachi</v>
      </c>
      <c r="E18" s="453">
        <f>IFERROR(__xludf.DUMMYFUNCTION("""COMPUTED_VALUE"""),40.0)</f>
        <v>40</v>
      </c>
      <c r="F18" s="454">
        <f>IFERROR(__xludf.DUMMYFUNCTION("""COMPUTED_VALUE"""),64.0)</f>
        <v>64</v>
      </c>
      <c r="G18" s="426" t="str">
        <f>IFERROR(__xludf.DUMMYFUNCTION("""COMPUTED_VALUE"""),"Open")</f>
        <v>Open</v>
      </c>
      <c r="H18" s="455">
        <f>IFERROR(__xludf.DUMMYFUNCTION("""COMPUTED_VALUE"""),2.13046875)</f>
        <v>2.13046875</v>
      </c>
      <c r="I18" s="456">
        <f>IFERROR(__xludf.DUMMYFUNCTION("""COMPUTED_VALUE"""),85.21875)</f>
        <v>85.21875</v>
      </c>
      <c r="J18" s="428">
        <f>IFERROR(__xludf.DUMMYFUNCTION("""COMPUTED_VALUE"""),121.84375)</f>
        <v>121.84375</v>
      </c>
      <c r="K18" s="428">
        <f>IFERROR(__xludf.DUMMYFUNCTION("""COMPUTED_VALUE"""),158.46875)</f>
        <v>158.46875</v>
      </c>
      <c r="L18" s="428">
        <f>IFERROR(__xludf.DUMMYFUNCTION("""COMPUTED_VALUE"""),195.09375)</f>
        <v>195.09375</v>
      </c>
      <c r="M18" s="428">
        <f>IFERROR(__xludf.DUMMYFUNCTION("""COMPUTED_VALUE"""),231.71875)</f>
        <v>231.71875</v>
      </c>
      <c r="N18" s="428">
        <f>IFERROR(__xludf.DUMMYFUNCTION("""COMPUTED_VALUE"""),268.34375)</f>
        <v>268.34375</v>
      </c>
      <c r="O18" s="428">
        <f>IFERROR(__xludf.DUMMYFUNCTION("""COMPUTED_VALUE"""),304.96875)</f>
        <v>304.96875</v>
      </c>
      <c r="P18" s="428">
        <f>IFERROR(__xludf.DUMMYFUNCTION("""COMPUTED_VALUE"""),341.59375)</f>
        <v>341.59375</v>
      </c>
      <c r="Q18" s="428">
        <f>IFERROR(__xludf.DUMMYFUNCTION("""COMPUTED_VALUE"""),378.21875)</f>
        <v>378.21875</v>
      </c>
      <c r="R18" s="428">
        <f>IFERROR(__xludf.DUMMYFUNCTION("""COMPUTED_VALUE"""),414.84375)</f>
        <v>414.84375</v>
      </c>
      <c r="S18" s="428">
        <f>IFERROR(__xludf.DUMMYFUNCTION("""COMPUTED_VALUE"""),451.46875)</f>
        <v>451.46875</v>
      </c>
      <c r="T18" s="428">
        <f>IFERROR(__xludf.DUMMYFUNCTION("""COMPUTED_VALUE"""),488.09375)</f>
        <v>488.09375</v>
      </c>
      <c r="U18" s="428">
        <f>IFERROR(__xludf.DUMMYFUNCTION("""COMPUTED_VALUE"""),524.71875)</f>
        <v>524.71875</v>
      </c>
      <c r="V18" s="428">
        <f>IFERROR(__xludf.DUMMYFUNCTION("""COMPUTED_VALUE"""),561.34375)</f>
        <v>561.34375</v>
      </c>
      <c r="W18" s="428">
        <f>IFERROR(__xludf.DUMMYFUNCTION("""COMPUTED_VALUE"""),597.96875)</f>
        <v>597.96875</v>
      </c>
      <c r="X18" s="428">
        <f>IFERROR(__xludf.DUMMYFUNCTION("""COMPUTED_VALUE"""),634.59375)</f>
        <v>634.59375</v>
      </c>
      <c r="Y18" s="428">
        <f>IFERROR(__xludf.DUMMYFUNCTION("""COMPUTED_VALUE"""),671.21875)</f>
        <v>671.21875</v>
      </c>
      <c r="Z18" s="428">
        <f>IFERROR(__xludf.DUMMYFUNCTION("""COMPUTED_VALUE"""),707.84375)</f>
        <v>707.84375</v>
      </c>
      <c r="AA18" s="428">
        <f>IFERROR(__xludf.DUMMYFUNCTION("""COMPUTED_VALUE"""),744.46875)</f>
        <v>744.46875</v>
      </c>
      <c r="AB18" s="428">
        <f>IFERROR(__xludf.DUMMYFUNCTION("""COMPUTED_VALUE"""),781.09375)</f>
        <v>781.09375</v>
      </c>
      <c r="AC18" s="429">
        <f>IFERROR(__xludf.DUMMYFUNCTION("""COMPUTED_VALUE"""),817.71875)</f>
        <v>817.71875</v>
      </c>
      <c r="AD18" s="10"/>
      <c r="AE18" s="390"/>
    </row>
    <row r="19">
      <c r="A19" s="421">
        <f>IFERROR(__xludf.DUMMYFUNCTION("""COMPUTED_VALUE"""),2.0)</f>
        <v>2</v>
      </c>
      <c r="B19" s="422">
        <f>IFERROR(__xludf.DUMMYFUNCTION("""COMPUTED_VALUE"""),15.0)</f>
        <v>15</v>
      </c>
      <c r="C19" s="422">
        <f>IFERROR(__xludf.DUMMYFUNCTION("""COMPUTED_VALUE"""),18.0)</f>
        <v>18</v>
      </c>
      <c r="D19" s="423" t="str">
        <f>IFERROR(__xludf.DUMMYFUNCTION("""COMPUTED_VALUE"""),"Gable Room")</f>
        <v>Gable Room</v>
      </c>
      <c r="E19" s="424">
        <f>IFERROR(__xludf.DUMMYFUNCTION("""COMPUTED_VALUE"""),40.0)</f>
        <v>40</v>
      </c>
      <c r="F19" s="425">
        <f>IFERROR(__xludf.DUMMYFUNCTION("""COMPUTED_VALUE"""),16.0)</f>
        <v>16</v>
      </c>
      <c r="G19" s="426" t="str">
        <f>IFERROR(__xludf.DUMMYFUNCTION("""COMPUTED_VALUE"""),"Open")</f>
        <v>Open</v>
      </c>
      <c r="H19" s="457">
        <f>IFERROR(__xludf.DUMMYFUNCTION("""COMPUTED_VALUE"""),1.484375)</f>
        <v>1.484375</v>
      </c>
      <c r="I19" s="456">
        <f>IFERROR(__xludf.DUMMYFUNCTION("""COMPUTED_VALUE"""),59.375)</f>
        <v>59.375</v>
      </c>
      <c r="J19" s="428">
        <f>IFERROR(__xludf.DUMMYFUNCTION("""COMPUTED_VALUE"""),87.125)</f>
        <v>87.125</v>
      </c>
      <c r="K19" s="428">
        <f>IFERROR(__xludf.DUMMYFUNCTION("""COMPUTED_VALUE"""),114.875)</f>
        <v>114.875</v>
      </c>
      <c r="L19" s="428">
        <f>IFERROR(__xludf.DUMMYFUNCTION("""COMPUTED_VALUE"""),142.625)</f>
        <v>142.625</v>
      </c>
      <c r="M19" s="428">
        <f>IFERROR(__xludf.DUMMYFUNCTION("""COMPUTED_VALUE"""),170.375)</f>
        <v>170.375</v>
      </c>
      <c r="N19" s="428">
        <f>IFERROR(__xludf.DUMMYFUNCTION("""COMPUTED_VALUE"""),198.125)</f>
        <v>198.125</v>
      </c>
      <c r="O19" s="428">
        <f>IFERROR(__xludf.DUMMYFUNCTION("""COMPUTED_VALUE"""),225.875)</f>
        <v>225.875</v>
      </c>
      <c r="P19" s="428">
        <f>IFERROR(__xludf.DUMMYFUNCTION("""COMPUTED_VALUE"""),253.625)</f>
        <v>253.625</v>
      </c>
      <c r="Q19" s="428">
        <f>IFERROR(__xludf.DUMMYFUNCTION("""COMPUTED_VALUE"""),281.375)</f>
        <v>281.375</v>
      </c>
      <c r="R19" s="428">
        <f>IFERROR(__xludf.DUMMYFUNCTION("""COMPUTED_VALUE"""),309.125)</f>
        <v>309.125</v>
      </c>
      <c r="S19" s="428">
        <f>IFERROR(__xludf.DUMMYFUNCTION("""COMPUTED_VALUE"""),336.875)</f>
        <v>336.875</v>
      </c>
      <c r="T19" s="428">
        <f>IFERROR(__xludf.DUMMYFUNCTION("""COMPUTED_VALUE"""),364.625)</f>
        <v>364.625</v>
      </c>
      <c r="U19" s="428">
        <f>IFERROR(__xludf.DUMMYFUNCTION("""COMPUTED_VALUE"""),392.375)</f>
        <v>392.375</v>
      </c>
      <c r="V19" s="428">
        <f>IFERROR(__xludf.DUMMYFUNCTION("""COMPUTED_VALUE"""),420.125)</f>
        <v>420.125</v>
      </c>
      <c r="W19" s="428">
        <f>IFERROR(__xludf.DUMMYFUNCTION("""COMPUTED_VALUE"""),447.875)</f>
        <v>447.875</v>
      </c>
      <c r="X19" s="428">
        <f>IFERROR(__xludf.DUMMYFUNCTION("""COMPUTED_VALUE"""),475.625)</f>
        <v>475.625</v>
      </c>
      <c r="Y19" s="428">
        <f>IFERROR(__xludf.DUMMYFUNCTION("""COMPUTED_VALUE"""),503.375)</f>
        <v>503.375</v>
      </c>
      <c r="Z19" s="428">
        <f>IFERROR(__xludf.DUMMYFUNCTION("""COMPUTED_VALUE"""),531.125)</f>
        <v>531.125</v>
      </c>
      <c r="AA19" s="428">
        <f>IFERROR(__xludf.DUMMYFUNCTION("""COMPUTED_VALUE"""),558.875)</f>
        <v>558.875</v>
      </c>
      <c r="AB19" s="428">
        <f>IFERROR(__xludf.DUMMYFUNCTION("""COMPUTED_VALUE"""),586.625)</f>
        <v>586.625</v>
      </c>
      <c r="AC19" s="429">
        <f>IFERROR(__xludf.DUMMYFUNCTION("""COMPUTED_VALUE"""),614.375)</f>
        <v>614.375</v>
      </c>
      <c r="AD19" s="10"/>
      <c r="AE19" s="390"/>
    </row>
    <row r="20">
      <c r="A20" s="421">
        <f>IFERROR(__xludf.DUMMYFUNCTION("""COMPUTED_VALUE"""),3.0)</f>
        <v>3</v>
      </c>
      <c r="B20" s="422">
        <f>IFERROR(__xludf.DUMMYFUNCTION("""COMPUTED_VALUE"""),14.0)</f>
        <v>14</v>
      </c>
      <c r="C20" s="422">
        <f>IFERROR(__xludf.DUMMYFUNCTION("""COMPUTED_VALUE"""),17.0)</f>
        <v>17</v>
      </c>
      <c r="D20" s="423" t="str">
        <f>IFERROR(__xludf.DUMMYFUNCTION("""COMPUTED_VALUE"""),"Hidden Corridor")</f>
        <v>Hidden Corridor</v>
      </c>
      <c r="E20" s="424">
        <f>IFERROR(__xludf.DUMMYFUNCTION("""COMPUTED_VALUE"""),30.0)</f>
        <v>30</v>
      </c>
      <c r="F20" s="425">
        <f>IFERROR(__xludf.DUMMYFUNCTION("""COMPUTED_VALUE"""),40.0)</f>
        <v>40</v>
      </c>
      <c r="G20" s="430" t="str">
        <f>IFERROR(__xludf.DUMMYFUNCTION("""COMPUTED_VALUE"""),"Open")</f>
        <v>Open</v>
      </c>
      <c r="H20" s="457">
        <f>IFERROR(__xludf.DUMMYFUNCTION("""COMPUTED_VALUE"""),1.7533333333333332)</f>
        <v>1.753333333</v>
      </c>
      <c r="I20" s="456">
        <f>IFERROR(__xludf.DUMMYFUNCTION("""COMPUTED_VALUE"""),52.599999999999994)</f>
        <v>52.6</v>
      </c>
      <c r="J20" s="428">
        <f>IFERROR(__xludf.DUMMYFUNCTION("""COMPUTED_VALUE"""),77.1)</f>
        <v>77.1</v>
      </c>
      <c r="K20" s="428">
        <f>IFERROR(__xludf.DUMMYFUNCTION("""COMPUTED_VALUE"""),101.6)</f>
        <v>101.6</v>
      </c>
      <c r="L20" s="428">
        <f>IFERROR(__xludf.DUMMYFUNCTION("""COMPUTED_VALUE"""),126.1)</f>
        <v>126.1</v>
      </c>
      <c r="M20" s="428">
        <f>IFERROR(__xludf.DUMMYFUNCTION("""COMPUTED_VALUE"""),150.6)</f>
        <v>150.6</v>
      </c>
      <c r="N20" s="428">
        <f>IFERROR(__xludf.DUMMYFUNCTION("""COMPUTED_VALUE"""),175.1)</f>
        <v>175.1</v>
      </c>
      <c r="O20" s="428">
        <f>IFERROR(__xludf.DUMMYFUNCTION("""COMPUTED_VALUE"""),199.6)</f>
        <v>199.6</v>
      </c>
      <c r="P20" s="428">
        <f>IFERROR(__xludf.DUMMYFUNCTION("""COMPUTED_VALUE"""),224.1)</f>
        <v>224.1</v>
      </c>
      <c r="Q20" s="428">
        <f>IFERROR(__xludf.DUMMYFUNCTION("""COMPUTED_VALUE"""),248.6)</f>
        <v>248.6</v>
      </c>
      <c r="R20" s="428">
        <f>IFERROR(__xludf.DUMMYFUNCTION("""COMPUTED_VALUE"""),273.1)</f>
        <v>273.1</v>
      </c>
      <c r="S20" s="428">
        <f>IFERROR(__xludf.DUMMYFUNCTION("""COMPUTED_VALUE"""),297.6)</f>
        <v>297.6</v>
      </c>
      <c r="T20" s="428">
        <f>IFERROR(__xludf.DUMMYFUNCTION("""COMPUTED_VALUE"""),322.1)</f>
        <v>322.1</v>
      </c>
      <c r="U20" s="428">
        <f>IFERROR(__xludf.DUMMYFUNCTION("""COMPUTED_VALUE"""),346.6)</f>
        <v>346.6</v>
      </c>
      <c r="V20" s="428">
        <f>IFERROR(__xludf.DUMMYFUNCTION("""COMPUTED_VALUE"""),371.1)</f>
        <v>371.1</v>
      </c>
      <c r="W20" s="428">
        <f>IFERROR(__xludf.DUMMYFUNCTION("""COMPUTED_VALUE"""),395.6)</f>
        <v>395.6</v>
      </c>
      <c r="X20" s="428">
        <f>IFERROR(__xludf.DUMMYFUNCTION("""COMPUTED_VALUE"""),420.1)</f>
        <v>420.1</v>
      </c>
      <c r="Y20" s="428">
        <f>IFERROR(__xludf.DUMMYFUNCTION("""COMPUTED_VALUE"""),444.6)</f>
        <v>444.6</v>
      </c>
      <c r="Z20" s="428">
        <f>IFERROR(__xludf.DUMMYFUNCTION("""COMPUTED_VALUE"""),469.1)</f>
        <v>469.1</v>
      </c>
      <c r="AA20" s="428">
        <f>IFERROR(__xludf.DUMMYFUNCTION("""COMPUTED_VALUE"""),493.6)</f>
        <v>493.6</v>
      </c>
      <c r="AB20" s="428">
        <f>IFERROR(__xludf.DUMMYFUNCTION("""COMPUTED_VALUE"""),518.1)</f>
        <v>518.1</v>
      </c>
      <c r="AC20" s="429">
        <f>IFERROR(__xludf.DUMMYFUNCTION("""COMPUTED_VALUE"""),542.6)</f>
        <v>542.6</v>
      </c>
      <c r="AD20" s="10"/>
      <c r="AE20" s="390"/>
    </row>
    <row r="21">
      <c r="A21" s="421">
        <f>IFERROR(__xludf.DUMMYFUNCTION("""COMPUTED_VALUE"""),4.0)</f>
        <v>4</v>
      </c>
      <c r="B21" s="422">
        <f>IFERROR(__xludf.DUMMYFUNCTION("""COMPUTED_VALUE"""),11.0)</f>
        <v>11</v>
      </c>
      <c r="C21" s="422">
        <f>IFERROR(__xludf.DUMMYFUNCTION("""COMPUTED_VALUE"""),14.0)</f>
        <v>14</v>
      </c>
      <c r="D21" s="423" t="str">
        <f>IFERROR(__xludf.DUMMYFUNCTION("""COMPUTED_VALUE"""),"Ventilation Shaft")</f>
        <v>Ventilation Shaft</v>
      </c>
      <c r="E21" s="424">
        <f>IFERROR(__xludf.DUMMYFUNCTION("""COMPUTED_VALUE"""),30.0)</f>
        <v>30</v>
      </c>
      <c r="F21" s="425">
        <f>IFERROR(__xludf.DUMMYFUNCTION("""COMPUTED_VALUE"""),92.0)</f>
        <v>92</v>
      </c>
      <c r="G21" s="430" t="str">
        <f>IFERROR(__xludf.DUMMYFUNCTION("""COMPUTED_VALUE"""),"Open")</f>
        <v>Open</v>
      </c>
      <c r="H21" s="457">
        <f>IFERROR(__xludf.DUMMYFUNCTION("""COMPUTED_VALUE"""),1.3333333333333333)</f>
        <v>1.333333333</v>
      </c>
      <c r="I21" s="456">
        <f>IFERROR(__xludf.DUMMYFUNCTION("""COMPUTED_VALUE"""),40.0)</f>
        <v>40</v>
      </c>
      <c r="J21" s="428">
        <f>IFERROR(__xludf.DUMMYFUNCTION("""COMPUTED_VALUE"""),59.26086956521739)</f>
        <v>59.26086957</v>
      </c>
      <c r="K21" s="428">
        <f>IFERROR(__xludf.DUMMYFUNCTION("""COMPUTED_VALUE"""),78.52173913043478)</f>
        <v>78.52173913</v>
      </c>
      <c r="L21" s="428">
        <f>IFERROR(__xludf.DUMMYFUNCTION("""COMPUTED_VALUE"""),97.78260869565219)</f>
        <v>97.7826087</v>
      </c>
      <c r="M21" s="428">
        <f>IFERROR(__xludf.DUMMYFUNCTION("""COMPUTED_VALUE"""),117.04347826086958)</f>
        <v>117.0434783</v>
      </c>
      <c r="N21" s="428">
        <f>IFERROR(__xludf.DUMMYFUNCTION("""COMPUTED_VALUE"""),136.30434782608697)</f>
        <v>136.3043478</v>
      </c>
      <c r="O21" s="428">
        <f>IFERROR(__xludf.DUMMYFUNCTION("""COMPUTED_VALUE"""),155.56521739130437)</f>
        <v>155.5652174</v>
      </c>
      <c r="P21" s="428">
        <f>IFERROR(__xludf.DUMMYFUNCTION("""COMPUTED_VALUE"""),174.82608695652175)</f>
        <v>174.826087</v>
      </c>
      <c r="Q21" s="428">
        <f>IFERROR(__xludf.DUMMYFUNCTION("""COMPUTED_VALUE"""),194.08695652173915)</f>
        <v>194.0869565</v>
      </c>
      <c r="R21" s="428">
        <f>IFERROR(__xludf.DUMMYFUNCTION("""COMPUTED_VALUE"""),213.34782608695656)</f>
        <v>213.3478261</v>
      </c>
      <c r="S21" s="428">
        <f>IFERROR(__xludf.DUMMYFUNCTION("""COMPUTED_VALUE"""),232.60869565217394)</f>
        <v>232.6086957</v>
      </c>
      <c r="T21" s="428">
        <f>IFERROR(__xludf.DUMMYFUNCTION("""COMPUTED_VALUE"""),251.86956521739134)</f>
        <v>251.8695652</v>
      </c>
      <c r="U21" s="428">
        <f>IFERROR(__xludf.DUMMYFUNCTION("""COMPUTED_VALUE"""),271.13043478260875)</f>
        <v>271.1304348</v>
      </c>
      <c r="V21" s="428">
        <f>IFERROR(__xludf.DUMMYFUNCTION("""COMPUTED_VALUE"""),290.3913043478261)</f>
        <v>290.3913043</v>
      </c>
      <c r="W21" s="428">
        <f>IFERROR(__xludf.DUMMYFUNCTION("""COMPUTED_VALUE"""),309.6521739130435)</f>
        <v>309.6521739</v>
      </c>
      <c r="X21" s="428">
        <f>IFERROR(__xludf.DUMMYFUNCTION("""COMPUTED_VALUE"""),328.91304347826093)</f>
        <v>328.9130435</v>
      </c>
      <c r="Y21" s="428">
        <f>IFERROR(__xludf.DUMMYFUNCTION("""COMPUTED_VALUE"""),348.1739130434783)</f>
        <v>348.173913</v>
      </c>
      <c r="Z21" s="428">
        <f>IFERROR(__xludf.DUMMYFUNCTION("""COMPUTED_VALUE"""),367.4347826086957)</f>
        <v>367.4347826</v>
      </c>
      <c r="AA21" s="428">
        <f>IFERROR(__xludf.DUMMYFUNCTION("""COMPUTED_VALUE"""),386.6956521739131)</f>
        <v>386.6956522</v>
      </c>
      <c r="AB21" s="428">
        <f>IFERROR(__xludf.DUMMYFUNCTION("""COMPUTED_VALUE"""),405.9565217391305)</f>
        <v>405.9565217</v>
      </c>
      <c r="AC21" s="429">
        <f>IFERROR(__xludf.DUMMYFUNCTION("""COMPUTED_VALUE"""),425.21739130434787)</f>
        <v>425.2173913</v>
      </c>
      <c r="AD21" s="10"/>
      <c r="AE21" s="390"/>
    </row>
    <row r="22">
      <c r="A22" s="421">
        <f>IFERROR(__xludf.DUMMYFUNCTION("""COMPUTED_VALUE"""),5.0)</f>
        <v>5</v>
      </c>
      <c r="B22" s="422">
        <f>IFERROR(__xludf.DUMMYFUNCTION("""COMPUTED_VALUE"""),26.0)</f>
        <v>26</v>
      </c>
      <c r="C22" s="422">
        <f>IFERROR(__xludf.DUMMYFUNCTION("""COMPUTED_VALUE"""),29.0)</f>
        <v>29</v>
      </c>
      <c r="D22" s="423" t="str">
        <f>IFERROR(__xludf.DUMMYFUNCTION("""COMPUTED_VALUE"""),"Left Shachi")</f>
        <v>Left Shachi</v>
      </c>
      <c r="E22" s="424">
        <f>IFERROR(__xludf.DUMMYFUNCTION("""COMPUTED_VALUE"""),40.0)</f>
        <v>40</v>
      </c>
      <c r="F22" s="425">
        <f>IFERROR(__xludf.DUMMYFUNCTION("""COMPUTED_VALUE"""),19.0)</f>
        <v>19</v>
      </c>
      <c r="G22" s="430" t="str">
        <f>IFERROR(__xludf.DUMMYFUNCTION("""COMPUTED_VALUE"""),"Open")</f>
        <v>Open</v>
      </c>
      <c r="H22" s="457">
        <f>IFERROR(__xludf.DUMMYFUNCTION("""COMPUTED_VALUE"""),0.7605263157894736)</f>
        <v>0.7605263158</v>
      </c>
      <c r="I22" s="456">
        <f>IFERROR(__xludf.DUMMYFUNCTION("""COMPUTED_VALUE"""),30.421052631578945)</f>
        <v>30.42105263</v>
      </c>
      <c r="J22" s="428">
        <f>IFERROR(__xludf.DUMMYFUNCTION("""COMPUTED_VALUE"""),44.78947368421052)</f>
        <v>44.78947368</v>
      </c>
      <c r="K22" s="428">
        <f>IFERROR(__xludf.DUMMYFUNCTION("""COMPUTED_VALUE"""),59.1578947368421)</f>
        <v>59.15789474</v>
      </c>
      <c r="L22" s="428">
        <f>IFERROR(__xludf.DUMMYFUNCTION("""COMPUTED_VALUE"""),73.52631578947368)</f>
        <v>73.52631579</v>
      </c>
      <c r="M22" s="428">
        <f>IFERROR(__xludf.DUMMYFUNCTION("""COMPUTED_VALUE"""),87.89473684210526)</f>
        <v>87.89473684</v>
      </c>
      <c r="N22" s="428">
        <f>IFERROR(__xludf.DUMMYFUNCTION("""COMPUTED_VALUE"""),102.26315789473684)</f>
        <v>102.2631579</v>
      </c>
      <c r="O22" s="428">
        <f>IFERROR(__xludf.DUMMYFUNCTION("""COMPUTED_VALUE"""),116.63157894736842)</f>
        <v>116.6315789</v>
      </c>
      <c r="P22" s="428">
        <f>IFERROR(__xludf.DUMMYFUNCTION("""COMPUTED_VALUE"""),131.0)</f>
        <v>131</v>
      </c>
      <c r="Q22" s="428">
        <f>IFERROR(__xludf.DUMMYFUNCTION("""COMPUTED_VALUE"""),145.36842105263156)</f>
        <v>145.3684211</v>
      </c>
      <c r="R22" s="428">
        <f>IFERROR(__xludf.DUMMYFUNCTION("""COMPUTED_VALUE"""),159.73684210526318)</f>
        <v>159.7368421</v>
      </c>
      <c r="S22" s="428">
        <f>IFERROR(__xludf.DUMMYFUNCTION("""COMPUTED_VALUE"""),174.10526315789474)</f>
        <v>174.1052632</v>
      </c>
      <c r="T22" s="428">
        <f>IFERROR(__xludf.DUMMYFUNCTION("""COMPUTED_VALUE"""),188.4736842105263)</f>
        <v>188.4736842</v>
      </c>
      <c r="U22" s="428">
        <f>IFERROR(__xludf.DUMMYFUNCTION("""COMPUTED_VALUE"""),202.84210526315792)</f>
        <v>202.8421053</v>
      </c>
      <c r="V22" s="428">
        <f>IFERROR(__xludf.DUMMYFUNCTION("""COMPUTED_VALUE"""),217.21052631578948)</f>
        <v>217.2105263</v>
      </c>
      <c r="W22" s="428">
        <f>IFERROR(__xludf.DUMMYFUNCTION("""COMPUTED_VALUE"""),231.57894736842104)</f>
        <v>231.5789474</v>
      </c>
      <c r="X22" s="428">
        <f>IFERROR(__xludf.DUMMYFUNCTION("""COMPUTED_VALUE"""),245.9473684210526)</f>
        <v>245.9473684</v>
      </c>
      <c r="Y22" s="428">
        <f>IFERROR(__xludf.DUMMYFUNCTION("""COMPUTED_VALUE"""),260.3157894736842)</f>
        <v>260.3157895</v>
      </c>
      <c r="Z22" s="428">
        <f>IFERROR(__xludf.DUMMYFUNCTION("""COMPUTED_VALUE"""),274.6842105263158)</f>
        <v>274.6842105</v>
      </c>
      <c r="AA22" s="428">
        <f>IFERROR(__xludf.DUMMYFUNCTION("""COMPUTED_VALUE"""),289.0526315789474)</f>
        <v>289.0526316</v>
      </c>
      <c r="AB22" s="428">
        <f>IFERROR(__xludf.DUMMYFUNCTION("""COMPUTED_VALUE"""),303.42105263157896)</f>
        <v>303.4210526</v>
      </c>
      <c r="AC22" s="429">
        <f>IFERROR(__xludf.DUMMYFUNCTION("""COMPUTED_VALUE"""),317.7894736842105)</f>
        <v>317.7894737</v>
      </c>
      <c r="AD22" s="10"/>
      <c r="AE22" s="390"/>
    </row>
    <row r="23">
      <c r="A23" s="421">
        <f>IFERROR(__xludf.DUMMYFUNCTION("""COMPUTED_VALUE"""),6.0)</f>
        <v>6</v>
      </c>
      <c r="B23" s="422">
        <f>IFERROR(__xludf.DUMMYFUNCTION("""COMPUTED_VALUE"""),7.0)</f>
        <v>7</v>
      </c>
      <c r="C23" s="422">
        <f>IFERROR(__xludf.DUMMYFUNCTION("""COMPUTED_VALUE"""),10.0)</f>
        <v>10</v>
      </c>
      <c r="D23" s="423" t="str">
        <f>IFERROR(__xludf.DUMMYFUNCTION("""COMPUTED_VALUE"""),"Treasure Room")</f>
        <v>Treasure Room</v>
      </c>
      <c r="E23" s="424">
        <f>IFERROR(__xludf.DUMMYFUNCTION("""COMPUTED_VALUE"""),40.0)</f>
        <v>40</v>
      </c>
      <c r="F23" s="425">
        <f>IFERROR(__xludf.DUMMYFUNCTION("""COMPUTED_VALUE"""),15.0)</f>
        <v>15</v>
      </c>
      <c r="G23" s="430" t="str">
        <f>IFERROR(__xludf.DUMMYFUNCTION("""COMPUTED_VALUE"""),"Open")</f>
        <v>Open</v>
      </c>
      <c r="H23" s="457">
        <f>IFERROR(__xludf.DUMMYFUNCTION("""COMPUTED_VALUE"""),0.7483333333333333)</f>
        <v>0.7483333333</v>
      </c>
      <c r="I23" s="456">
        <f>IFERROR(__xludf.DUMMYFUNCTION("""COMPUTED_VALUE"""),29.933333333333334)</f>
        <v>29.93333333</v>
      </c>
      <c r="J23" s="428">
        <f>IFERROR(__xludf.DUMMYFUNCTION("""COMPUTED_VALUE"""),43.6)</f>
        <v>43.6</v>
      </c>
      <c r="K23" s="428">
        <f>IFERROR(__xludf.DUMMYFUNCTION("""COMPUTED_VALUE"""),57.266666666666666)</f>
        <v>57.26666667</v>
      </c>
      <c r="L23" s="428">
        <f>IFERROR(__xludf.DUMMYFUNCTION("""COMPUTED_VALUE"""),70.93333333333334)</f>
        <v>70.93333333</v>
      </c>
      <c r="M23" s="428">
        <f>IFERROR(__xludf.DUMMYFUNCTION("""COMPUTED_VALUE"""),84.6)</f>
        <v>84.6</v>
      </c>
      <c r="N23" s="428">
        <f>IFERROR(__xludf.DUMMYFUNCTION("""COMPUTED_VALUE"""),98.26666666666667)</f>
        <v>98.26666667</v>
      </c>
      <c r="O23" s="428">
        <f>IFERROR(__xludf.DUMMYFUNCTION("""COMPUTED_VALUE"""),111.93333333333334)</f>
        <v>111.9333333</v>
      </c>
      <c r="P23" s="428">
        <f>IFERROR(__xludf.DUMMYFUNCTION("""COMPUTED_VALUE"""),125.6)</f>
        <v>125.6</v>
      </c>
      <c r="Q23" s="428">
        <f>IFERROR(__xludf.DUMMYFUNCTION("""COMPUTED_VALUE"""),139.26666666666665)</f>
        <v>139.2666667</v>
      </c>
      <c r="R23" s="428">
        <f>IFERROR(__xludf.DUMMYFUNCTION("""COMPUTED_VALUE"""),152.93333333333334)</f>
        <v>152.9333333</v>
      </c>
      <c r="S23" s="428">
        <f>IFERROR(__xludf.DUMMYFUNCTION("""COMPUTED_VALUE"""),166.6)</f>
        <v>166.6</v>
      </c>
      <c r="T23" s="428">
        <f>IFERROR(__xludf.DUMMYFUNCTION("""COMPUTED_VALUE"""),180.26666666666665)</f>
        <v>180.2666667</v>
      </c>
      <c r="U23" s="428">
        <f>IFERROR(__xludf.DUMMYFUNCTION("""COMPUTED_VALUE"""),193.93333333333334)</f>
        <v>193.9333333</v>
      </c>
      <c r="V23" s="428">
        <f>IFERROR(__xludf.DUMMYFUNCTION("""COMPUTED_VALUE"""),207.6)</f>
        <v>207.6</v>
      </c>
      <c r="W23" s="428">
        <f>IFERROR(__xludf.DUMMYFUNCTION("""COMPUTED_VALUE"""),221.26666666666665)</f>
        <v>221.2666667</v>
      </c>
      <c r="X23" s="428">
        <f>IFERROR(__xludf.DUMMYFUNCTION("""COMPUTED_VALUE"""),234.93333333333334)</f>
        <v>234.9333333</v>
      </c>
      <c r="Y23" s="428">
        <f>IFERROR(__xludf.DUMMYFUNCTION("""COMPUTED_VALUE"""),248.6)</f>
        <v>248.6</v>
      </c>
      <c r="Z23" s="428">
        <f>IFERROR(__xludf.DUMMYFUNCTION("""COMPUTED_VALUE"""),262.26666666666665)</f>
        <v>262.2666667</v>
      </c>
      <c r="AA23" s="428">
        <f>IFERROR(__xludf.DUMMYFUNCTION("""COMPUTED_VALUE"""),275.93333333333334)</f>
        <v>275.9333333</v>
      </c>
      <c r="AB23" s="428">
        <f>IFERROR(__xludf.DUMMYFUNCTION("""COMPUTED_VALUE"""),289.59999999999997)</f>
        <v>289.6</v>
      </c>
      <c r="AC23" s="429">
        <f>IFERROR(__xludf.DUMMYFUNCTION("""COMPUTED_VALUE"""),303.26666666666665)</f>
        <v>303.2666667</v>
      </c>
      <c r="AD23" s="10"/>
      <c r="AE23" s="390"/>
    </row>
    <row r="24">
      <c r="A24" s="421">
        <f>IFERROR(__xludf.DUMMYFUNCTION("""COMPUTED_VALUE"""),7.0)</f>
        <v>7</v>
      </c>
      <c r="B24" s="422">
        <f>IFERROR(__xludf.DUMMYFUNCTION("""COMPUTED_VALUE"""),20.0)</f>
        <v>20</v>
      </c>
      <c r="C24" s="422">
        <f>IFERROR(__xludf.DUMMYFUNCTION("""COMPUTED_VALUE"""),23.0)</f>
        <v>23</v>
      </c>
      <c r="D24" s="423" t="str">
        <f>IFERROR(__xludf.DUMMYFUNCTION("""COMPUTED_VALUE"""),"Lookout Post")</f>
        <v>Lookout Post</v>
      </c>
      <c r="E24" s="424">
        <f>IFERROR(__xludf.DUMMYFUNCTION("""COMPUTED_VALUE"""),30.0)</f>
        <v>30</v>
      </c>
      <c r="F24" s="425">
        <f>IFERROR(__xludf.DUMMYFUNCTION("""COMPUTED_VALUE"""),29.0)</f>
        <v>29</v>
      </c>
      <c r="G24" s="430" t="str">
        <f>IFERROR(__xludf.DUMMYFUNCTION("""COMPUTED_VALUE"""),"Open")</f>
        <v>Open</v>
      </c>
      <c r="H24" s="457">
        <f>IFERROR(__xludf.DUMMYFUNCTION("""COMPUTED_VALUE"""),0.6770114942528735)</f>
        <v>0.6770114943</v>
      </c>
      <c r="I24" s="456">
        <f>IFERROR(__xludf.DUMMYFUNCTION("""COMPUTED_VALUE"""),20.310344827586206)</f>
        <v>20.31034483</v>
      </c>
      <c r="J24" s="428">
        <f>IFERROR(__xludf.DUMMYFUNCTION("""COMPUTED_VALUE"""),29.89655172413793)</f>
        <v>29.89655172</v>
      </c>
      <c r="K24" s="428">
        <f>IFERROR(__xludf.DUMMYFUNCTION("""COMPUTED_VALUE"""),39.48275862068965)</f>
        <v>39.48275862</v>
      </c>
      <c r="L24" s="428">
        <f>IFERROR(__xludf.DUMMYFUNCTION("""COMPUTED_VALUE"""),49.06896551724138)</f>
        <v>49.06896552</v>
      </c>
      <c r="M24" s="428">
        <f>IFERROR(__xludf.DUMMYFUNCTION("""COMPUTED_VALUE"""),58.6551724137931)</f>
        <v>58.65517241</v>
      </c>
      <c r="N24" s="428">
        <f>IFERROR(__xludf.DUMMYFUNCTION("""COMPUTED_VALUE"""),68.24137931034483)</f>
        <v>68.24137931</v>
      </c>
      <c r="O24" s="428">
        <f>IFERROR(__xludf.DUMMYFUNCTION("""COMPUTED_VALUE"""),77.82758620689656)</f>
        <v>77.82758621</v>
      </c>
      <c r="P24" s="428">
        <f>IFERROR(__xludf.DUMMYFUNCTION("""COMPUTED_VALUE"""),87.41379310344827)</f>
        <v>87.4137931</v>
      </c>
      <c r="Q24" s="428">
        <f>IFERROR(__xludf.DUMMYFUNCTION("""COMPUTED_VALUE"""),97.0)</f>
        <v>97</v>
      </c>
      <c r="R24" s="428">
        <f>IFERROR(__xludf.DUMMYFUNCTION("""COMPUTED_VALUE"""),106.58620689655173)</f>
        <v>106.5862069</v>
      </c>
      <c r="S24" s="428">
        <f>IFERROR(__xludf.DUMMYFUNCTION("""COMPUTED_VALUE"""),116.17241379310344)</f>
        <v>116.1724138</v>
      </c>
      <c r="T24" s="428">
        <f>IFERROR(__xludf.DUMMYFUNCTION("""COMPUTED_VALUE"""),125.75862068965517)</f>
        <v>125.7586207</v>
      </c>
      <c r="U24" s="428">
        <f>IFERROR(__xludf.DUMMYFUNCTION("""COMPUTED_VALUE"""),135.34482758620692)</f>
        <v>135.3448276</v>
      </c>
      <c r="V24" s="428">
        <f>IFERROR(__xludf.DUMMYFUNCTION("""COMPUTED_VALUE"""),144.9310344827586)</f>
        <v>144.9310345</v>
      </c>
      <c r="W24" s="428">
        <f>IFERROR(__xludf.DUMMYFUNCTION("""COMPUTED_VALUE"""),154.51724137931035)</f>
        <v>154.5172414</v>
      </c>
      <c r="X24" s="428">
        <f>IFERROR(__xludf.DUMMYFUNCTION("""COMPUTED_VALUE"""),164.1034482758621)</f>
        <v>164.1034483</v>
      </c>
      <c r="Y24" s="428">
        <f>IFERROR(__xludf.DUMMYFUNCTION("""COMPUTED_VALUE"""),173.68965517241378)</f>
        <v>173.6896552</v>
      </c>
      <c r="Z24" s="428">
        <f>IFERROR(__xludf.DUMMYFUNCTION("""COMPUTED_VALUE"""),183.27586206896552)</f>
        <v>183.2758621</v>
      </c>
      <c r="AA24" s="428">
        <f>IFERROR(__xludf.DUMMYFUNCTION("""COMPUTED_VALUE"""),192.86206896551727)</f>
        <v>192.862069</v>
      </c>
      <c r="AB24" s="428">
        <f>IFERROR(__xludf.DUMMYFUNCTION("""COMPUTED_VALUE"""),202.44827586206895)</f>
        <v>202.4482759</v>
      </c>
      <c r="AC24" s="429">
        <f>IFERROR(__xludf.DUMMYFUNCTION("""COMPUTED_VALUE"""),212.0344827586207)</f>
        <v>212.0344828</v>
      </c>
      <c r="AD24" s="10"/>
      <c r="AE24" s="390"/>
    </row>
    <row r="25">
      <c r="A25" s="431">
        <f>IFERROR(__xludf.DUMMYFUNCTION("""COMPUTED_VALUE"""),8.0)</f>
        <v>8</v>
      </c>
      <c r="B25" s="432">
        <f>IFERROR(__xludf.DUMMYFUNCTION("""COMPUTED_VALUE"""),22.0)</f>
        <v>22</v>
      </c>
      <c r="C25" s="432">
        <f>IFERROR(__xludf.DUMMYFUNCTION("""COMPUTED_VALUE"""),25.0)</f>
        <v>25</v>
      </c>
      <c r="D25" s="433" t="str">
        <f>IFERROR(__xludf.DUMMYFUNCTION("""COMPUTED_VALUE"""),"High Windows")</f>
        <v>High Windows</v>
      </c>
      <c r="E25" s="434">
        <f>IFERROR(__xludf.DUMMYFUNCTION("""COMPUTED_VALUE"""),20.0)</f>
        <v>20</v>
      </c>
      <c r="F25" s="435">
        <f>IFERROR(__xludf.DUMMYFUNCTION("""COMPUTED_VALUE"""),60.0)</f>
        <v>60</v>
      </c>
      <c r="G25" s="436" t="str">
        <f>IFERROR(__xludf.DUMMYFUNCTION("""COMPUTED_VALUE"""),"Open")</f>
        <v>Open</v>
      </c>
      <c r="H25" s="461">
        <f>IFERROR(__xludf.DUMMYFUNCTION("""COMPUTED_VALUE"""),0.9658333333333333)</f>
        <v>0.9658333333</v>
      </c>
      <c r="I25" s="462">
        <f>IFERROR(__xludf.DUMMYFUNCTION("""COMPUTED_VALUE"""),19.316666666666666)</f>
        <v>19.31666667</v>
      </c>
      <c r="J25" s="438">
        <f>IFERROR(__xludf.DUMMYFUNCTION("""COMPUTED_VALUE"""),27.983333333333334)</f>
        <v>27.98333333</v>
      </c>
      <c r="K25" s="438">
        <f>IFERROR(__xludf.DUMMYFUNCTION("""COMPUTED_VALUE"""),36.650000000000006)</f>
        <v>36.65</v>
      </c>
      <c r="L25" s="438">
        <f>IFERROR(__xludf.DUMMYFUNCTION("""COMPUTED_VALUE"""),45.31666666666667)</f>
        <v>45.31666667</v>
      </c>
      <c r="M25" s="438">
        <f>IFERROR(__xludf.DUMMYFUNCTION("""COMPUTED_VALUE"""),53.983333333333334)</f>
        <v>53.98333333</v>
      </c>
      <c r="N25" s="438">
        <f>IFERROR(__xludf.DUMMYFUNCTION("""COMPUTED_VALUE"""),62.650000000000006)</f>
        <v>62.65</v>
      </c>
      <c r="O25" s="438">
        <f>IFERROR(__xludf.DUMMYFUNCTION("""COMPUTED_VALUE"""),71.31666666666668)</f>
        <v>71.31666667</v>
      </c>
      <c r="P25" s="438">
        <f>IFERROR(__xludf.DUMMYFUNCTION("""COMPUTED_VALUE"""),79.98333333333333)</f>
        <v>79.98333333</v>
      </c>
      <c r="Q25" s="438">
        <f>IFERROR(__xludf.DUMMYFUNCTION("""COMPUTED_VALUE"""),88.65)</f>
        <v>88.65</v>
      </c>
      <c r="R25" s="438">
        <f>IFERROR(__xludf.DUMMYFUNCTION("""COMPUTED_VALUE"""),97.31666666666668)</f>
        <v>97.31666667</v>
      </c>
      <c r="S25" s="438">
        <f>IFERROR(__xludf.DUMMYFUNCTION("""COMPUTED_VALUE"""),105.98333333333335)</f>
        <v>105.9833333</v>
      </c>
      <c r="T25" s="438">
        <f>IFERROR(__xludf.DUMMYFUNCTION("""COMPUTED_VALUE"""),114.65)</f>
        <v>114.65</v>
      </c>
      <c r="U25" s="438">
        <f>IFERROR(__xludf.DUMMYFUNCTION("""COMPUTED_VALUE"""),123.31666666666668)</f>
        <v>123.3166667</v>
      </c>
      <c r="V25" s="438">
        <f>IFERROR(__xludf.DUMMYFUNCTION("""COMPUTED_VALUE"""),131.98333333333335)</f>
        <v>131.9833333</v>
      </c>
      <c r="W25" s="438">
        <f>IFERROR(__xludf.DUMMYFUNCTION("""COMPUTED_VALUE"""),140.65)</f>
        <v>140.65</v>
      </c>
      <c r="X25" s="438">
        <f>IFERROR(__xludf.DUMMYFUNCTION("""COMPUTED_VALUE"""),149.3166666666667)</f>
        <v>149.3166667</v>
      </c>
      <c r="Y25" s="438">
        <f>IFERROR(__xludf.DUMMYFUNCTION("""COMPUTED_VALUE"""),157.98333333333335)</f>
        <v>157.9833333</v>
      </c>
      <c r="Z25" s="438">
        <f>IFERROR(__xludf.DUMMYFUNCTION("""COMPUTED_VALUE"""),166.65)</f>
        <v>166.65</v>
      </c>
      <c r="AA25" s="438">
        <f>IFERROR(__xludf.DUMMYFUNCTION("""COMPUTED_VALUE"""),175.3166666666667)</f>
        <v>175.3166667</v>
      </c>
      <c r="AB25" s="438">
        <f>IFERROR(__xludf.DUMMYFUNCTION("""COMPUTED_VALUE"""),183.98333333333335)</f>
        <v>183.9833333</v>
      </c>
      <c r="AC25" s="439">
        <f>IFERROR(__xludf.DUMMYFUNCTION("""COMPUTED_VALUE"""),192.65000000000003)</f>
        <v>192.65</v>
      </c>
      <c r="AD25" s="10"/>
      <c r="AE25" s="390"/>
    </row>
    <row r="26">
      <c r="A26" s="381" t="str">
        <f>IFERROR(__xludf.DUMMYFUNCTION("""COMPUTED_VALUE"""),"")</f>
        <v/>
      </c>
      <c r="B26" s="382" t="str">
        <f>IFERROR(__xludf.DUMMYFUNCTION("""COMPUTED_VALUE"""),"")</f>
        <v/>
      </c>
      <c r="C26" s="382" t="str">
        <f>IFERROR(__xludf.DUMMYFUNCTION("""COMPUTED_VALUE"""),"")</f>
        <v/>
      </c>
      <c r="D26" s="382" t="str">
        <f>IFERROR(__xludf.DUMMYFUNCTION("""COMPUTED_VALUE"""),"")</f>
        <v/>
      </c>
      <c r="E26" s="383" t="str">
        <f>IFERROR(__xludf.DUMMYFUNCTION("""COMPUTED_VALUE"""),"")</f>
        <v/>
      </c>
      <c r="F26" s="382" t="str">
        <f>IFERROR(__xludf.DUMMYFUNCTION("""COMPUTED_VALUE"""),"")</f>
        <v/>
      </c>
      <c r="G26" s="382" t="str">
        <f>IFERROR(__xludf.DUMMYFUNCTION("""COMPUTED_VALUE"""),"")</f>
        <v/>
      </c>
      <c r="H26" s="382" t="str">
        <f>IFERROR(__xludf.DUMMYFUNCTION("""COMPUTED_VALUE"""),"")</f>
        <v/>
      </c>
      <c r="I26" s="382" t="str">
        <f>IFERROR(__xludf.DUMMYFUNCTION("""COMPUTED_VALUE"""),"")</f>
        <v/>
      </c>
      <c r="J26" s="382" t="str">
        <f>IFERROR(__xludf.DUMMYFUNCTION("""COMPUTED_VALUE"""),"")</f>
        <v/>
      </c>
      <c r="K26" s="382" t="str">
        <f>IFERROR(__xludf.DUMMYFUNCTION("""COMPUTED_VALUE"""),"")</f>
        <v/>
      </c>
      <c r="L26" s="382" t="str">
        <f>IFERROR(__xludf.DUMMYFUNCTION("""COMPUTED_VALUE"""),"")</f>
        <v/>
      </c>
      <c r="M26" s="382" t="str">
        <f>IFERROR(__xludf.DUMMYFUNCTION("""COMPUTED_VALUE"""),"")</f>
        <v/>
      </c>
      <c r="N26" s="382" t="str">
        <f>IFERROR(__xludf.DUMMYFUNCTION("""COMPUTED_VALUE"""),"")</f>
        <v/>
      </c>
      <c r="O26" s="382" t="str">
        <f>IFERROR(__xludf.DUMMYFUNCTION("""COMPUTED_VALUE"""),"")</f>
        <v/>
      </c>
      <c r="P26" s="382" t="str">
        <f>IFERROR(__xludf.DUMMYFUNCTION("""COMPUTED_VALUE"""),"")</f>
        <v/>
      </c>
      <c r="Q26" s="382" t="str">
        <f>IFERROR(__xludf.DUMMYFUNCTION("""COMPUTED_VALUE"""),"")</f>
        <v/>
      </c>
      <c r="R26" s="382" t="str">
        <f>IFERROR(__xludf.DUMMYFUNCTION("""COMPUTED_VALUE"""),"")</f>
        <v/>
      </c>
      <c r="S26" s="382" t="str">
        <f>IFERROR(__xludf.DUMMYFUNCTION("""COMPUTED_VALUE"""),"")</f>
        <v/>
      </c>
      <c r="T26" s="382" t="str">
        <f>IFERROR(__xludf.DUMMYFUNCTION("""COMPUTED_VALUE"""),"")</f>
        <v/>
      </c>
      <c r="U26" s="382" t="str">
        <f>IFERROR(__xludf.DUMMYFUNCTION("""COMPUTED_VALUE"""),"")</f>
        <v/>
      </c>
      <c r="V26" s="382" t="str">
        <f>IFERROR(__xludf.DUMMYFUNCTION("""COMPUTED_VALUE"""),"")</f>
        <v/>
      </c>
      <c r="W26" s="382" t="str">
        <f>IFERROR(__xludf.DUMMYFUNCTION("""COMPUTED_VALUE"""),"")</f>
        <v/>
      </c>
      <c r="X26" s="382" t="str">
        <f>IFERROR(__xludf.DUMMYFUNCTION("""COMPUTED_VALUE"""),"")</f>
        <v/>
      </c>
      <c r="Y26" s="382" t="str">
        <f>IFERROR(__xludf.DUMMYFUNCTION("""COMPUTED_VALUE"""),"")</f>
        <v/>
      </c>
      <c r="Z26" s="382" t="str">
        <f>IFERROR(__xludf.DUMMYFUNCTION("""COMPUTED_VALUE"""),"")</f>
        <v/>
      </c>
      <c r="AA26" s="382" t="str">
        <f>IFERROR(__xludf.DUMMYFUNCTION("""COMPUTED_VALUE"""),"")</f>
        <v/>
      </c>
      <c r="AB26" s="382" t="str">
        <f>IFERROR(__xludf.DUMMYFUNCTION("""COMPUTED_VALUE"""),"")</f>
        <v/>
      </c>
      <c r="AC26" s="382" t="str">
        <f>IFERROR(__xludf.DUMMYFUNCTION("""COMPUTED_VALUE"""),"")</f>
        <v/>
      </c>
      <c r="AD26" s="389"/>
      <c r="AE26" s="390"/>
    </row>
    <row r="27" ht="41.25" customHeight="1">
      <c r="A27" s="391" t="str">
        <f>IFERROR(__xludf.DUMMYFUNCTION("""COMPUTED_VALUE"""),"")</f>
        <v/>
      </c>
      <c r="B27" s="440" t="str">
        <f>IFERROR(__xludf.DUMMYFUNCTION("""COMPUTED_VALUE"""),"E19053")</f>
        <v>E19053</v>
      </c>
      <c r="C27" s="392" t="str">
        <f>IFERROR(__xludf.DUMMYFUNCTION("""COMPUTED_VALUE"""),"HIDE")</f>
        <v>HIDE</v>
      </c>
      <c r="D27" s="392" t="str">
        <f>IFERROR(__xludf.DUMMYFUNCTION("""COMPUTED_VALUE"""),"Drill Gummy")</f>
        <v>Drill Gummy</v>
      </c>
      <c r="E27" s="393" t="str">
        <f>IFERROR(__xludf.DUMMYFUNCTION("""COMPUTED_VALUE"""),"Cost")</f>
        <v>Cost</v>
      </c>
      <c r="F27" s="394" t="str">
        <f>IFERROR(__xludf.DUMMYFUNCTION("""COMPUTED_VALUE"""),"# Runs")</f>
        <v># Runs</v>
      </c>
      <c r="G27" s="395" t="str">
        <f>IFERROR(__xludf.DUMMYFUNCTION("""COMPUTED_VALUE"""),"Status")</f>
        <v>Status</v>
      </c>
      <c r="H27" s="396" t="str">
        <f>IFERROR(__xludf.DUMMYFUNCTION("""COMPUTED_VALUE"""),"Currency/AP @ +0")</f>
        <v>Currency/AP @ +0</v>
      </c>
      <c r="I27" s="397">
        <f>IFERROR(__xludf.DUMMYFUNCTION("""COMPUTED_VALUE"""),0.0)</f>
        <v>0</v>
      </c>
      <c r="J27" s="398">
        <f>IFERROR(__xludf.DUMMYFUNCTION("""COMPUTED_VALUE"""),1.0)</f>
        <v>1</v>
      </c>
      <c r="K27" s="398">
        <f>IFERROR(__xludf.DUMMYFUNCTION("""COMPUTED_VALUE"""),2.0)</f>
        <v>2</v>
      </c>
      <c r="L27" s="398">
        <f>IFERROR(__xludf.DUMMYFUNCTION("""COMPUTED_VALUE"""),3.0)</f>
        <v>3</v>
      </c>
      <c r="M27" s="398">
        <f>IFERROR(__xludf.DUMMYFUNCTION("""COMPUTED_VALUE"""),4.0)</f>
        <v>4</v>
      </c>
      <c r="N27" s="398">
        <f>IFERROR(__xludf.DUMMYFUNCTION("""COMPUTED_VALUE"""),5.0)</f>
        <v>5</v>
      </c>
      <c r="O27" s="398">
        <f>IFERROR(__xludf.DUMMYFUNCTION("""COMPUTED_VALUE"""),6.0)</f>
        <v>6</v>
      </c>
      <c r="P27" s="398">
        <f>IFERROR(__xludf.DUMMYFUNCTION("""COMPUTED_VALUE"""),7.0)</f>
        <v>7</v>
      </c>
      <c r="Q27" s="398">
        <f>IFERROR(__xludf.DUMMYFUNCTION("""COMPUTED_VALUE"""),8.0)</f>
        <v>8</v>
      </c>
      <c r="R27" s="398">
        <f>IFERROR(__xludf.DUMMYFUNCTION("""COMPUTED_VALUE"""),9.0)</f>
        <v>9</v>
      </c>
      <c r="S27" s="398">
        <f>IFERROR(__xludf.DUMMYFUNCTION("""COMPUTED_VALUE"""),10.0)</f>
        <v>10</v>
      </c>
      <c r="T27" s="398">
        <f>IFERROR(__xludf.DUMMYFUNCTION("""COMPUTED_VALUE"""),11.0)</f>
        <v>11</v>
      </c>
      <c r="U27" s="398">
        <f>IFERROR(__xludf.DUMMYFUNCTION("""COMPUTED_VALUE"""),12.0)</f>
        <v>12</v>
      </c>
      <c r="V27" s="398">
        <f>IFERROR(__xludf.DUMMYFUNCTION("""COMPUTED_VALUE"""),13.0)</f>
        <v>13</v>
      </c>
      <c r="W27" s="398">
        <f>IFERROR(__xludf.DUMMYFUNCTION("""COMPUTED_VALUE"""),14.0)</f>
        <v>14</v>
      </c>
      <c r="X27" s="398">
        <f>IFERROR(__xludf.DUMMYFUNCTION("""COMPUTED_VALUE"""),15.0)</f>
        <v>15</v>
      </c>
      <c r="Y27" s="398">
        <f>IFERROR(__xludf.DUMMYFUNCTION("""COMPUTED_VALUE"""),16.0)</f>
        <v>16</v>
      </c>
      <c r="Z27" s="398">
        <f>IFERROR(__xludf.DUMMYFUNCTION("""COMPUTED_VALUE"""),17.0)</f>
        <v>17</v>
      </c>
      <c r="AA27" s="398">
        <f>IFERROR(__xludf.DUMMYFUNCTION("""COMPUTED_VALUE"""),18.0)</f>
        <v>18</v>
      </c>
      <c r="AB27" s="398">
        <f>IFERROR(__xludf.DUMMYFUNCTION("""COMPUTED_VALUE"""),19.0)</f>
        <v>19</v>
      </c>
      <c r="AC27" s="399">
        <f>IFERROR(__xludf.DUMMYFUNCTION("""COMPUTED_VALUE"""),20.0)</f>
        <v>20</v>
      </c>
      <c r="AD27" s="400"/>
      <c r="AE27" s="401"/>
    </row>
    <row r="28" hidden="1">
      <c r="A28" s="441" t="str">
        <f>IFERROR(__xludf.DUMMYFUNCTION("""COMPUTED_VALUE"""),"HIDE")</f>
        <v>HIDE</v>
      </c>
      <c r="B28" s="442">
        <f>IFERROR(__xludf.DUMMYFUNCTION("""COMPUTED_VALUE"""),9.0)</f>
        <v>9</v>
      </c>
      <c r="C28" s="443">
        <f>IFERROR(__xludf.DUMMYFUNCTION("""COMPUTED_VALUE"""),22.0)</f>
        <v>22</v>
      </c>
      <c r="D28" s="444" t="str">
        <f>IFERROR(__xludf.DUMMYFUNCTION("""COMPUTED_VALUE"""),"")</f>
        <v/>
      </c>
      <c r="E28" s="445" t="str">
        <f>IFERROR(__xludf.DUMMYFUNCTION("""COMPUTED_VALUE"""),"")</f>
        <v/>
      </c>
      <c r="F28" s="446" t="str">
        <f>IFERROR(__xludf.DUMMYFUNCTION("""COMPUTED_VALUE"""),"")</f>
        <v/>
      </c>
      <c r="G28" s="447" t="str">
        <f>IFERROR(__xludf.DUMMYFUNCTION("""COMPUTED_VALUE"""),"")</f>
        <v/>
      </c>
      <c r="H28" s="409" t="str">
        <f>IFERROR(__xludf.DUMMYFUNCTION("""COMPUTED_VALUE"""),"")</f>
        <v/>
      </c>
      <c r="I28" s="410" t="str">
        <f>IFERROR(__xludf.DUMMYFUNCTION("""COMPUTED_VALUE"""),"")</f>
        <v/>
      </c>
      <c r="J28" s="410" t="str">
        <f>IFERROR(__xludf.DUMMYFUNCTION("""COMPUTED_VALUE"""),"")</f>
        <v/>
      </c>
      <c r="K28" s="410" t="str">
        <f>IFERROR(__xludf.DUMMYFUNCTION("""COMPUTED_VALUE"""),"")</f>
        <v/>
      </c>
      <c r="L28" s="410" t="str">
        <f>IFERROR(__xludf.DUMMYFUNCTION("""COMPUTED_VALUE"""),"")</f>
        <v/>
      </c>
      <c r="M28" s="410" t="str">
        <f>IFERROR(__xludf.DUMMYFUNCTION("""COMPUTED_VALUE"""),"")</f>
        <v/>
      </c>
      <c r="N28" s="410" t="str">
        <f>IFERROR(__xludf.DUMMYFUNCTION("""COMPUTED_VALUE"""),"")</f>
        <v/>
      </c>
      <c r="O28" s="410" t="str">
        <f>IFERROR(__xludf.DUMMYFUNCTION("""COMPUTED_VALUE"""),"")</f>
        <v/>
      </c>
      <c r="P28" s="410" t="str">
        <f>IFERROR(__xludf.DUMMYFUNCTION("""COMPUTED_VALUE"""),"")</f>
        <v/>
      </c>
      <c r="Q28" s="410" t="str">
        <f>IFERROR(__xludf.DUMMYFUNCTION("""COMPUTED_VALUE"""),"")</f>
        <v/>
      </c>
      <c r="R28" s="410" t="str">
        <f>IFERROR(__xludf.DUMMYFUNCTION("""COMPUTED_VALUE"""),"")</f>
        <v/>
      </c>
      <c r="S28" s="410" t="str">
        <f>IFERROR(__xludf.DUMMYFUNCTION("""COMPUTED_VALUE"""),"")</f>
        <v/>
      </c>
      <c r="T28" s="410" t="str">
        <f>IFERROR(__xludf.DUMMYFUNCTION("""COMPUTED_VALUE"""),"")</f>
        <v/>
      </c>
      <c r="U28" s="410" t="str">
        <f>IFERROR(__xludf.DUMMYFUNCTION("""COMPUTED_VALUE"""),"")</f>
        <v/>
      </c>
      <c r="V28" s="410" t="str">
        <f>IFERROR(__xludf.DUMMYFUNCTION("""COMPUTED_VALUE"""),"")</f>
        <v/>
      </c>
      <c r="W28" s="410" t="str">
        <f>IFERROR(__xludf.DUMMYFUNCTION("""COMPUTED_VALUE"""),"")</f>
        <v/>
      </c>
      <c r="X28" s="410" t="str">
        <f>IFERROR(__xludf.DUMMYFUNCTION("""COMPUTED_VALUE"""),"")</f>
        <v/>
      </c>
      <c r="Y28" s="410" t="str">
        <f>IFERROR(__xludf.DUMMYFUNCTION("""COMPUTED_VALUE"""),"")</f>
        <v/>
      </c>
      <c r="Z28" s="410" t="str">
        <f>IFERROR(__xludf.DUMMYFUNCTION("""COMPUTED_VALUE"""),"")</f>
        <v/>
      </c>
      <c r="AA28" s="410" t="str">
        <f>IFERROR(__xludf.DUMMYFUNCTION("""COMPUTED_VALUE"""),"")</f>
        <v/>
      </c>
      <c r="AB28" s="410" t="str">
        <f>IFERROR(__xludf.DUMMYFUNCTION("""COMPUTED_VALUE"""),"")</f>
        <v/>
      </c>
      <c r="AC28" s="411" t="str">
        <f>IFERROR(__xludf.DUMMYFUNCTION("""COMPUTED_VALUE"""),"")</f>
        <v/>
      </c>
      <c r="AD28" s="400"/>
      <c r="AE28" s="401"/>
    </row>
    <row r="29">
      <c r="A29" s="463" t="str">
        <f>IFERROR(__xludf.DUMMYFUNCTION("""COMPUTED_VALUE"""),"BEST NOW")</f>
        <v>BEST NOW</v>
      </c>
      <c r="B29" s="464">
        <f>IFERROR(__xludf.DUMMYFUNCTION("""COMPUTED_VALUE"""),9.0)</f>
        <v>9</v>
      </c>
      <c r="C29" s="464">
        <f>IFERROR(__xludf.DUMMYFUNCTION("""COMPUTED_VALUE"""),12.0)</f>
        <v>12</v>
      </c>
      <c r="D29" s="465" t="str">
        <f>IFERROR(__xludf.DUMMYFUNCTION("""COMPUTED_VALUE"""),"Burial Chamber")</f>
        <v>Burial Chamber</v>
      </c>
      <c r="E29" s="466">
        <f>IFERROR(__xludf.DUMMYFUNCTION("""COMPUTED_VALUE"""),40.0)</f>
        <v>40</v>
      </c>
      <c r="F29" s="467">
        <f>IFERROR(__xludf.DUMMYFUNCTION("""COMPUTED_VALUE"""),108.0)</f>
        <v>108</v>
      </c>
      <c r="G29" s="468" t="str">
        <f>IFERROR(__xludf.DUMMYFUNCTION("""COMPUTED_VALUE"""),"Open")</f>
        <v>Open</v>
      </c>
      <c r="H29" s="469">
        <f>IFERROR(__xludf.DUMMYFUNCTION("""COMPUTED_VALUE"""),1.9193877551020406)</f>
        <v>1.919387755</v>
      </c>
      <c r="I29" s="470">
        <f>IFERROR(__xludf.DUMMYFUNCTION("""COMPUTED_VALUE"""),76.77551020408163)</f>
        <v>76.7755102</v>
      </c>
      <c r="J29" s="471">
        <f>IFERROR(__xludf.DUMMYFUNCTION("""COMPUTED_VALUE"""),112.16326530612244)</f>
        <v>112.1632653</v>
      </c>
      <c r="K29" s="471">
        <f>IFERROR(__xludf.DUMMYFUNCTION("""COMPUTED_VALUE"""),147.55102040816325)</f>
        <v>147.5510204</v>
      </c>
      <c r="L29" s="471">
        <f>IFERROR(__xludf.DUMMYFUNCTION("""COMPUTED_VALUE"""),182.93877551020407)</f>
        <v>182.9387755</v>
      </c>
      <c r="M29" s="471">
        <f>IFERROR(__xludf.DUMMYFUNCTION("""COMPUTED_VALUE"""),218.32653061224488)</f>
        <v>218.3265306</v>
      </c>
      <c r="N29" s="471">
        <f>IFERROR(__xludf.DUMMYFUNCTION("""COMPUTED_VALUE"""),253.7142857142857)</f>
        <v>253.7142857</v>
      </c>
      <c r="O29" s="471">
        <f>IFERROR(__xludf.DUMMYFUNCTION("""COMPUTED_VALUE"""),289.1020408163265)</f>
        <v>289.1020408</v>
      </c>
      <c r="P29" s="471">
        <f>IFERROR(__xludf.DUMMYFUNCTION("""COMPUTED_VALUE"""),324.48979591836735)</f>
        <v>324.4897959</v>
      </c>
      <c r="Q29" s="471">
        <f>IFERROR(__xludf.DUMMYFUNCTION("""COMPUTED_VALUE"""),359.87755102040813)</f>
        <v>359.877551</v>
      </c>
      <c r="R29" s="471">
        <f>IFERROR(__xludf.DUMMYFUNCTION("""COMPUTED_VALUE"""),395.265306122449)</f>
        <v>395.2653061</v>
      </c>
      <c r="S29" s="471">
        <f>IFERROR(__xludf.DUMMYFUNCTION("""COMPUTED_VALUE"""),430.65306122448976)</f>
        <v>430.6530612</v>
      </c>
      <c r="T29" s="471">
        <f>IFERROR(__xludf.DUMMYFUNCTION("""COMPUTED_VALUE"""),466.04081632653055)</f>
        <v>466.0408163</v>
      </c>
      <c r="U29" s="471">
        <f>IFERROR(__xludf.DUMMYFUNCTION("""COMPUTED_VALUE"""),501.4285714285714)</f>
        <v>501.4285714</v>
      </c>
      <c r="V29" s="471">
        <f>IFERROR(__xludf.DUMMYFUNCTION("""COMPUTED_VALUE"""),536.8163265306123)</f>
        <v>536.8163265</v>
      </c>
      <c r="W29" s="471">
        <f>IFERROR(__xludf.DUMMYFUNCTION("""COMPUTED_VALUE"""),572.204081632653)</f>
        <v>572.2040816</v>
      </c>
      <c r="X29" s="471">
        <f>IFERROR(__xludf.DUMMYFUNCTION("""COMPUTED_VALUE"""),607.5918367346937)</f>
        <v>607.5918367</v>
      </c>
      <c r="Y29" s="471">
        <f>IFERROR(__xludf.DUMMYFUNCTION("""COMPUTED_VALUE"""),642.9795918367347)</f>
        <v>642.9795918</v>
      </c>
      <c r="Z29" s="471">
        <f>IFERROR(__xludf.DUMMYFUNCTION("""COMPUTED_VALUE"""),678.3673469387754)</f>
        <v>678.3673469</v>
      </c>
      <c r="AA29" s="471">
        <f>IFERROR(__xludf.DUMMYFUNCTION("""COMPUTED_VALUE"""),713.7551020408164)</f>
        <v>713.755102</v>
      </c>
      <c r="AB29" s="471">
        <f>IFERROR(__xludf.DUMMYFUNCTION("""COMPUTED_VALUE"""),749.1428571428571)</f>
        <v>749.1428571</v>
      </c>
      <c r="AC29" s="472">
        <f>IFERROR(__xludf.DUMMYFUNCTION("""COMPUTED_VALUE"""),784.5306122448978)</f>
        <v>784.5306122</v>
      </c>
      <c r="AD29" s="10"/>
      <c r="AE29" s="390"/>
    </row>
    <row r="30">
      <c r="A30" s="450">
        <f>IFERROR(__xludf.DUMMYFUNCTION("""COMPUTED_VALUE"""),1.0)</f>
        <v>1</v>
      </c>
      <c r="B30" s="451">
        <f>IFERROR(__xludf.DUMMYFUNCTION("""COMPUTED_VALUE"""),9.0)</f>
        <v>9</v>
      </c>
      <c r="C30" s="422">
        <f>IFERROR(__xludf.DUMMYFUNCTION("""COMPUTED_VALUE"""),12.0)</f>
        <v>12</v>
      </c>
      <c r="D30" s="452" t="str">
        <f>IFERROR(__xludf.DUMMYFUNCTION("""COMPUTED_VALUE"""),"Burial Chamber")</f>
        <v>Burial Chamber</v>
      </c>
      <c r="E30" s="453">
        <f>IFERROR(__xludf.DUMMYFUNCTION("""COMPUTED_VALUE"""),40.0)</f>
        <v>40</v>
      </c>
      <c r="F30" s="454">
        <f>IFERROR(__xludf.DUMMYFUNCTION("""COMPUTED_VALUE"""),108.0)</f>
        <v>108</v>
      </c>
      <c r="G30" s="426" t="str">
        <f>IFERROR(__xludf.DUMMYFUNCTION("""COMPUTED_VALUE"""),"Open")</f>
        <v>Open</v>
      </c>
      <c r="H30" s="455">
        <f>IFERROR(__xludf.DUMMYFUNCTION("""COMPUTED_VALUE"""),1.9193877551020406)</f>
        <v>1.919387755</v>
      </c>
      <c r="I30" s="473">
        <f>IFERROR(__xludf.DUMMYFUNCTION("""COMPUTED_VALUE"""),76.77551020408163)</f>
        <v>76.7755102</v>
      </c>
      <c r="J30" s="474">
        <f>IFERROR(__xludf.DUMMYFUNCTION("""COMPUTED_VALUE"""),112.16326530612244)</f>
        <v>112.1632653</v>
      </c>
      <c r="K30" s="474">
        <f>IFERROR(__xludf.DUMMYFUNCTION("""COMPUTED_VALUE"""),147.55102040816325)</f>
        <v>147.5510204</v>
      </c>
      <c r="L30" s="474">
        <f>IFERROR(__xludf.DUMMYFUNCTION("""COMPUTED_VALUE"""),182.93877551020407)</f>
        <v>182.9387755</v>
      </c>
      <c r="M30" s="474">
        <f>IFERROR(__xludf.DUMMYFUNCTION("""COMPUTED_VALUE"""),218.32653061224488)</f>
        <v>218.3265306</v>
      </c>
      <c r="N30" s="474">
        <f>IFERROR(__xludf.DUMMYFUNCTION("""COMPUTED_VALUE"""),253.7142857142857)</f>
        <v>253.7142857</v>
      </c>
      <c r="O30" s="474">
        <f>IFERROR(__xludf.DUMMYFUNCTION("""COMPUTED_VALUE"""),289.1020408163265)</f>
        <v>289.1020408</v>
      </c>
      <c r="P30" s="474">
        <f>IFERROR(__xludf.DUMMYFUNCTION("""COMPUTED_VALUE"""),324.48979591836735)</f>
        <v>324.4897959</v>
      </c>
      <c r="Q30" s="474">
        <f>IFERROR(__xludf.DUMMYFUNCTION("""COMPUTED_VALUE"""),359.87755102040813)</f>
        <v>359.877551</v>
      </c>
      <c r="R30" s="474">
        <f>IFERROR(__xludf.DUMMYFUNCTION("""COMPUTED_VALUE"""),395.265306122449)</f>
        <v>395.2653061</v>
      </c>
      <c r="S30" s="474">
        <f>IFERROR(__xludf.DUMMYFUNCTION("""COMPUTED_VALUE"""),430.65306122448976)</f>
        <v>430.6530612</v>
      </c>
      <c r="T30" s="474">
        <f>IFERROR(__xludf.DUMMYFUNCTION("""COMPUTED_VALUE"""),466.04081632653055)</f>
        <v>466.0408163</v>
      </c>
      <c r="U30" s="474">
        <f>IFERROR(__xludf.DUMMYFUNCTION("""COMPUTED_VALUE"""),501.4285714285714)</f>
        <v>501.4285714</v>
      </c>
      <c r="V30" s="474">
        <f>IFERROR(__xludf.DUMMYFUNCTION("""COMPUTED_VALUE"""),536.8163265306123)</f>
        <v>536.8163265</v>
      </c>
      <c r="W30" s="474">
        <f>IFERROR(__xludf.DUMMYFUNCTION("""COMPUTED_VALUE"""),572.204081632653)</f>
        <v>572.2040816</v>
      </c>
      <c r="X30" s="474">
        <f>IFERROR(__xludf.DUMMYFUNCTION("""COMPUTED_VALUE"""),607.5918367346937)</f>
        <v>607.5918367</v>
      </c>
      <c r="Y30" s="474">
        <f>IFERROR(__xludf.DUMMYFUNCTION("""COMPUTED_VALUE"""),642.9795918367347)</f>
        <v>642.9795918</v>
      </c>
      <c r="Z30" s="474">
        <f>IFERROR(__xludf.DUMMYFUNCTION("""COMPUTED_VALUE"""),678.3673469387754)</f>
        <v>678.3673469</v>
      </c>
      <c r="AA30" s="474">
        <f>IFERROR(__xludf.DUMMYFUNCTION("""COMPUTED_VALUE"""),713.7551020408164)</f>
        <v>713.755102</v>
      </c>
      <c r="AB30" s="474">
        <f>IFERROR(__xludf.DUMMYFUNCTION("""COMPUTED_VALUE"""),749.1428571428571)</f>
        <v>749.1428571</v>
      </c>
      <c r="AC30" s="475">
        <f>IFERROR(__xludf.DUMMYFUNCTION("""COMPUTED_VALUE"""),784.5306122448978)</f>
        <v>784.5306122</v>
      </c>
      <c r="AD30" s="10"/>
      <c r="AE30" s="390"/>
    </row>
    <row r="31">
      <c r="A31" s="421">
        <f>IFERROR(__xludf.DUMMYFUNCTION("""COMPUTED_VALUE"""),2.0)</f>
        <v>2</v>
      </c>
      <c r="B31" s="422">
        <f>IFERROR(__xludf.DUMMYFUNCTION("""COMPUTED_VALUE"""),7.0)</f>
        <v>7</v>
      </c>
      <c r="C31" s="422">
        <f>IFERROR(__xludf.DUMMYFUNCTION("""COMPUTED_VALUE"""),10.0)</f>
        <v>10</v>
      </c>
      <c r="D31" s="423" t="str">
        <f>IFERROR(__xludf.DUMMYFUNCTION("""COMPUTED_VALUE"""),"Treasure Room")</f>
        <v>Treasure Room</v>
      </c>
      <c r="E31" s="424">
        <f>IFERROR(__xludf.DUMMYFUNCTION("""COMPUTED_VALUE"""),40.0)</f>
        <v>40</v>
      </c>
      <c r="F31" s="425">
        <f>IFERROR(__xludf.DUMMYFUNCTION("""COMPUTED_VALUE"""),15.0)</f>
        <v>15</v>
      </c>
      <c r="G31" s="426" t="str">
        <f>IFERROR(__xludf.DUMMYFUNCTION("""COMPUTED_VALUE"""),"Open")</f>
        <v>Open</v>
      </c>
      <c r="H31" s="457">
        <f>IFERROR(__xludf.DUMMYFUNCTION("""COMPUTED_VALUE"""),1.4166666666666667)</f>
        <v>1.416666667</v>
      </c>
      <c r="I31" s="473">
        <f>IFERROR(__xludf.DUMMYFUNCTION("""COMPUTED_VALUE"""),56.66666666666667)</f>
        <v>56.66666667</v>
      </c>
      <c r="J31" s="474">
        <f>IFERROR(__xludf.DUMMYFUNCTION("""COMPUTED_VALUE"""),83.06666666666668)</f>
        <v>83.06666667</v>
      </c>
      <c r="K31" s="474">
        <f>IFERROR(__xludf.DUMMYFUNCTION("""COMPUTED_VALUE"""),109.46666666666667)</f>
        <v>109.4666667</v>
      </c>
      <c r="L31" s="474">
        <f>IFERROR(__xludf.DUMMYFUNCTION("""COMPUTED_VALUE"""),135.86666666666667)</f>
        <v>135.8666667</v>
      </c>
      <c r="M31" s="474">
        <f>IFERROR(__xludf.DUMMYFUNCTION("""COMPUTED_VALUE"""),162.26666666666668)</f>
        <v>162.2666667</v>
      </c>
      <c r="N31" s="474">
        <f>IFERROR(__xludf.DUMMYFUNCTION("""COMPUTED_VALUE"""),188.66666666666669)</f>
        <v>188.6666667</v>
      </c>
      <c r="O31" s="474">
        <f>IFERROR(__xludf.DUMMYFUNCTION("""COMPUTED_VALUE"""),215.06666666666666)</f>
        <v>215.0666667</v>
      </c>
      <c r="P31" s="474">
        <f>IFERROR(__xludf.DUMMYFUNCTION("""COMPUTED_VALUE"""),241.4666666666667)</f>
        <v>241.4666667</v>
      </c>
      <c r="Q31" s="474">
        <f>IFERROR(__xludf.DUMMYFUNCTION("""COMPUTED_VALUE"""),267.8666666666667)</f>
        <v>267.8666667</v>
      </c>
      <c r="R31" s="474">
        <f>IFERROR(__xludf.DUMMYFUNCTION("""COMPUTED_VALUE"""),294.2666666666667)</f>
        <v>294.2666667</v>
      </c>
      <c r="S31" s="474">
        <f>IFERROR(__xludf.DUMMYFUNCTION("""COMPUTED_VALUE"""),320.6666666666667)</f>
        <v>320.6666667</v>
      </c>
      <c r="T31" s="474">
        <f>IFERROR(__xludf.DUMMYFUNCTION("""COMPUTED_VALUE"""),347.0666666666667)</f>
        <v>347.0666667</v>
      </c>
      <c r="U31" s="474">
        <f>IFERROR(__xludf.DUMMYFUNCTION("""COMPUTED_VALUE"""),373.4666666666667)</f>
        <v>373.4666667</v>
      </c>
      <c r="V31" s="474">
        <f>IFERROR(__xludf.DUMMYFUNCTION("""COMPUTED_VALUE"""),399.86666666666673)</f>
        <v>399.8666667</v>
      </c>
      <c r="W31" s="474">
        <f>IFERROR(__xludf.DUMMYFUNCTION("""COMPUTED_VALUE"""),426.2666666666667)</f>
        <v>426.2666667</v>
      </c>
      <c r="X31" s="474">
        <f>IFERROR(__xludf.DUMMYFUNCTION("""COMPUTED_VALUE"""),452.66666666666674)</f>
        <v>452.6666667</v>
      </c>
      <c r="Y31" s="474">
        <f>IFERROR(__xludf.DUMMYFUNCTION("""COMPUTED_VALUE"""),479.0666666666667)</f>
        <v>479.0666667</v>
      </c>
      <c r="Z31" s="474">
        <f>IFERROR(__xludf.DUMMYFUNCTION("""COMPUTED_VALUE"""),505.4666666666667)</f>
        <v>505.4666667</v>
      </c>
      <c r="AA31" s="474">
        <f>IFERROR(__xludf.DUMMYFUNCTION("""COMPUTED_VALUE"""),531.8666666666667)</f>
        <v>531.8666667</v>
      </c>
      <c r="AB31" s="474">
        <f>IFERROR(__xludf.DUMMYFUNCTION("""COMPUTED_VALUE"""),558.2666666666667)</f>
        <v>558.2666667</v>
      </c>
      <c r="AC31" s="475">
        <f>IFERROR(__xludf.DUMMYFUNCTION("""COMPUTED_VALUE"""),584.6666666666666)</f>
        <v>584.6666667</v>
      </c>
      <c r="AD31" s="10"/>
      <c r="AE31" s="390"/>
    </row>
    <row r="32">
      <c r="A32" s="421">
        <f>IFERROR(__xludf.DUMMYFUNCTION("""COMPUTED_VALUE"""),3.0)</f>
        <v>3</v>
      </c>
      <c r="B32" s="422">
        <f>IFERROR(__xludf.DUMMYFUNCTION("""COMPUTED_VALUE"""),19.0)</f>
        <v>19</v>
      </c>
      <c r="C32" s="422">
        <f>IFERROR(__xludf.DUMMYFUNCTION("""COMPUTED_VALUE"""),22.0)</f>
        <v>22</v>
      </c>
      <c r="D32" s="423" t="str">
        <f>IFERROR(__xludf.DUMMYFUNCTION("""COMPUTED_VALUE"""),"Stone Drop Window")</f>
        <v>Stone Drop Window</v>
      </c>
      <c r="E32" s="424">
        <f>IFERROR(__xludf.DUMMYFUNCTION("""COMPUTED_VALUE"""),30.0)</f>
        <v>30</v>
      </c>
      <c r="F32" s="425">
        <f>IFERROR(__xludf.DUMMYFUNCTION("""COMPUTED_VALUE"""),58.0)</f>
        <v>58</v>
      </c>
      <c r="G32" s="426" t="str">
        <f>IFERROR(__xludf.DUMMYFUNCTION("""COMPUTED_VALUE"""),"Open")</f>
        <v>Open</v>
      </c>
      <c r="H32" s="457">
        <f>IFERROR(__xludf.DUMMYFUNCTION("""COMPUTED_VALUE"""),1.6689655172413793)</f>
        <v>1.668965517</v>
      </c>
      <c r="I32" s="473">
        <f>IFERROR(__xludf.DUMMYFUNCTION("""COMPUTED_VALUE"""),50.06896551724138)</f>
        <v>50.06896552</v>
      </c>
      <c r="J32" s="474">
        <f>IFERROR(__xludf.DUMMYFUNCTION("""COMPUTED_VALUE"""),73.63793103448276)</f>
        <v>73.63793103</v>
      </c>
      <c r="K32" s="474">
        <f>IFERROR(__xludf.DUMMYFUNCTION("""COMPUTED_VALUE"""),97.20689655172413)</f>
        <v>97.20689655</v>
      </c>
      <c r="L32" s="474">
        <f>IFERROR(__xludf.DUMMYFUNCTION("""COMPUTED_VALUE"""),120.77586206896551)</f>
        <v>120.7758621</v>
      </c>
      <c r="M32" s="474">
        <f>IFERROR(__xludf.DUMMYFUNCTION("""COMPUTED_VALUE"""),144.3448275862069)</f>
        <v>144.3448276</v>
      </c>
      <c r="N32" s="474">
        <f>IFERROR(__xludf.DUMMYFUNCTION("""COMPUTED_VALUE"""),167.91379310344826)</f>
        <v>167.9137931</v>
      </c>
      <c r="O32" s="474">
        <f>IFERROR(__xludf.DUMMYFUNCTION("""COMPUTED_VALUE"""),191.48275862068965)</f>
        <v>191.4827586</v>
      </c>
      <c r="P32" s="474">
        <f>IFERROR(__xludf.DUMMYFUNCTION("""COMPUTED_VALUE"""),215.05172413793105)</f>
        <v>215.0517241</v>
      </c>
      <c r="Q32" s="474">
        <f>IFERROR(__xludf.DUMMYFUNCTION("""COMPUTED_VALUE"""),238.62068965517238)</f>
        <v>238.6206897</v>
      </c>
      <c r="R32" s="474">
        <f>IFERROR(__xludf.DUMMYFUNCTION("""COMPUTED_VALUE"""),262.1896551724138)</f>
        <v>262.1896552</v>
      </c>
      <c r="S32" s="474">
        <f>IFERROR(__xludf.DUMMYFUNCTION("""COMPUTED_VALUE"""),285.7586206896552)</f>
        <v>285.7586207</v>
      </c>
      <c r="T32" s="474">
        <f>IFERROR(__xludf.DUMMYFUNCTION("""COMPUTED_VALUE"""),309.32758620689657)</f>
        <v>309.3275862</v>
      </c>
      <c r="U32" s="474">
        <f>IFERROR(__xludf.DUMMYFUNCTION("""COMPUTED_VALUE"""),332.8965517241379)</f>
        <v>332.8965517</v>
      </c>
      <c r="V32" s="474">
        <f>IFERROR(__xludf.DUMMYFUNCTION("""COMPUTED_VALUE"""),356.4655172413793)</f>
        <v>356.4655172</v>
      </c>
      <c r="W32" s="474">
        <f>IFERROR(__xludf.DUMMYFUNCTION("""COMPUTED_VALUE"""),380.0344827586207)</f>
        <v>380.0344828</v>
      </c>
      <c r="X32" s="474">
        <f>IFERROR(__xludf.DUMMYFUNCTION("""COMPUTED_VALUE"""),403.60344827586204)</f>
        <v>403.6034483</v>
      </c>
      <c r="Y32" s="474">
        <f>IFERROR(__xludf.DUMMYFUNCTION("""COMPUTED_VALUE"""),427.17241379310343)</f>
        <v>427.1724138</v>
      </c>
      <c r="Z32" s="474">
        <f>IFERROR(__xludf.DUMMYFUNCTION("""COMPUTED_VALUE"""),450.7413793103448)</f>
        <v>450.7413793</v>
      </c>
      <c r="AA32" s="474">
        <f>IFERROR(__xludf.DUMMYFUNCTION("""COMPUTED_VALUE"""),474.31034482758616)</f>
        <v>474.3103448</v>
      </c>
      <c r="AB32" s="474">
        <f>IFERROR(__xludf.DUMMYFUNCTION("""COMPUTED_VALUE"""),497.87931034482756)</f>
        <v>497.8793103</v>
      </c>
      <c r="AC32" s="475">
        <f>IFERROR(__xludf.DUMMYFUNCTION("""COMPUTED_VALUE"""),521.448275862069)</f>
        <v>521.4482759</v>
      </c>
      <c r="AD32" s="10"/>
      <c r="AE32" s="390"/>
    </row>
    <row r="33">
      <c r="A33" s="421">
        <f>IFERROR(__xludf.DUMMYFUNCTION("""COMPUTED_VALUE"""),4.0)</f>
        <v>4</v>
      </c>
      <c r="B33" s="422">
        <f>IFERROR(__xludf.DUMMYFUNCTION("""COMPUTED_VALUE"""),1.0)</f>
        <v>1</v>
      </c>
      <c r="C33" s="422">
        <f>IFERROR(__xludf.DUMMYFUNCTION("""COMPUTED_VALUE"""),4.0)</f>
        <v>4</v>
      </c>
      <c r="D33" s="423" t="str">
        <f>IFERROR(__xludf.DUMMYFUNCTION("""COMPUTED_VALUE"""),"Castle Gates")</f>
        <v>Castle Gates</v>
      </c>
      <c r="E33" s="424">
        <f>IFERROR(__xludf.DUMMYFUNCTION("""COMPUTED_VALUE"""),30.0)</f>
        <v>30</v>
      </c>
      <c r="F33" s="425">
        <f>IFERROR(__xludf.DUMMYFUNCTION("""COMPUTED_VALUE"""),29.0)</f>
        <v>29</v>
      </c>
      <c r="G33" s="426" t="str">
        <f>IFERROR(__xludf.DUMMYFUNCTION("""COMPUTED_VALUE"""),"Open")</f>
        <v>Open</v>
      </c>
      <c r="H33" s="457">
        <f>IFERROR(__xludf.DUMMYFUNCTION("""COMPUTED_VALUE"""),1.4873563218390806)</f>
        <v>1.487356322</v>
      </c>
      <c r="I33" s="473">
        <f>IFERROR(__xludf.DUMMYFUNCTION("""COMPUTED_VALUE"""),44.62068965517242)</f>
        <v>44.62068966</v>
      </c>
      <c r="J33" s="474">
        <f>IFERROR(__xludf.DUMMYFUNCTION("""COMPUTED_VALUE"""),65.86206896551724)</f>
        <v>65.86206897</v>
      </c>
      <c r="K33" s="474">
        <f>IFERROR(__xludf.DUMMYFUNCTION("""COMPUTED_VALUE"""),87.10344827586206)</f>
        <v>87.10344828</v>
      </c>
      <c r="L33" s="474">
        <f>IFERROR(__xludf.DUMMYFUNCTION("""COMPUTED_VALUE"""),108.34482758620689)</f>
        <v>108.3448276</v>
      </c>
      <c r="M33" s="474">
        <f>IFERROR(__xludf.DUMMYFUNCTION("""COMPUTED_VALUE"""),129.58620689655172)</f>
        <v>129.5862069</v>
      </c>
      <c r="N33" s="474">
        <f>IFERROR(__xludf.DUMMYFUNCTION("""COMPUTED_VALUE"""),150.82758620689654)</f>
        <v>150.8275862</v>
      </c>
      <c r="O33" s="474">
        <f>IFERROR(__xludf.DUMMYFUNCTION("""COMPUTED_VALUE"""),172.06896551724137)</f>
        <v>172.0689655</v>
      </c>
      <c r="P33" s="474">
        <f>IFERROR(__xludf.DUMMYFUNCTION("""COMPUTED_VALUE"""),193.3103448275862)</f>
        <v>193.3103448</v>
      </c>
      <c r="Q33" s="474">
        <f>IFERROR(__xludf.DUMMYFUNCTION("""COMPUTED_VALUE"""),214.55172413793102)</f>
        <v>214.5517241</v>
      </c>
      <c r="R33" s="474">
        <f>IFERROR(__xludf.DUMMYFUNCTION("""COMPUTED_VALUE"""),235.79310344827584)</f>
        <v>235.7931034</v>
      </c>
      <c r="S33" s="474">
        <f>IFERROR(__xludf.DUMMYFUNCTION("""COMPUTED_VALUE"""),257.0344827586207)</f>
        <v>257.0344828</v>
      </c>
      <c r="T33" s="474">
        <f>IFERROR(__xludf.DUMMYFUNCTION("""COMPUTED_VALUE"""),278.2758620689655)</f>
        <v>278.2758621</v>
      </c>
      <c r="U33" s="474">
        <f>IFERROR(__xludf.DUMMYFUNCTION("""COMPUTED_VALUE"""),299.51724137931035)</f>
        <v>299.5172414</v>
      </c>
      <c r="V33" s="474">
        <f>IFERROR(__xludf.DUMMYFUNCTION("""COMPUTED_VALUE"""),320.7586206896552)</f>
        <v>320.7586207</v>
      </c>
      <c r="W33" s="474">
        <f>IFERROR(__xludf.DUMMYFUNCTION("""COMPUTED_VALUE"""),342.0)</f>
        <v>342</v>
      </c>
      <c r="X33" s="474">
        <f>IFERROR(__xludf.DUMMYFUNCTION("""COMPUTED_VALUE"""),363.2413793103448)</f>
        <v>363.2413793</v>
      </c>
      <c r="Y33" s="474">
        <f>IFERROR(__xludf.DUMMYFUNCTION("""COMPUTED_VALUE"""),384.48275862068965)</f>
        <v>384.4827586</v>
      </c>
      <c r="Z33" s="474">
        <f>IFERROR(__xludf.DUMMYFUNCTION("""COMPUTED_VALUE"""),405.7241379310345)</f>
        <v>405.7241379</v>
      </c>
      <c r="AA33" s="474">
        <f>IFERROR(__xludf.DUMMYFUNCTION("""COMPUTED_VALUE"""),426.9655172413793)</f>
        <v>426.9655172</v>
      </c>
      <c r="AB33" s="474">
        <f>IFERROR(__xludf.DUMMYFUNCTION("""COMPUTED_VALUE"""),448.2068965517241)</f>
        <v>448.2068966</v>
      </c>
      <c r="AC33" s="475">
        <f>IFERROR(__xludf.DUMMYFUNCTION("""COMPUTED_VALUE"""),469.44827586206895)</f>
        <v>469.4482759</v>
      </c>
      <c r="AD33" s="10"/>
      <c r="AE33" s="390"/>
    </row>
    <row r="34">
      <c r="A34" s="421">
        <f>IFERROR(__xludf.DUMMYFUNCTION("""COMPUTED_VALUE"""),5.0)</f>
        <v>5</v>
      </c>
      <c r="B34" s="422">
        <f>IFERROR(__xludf.DUMMYFUNCTION("""COMPUTED_VALUE"""),4.0)</f>
        <v>4</v>
      </c>
      <c r="C34" s="422">
        <f>IFERROR(__xludf.DUMMYFUNCTION("""COMPUTED_VALUE"""),7.0)</f>
        <v>7</v>
      </c>
      <c r="D34" s="423" t="str">
        <f>IFERROR(__xludf.DUMMYFUNCTION("""COMPUTED_VALUE"""),"Larder")</f>
        <v>Larder</v>
      </c>
      <c r="E34" s="424">
        <f>IFERROR(__xludf.DUMMYFUNCTION("""COMPUTED_VALUE"""),30.0)</f>
        <v>30</v>
      </c>
      <c r="F34" s="425">
        <f>IFERROR(__xludf.DUMMYFUNCTION("""COMPUTED_VALUE"""),8.0)</f>
        <v>8</v>
      </c>
      <c r="G34" s="426" t="str">
        <f>IFERROR(__xludf.DUMMYFUNCTION("""COMPUTED_VALUE"""),"Open")</f>
        <v>Open</v>
      </c>
      <c r="H34" s="457">
        <f>IFERROR(__xludf.DUMMYFUNCTION("""COMPUTED_VALUE"""),1.2625)</f>
        <v>1.2625</v>
      </c>
      <c r="I34" s="473">
        <f>IFERROR(__xludf.DUMMYFUNCTION("""COMPUTED_VALUE"""),37.875)</f>
        <v>37.875</v>
      </c>
      <c r="J34" s="474">
        <f>IFERROR(__xludf.DUMMYFUNCTION("""COMPUTED_VALUE"""),56.0)</f>
        <v>56</v>
      </c>
      <c r="K34" s="474">
        <f>IFERROR(__xludf.DUMMYFUNCTION("""COMPUTED_VALUE"""),74.125)</f>
        <v>74.125</v>
      </c>
      <c r="L34" s="474">
        <f>IFERROR(__xludf.DUMMYFUNCTION("""COMPUTED_VALUE"""),92.25)</f>
        <v>92.25</v>
      </c>
      <c r="M34" s="474">
        <f>IFERROR(__xludf.DUMMYFUNCTION("""COMPUTED_VALUE"""),110.375)</f>
        <v>110.375</v>
      </c>
      <c r="N34" s="474">
        <f>IFERROR(__xludf.DUMMYFUNCTION("""COMPUTED_VALUE"""),128.5)</f>
        <v>128.5</v>
      </c>
      <c r="O34" s="474">
        <f>IFERROR(__xludf.DUMMYFUNCTION("""COMPUTED_VALUE"""),146.625)</f>
        <v>146.625</v>
      </c>
      <c r="P34" s="474">
        <f>IFERROR(__xludf.DUMMYFUNCTION("""COMPUTED_VALUE"""),164.75)</f>
        <v>164.75</v>
      </c>
      <c r="Q34" s="474">
        <f>IFERROR(__xludf.DUMMYFUNCTION("""COMPUTED_VALUE"""),182.875)</f>
        <v>182.875</v>
      </c>
      <c r="R34" s="474">
        <f>IFERROR(__xludf.DUMMYFUNCTION("""COMPUTED_VALUE"""),201.0)</f>
        <v>201</v>
      </c>
      <c r="S34" s="474">
        <f>IFERROR(__xludf.DUMMYFUNCTION("""COMPUTED_VALUE"""),219.125)</f>
        <v>219.125</v>
      </c>
      <c r="T34" s="474">
        <f>IFERROR(__xludf.DUMMYFUNCTION("""COMPUTED_VALUE"""),237.25)</f>
        <v>237.25</v>
      </c>
      <c r="U34" s="474">
        <f>IFERROR(__xludf.DUMMYFUNCTION("""COMPUTED_VALUE"""),255.375)</f>
        <v>255.375</v>
      </c>
      <c r="V34" s="474">
        <f>IFERROR(__xludf.DUMMYFUNCTION("""COMPUTED_VALUE"""),273.5)</f>
        <v>273.5</v>
      </c>
      <c r="W34" s="474">
        <f>IFERROR(__xludf.DUMMYFUNCTION("""COMPUTED_VALUE"""),291.625)</f>
        <v>291.625</v>
      </c>
      <c r="X34" s="474">
        <f>IFERROR(__xludf.DUMMYFUNCTION("""COMPUTED_VALUE"""),309.75)</f>
        <v>309.75</v>
      </c>
      <c r="Y34" s="474">
        <f>IFERROR(__xludf.DUMMYFUNCTION("""COMPUTED_VALUE"""),327.875)</f>
        <v>327.875</v>
      </c>
      <c r="Z34" s="474">
        <f>IFERROR(__xludf.DUMMYFUNCTION("""COMPUTED_VALUE"""),346.0)</f>
        <v>346</v>
      </c>
      <c r="AA34" s="474">
        <f>IFERROR(__xludf.DUMMYFUNCTION("""COMPUTED_VALUE"""),364.125)</f>
        <v>364.125</v>
      </c>
      <c r="AB34" s="474">
        <f>IFERROR(__xludf.DUMMYFUNCTION("""COMPUTED_VALUE"""),382.25)</f>
        <v>382.25</v>
      </c>
      <c r="AC34" s="475">
        <f>IFERROR(__xludf.DUMMYFUNCTION("""COMPUTED_VALUE"""),400.375)</f>
        <v>400.375</v>
      </c>
      <c r="AD34" s="10"/>
      <c r="AE34" s="390"/>
    </row>
    <row r="35">
      <c r="A35" s="421">
        <f>IFERROR(__xludf.DUMMYFUNCTION("""COMPUTED_VALUE"""),6.0)</f>
        <v>6</v>
      </c>
      <c r="B35" s="422">
        <f>IFERROR(__xludf.DUMMYFUNCTION("""COMPUTED_VALUE"""),24.0)</f>
        <v>24</v>
      </c>
      <c r="C35" s="422">
        <f>IFERROR(__xludf.DUMMYFUNCTION("""COMPUTED_VALUE"""),27.0)</f>
        <v>27</v>
      </c>
      <c r="D35" s="423" t="str">
        <f>IFERROR(__xludf.DUMMYFUNCTION("""COMPUTED_VALUE"""),"Great West Pillar")</f>
        <v>Great West Pillar</v>
      </c>
      <c r="E35" s="424">
        <f>IFERROR(__xludf.DUMMYFUNCTION("""COMPUTED_VALUE"""),30.0)</f>
        <v>30</v>
      </c>
      <c r="F35" s="425">
        <f>IFERROR(__xludf.DUMMYFUNCTION("""COMPUTED_VALUE"""),25.0)</f>
        <v>25</v>
      </c>
      <c r="G35" s="426" t="str">
        <f>IFERROR(__xludf.DUMMYFUNCTION("""COMPUTED_VALUE"""),"Open")</f>
        <v>Open</v>
      </c>
      <c r="H35" s="457">
        <f>IFERROR(__xludf.DUMMYFUNCTION("""COMPUTED_VALUE"""),1.1298245614035087)</f>
        <v>1.129824561</v>
      </c>
      <c r="I35" s="473">
        <f>IFERROR(__xludf.DUMMYFUNCTION("""COMPUTED_VALUE"""),33.89473684210526)</f>
        <v>33.89473684</v>
      </c>
      <c r="J35" s="474">
        <f>IFERROR(__xludf.DUMMYFUNCTION("""COMPUTED_VALUE"""),49.368421052631575)</f>
        <v>49.36842105</v>
      </c>
      <c r="K35" s="474">
        <f>IFERROR(__xludf.DUMMYFUNCTION("""COMPUTED_VALUE"""),64.84210526315789)</f>
        <v>64.84210526</v>
      </c>
      <c r="L35" s="474">
        <f>IFERROR(__xludf.DUMMYFUNCTION("""COMPUTED_VALUE"""),80.31578947368422)</f>
        <v>80.31578947</v>
      </c>
      <c r="M35" s="474">
        <f>IFERROR(__xludf.DUMMYFUNCTION("""COMPUTED_VALUE"""),95.78947368421052)</f>
        <v>95.78947368</v>
      </c>
      <c r="N35" s="474">
        <f>IFERROR(__xludf.DUMMYFUNCTION("""COMPUTED_VALUE"""),111.26315789473685)</f>
        <v>111.2631579</v>
      </c>
      <c r="O35" s="474">
        <f>IFERROR(__xludf.DUMMYFUNCTION("""COMPUTED_VALUE"""),126.73684210526316)</f>
        <v>126.7368421</v>
      </c>
      <c r="P35" s="474">
        <f>IFERROR(__xludf.DUMMYFUNCTION("""COMPUTED_VALUE"""),142.21052631578948)</f>
        <v>142.2105263</v>
      </c>
      <c r="Q35" s="474">
        <f>IFERROR(__xludf.DUMMYFUNCTION("""COMPUTED_VALUE"""),157.68421052631578)</f>
        <v>157.6842105</v>
      </c>
      <c r="R35" s="474">
        <f>IFERROR(__xludf.DUMMYFUNCTION("""COMPUTED_VALUE"""),173.1578947368421)</f>
        <v>173.1578947</v>
      </c>
      <c r="S35" s="474">
        <f>IFERROR(__xludf.DUMMYFUNCTION("""COMPUTED_VALUE"""),188.63157894736844)</f>
        <v>188.6315789</v>
      </c>
      <c r="T35" s="474">
        <f>IFERROR(__xludf.DUMMYFUNCTION("""COMPUTED_VALUE"""),204.10526315789474)</f>
        <v>204.1052632</v>
      </c>
      <c r="U35" s="474">
        <f>IFERROR(__xludf.DUMMYFUNCTION("""COMPUTED_VALUE"""),219.57894736842107)</f>
        <v>219.5789474</v>
      </c>
      <c r="V35" s="474">
        <f>IFERROR(__xludf.DUMMYFUNCTION("""COMPUTED_VALUE"""),235.05263157894737)</f>
        <v>235.0526316</v>
      </c>
      <c r="W35" s="474">
        <f>IFERROR(__xludf.DUMMYFUNCTION("""COMPUTED_VALUE"""),250.5263157894737)</f>
        <v>250.5263158</v>
      </c>
      <c r="X35" s="474">
        <f>IFERROR(__xludf.DUMMYFUNCTION("""COMPUTED_VALUE"""),266.0)</f>
        <v>266</v>
      </c>
      <c r="Y35" s="474">
        <f>IFERROR(__xludf.DUMMYFUNCTION("""COMPUTED_VALUE"""),281.47368421052636)</f>
        <v>281.4736842</v>
      </c>
      <c r="Z35" s="474">
        <f>IFERROR(__xludf.DUMMYFUNCTION("""COMPUTED_VALUE"""),296.94736842105266)</f>
        <v>296.9473684</v>
      </c>
      <c r="AA35" s="474">
        <f>IFERROR(__xludf.DUMMYFUNCTION("""COMPUTED_VALUE"""),312.42105263157896)</f>
        <v>312.4210526</v>
      </c>
      <c r="AB35" s="474">
        <f>IFERROR(__xludf.DUMMYFUNCTION("""COMPUTED_VALUE"""),327.89473684210526)</f>
        <v>327.8947368</v>
      </c>
      <c r="AC35" s="475">
        <f>IFERROR(__xludf.DUMMYFUNCTION("""COMPUTED_VALUE"""),343.3684210526316)</f>
        <v>343.3684211</v>
      </c>
      <c r="AD35" s="10"/>
      <c r="AE35" s="390"/>
    </row>
    <row r="36">
      <c r="A36" s="421">
        <f>IFERROR(__xludf.DUMMYFUNCTION("""COMPUTED_VALUE"""),7.0)</f>
        <v>7</v>
      </c>
      <c r="B36" s="422">
        <f>IFERROR(__xludf.DUMMYFUNCTION("""COMPUTED_VALUE"""),26.0)</f>
        <v>26</v>
      </c>
      <c r="C36" s="422">
        <f>IFERROR(__xludf.DUMMYFUNCTION("""COMPUTED_VALUE"""),29.0)</f>
        <v>29</v>
      </c>
      <c r="D36" s="423" t="str">
        <f>IFERROR(__xludf.DUMMYFUNCTION("""COMPUTED_VALUE"""),"Left Shachi")</f>
        <v>Left Shachi</v>
      </c>
      <c r="E36" s="424">
        <f>IFERROR(__xludf.DUMMYFUNCTION("""COMPUTED_VALUE"""),40.0)</f>
        <v>40</v>
      </c>
      <c r="F36" s="425">
        <f>IFERROR(__xludf.DUMMYFUNCTION("""COMPUTED_VALUE"""),19.0)</f>
        <v>19</v>
      </c>
      <c r="G36" s="426" t="str">
        <f>IFERROR(__xludf.DUMMYFUNCTION("""COMPUTED_VALUE"""),"Open")</f>
        <v>Open</v>
      </c>
      <c r="H36" s="457">
        <f>IFERROR(__xludf.DUMMYFUNCTION("""COMPUTED_VALUE"""),0.7960526315789475)</f>
        <v>0.7960526316</v>
      </c>
      <c r="I36" s="473">
        <f>IFERROR(__xludf.DUMMYFUNCTION("""COMPUTED_VALUE"""),31.842105263157897)</f>
        <v>31.84210526</v>
      </c>
      <c r="J36" s="474">
        <f>IFERROR(__xludf.DUMMYFUNCTION("""COMPUTED_VALUE"""),46.89473684210527)</f>
        <v>46.89473684</v>
      </c>
      <c r="K36" s="474">
        <f>IFERROR(__xludf.DUMMYFUNCTION("""COMPUTED_VALUE"""),61.94736842105263)</f>
        <v>61.94736842</v>
      </c>
      <c r="L36" s="474">
        <f>IFERROR(__xludf.DUMMYFUNCTION("""COMPUTED_VALUE"""),77.0)</f>
        <v>77</v>
      </c>
      <c r="M36" s="474">
        <f>IFERROR(__xludf.DUMMYFUNCTION("""COMPUTED_VALUE"""),92.05263157894737)</f>
        <v>92.05263158</v>
      </c>
      <c r="N36" s="474">
        <f>IFERROR(__xludf.DUMMYFUNCTION("""COMPUTED_VALUE"""),107.10526315789474)</f>
        <v>107.1052632</v>
      </c>
      <c r="O36" s="474">
        <f>IFERROR(__xludf.DUMMYFUNCTION("""COMPUTED_VALUE"""),122.15789473684211)</f>
        <v>122.1578947</v>
      </c>
      <c r="P36" s="474">
        <f>IFERROR(__xludf.DUMMYFUNCTION("""COMPUTED_VALUE"""),137.21052631578948)</f>
        <v>137.2105263</v>
      </c>
      <c r="Q36" s="474">
        <f>IFERROR(__xludf.DUMMYFUNCTION("""COMPUTED_VALUE"""),152.26315789473685)</f>
        <v>152.2631579</v>
      </c>
      <c r="R36" s="474">
        <f>IFERROR(__xludf.DUMMYFUNCTION("""COMPUTED_VALUE"""),167.3157894736842)</f>
        <v>167.3157895</v>
      </c>
      <c r="S36" s="474">
        <f>IFERROR(__xludf.DUMMYFUNCTION("""COMPUTED_VALUE"""),182.36842105263156)</f>
        <v>182.3684211</v>
      </c>
      <c r="T36" s="474">
        <f>IFERROR(__xludf.DUMMYFUNCTION("""COMPUTED_VALUE"""),197.42105263157893)</f>
        <v>197.4210526</v>
      </c>
      <c r="U36" s="474">
        <f>IFERROR(__xludf.DUMMYFUNCTION("""COMPUTED_VALUE"""),212.4736842105263)</f>
        <v>212.4736842</v>
      </c>
      <c r="V36" s="474">
        <f>IFERROR(__xludf.DUMMYFUNCTION("""COMPUTED_VALUE"""),227.52631578947367)</f>
        <v>227.5263158</v>
      </c>
      <c r="W36" s="474">
        <f>IFERROR(__xludf.DUMMYFUNCTION("""COMPUTED_VALUE"""),242.57894736842104)</f>
        <v>242.5789474</v>
      </c>
      <c r="X36" s="474">
        <f>IFERROR(__xludf.DUMMYFUNCTION("""COMPUTED_VALUE"""),257.63157894736844)</f>
        <v>257.6315789</v>
      </c>
      <c r="Y36" s="474">
        <f>IFERROR(__xludf.DUMMYFUNCTION("""COMPUTED_VALUE"""),272.6842105263158)</f>
        <v>272.6842105</v>
      </c>
      <c r="Z36" s="474">
        <f>IFERROR(__xludf.DUMMYFUNCTION("""COMPUTED_VALUE"""),287.7368421052632)</f>
        <v>287.7368421</v>
      </c>
      <c r="AA36" s="474">
        <f>IFERROR(__xludf.DUMMYFUNCTION("""COMPUTED_VALUE"""),302.7894736842105)</f>
        <v>302.7894737</v>
      </c>
      <c r="AB36" s="474">
        <f>IFERROR(__xludf.DUMMYFUNCTION("""COMPUTED_VALUE"""),317.8421052631579)</f>
        <v>317.8421053</v>
      </c>
      <c r="AC36" s="475">
        <f>IFERROR(__xludf.DUMMYFUNCTION("""COMPUTED_VALUE"""),332.89473684210526)</f>
        <v>332.8947368</v>
      </c>
      <c r="AD36" s="10"/>
      <c r="AE36" s="390"/>
    </row>
    <row r="37">
      <c r="A37" s="431">
        <f>IFERROR(__xludf.DUMMYFUNCTION("""COMPUTED_VALUE"""),8.0)</f>
        <v>8</v>
      </c>
      <c r="B37" s="432">
        <f>IFERROR(__xludf.DUMMYFUNCTION("""COMPUTED_VALUE"""),23.0)</f>
        <v>23</v>
      </c>
      <c r="C37" s="432">
        <f>IFERROR(__xludf.DUMMYFUNCTION("""COMPUTED_VALUE"""),26.0)</f>
        <v>26</v>
      </c>
      <c r="D37" s="433" t="str">
        <f>IFERROR(__xludf.DUMMYFUNCTION("""COMPUTED_VALUE"""),"Grand Chidori Gable")</f>
        <v>Grand Chidori Gable</v>
      </c>
      <c r="E37" s="434">
        <f>IFERROR(__xludf.DUMMYFUNCTION("""COMPUTED_VALUE"""),40.0)</f>
        <v>40</v>
      </c>
      <c r="F37" s="435">
        <f>IFERROR(__xludf.DUMMYFUNCTION("""COMPUTED_VALUE"""),14.0)</f>
        <v>14</v>
      </c>
      <c r="G37" s="476" t="str">
        <f>IFERROR(__xludf.DUMMYFUNCTION("""COMPUTED_VALUE"""),"Open")</f>
        <v>Open</v>
      </c>
      <c r="H37" s="461">
        <f>IFERROR(__xludf.DUMMYFUNCTION("""COMPUTED_VALUE"""),0.775)</f>
        <v>0.775</v>
      </c>
      <c r="I37" s="477">
        <f>IFERROR(__xludf.DUMMYFUNCTION("""COMPUTED_VALUE"""),31.0)</f>
        <v>31</v>
      </c>
      <c r="J37" s="478">
        <f>IFERROR(__xludf.DUMMYFUNCTION("""COMPUTED_VALUE"""),45.5)</f>
        <v>45.5</v>
      </c>
      <c r="K37" s="478">
        <f>IFERROR(__xludf.DUMMYFUNCTION("""COMPUTED_VALUE"""),60.0)</f>
        <v>60</v>
      </c>
      <c r="L37" s="478">
        <f>IFERROR(__xludf.DUMMYFUNCTION("""COMPUTED_VALUE"""),74.5)</f>
        <v>74.5</v>
      </c>
      <c r="M37" s="478">
        <f>IFERROR(__xludf.DUMMYFUNCTION("""COMPUTED_VALUE"""),89.0)</f>
        <v>89</v>
      </c>
      <c r="N37" s="478">
        <f>IFERROR(__xludf.DUMMYFUNCTION("""COMPUTED_VALUE"""),103.5)</f>
        <v>103.5</v>
      </c>
      <c r="O37" s="478">
        <f>IFERROR(__xludf.DUMMYFUNCTION("""COMPUTED_VALUE"""),118.0)</f>
        <v>118</v>
      </c>
      <c r="P37" s="478">
        <f>IFERROR(__xludf.DUMMYFUNCTION("""COMPUTED_VALUE"""),132.5)</f>
        <v>132.5</v>
      </c>
      <c r="Q37" s="478">
        <f>IFERROR(__xludf.DUMMYFUNCTION("""COMPUTED_VALUE"""),147.0)</f>
        <v>147</v>
      </c>
      <c r="R37" s="478">
        <f>IFERROR(__xludf.DUMMYFUNCTION("""COMPUTED_VALUE"""),161.5)</f>
        <v>161.5</v>
      </c>
      <c r="S37" s="478">
        <f>IFERROR(__xludf.DUMMYFUNCTION("""COMPUTED_VALUE"""),176.0)</f>
        <v>176</v>
      </c>
      <c r="T37" s="478">
        <f>IFERROR(__xludf.DUMMYFUNCTION("""COMPUTED_VALUE"""),190.5)</f>
        <v>190.5</v>
      </c>
      <c r="U37" s="478">
        <f>IFERROR(__xludf.DUMMYFUNCTION("""COMPUTED_VALUE"""),205.0)</f>
        <v>205</v>
      </c>
      <c r="V37" s="478">
        <f>IFERROR(__xludf.DUMMYFUNCTION("""COMPUTED_VALUE"""),219.5)</f>
        <v>219.5</v>
      </c>
      <c r="W37" s="478">
        <f>IFERROR(__xludf.DUMMYFUNCTION("""COMPUTED_VALUE"""),234.0)</f>
        <v>234</v>
      </c>
      <c r="X37" s="478">
        <f>IFERROR(__xludf.DUMMYFUNCTION("""COMPUTED_VALUE"""),248.5)</f>
        <v>248.5</v>
      </c>
      <c r="Y37" s="478">
        <f>IFERROR(__xludf.DUMMYFUNCTION("""COMPUTED_VALUE"""),263.0)</f>
        <v>263</v>
      </c>
      <c r="Z37" s="478">
        <f>IFERROR(__xludf.DUMMYFUNCTION("""COMPUTED_VALUE"""),277.5)</f>
        <v>277.5</v>
      </c>
      <c r="AA37" s="478">
        <f>IFERROR(__xludf.DUMMYFUNCTION("""COMPUTED_VALUE"""),292.0)</f>
        <v>292</v>
      </c>
      <c r="AB37" s="478">
        <f>IFERROR(__xludf.DUMMYFUNCTION("""COMPUTED_VALUE"""),306.5)</f>
        <v>306.5</v>
      </c>
      <c r="AC37" s="479">
        <f>IFERROR(__xludf.DUMMYFUNCTION("""COMPUTED_VALUE"""),321.0)</f>
        <v>321</v>
      </c>
      <c r="AD37" s="10"/>
      <c r="AE37" s="390"/>
    </row>
    <row r="38">
      <c r="A38" s="381" t="str">
        <f>IFERROR(__xludf.DUMMYFUNCTION("""COMPUTED_VALUE"""),"")</f>
        <v/>
      </c>
      <c r="B38" s="382" t="str">
        <f>IFERROR(__xludf.DUMMYFUNCTION("""COMPUTED_VALUE"""),"")</f>
        <v/>
      </c>
      <c r="C38" s="382" t="str">
        <f>IFERROR(__xludf.DUMMYFUNCTION("""COMPUTED_VALUE"""),"")</f>
        <v/>
      </c>
      <c r="D38" s="382" t="str">
        <f>IFERROR(__xludf.DUMMYFUNCTION("""COMPUTED_VALUE"""),"")</f>
        <v/>
      </c>
      <c r="E38" s="383" t="str">
        <f>IFERROR(__xludf.DUMMYFUNCTION("""COMPUTED_VALUE"""),"")</f>
        <v/>
      </c>
      <c r="F38" s="382" t="str">
        <f>IFERROR(__xludf.DUMMYFUNCTION("""COMPUTED_VALUE"""),"")</f>
        <v/>
      </c>
      <c r="G38" s="382" t="str">
        <f>IFERROR(__xludf.DUMMYFUNCTION("""COMPUTED_VALUE"""),"")</f>
        <v/>
      </c>
      <c r="H38" s="382" t="str">
        <f>IFERROR(__xludf.DUMMYFUNCTION("""COMPUTED_VALUE"""),"")</f>
        <v/>
      </c>
      <c r="I38" s="382" t="str">
        <f>IFERROR(__xludf.DUMMYFUNCTION("""COMPUTED_VALUE"""),"")</f>
        <v/>
      </c>
      <c r="J38" s="382" t="str">
        <f>IFERROR(__xludf.DUMMYFUNCTION("""COMPUTED_VALUE"""),"")</f>
        <v/>
      </c>
      <c r="K38" s="382" t="str">
        <f>IFERROR(__xludf.DUMMYFUNCTION("""COMPUTED_VALUE"""),"")</f>
        <v/>
      </c>
      <c r="L38" s="382" t="str">
        <f>IFERROR(__xludf.DUMMYFUNCTION("""COMPUTED_VALUE"""),"")</f>
        <v/>
      </c>
      <c r="M38" s="382" t="str">
        <f>IFERROR(__xludf.DUMMYFUNCTION("""COMPUTED_VALUE"""),"")</f>
        <v/>
      </c>
      <c r="N38" s="382" t="str">
        <f>IFERROR(__xludf.DUMMYFUNCTION("""COMPUTED_VALUE"""),"")</f>
        <v/>
      </c>
      <c r="O38" s="382" t="str">
        <f>IFERROR(__xludf.DUMMYFUNCTION("""COMPUTED_VALUE"""),"")</f>
        <v/>
      </c>
      <c r="P38" s="382" t="str">
        <f>IFERROR(__xludf.DUMMYFUNCTION("""COMPUTED_VALUE"""),"")</f>
        <v/>
      </c>
      <c r="Q38" s="382" t="str">
        <f>IFERROR(__xludf.DUMMYFUNCTION("""COMPUTED_VALUE"""),"")</f>
        <v/>
      </c>
      <c r="R38" s="382" t="str">
        <f>IFERROR(__xludf.DUMMYFUNCTION("""COMPUTED_VALUE"""),"")</f>
        <v/>
      </c>
      <c r="S38" s="382" t="str">
        <f>IFERROR(__xludf.DUMMYFUNCTION("""COMPUTED_VALUE"""),"")</f>
        <v/>
      </c>
      <c r="T38" s="382" t="str">
        <f>IFERROR(__xludf.DUMMYFUNCTION("""COMPUTED_VALUE"""),"")</f>
        <v/>
      </c>
      <c r="U38" s="382" t="str">
        <f>IFERROR(__xludf.DUMMYFUNCTION("""COMPUTED_VALUE"""),"")</f>
        <v/>
      </c>
      <c r="V38" s="382" t="str">
        <f>IFERROR(__xludf.DUMMYFUNCTION("""COMPUTED_VALUE"""),"")</f>
        <v/>
      </c>
      <c r="W38" s="382" t="str">
        <f>IFERROR(__xludf.DUMMYFUNCTION("""COMPUTED_VALUE"""),"")</f>
        <v/>
      </c>
      <c r="X38" s="382" t="str">
        <f>IFERROR(__xludf.DUMMYFUNCTION("""COMPUTED_VALUE"""),"")</f>
        <v/>
      </c>
      <c r="Y38" s="382" t="str">
        <f>IFERROR(__xludf.DUMMYFUNCTION("""COMPUTED_VALUE"""),"")</f>
        <v/>
      </c>
      <c r="Z38" s="382" t="str">
        <f>IFERROR(__xludf.DUMMYFUNCTION("""COMPUTED_VALUE"""),"")</f>
        <v/>
      </c>
      <c r="AA38" s="382" t="str">
        <f>IFERROR(__xludf.DUMMYFUNCTION("""COMPUTED_VALUE"""),"")</f>
        <v/>
      </c>
      <c r="AB38" s="382" t="str">
        <f>IFERROR(__xludf.DUMMYFUNCTION("""COMPUTED_VALUE"""),"")</f>
        <v/>
      </c>
      <c r="AC38" s="382" t="str">
        <f>IFERROR(__xludf.DUMMYFUNCTION("""COMPUTED_VALUE"""),"")</f>
        <v/>
      </c>
      <c r="AD38" s="389"/>
      <c r="AE38" s="390"/>
    </row>
    <row r="39" ht="41.25" hidden="1" customHeight="1">
      <c r="A39" s="391" t="str">
        <f>IFERROR(__xludf.DUMMYFUNCTION("""COMPUTED_VALUE"""),"")</f>
        <v/>
      </c>
      <c r="B39" s="440" t="str">
        <f>IFERROR(__xludf.DUMMYFUNCTION("""COMPUTED_VALUE"""),"")</f>
        <v/>
      </c>
      <c r="C39" s="392" t="str">
        <f>IFERROR(__xludf.DUMMYFUNCTION("""COMPUTED_VALUE"""),"HIDE")</f>
        <v>HIDE</v>
      </c>
      <c r="D39" s="392" t="str">
        <f>IFERROR(__xludf.DUMMYFUNCTION("""COMPUTED_VALUE"""),"")</f>
        <v/>
      </c>
      <c r="E39" s="393" t="str">
        <f>IFERROR(__xludf.DUMMYFUNCTION("""COMPUTED_VALUE"""),"Cost")</f>
        <v>Cost</v>
      </c>
      <c r="F39" s="394" t="str">
        <f>IFERROR(__xludf.DUMMYFUNCTION("""COMPUTED_VALUE"""),"# Runs")</f>
        <v># Runs</v>
      </c>
      <c r="G39" s="395" t="str">
        <f>IFERROR(__xludf.DUMMYFUNCTION("""COMPUTED_VALUE"""),"Status")</f>
        <v>Status</v>
      </c>
      <c r="H39" s="396" t="str">
        <f>IFERROR(__xludf.DUMMYFUNCTION("""COMPUTED_VALUE"""),"Currency/AP @ +0")</f>
        <v>Currency/AP @ +0</v>
      </c>
      <c r="I39" s="397">
        <f>IFERROR(__xludf.DUMMYFUNCTION("""COMPUTED_VALUE"""),0.0)</f>
        <v>0</v>
      </c>
      <c r="J39" s="398">
        <f>IFERROR(__xludf.DUMMYFUNCTION("""COMPUTED_VALUE"""),1.0)</f>
        <v>1</v>
      </c>
      <c r="K39" s="398">
        <f>IFERROR(__xludf.DUMMYFUNCTION("""COMPUTED_VALUE"""),2.0)</f>
        <v>2</v>
      </c>
      <c r="L39" s="398">
        <f>IFERROR(__xludf.DUMMYFUNCTION("""COMPUTED_VALUE"""),3.0)</f>
        <v>3</v>
      </c>
      <c r="M39" s="398">
        <f>IFERROR(__xludf.DUMMYFUNCTION("""COMPUTED_VALUE"""),4.0)</f>
        <v>4</v>
      </c>
      <c r="N39" s="398">
        <f>IFERROR(__xludf.DUMMYFUNCTION("""COMPUTED_VALUE"""),5.0)</f>
        <v>5</v>
      </c>
      <c r="O39" s="398">
        <f>IFERROR(__xludf.DUMMYFUNCTION("""COMPUTED_VALUE"""),6.0)</f>
        <v>6</v>
      </c>
      <c r="P39" s="398">
        <f>IFERROR(__xludf.DUMMYFUNCTION("""COMPUTED_VALUE"""),7.0)</f>
        <v>7</v>
      </c>
      <c r="Q39" s="398">
        <f>IFERROR(__xludf.DUMMYFUNCTION("""COMPUTED_VALUE"""),8.0)</f>
        <v>8</v>
      </c>
      <c r="R39" s="398">
        <f>IFERROR(__xludf.DUMMYFUNCTION("""COMPUTED_VALUE"""),9.0)</f>
        <v>9</v>
      </c>
      <c r="S39" s="398">
        <f>IFERROR(__xludf.DUMMYFUNCTION("""COMPUTED_VALUE"""),10.0)</f>
        <v>10</v>
      </c>
      <c r="T39" s="398">
        <f>IFERROR(__xludf.DUMMYFUNCTION("""COMPUTED_VALUE"""),11.0)</f>
        <v>11</v>
      </c>
      <c r="U39" s="398">
        <f>IFERROR(__xludf.DUMMYFUNCTION("""COMPUTED_VALUE"""),12.0)</f>
        <v>12</v>
      </c>
      <c r="V39" s="398">
        <f>IFERROR(__xludf.DUMMYFUNCTION("""COMPUTED_VALUE"""),13.0)</f>
        <v>13</v>
      </c>
      <c r="W39" s="398">
        <f>IFERROR(__xludf.DUMMYFUNCTION("""COMPUTED_VALUE"""),14.0)</f>
        <v>14</v>
      </c>
      <c r="X39" s="398">
        <f>IFERROR(__xludf.DUMMYFUNCTION("""COMPUTED_VALUE"""),15.0)</f>
        <v>15</v>
      </c>
      <c r="Y39" s="398">
        <f>IFERROR(__xludf.DUMMYFUNCTION("""COMPUTED_VALUE"""),16.0)</f>
        <v>16</v>
      </c>
      <c r="Z39" s="398">
        <f>IFERROR(__xludf.DUMMYFUNCTION("""COMPUTED_VALUE"""),17.0)</f>
        <v>17</v>
      </c>
      <c r="AA39" s="398">
        <f>IFERROR(__xludf.DUMMYFUNCTION("""COMPUTED_VALUE"""),18.0)</f>
        <v>18</v>
      </c>
      <c r="AB39" s="398">
        <f>IFERROR(__xludf.DUMMYFUNCTION("""COMPUTED_VALUE"""),19.0)</f>
        <v>19</v>
      </c>
      <c r="AC39" s="399">
        <f>IFERROR(__xludf.DUMMYFUNCTION("""COMPUTED_VALUE"""),20.0)</f>
        <v>20</v>
      </c>
      <c r="AD39" s="400"/>
      <c r="AE39" s="401"/>
    </row>
    <row r="40" hidden="1">
      <c r="A40" s="480" t="str">
        <f>IFERROR(__xludf.DUMMYFUNCTION("""COMPUTED_VALUE"""),"HIDE")</f>
        <v>HIDE</v>
      </c>
      <c r="B40" s="481" t="str">
        <f>IFERROR(__xludf.DUMMYFUNCTION("""COMPUTED_VALUE"""),"#N/A")</f>
        <v>#N/A</v>
      </c>
      <c r="C40" s="481" t="str">
        <f>IFERROR(__xludf.DUMMYFUNCTION("""COMPUTED_VALUE"""),"#N/A")</f>
        <v>#N/A</v>
      </c>
      <c r="D40" s="482" t="str">
        <f>IFERROR(__xludf.DUMMYFUNCTION("""COMPUTED_VALUE"""),"")</f>
        <v/>
      </c>
      <c r="E40" s="483" t="str">
        <f>IFERROR(__xludf.DUMMYFUNCTION("""COMPUTED_VALUE"""),"")</f>
        <v/>
      </c>
      <c r="F40" s="484" t="str">
        <f>IFERROR(__xludf.DUMMYFUNCTION("""COMPUTED_VALUE"""),"")</f>
        <v/>
      </c>
      <c r="G40" s="485" t="str">
        <f>IFERROR(__xludf.DUMMYFUNCTION("""COMPUTED_VALUE"""),"")</f>
        <v/>
      </c>
      <c r="H40" s="484" t="str">
        <f>IFERROR(__xludf.DUMMYFUNCTION("""COMPUTED_VALUE"""),"")</f>
        <v/>
      </c>
      <c r="I40" s="486" t="str">
        <f>IFERROR(__xludf.DUMMYFUNCTION("""COMPUTED_VALUE"""),"")</f>
        <v/>
      </c>
      <c r="J40" s="486" t="str">
        <f>IFERROR(__xludf.DUMMYFUNCTION("""COMPUTED_VALUE"""),"")</f>
        <v/>
      </c>
      <c r="K40" s="486" t="str">
        <f>IFERROR(__xludf.DUMMYFUNCTION("""COMPUTED_VALUE"""),"")</f>
        <v/>
      </c>
      <c r="L40" s="486" t="str">
        <f>IFERROR(__xludf.DUMMYFUNCTION("""COMPUTED_VALUE"""),"")</f>
        <v/>
      </c>
      <c r="M40" s="486" t="str">
        <f>IFERROR(__xludf.DUMMYFUNCTION("""COMPUTED_VALUE"""),"")</f>
        <v/>
      </c>
      <c r="N40" s="486" t="str">
        <f>IFERROR(__xludf.DUMMYFUNCTION("""COMPUTED_VALUE"""),"")</f>
        <v/>
      </c>
      <c r="O40" s="486" t="str">
        <f>IFERROR(__xludf.DUMMYFUNCTION("""COMPUTED_VALUE"""),"")</f>
        <v/>
      </c>
      <c r="P40" s="486" t="str">
        <f>IFERROR(__xludf.DUMMYFUNCTION("""COMPUTED_VALUE"""),"")</f>
        <v/>
      </c>
      <c r="Q40" s="486" t="str">
        <f>IFERROR(__xludf.DUMMYFUNCTION("""COMPUTED_VALUE"""),"")</f>
        <v/>
      </c>
      <c r="R40" s="486" t="str">
        <f>IFERROR(__xludf.DUMMYFUNCTION("""COMPUTED_VALUE"""),"")</f>
        <v/>
      </c>
      <c r="S40" s="486" t="str">
        <f>IFERROR(__xludf.DUMMYFUNCTION("""COMPUTED_VALUE"""),"")</f>
        <v/>
      </c>
      <c r="T40" s="486" t="str">
        <f>IFERROR(__xludf.DUMMYFUNCTION("""COMPUTED_VALUE"""),"")</f>
        <v/>
      </c>
      <c r="U40" s="486" t="str">
        <f>IFERROR(__xludf.DUMMYFUNCTION("""COMPUTED_VALUE"""),"")</f>
        <v/>
      </c>
      <c r="V40" s="486" t="str">
        <f>IFERROR(__xludf.DUMMYFUNCTION("""COMPUTED_VALUE"""),"")</f>
        <v/>
      </c>
      <c r="W40" s="486" t="str">
        <f>IFERROR(__xludf.DUMMYFUNCTION("""COMPUTED_VALUE"""),"")</f>
        <v/>
      </c>
      <c r="X40" s="486" t="str">
        <f>IFERROR(__xludf.DUMMYFUNCTION("""COMPUTED_VALUE"""),"")</f>
        <v/>
      </c>
      <c r="Y40" s="486" t="str">
        <f>IFERROR(__xludf.DUMMYFUNCTION("""COMPUTED_VALUE"""),"")</f>
        <v/>
      </c>
      <c r="Z40" s="486" t="str">
        <f>IFERROR(__xludf.DUMMYFUNCTION("""COMPUTED_VALUE"""),"")</f>
        <v/>
      </c>
      <c r="AA40" s="486" t="str">
        <f>IFERROR(__xludf.DUMMYFUNCTION("""COMPUTED_VALUE"""),"")</f>
        <v/>
      </c>
      <c r="AB40" s="486" t="str">
        <f>IFERROR(__xludf.DUMMYFUNCTION("""COMPUTED_VALUE"""),"")</f>
        <v/>
      </c>
      <c r="AC40" s="487" t="str">
        <f>IFERROR(__xludf.DUMMYFUNCTION("""COMPUTED_VALUE"""),"")</f>
        <v/>
      </c>
      <c r="AD40" s="488"/>
      <c r="AE40" s="489"/>
    </row>
    <row r="41" hidden="1">
      <c r="A41" s="463" t="str">
        <f>IFERROR(__xludf.DUMMYFUNCTION("""COMPUTED_VALUE"""),"BEST NOW")</f>
        <v>BEST NOW</v>
      </c>
      <c r="B41" s="464" t="str">
        <f>IFERROR(__xludf.DUMMYFUNCTION("""COMPUTED_VALUE"""),"")</f>
        <v/>
      </c>
      <c r="C41" s="464" t="str">
        <f>IFERROR(__xludf.DUMMYFUNCTION("""COMPUTED_VALUE"""),"")</f>
        <v/>
      </c>
      <c r="D41" s="465" t="str">
        <f>IFERROR(__xludf.DUMMYFUNCTION("""COMPUTED_VALUE"""),"")</f>
        <v/>
      </c>
      <c r="E41" s="466" t="str">
        <f>IFERROR(__xludf.DUMMYFUNCTION("""COMPUTED_VALUE"""),"")</f>
        <v/>
      </c>
      <c r="F41" s="467" t="str">
        <f>IFERROR(__xludf.DUMMYFUNCTION("""COMPUTED_VALUE"""),"")</f>
        <v/>
      </c>
      <c r="G41" s="490" t="str">
        <f>IFERROR(__xludf.DUMMYFUNCTION("""COMPUTED_VALUE"""),"")</f>
        <v/>
      </c>
      <c r="H41" s="469" t="str">
        <f>IFERROR(__xludf.DUMMYFUNCTION("""COMPUTED_VALUE"""),"")</f>
        <v/>
      </c>
      <c r="I41" s="470" t="str">
        <f>IFERROR(__xludf.DUMMYFUNCTION("""COMPUTED_VALUE"""),"")</f>
        <v/>
      </c>
      <c r="J41" s="471" t="str">
        <f>IFERROR(__xludf.DUMMYFUNCTION("""COMPUTED_VALUE"""),"")</f>
        <v/>
      </c>
      <c r="K41" s="471" t="str">
        <f>IFERROR(__xludf.DUMMYFUNCTION("""COMPUTED_VALUE"""),"")</f>
        <v/>
      </c>
      <c r="L41" s="471" t="str">
        <f>IFERROR(__xludf.DUMMYFUNCTION("""COMPUTED_VALUE"""),"")</f>
        <v/>
      </c>
      <c r="M41" s="471" t="str">
        <f>IFERROR(__xludf.DUMMYFUNCTION("""COMPUTED_VALUE"""),"")</f>
        <v/>
      </c>
      <c r="N41" s="471" t="str">
        <f>IFERROR(__xludf.DUMMYFUNCTION("""COMPUTED_VALUE"""),"")</f>
        <v/>
      </c>
      <c r="O41" s="471" t="str">
        <f>IFERROR(__xludf.DUMMYFUNCTION("""COMPUTED_VALUE"""),"")</f>
        <v/>
      </c>
      <c r="P41" s="471" t="str">
        <f>IFERROR(__xludf.DUMMYFUNCTION("""COMPUTED_VALUE"""),"")</f>
        <v/>
      </c>
      <c r="Q41" s="471" t="str">
        <f>IFERROR(__xludf.DUMMYFUNCTION("""COMPUTED_VALUE"""),"")</f>
        <v/>
      </c>
      <c r="R41" s="471" t="str">
        <f>IFERROR(__xludf.DUMMYFUNCTION("""COMPUTED_VALUE"""),"")</f>
        <v/>
      </c>
      <c r="S41" s="471" t="str">
        <f>IFERROR(__xludf.DUMMYFUNCTION("""COMPUTED_VALUE"""),"")</f>
        <v/>
      </c>
      <c r="T41" s="471" t="str">
        <f>IFERROR(__xludf.DUMMYFUNCTION("""COMPUTED_VALUE"""),"")</f>
        <v/>
      </c>
      <c r="U41" s="471" t="str">
        <f>IFERROR(__xludf.DUMMYFUNCTION("""COMPUTED_VALUE"""),"")</f>
        <v/>
      </c>
      <c r="V41" s="471" t="str">
        <f>IFERROR(__xludf.DUMMYFUNCTION("""COMPUTED_VALUE"""),"")</f>
        <v/>
      </c>
      <c r="W41" s="471" t="str">
        <f>IFERROR(__xludf.DUMMYFUNCTION("""COMPUTED_VALUE"""),"")</f>
        <v/>
      </c>
      <c r="X41" s="471" t="str">
        <f>IFERROR(__xludf.DUMMYFUNCTION("""COMPUTED_VALUE"""),"")</f>
        <v/>
      </c>
      <c r="Y41" s="471" t="str">
        <f>IFERROR(__xludf.DUMMYFUNCTION("""COMPUTED_VALUE"""),"")</f>
        <v/>
      </c>
      <c r="Z41" s="471" t="str">
        <f>IFERROR(__xludf.DUMMYFUNCTION("""COMPUTED_VALUE"""),"")</f>
        <v/>
      </c>
      <c r="AA41" s="471" t="str">
        <f>IFERROR(__xludf.DUMMYFUNCTION("""COMPUTED_VALUE"""),"")</f>
        <v/>
      </c>
      <c r="AB41" s="471" t="str">
        <f>IFERROR(__xludf.DUMMYFUNCTION("""COMPUTED_VALUE"""),"")</f>
        <v/>
      </c>
      <c r="AC41" s="472" t="str">
        <f>IFERROR(__xludf.DUMMYFUNCTION("""COMPUTED_VALUE"""),"")</f>
        <v/>
      </c>
      <c r="AD41" s="10"/>
      <c r="AE41" s="6"/>
    </row>
    <row r="42" hidden="1">
      <c r="A42" s="450">
        <f>IFERROR(__xludf.DUMMYFUNCTION("""COMPUTED_VALUE"""),1.0)</f>
        <v>1</v>
      </c>
      <c r="B42" s="451" t="str">
        <f>IFERROR(__xludf.DUMMYFUNCTION("""COMPUTED_VALUE"""),"")</f>
        <v/>
      </c>
      <c r="C42" s="422" t="str">
        <f>IFERROR(__xludf.DUMMYFUNCTION("""COMPUTED_VALUE"""),"")</f>
        <v/>
      </c>
      <c r="D42" s="452" t="str">
        <f>IFERROR(__xludf.DUMMYFUNCTION("""COMPUTED_VALUE"""),"")</f>
        <v/>
      </c>
      <c r="E42" s="453" t="str">
        <f>IFERROR(__xludf.DUMMYFUNCTION("""COMPUTED_VALUE"""),"")</f>
        <v/>
      </c>
      <c r="F42" s="454" t="str">
        <f>IFERROR(__xludf.DUMMYFUNCTION("""COMPUTED_VALUE"""),"")</f>
        <v/>
      </c>
      <c r="G42" s="491" t="str">
        <f>IFERROR(__xludf.DUMMYFUNCTION("""COMPUTED_VALUE"""),"")</f>
        <v/>
      </c>
      <c r="H42" s="455" t="str">
        <f>IFERROR(__xludf.DUMMYFUNCTION("""COMPUTED_VALUE"""),"")</f>
        <v/>
      </c>
      <c r="I42" s="473" t="str">
        <f>IFERROR(__xludf.DUMMYFUNCTION("""COMPUTED_VALUE"""),"")</f>
        <v/>
      </c>
      <c r="J42" s="474" t="str">
        <f>IFERROR(__xludf.DUMMYFUNCTION("""COMPUTED_VALUE"""),"")</f>
        <v/>
      </c>
      <c r="K42" s="474" t="str">
        <f>IFERROR(__xludf.DUMMYFUNCTION("""COMPUTED_VALUE"""),"")</f>
        <v/>
      </c>
      <c r="L42" s="474" t="str">
        <f>IFERROR(__xludf.DUMMYFUNCTION("""COMPUTED_VALUE"""),"")</f>
        <v/>
      </c>
      <c r="M42" s="474" t="str">
        <f>IFERROR(__xludf.DUMMYFUNCTION("""COMPUTED_VALUE"""),"")</f>
        <v/>
      </c>
      <c r="N42" s="474" t="str">
        <f>IFERROR(__xludf.DUMMYFUNCTION("""COMPUTED_VALUE"""),"")</f>
        <v/>
      </c>
      <c r="O42" s="474" t="str">
        <f>IFERROR(__xludf.DUMMYFUNCTION("""COMPUTED_VALUE"""),"")</f>
        <v/>
      </c>
      <c r="P42" s="474" t="str">
        <f>IFERROR(__xludf.DUMMYFUNCTION("""COMPUTED_VALUE"""),"")</f>
        <v/>
      </c>
      <c r="Q42" s="474" t="str">
        <f>IFERROR(__xludf.DUMMYFUNCTION("""COMPUTED_VALUE"""),"")</f>
        <v/>
      </c>
      <c r="R42" s="474" t="str">
        <f>IFERROR(__xludf.DUMMYFUNCTION("""COMPUTED_VALUE"""),"")</f>
        <v/>
      </c>
      <c r="S42" s="474" t="str">
        <f>IFERROR(__xludf.DUMMYFUNCTION("""COMPUTED_VALUE"""),"")</f>
        <v/>
      </c>
      <c r="T42" s="474" t="str">
        <f>IFERROR(__xludf.DUMMYFUNCTION("""COMPUTED_VALUE"""),"")</f>
        <v/>
      </c>
      <c r="U42" s="474" t="str">
        <f>IFERROR(__xludf.DUMMYFUNCTION("""COMPUTED_VALUE"""),"")</f>
        <v/>
      </c>
      <c r="V42" s="474" t="str">
        <f>IFERROR(__xludf.DUMMYFUNCTION("""COMPUTED_VALUE"""),"")</f>
        <v/>
      </c>
      <c r="W42" s="474" t="str">
        <f>IFERROR(__xludf.DUMMYFUNCTION("""COMPUTED_VALUE"""),"")</f>
        <v/>
      </c>
      <c r="X42" s="474" t="str">
        <f>IFERROR(__xludf.DUMMYFUNCTION("""COMPUTED_VALUE"""),"")</f>
        <v/>
      </c>
      <c r="Y42" s="474" t="str">
        <f>IFERROR(__xludf.DUMMYFUNCTION("""COMPUTED_VALUE"""),"")</f>
        <v/>
      </c>
      <c r="Z42" s="474" t="str">
        <f>IFERROR(__xludf.DUMMYFUNCTION("""COMPUTED_VALUE"""),"")</f>
        <v/>
      </c>
      <c r="AA42" s="474" t="str">
        <f>IFERROR(__xludf.DUMMYFUNCTION("""COMPUTED_VALUE"""),"")</f>
        <v/>
      </c>
      <c r="AB42" s="474" t="str">
        <f>IFERROR(__xludf.DUMMYFUNCTION("""COMPUTED_VALUE"""),"")</f>
        <v/>
      </c>
      <c r="AC42" s="475" t="str">
        <f>IFERROR(__xludf.DUMMYFUNCTION("""COMPUTED_VALUE"""),"")</f>
        <v/>
      </c>
      <c r="AD42" s="10"/>
      <c r="AE42" s="390"/>
    </row>
    <row r="43" hidden="1">
      <c r="A43" s="421">
        <f>IFERROR(__xludf.DUMMYFUNCTION("""COMPUTED_VALUE"""),2.0)</f>
        <v>2</v>
      </c>
      <c r="B43" s="422" t="str">
        <f>IFERROR(__xludf.DUMMYFUNCTION("""COMPUTED_VALUE"""),"")</f>
        <v/>
      </c>
      <c r="C43" s="422" t="str">
        <f>IFERROR(__xludf.DUMMYFUNCTION("""COMPUTED_VALUE"""),"")</f>
        <v/>
      </c>
      <c r="D43" s="423" t="str">
        <f>IFERROR(__xludf.DUMMYFUNCTION("""COMPUTED_VALUE"""),"")</f>
        <v/>
      </c>
      <c r="E43" s="424" t="str">
        <f>IFERROR(__xludf.DUMMYFUNCTION("""COMPUTED_VALUE"""),"")</f>
        <v/>
      </c>
      <c r="F43" s="425" t="str">
        <f>IFERROR(__xludf.DUMMYFUNCTION("""COMPUTED_VALUE"""),"")</f>
        <v/>
      </c>
      <c r="G43" s="491" t="str">
        <f>IFERROR(__xludf.DUMMYFUNCTION("""COMPUTED_VALUE"""),"")</f>
        <v/>
      </c>
      <c r="H43" s="457" t="str">
        <f>IFERROR(__xludf.DUMMYFUNCTION("""COMPUTED_VALUE"""),"")</f>
        <v/>
      </c>
      <c r="I43" s="473" t="str">
        <f>IFERROR(__xludf.DUMMYFUNCTION("""COMPUTED_VALUE"""),"")</f>
        <v/>
      </c>
      <c r="J43" s="474" t="str">
        <f>IFERROR(__xludf.DUMMYFUNCTION("""COMPUTED_VALUE"""),"")</f>
        <v/>
      </c>
      <c r="K43" s="474" t="str">
        <f>IFERROR(__xludf.DUMMYFUNCTION("""COMPUTED_VALUE"""),"")</f>
        <v/>
      </c>
      <c r="L43" s="474" t="str">
        <f>IFERROR(__xludf.DUMMYFUNCTION("""COMPUTED_VALUE"""),"")</f>
        <v/>
      </c>
      <c r="M43" s="474" t="str">
        <f>IFERROR(__xludf.DUMMYFUNCTION("""COMPUTED_VALUE"""),"")</f>
        <v/>
      </c>
      <c r="N43" s="474" t="str">
        <f>IFERROR(__xludf.DUMMYFUNCTION("""COMPUTED_VALUE"""),"")</f>
        <v/>
      </c>
      <c r="O43" s="474" t="str">
        <f>IFERROR(__xludf.DUMMYFUNCTION("""COMPUTED_VALUE"""),"")</f>
        <v/>
      </c>
      <c r="P43" s="474" t="str">
        <f>IFERROR(__xludf.DUMMYFUNCTION("""COMPUTED_VALUE"""),"")</f>
        <v/>
      </c>
      <c r="Q43" s="474" t="str">
        <f>IFERROR(__xludf.DUMMYFUNCTION("""COMPUTED_VALUE"""),"")</f>
        <v/>
      </c>
      <c r="R43" s="474" t="str">
        <f>IFERROR(__xludf.DUMMYFUNCTION("""COMPUTED_VALUE"""),"")</f>
        <v/>
      </c>
      <c r="S43" s="474" t="str">
        <f>IFERROR(__xludf.DUMMYFUNCTION("""COMPUTED_VALUE"""),"")</f>
        <v/>
      </c>
      <c r="T43" s="474" t="str">
        <f>IFERROR(__xludf.DUMMYFUNCTION("""COMPUTED_VALUE"""),"")</f>
        <v/>
      </c>
      <c r="U43" s="474" t="str">
        <f>IFERROR(__xludf.DUMMYFUNCTION("""COMPUTED_VALUE"""),"")</f>
        <v/>
      </c>
      <c r="V43" s="474" t="str">
        <f>IFERROR(__xludf.DUMMYFUNCTION("""COMPUTED_VALUE"""),"")</f>
        <v/>
      </c>
      <c r="W43" s="474" t="str">
        <f>IFERROR(__xludf.DUMMYFUNCTION("""COMPUTED_VALUE"""),"")</f>
        <v/>
      </c>
      <c r="X43" s="474" t="str">
        <f>IFERROR(__xludf.DUMMYFUNCTION("""COMPUTED_VALUE"""),"")</f>
        <v/>
      </c>
      <c r="Y43" s="474" t="str">
        <f>IFERROR(__xludf.DUMMYFUNCTION("""COMPUTED_VALUE"""),"")</f>
        <v/>
      </c>
      <c r="Z43" s="474" t="str">
        <f>IFERROR(__xludf.DUMMYFUNCTION("""COMPUTED_VALUE"""),"")</f>
        <v/>
      </c>
      <c r="AA43" s="474" t="str">
        <f>IFERROR(__xludf.DUMMYFUNCTION("""COMPUTED_VALUE"""),"")</f>
        <v/>
      </c>
      <c r="AB43" s="474" t="str">
        <f>IFERROR(__xludf.DUMMYFUNCTION("""COMPUTED_VALUE"""),"")</f>
        <v/>
      </c>
      <c r="AC43" s="475" t="str">
        <f>IFERROR(__xludf.DUMMYFUNCTION("""COMPUTED_VALUE"""),"")</f>
        <v/>
      </c>
      <c r="AD43" s="10"/>
      <c r="AE43" s="390"/>
    </row>
    <row r="44" hidden="1">
      <c r="A44" s="421">
        <f>IFERROR(__xludf.DUMMYFUNCTION("""COMPUTED_VALUE"""),3.0)</f>
        <v>3</v>
      </c>
      <c r="B44" s="422" t="str">
        <f>IFERROR(__xludf.DUMMYFUNCTION("""COMPUTED_VALUE"""),"")</f>
        <v/>
      </c>
      <c r="C44" s="422" t="str">
        <f>IFERROR(__xludf.DUMMYFUNCTION("""COMPUTED_VALUE"""),"")</f>
        <v/>
      </c>
      <c r="D44" s="423" t="str">
        <f>IFERROR(__xludf.DUMMYFUNCTION("""COMPUTED_VALUE"""),"")</f>
        <v/>
      </c>
      <c r="E44" s="424" t="str">
        <f>IFERROR(__xludf.DUMMYFUNCTION("""COMPUTED_VALUE"""),"")</f>
        <v/>
      </c>
      <c r="F44" s="425" t="str">
        <f>IFERROR(__xludf.DUMMYFUNCTION("""COMPUTED_VALUE"""),"")</f>
        <v/>
      </c>
      <c r="G44" s="492" t="str">
        <f>IFERROR(__xludf.DUMMYFUNCTION("""COMPUTED_VALUE"""),"")</f>
        <v/>
      </c>
      <c r="H44" s="457" t="str">
        <f>IFERROR(__xludf.DUMMYFUNCTION("""COMPUTED_VALUE"""),"")</f>
        <v/>
      </c>
      <c r="I44" s="473" t="str">
        <f>IFERROR(__xludf.DUMMYFUNCTION("""COMPUTED_VALUE"""),"")</f>
        <v/>
      </c>
      <c r="J44" s="474" t="str">
        <f>IFERROR(__xludf.DUMMYFUNCTION("""COMPUTED_VALUE"""),"")</f>
        <v/>
      </c>
      <c r="K44" s="474" t="str">
        <f>IFERROR(__xludf.DUMMYFUNCTION("""COMPUTED_VALUE"""),"")</f>
        <v/>
      </c>
      <c r="L44" s="474" t="str">
        <f>IFERROR(__xludf.DUMMYFUNCTION("""COMPUTED_VALUE"""),"")</f>
        <v/>
      </c>
      <c r="M44" s="474" t="str">
        <f>IFERROR(__xludf.DUMMYFUNCTION("""COMPUTED_VALUE"""),"")</f>
        <v/>
      </c>
      <c r="N44" s="474" t="str">
        <f>IFERROR(__xludf.DUMMYFUNCTION("""COMPUTED_VALUE"""),"")</f>
        <v/>
      </c>
      <c r="O44" s="474" t="str">
        <f>IFERROR(__xludf.DUMMYFUNCTION("""COMPUTED_VALUE"""),"")</f>
        <v/>
      </c>
      <c r="P44" s="474" t="str">
        <f>IFERROR(__xludf.DUMMYFUNCTION("""COMPUTED_VALUE"""),"")</f>
        <v/>
      </c>
      <c r="Q44" s="474" t="str">
        <f>IFERROR(__xludf.DUMMYFUNCTION("""COMPUTED_VALUE"""),"")</f>
        <v/>
      </c>
      <c r="R44" s="474" t="str">
        <f>IFERROR(__xludf.DUMMYFUNCTION("""COMPUTED_VALUE"""),"")</f>
        <v/>
      </c>
      <c r="S44" s="474" t="str">
        <f>IFERROR(__xludf.DUMMYFUNCTION("""COMPUTED_VALUE"""),"")</f>
        <v/>
      </c>
      <c r="T44" s="474" t="str">
        <f>IFERROR(__xludf.DUMMYFUNCTION("""COMPUTED_VALUE"""),"")</f>
        <v/>
      </c>
      <c r="U44" s="474" t="str">
        <f>IFERROR(__xludf.DUMMYFUNCTION("""COMPUTED_VALUE"""),"")</f>
        <v/>
      </c>
      <c r="V44" s="474" t="str">
        <f>IFERROR(__xludf.DUMMYFUNCTION("""COMPUTED_VALUE"""),"")</f>
        <v/>
      </c>
      <c r="W44" s="474" t="str">
        <f>IFERROR(__xludf.DUMMYFUNCTION("""COMPUTED_VALUE"""),"")</f>
        <v/>
      </c>
      <c r="X44" s="474" t="str">
        <f>IFERROR(__xludf.DUMMYFUNCTION("""COMPUTED_VALUE"""),"")</f>
        <v/>
      </c>
      <c r="Y44" s="474" t="str">
        <f>IFERROR(__xludf.DUMMYFUNCTION("""COMPUTED_VALUE"""),"")</f>
        <v/>
      </c>
      <c r="Z44" s="474" t="str">
        <f>IFERROR(__xludf.DUMMYFUNCTION("""COMPUTED_VALUE"""),"")</f>
        <v/>
      </c>
      <c r="AA44" s="474" t="str">
        <f>IFERROR(__xludf.DUMMYFUNCTION("""COMPUTED_VALUE"""),"")</f>
        <v/>
      </c>
      <c r="AB44" s="474" t="str">
        <f>IFERROR(__xludf.DUMMYFUNCTION("""COMPUTED_VALUE"""),"")</f>
        <v/>
      </c>
      <c r="AC44" s="475" t="str">
        <f>IFERROR(__xludf.DUMMYFUNCTION("""COMPUTED_VALUE"""),"")</f>
        <v/>
      </c>
      <c r="AD44" s="10"/>
      <c r="AE44" s="390"/>
    </row>
    <row r="45" hidden="1">
      <c r="A45" s="421">
        <f>IFERROR(__xludf.DUMMYFUNCTION("""COMPUTED_VALUE"""),4.0)</f>
        <v>4</v>
      </c>
      <c r="B45" s="422" t="str">
        <f>IFERROR(__xludf.DUMMYFUNCTION("""COMPUTED_VALUE"""),"")</f>
        <v/>
      </c>
      <c r="C45" s="422" t="str">
        <f>IFERROR(__xludf.DUMMYFUNCTION("""COMPUTED_VALUE"""),"")</f>
        <v/>
      </c>
      <c r="D45" s="423" t="str">
        <f>IFERROR(__xludf.DUMMYFUNCTION("""COMPUTED_VALUE"""),"")</f>
        <v/>
      </c>
      <c r="E45" s="424" t="str">
        <f>IFERROR(__xludf.DUMMYFUNCTION("""COMPUTED_VALUE"""),"")</f>
        <v/>
      </c>
      <c r="F45" s="425" t="str">
        <f>IFERROR(__xludf.DUMMYFUNCTION("""COMPUTED_VALUE"""),"")</f>
        <v/>
      </c>
      <c r="G45" s="492" t="str">
        <f>IFERROR(__xludf.DUMMYFUNCTION("""COMPUTED_VALUE"""),"")</f>
        <v/>
      </c>
      <c r="H45" s="457" t="str">
        <f>IFERROR(__xludf.DUMMYFUNCTION("""COMPUTED_VALUE"""),"")</f>
        <v/>
      </c>
      <c r="I45" s="473" t="str">
        <f>IFERROR(__xludf.DUMMYFUNCTION("""COMPUTED_VALUE"""),"")</f>
        <v/>
      </c>
      <c r="J45" s="474" t="str">
        <f>IFERROR(__xludf.DUMMYFUNCTION("""COMPUTED_VALUE"""),"")</f>
        <v/>
      </c>
      <c r="K45" s="474" t="str">
        <f>IFERROR(__xludf.DUMMYFUNCTION("""COMPUTED_VALUE"""),"")</f>
        <v/>
      </c>
      <c r="L45" s="474" t="str">
        <f>IFERROR(__xludf.DUMMYFUNCTION("""COMPUTED_VALUE"""),"")</f>
        <v/>
      </c>
      <c r="M45" s="474" t="str">
        <f>IFERROR(__xludf.DUMMYFUNCTION("""COMPUTED_VALUE"""),"")</f>
        <v/>
      </c>
      <c r="N45" s="474" t="str">
        <f>IFERROR(__xludf.DUMMYFUNCTION("""COMPUTED_VALUE"""),"")</f>
        <v/>
      </c>
      <c r="O45" s="474" t="str">
        <f>IFERROR(__xludf.DUMMYFUNCTION("""COMPUTED_VALUE"""),"")</f>
        <v/>
      </c>
      <c r="P45" s="474" t="str">
        <f>IFERROR(__xludf.DUMMYFUNCTION("""COMPUTED_VALUE"""),"")</f>
        <v/>
      </c>
      <c r="Q45" s="474" t="str">
        <f>IFERROR(__xludf.DUMMYFUNCTION("""COMPUTED_VALUE"""),"")</f>
        <v/>
      </c>
      <c r="R45" s="474" t="str">
        <f>IFERROR(__xludf.DUMMYFUNCTION("""COMPUTED_VALUE"""),"")</f>
        <v/>
      </c>
      <c r="S45" s="474" t="str">
        <f>IFERROR(__xludf.DUMMYFUNCTION("""COMPUTED_VALUE"""),"")</f>
        <v/>
      </c>
      <c r="T45" s="474" t="str">
        <f>IFERROR(__xludf.DUMMYFUNCTION("""COMPUTED_VALUE"""),"")</f>
        <v/>
      </c>
      <c r="U45" s="474" t="str">
        <f>IFERROR(__xludf.DUMMYFUNCTION("""COMPUTED_VALUE"""),"")</f>
        <v/>
      </c>
      <c r="V45" s="474" t="str">
        <f>IFERROR(__xludf.DUMMYFUNCTION("""COMPUTED_VALUE"""),"")</f>
        <v/>
      </c>
      <c r="W45" s="474" t="str">
        <f>IFERROR(__xludf.DUMMYFUNCTION("""COMPUTED_VALUE"""),"")</f>
        <v/>
      </c>
      <c r="X45" s="474" t="str">
        <f>IFERROR(__xludf.DUMMYFUNCTION("""COMPUTED_VALUE"""),"")</f>
        <v/>
      </c>
      <c r="Y45" s="474" t="str">
        <f>IFERROR(__xludf.DUMMYFUNCTION("""COMPUTED_VALUE"""),"")</f>
        <v/>
      </c>
      <c r="Z45" s="474" t="str">
        <f>IFERROR(__xludf.DUMMYFUNCTION("""COMPUTED_VALUE"""),"")</f>
        <v/>
      </c>
      <c r="AA45" s="474" t="str">
        <f>IFERROR(__xludf.DUMMYFUNCTION("""COMPUTED_VALUE"""),"")</f>
        <v/>
      </c>
      <c r="AB45" s="474" t="str">
        <f>IFERROR(__xludf.DUMMYFUNCTION("""COMPUTED_VALUE"""),"")</f>
        <v/>
      </c>
      <c r="AC45" s="475" t="str">
        <f>IFERROR(__xludf.DUMMYFUNCTION("""COMPUTED_VALUE"""),"")</f>
        <v/>
      </c>
      <c r="AD45" s="10"/>
      <c r="AE45" s="390"/>
    </row>
    <row r="46" hidden="1">
      <c r="A46" s="421">
        <f>IFERROR(__xludf.DUMMYFUNCTION("""COMPUTED_VALUE"""),5.0)</f>
        <v>5</v>
      </c>
      <c r="B46" s="422" t="str">
        <f>IFERROR(__xludf.DUMMYFUNCTION("""COMPUTED_VALUE"""),"")</f>
        <v/>
      </c>
      <c r="C46" s="422" t="str">
        <f>IFERROR(__xludf.DUMMYFUNCTION("""COMPUTED_VALUE"""),"")</f>
        <v/>
      </c>
      <c r="D46" s="423" t="str">
        <f>IFERROR(__xludf.DUMMYFUNCTION("""COMPUTED_VALUE"""),"")</f>
        <v/>
      </c>
      <c r="E46" s="424" t="str">
        <f>IFERROR(__xludf.DUMMYFUNCTION("""COMPUTED_VALUE"""),"")</f>
        <v/>
      </c>
      <c r="F46" s="425" t="str">
        <f>IFERROR(__xludf.DUMMYFUNCTION("""COMPUTED_VALUE"""),"")</f>
        <v/>
      </c>
      <c r="G46" s="426" t="str">
        <f>IFERROR(__xludf.DUMMYFUNCTION("""COMPUTED_VALUE"""),"")</f>
        <v/>
      </c>
      <c r="H46" s="457" t="str">
        <f>IFERROR(__xludf.DUMMYFUNCTION("""COMPUTED_VALUE"""),"")</f>
        <v/>
      </c>
      <c r="I46" s="473" t="str">
        <f>IFERROR(__xludf.DUMMYFUNCTION("""COMPUTED_VALUE"""),"")</f>
        <v/>
      </c>
      <c r="J46" s="474" t="str">
        <f>IFERROR(__xludf.DUMMYFUNCTION("""COMPUTED_VALUE"""),"")</f>
        <v/>
      </c>
      <c r="K46" s="474" t="str">
        <f>IFERROR(__xludf.DUMMYFUNCTION("""COMPUTED_VALUE"""),"")</f>
        <v/>
      </c>
      <c r="L46" s="474" t="str">
        <f>IFERROR(__xludf.DUMMYFUNCTION("""COMPUTED_VALUE"""),"")</f>
        <v/>
      </c>
      <c r="M46" s="474" t="str">
        <f>IFERROR(__xludf.DUMMYFUNCTION("""COMPUTED_VALUE"""),"")</f>
        <v/>
      </c>
      <c r="N46" s="474" t="str">
        <f>IFERROR(__xludf.DUMMYFUNCTION("""COMPUTED_VALUE"""),"")</f>
        <v/>
      </c>
      <c r="O46" s="474" t="str">
        <f>IFERROR(__xludf.DUMMYFUNCTION("""COMPUTED_VALUE"""),"")</f>
        <v/>
      </c>
      <c r="P46" s="474" t="str">
        <f>IFERROR(__xludf.DUMMYFUNCTION("""COMPUTED_VALUE"""),"")</f>
        <v/>
      </c>
      <c r="Q46" s="474" t="str">
        <f>IFERROR(__xludf.DUMMYFUNCTION("""COMPUTED_VALUE"""),"")</f>
        <v/>
      </c>
      <c r="R46" s="474" t="str">
        <f>IFERROR(__xludf.DUMMYFUNCTION("""COMPUTED_VALUE"""),"")</f>
        <v/>
      </c>
      <c r="S46" s="474" t="str">
        <f>IFERROR(__xludf.DUMMYFUNCTION("""COMPUTED_VALUE"""),"")</f>
        <v/>
      </c>
      <c r="T46" s="474" t="str">
        <f>IFERROR(__xludf.DUMMYFUNCTION("""COMPUTED_VALUE"""),"")</f>
        <v/>
      </c>
      <c r="U46" s="474" t="str">
        <f>IFERROR(__xludf.DUMMYFUNCTION("""COMPUTED_VALUE"""),"")</f>
        <v/>
      </c>
      <c r="V46" s="474" t="str">
        <f>IFERROR(__xludf.DUMMYFUNCTION("""COMPUTED_VALUE"""),"")</f>
        <v/>
      </c>
      <c r="W46" s="474" t="str">
        <f>IFERROR(__xludf.DUMMYFUNCTION("""COMPUTED_VALUE"""),"")</f>
        <v/>
      </c>
      <c r="X46" s="474" t="str">
        <f>IFERROR(__xludf.DUMMYFUNCTION("""COMPUTED_VALUE"""),"")</f>
        <v/>
      </c>
      <c r="Y46" s="474" t="str">
        <f>IFERROR(__xludf.DUMMYFUNCTION("""COMPUTED_VALUE"""),"")</f>
        <v/>
      </c>
      <c r="Z46" s="474" t="str">
        <f>IFERROR(__xludf.DUMMYFUNCTION("""COMPUTED_VALUE"""),"")</f>
        <v/>
      </c>
      <c r="AA46" s="474" t="str">
        <f>IFERROR(__xludf.DUMMYFUNCTION("""COMPUTED_VALUE"""),"")</f>
        <v/>
      </c>
      <c r="AB46" s="474" t="str">
        <f>IFERROR(__xludf.DUMMYFUNCTION("""COMPUTED_VALUE"""),"")</f>
        <v/>
      </c>
      <c r="AC46" s="475" t="str">
        <f>IFERROR(__xludf.DUMMYFUNCTION("""COMPUTED_VALUE"""),"")</f>
        <v/>
      </c>
      <c r="AD46" s="10"/>
      <c r="AE46" s="390"/>
    </row>
    <row r="47" hidden="1">
      <c r="A47" s="421">
        <f>IFERROR(__xludf.DUMMYFUNCTION("""COMPUTED_VALUE"""),6.0)</f>
        <v>6</v>
      </c>
      <c r="B47" s="422" t="str">
        <f>IFERROR(__xludf.DUMMYFUNCTION("""COMPUTED_VALUE"""),"")</f>
        <v/>
      </c>
      <c r="C47" s="422" t="str">
        <f>IFERROR(__xludf.DUMMYFUNCTION("""COMPUTED_VALUE"""),"")</f>
        <v/>
      </c>
      <c r="D47" s="423" t="str">
        <f>IFERROR(__xludf.DUMMYFUNCTION("""COMPUTED_VALUE"""),"")</f>
        <v/>
      </c>
      <c r="E47" s="424" t="str">
        <f>IFERROR(__xludf.DUMMYFUNCTION("""COMPUTED_VALUE"""),"")</f>
        <v/>
      </c>
      <c r="F47" s="425" t="str">
        <f>IFERROR(__xludf.DUMMYFUNCTION("""COMPUTED_VALUE"""),"")</f>
        <v/>
      </c>
      <c r="G47" s="426" t="str">
        <f>IFERROR(__xludf.DUMMYFUNCTION("""COMPUTED_VALUE"""),"")</f>
        <v/>
      </c>
      <c r="H47" s="457" t="str">
        <f>IFERROR(__xludf.DUMMYFUNCTION("""COMPUTED_VALUE"""),"")</f>
        <v/>
      </c>
      <c r="I47" s="473" t="str">
        <f>IFERROR(__xludf.DUMMYFUNCTION("""COMPUTED_VALUE"""),"")</f>
        <v/>
      </c>
      <c r="J47" s="474" t="str">
        <f>IFERROR(__xludf.DUMMYFUNCTION("""COMPUTED_VALUE"""),"")</f>
        <v/>
      </c>
      <c r="K47" s="474" t="str">
        <f>IFERROR(__xludf.DUMMYFUNCTION("""COMPUTED_VALUE"""),"")</f>
        <v/>
      </c>
      <c r="L47" s="474" t="str">
        <f>IFERROR(__xludf.DUMMYFUNCTION("""COMPUTED_VALUE"""),"")</f>
        <v/>
      </c>
      <c r="M47" s="474" t="str">
        <f>IFERROR(__xludf.DUMMYFUNCTION("""COMPUTED_VALUE"""),"")</f>
        <v/>
      </c>
      <c r="N47" s="474" t="str">
        <f>IFERROR(__xludf.DUMMYFUNCTION("""COMPUTED_VALUE"""),"")</f>
        <v/>
      </c>
      <c r="O47" s="474" t="str">
        <f>IFERROR(__xludf.DUMMYFUNCTION("""COMPUTED_VALUE"""),"")</f>
        <v/>
      </c>
      <c r="P47" s="474" t="str">
        <f>IFERROR(__xludf.DUMMYFUNCTION("""COMPUTED_VALUE"""),"")</f>
        <v/>
      </c>
      <c r="Q47" s="474" t="str">
        <f>IFERROR(__xludf.DUMMYFUNCTION("""COMPUTED_VALUE"""),"")</f>
        <v/>
      </c>
      <c r="R47" s="474" t="str">
        <f>IFERROR(__xludf.DUMMYFUNCTION("""COMPUTED_VALUE"""),"")</f>
        <v/>
      </c>
      <c r="S47" s="474" t="str">
        <f>IFERROR(__xludf.DUMMYFUNCTION("""COMPUTED_VALUE"""),"")</f>
        <v/>
      </c>
      <c r="T47" s="474" t="str">
        <f>IFERROR(__xludf.DUMMYFUNCTION("""COMPUTED_VALUE"""),"")</f>
        <v/>
      </c>
      <c r="U47" s="474" t="str">
        <f>IFERROR(__xludf.DUMMYFUNCTION("""COMPUTED_VALUE"""),"")</f>
        <v/>
      </c>
      <c r="V47" s="474" t="str">
        <f>IFERROR(__xludf.DUMMYFUNCTION("""COMPUTED_VALUE"""),"")</f>
        <v/>
      </c>
      <c r="W47" s="474" t="str">
        <f>IFERROR(__xludf.DUMMYFUNCTION("""COMPUTED_VALUE"""),"")</f>
        <v/>
      </c>
      <c r="X47" s="474" t="str">
        <f>IFERROR(__xludf.DUMMYFUNCTION("""COMPUTED_VALUE"""),"")</f>
        <v/>
      </c>
      <c r="Y47" s="474" t="str">
        <f>IFERROR(__xludf.DUMMYFUNCTION("""COMPUTED_VALUE"""),"")</f>
        <v/>
      </c>
      <c r="Z47" s="474" t="str">
        <f>IFERROR(__xludf.DUMMYFUNCTION("""COMPUTED_VALUE"""),"")</f>
        <v/>
      </c>
      <c r="AA47" s="474" t="str">
        <f>IFERROR(__xludf.DUMMYFUNCTION("""COMPUTED_VALUE"""),"")</f>
        <v/>
      </c>
      <c r="AB47" s="474" t="str">
        <f>IFERROR(__xludf.DUMMYFUNCTION("""COMPUTED_VALUE"""),"")</f>
        <v/>
      </c>
      <c r="AC47" s="475" t="str">
        <f>IFERROR(__xludf.DUMMYFUNCTION("""COMPUTED_VALUE"""),"")</f>
        <v/>
      </c>
      <c r="AD47" s="10"/>
      <c r="AE47" s="390"/>
    </row>
    <row r="48" hidden="1">
      <c r="A48" s="421">
        <f>IFERROR(__xludf.DUMMYFUNCTION("""COMPUTED_VALUE"""),7.0)</f>
        <v>7</v>
      </c>
      <c r="B48" s="422" t="str">
        <f>IFERROR(__xludf.DUMMYFUNCTION("""COMPUTED_VALUE"""),"")</f>
        <v/>
      </c>
      <c r="C48" s="422" t="str">
        <f>IFERROR(__xludf.DUMMYFUNCTION("""COMPUTED_VALUE"""),"")</f>
        <v/>
      </c>
      <c r="D48" s="423" t="str">
        <f>IFERROR(__xludf.DUMMYFUNCTION("""COMPUTED_VALUE"""),"")</f>
        <v/>
      </c>
      <c r="E48" s="424" t="str">
        <f>IFERROR(__xludf.DUMMYFUNCTION("""COMPUTED_VALUE"""),"")</f>
        <v/>
      </c>
      <c r="F48" s="425" t="str">
        <f>IFERROR(__xludf.DUMMYFUNCTION("""COMPUTED_VALUE"""),"")</f>
        <v/>
      </c>
      <c r="G48" s="426" t="str">
        <f>IFERROR(__xludf.DUMMYFUNCTION("""COMPUTED_VALUE"""),"")</f>
        <v/>
      </c>
      <c r="H48" s="457" t="str">
        <f>IFERROR(__xludf.DUMMYFUNCTION("""COMPUTED_VALUE"""),"")</f>
        <v/>
      </c>
      <c r="I48" s="473" t="str">
        <f>IFERROR(__xludf.DUMMYFUNCTION("""COMPUTED_VALUE"""),"")</f>
        <v/>
      </c>
      <c r="J48" s="474" t="str">
        <f>IFERROR(__xludf.DUMMYFUNCTION("""COMPUTED_VALUE"""),"")</f>
        <v/>
      </c>
      <c r="K48" s="474" t="str">
        <f>IFERROR(__xludf.DUMMYFUNCTION("""COMPUTED_VALUE"""),"")</f>
        <v/>
      </c>
      <c r="L48" s="474" t="str">
        <f>IFERROR(__xludf.DUMMYFUNCTION("""COMPUTED_VALUE"""),"")</f>
        <v/>
      </c>
      <c r="M48" s="474" t="str">
        <f>IFERROR(__xludf.DUMMYFUNCTION("""COMPUTED_VALUE"""),"")</f>
        <v/>
      </c>
      <c r="N48" s="474" t="str">
        <f>IFERROR(__xludf.DUMMYFUNCTION("""COMPUTED_VALUE"""),"")</f>
        <v/>
      </c>
      <c r="O48" s="474" t="str">
        <f>IFERROR(__xludf.DUMMYFUNCTION("""COMPUTED_VALUE"""),"")</f>
        <v/>
      </c>
      <c r="P48" s="474" t="str">
        <f>IFERROR(__xludf.DUMMYFUNCTION("""COMPUTED_VALUE"""),"")</f>
        <v/>
      </c>
      <c r="Q48" s="474" t="str">
        <f>IFERROR(__xludf.DUMMYFUNCTION("""COMPUTED_VALUE"""),"")</f>
        <v/>
      </c>
      <c r="R48" s="474" t="str">
        <f>IFERROR(__xludf.DUMMYFUNCTION("""COMPUTED_VALUE"""),"")</f>
        <v/>
      </c>
      <c r="S48" s="474" t="str">
        <f>IFERROR(__xludf.DUMMYFUNCTION("""COMPUTED_VALUE"""),"")</f>
        <v/>
      </c>
      <c r="T48" s="474" t="str">
        <f>IFERROR(__xludf.DUMMYFUNCTION("""COMPUTED_VALUE"""),"")</f>
        <v/>
      </c>
      <c r="U48" s="474" t="str">
        <f>IFERROR(__xludf.DUMMYFUNCTION("""COMPUTED_VALUE"""),"")</f>
        <v/>
      </c>
      <c r="V48" s="474" t="str">
        <f>IFERROR(__xludf.DUMMYFUNCTION("""COMPUTED_VALUE"""),"")</f>
        <v/>
      </c>
      <c r="W48" s="474" t="str">
        <f>IFERROR(__xludf.DUMMYFUNCTION("""COMPUTED_VALUE"""),"")</f>
        <v/>
      </c>
      <c r="X48" s="474" t="str">
        <f>IFERROR(__xludf.DUMMYFUNCTION("""COMPUTED_VALUE"""),"")</f>
        <v/>
      </c>
      <c r="Y48" s="474" t="str">
        <f>IFERROR(__xludf.DUMMYFUNCTION("""COMPUTED_VALUE"""),"")</f>
        <v/>
      </c>
      <c r="Z48" s="474" t="str">
        <f>IFERROR(__xludf.DUMMYFUNCTION("""COMPUTED_VALUE"""),"")</f>
        <v/>
      </c>
      <c r="AA48" s="474" t="str">
        <f>IFERROR(__xludf.DUMMYFUNCTION("""COMPUTED_VALUE"""),"")</f>
        <v/>
      </c>
      <c r="AB48" s="474" t="str">
        <f>IFERROR(__xludf.DUMMYFUNCTION("""COMPUTED_VALUE"""),"")</f>
        <v/>
      </c>
      <c r="AC48" s="475" t="str">
        <f>IFERROR(__xludf.DUMMYFUNCTION("""COMPUTED_VALUE"""),"")</f>
        <v/>
      </c>
      <c r="AD48" s="10"/>
      <c r="AE48" s="390"/>
    </row>
    <row r="49" hidden="1">
      <c r="A49" s="431">
        <f>IFERROR(__xludf.DUMMYFUNCTION("""COMPUTED_VALUE"""),8.0)</f>
        <v>8</v>
      </c>
      <c r="B49" s="432" t="str">
        <f>IFERROR(__xludf.DUMMYFUNCTION("""COMPUTED_VALUE"""),"")</f>
        <v/>
      </c>
      <c r="C49" s="432" t="str">
        <f>IFERROR(__xludf.DUMMYFUNCTION("""COMPUTED_VALUE"""),"")</f>
        <v/>
      </c>
      <c r="D49" s="433" t="str">
        <f>IFERROR(__xludf.DUMMYFUNCTION("""COMPUTED_VALUE"""),"")</f>
        <v/>
      </c>
      <c r="E49" s="434" t="str">
        <f>IFERROR(__xludf.DUMMYFUNCTION("""COMPUTED_VALUE"""),"")</f>
        <v/>
      </c>
      <c r="F49" s="435" t="str">
        <f>IFERROR(__xludf.DUMMYFUNCTION("""COMPUTED_VALUE"""),"")</f>
        <v/>
      </c>
      <c r="G49" s="476" t="str">
        <f>IFERROR(__xludf.DUMMYFUNCTION("""COMPUTED_VALUE"""),"")</f>
        <v/>
      </c>
      <c r="H49" s="461" t="str">
        <f>IFERROR(__xludf.DUMMYFUNCTION("""COMPUTED_VALUE"""),"")</f>
        <v/>
      </c>
      <c r="I49" s="477" t="str">
        <f>IFERROR(__xludf.DUMMYFUNCTION("""COMPUTED_VALUE"""),"")</f>
        <v/>
      </c>
      <c r="J49" s="478" t="str">
        <f>IFERROR(__xludf.DUMMYFUNCTION("""COMPUTED_VALUE"""),"")</f>
        <v/>
      </c>
      <c r="K49" s="478" t="str">
        <f>IFERROR(__xludf.DUMMYFUNCTION("""COMPUTED_VALUE"""),"")</f>
        <v/>
      </c>
      <c r="L49" s="478" t="str">
        <f>IFERROR(__xludf.DUMMYFUNCTION("""COMPUTED_VALUE"""),"")</f>
        <v/>
      </c>
      <c r="M49" s="478" t="str">
        <f>IFERROR(__xludf.DUMMYFUNCTION("""COMPUTED_VALUE"""),"")</f>
        <v/>
      </c>
      <c r="N49" s="478" t="str">
        <f>IFERROR(__xludf.DUMMYFUNCTION("""COMPUTED_VALUE"""),"")</f>
        <v/>
      </c>
      <c r="O49" s="478" t="str">
        <f>IFERROR(__xludf.DUMMYFUNCTION("""COMPUTED_VALUE"""),"")</f>
        <v/>
      </c>
      <c r="P49" s="478" t="str">
        <f>IFERROR(__xludf.DUMMYFUNCTION("""COMPUTED_VALUE"""),"")</f>
        <v/>
      </c>
      <c r="Q49" s="478" t="str">
        <f>IFERROR(__xludf.DUMMYFUNCTION("""COMPUTED_VALUE"""),"")</f>
        <v/>
      </c>
      <c r="R49" s="478" t="str">
        <f>IFERROR(__xludf.DUMMYFUNCTION("""COMPUTED_VALUE"""),"")</f>
        <v/>
      </c>
      <c r="S49" s="478" t="str">
        <f>IFERROR(__xludf.DUMMYFUNCTION("""COMPUTED_VALUE"""),"")</f>
        <v/>
      </c>
      <c r="T49" s="478" t="str">
        <f>IFERROR(__xludf.DUMMYFUNCTION("""COMPUTED_VALUE"""),"")</f>
        <v/>
      </c>
      <c r="U49" s="478" t="str">
        <f>IFERROR(__xludf.DUMMYFUNCTION("""COMPUTED_VALUE"""),"")</f>
        <v/>
      </c>
      <c r="V49" s="478" t="str">
        <f>IFERROR(__xludf.DUMMYFUNCTION("""COMPUTED_VALUE"""),"")</f>
        <v/>
      </c>
      <c r="W49" s="478" t="str">
        <f>IFERROR(__xludf.DUMMYFUNCTION("""COMPUTED_VALUE"""),"")</f>
        <v/>
      </c>
      <c r="X49" s="478" t="str">
        <f>IFERROR(__xludf.DUMMYFUNCTION("""COMPUTED_VALUE"""),"")</f>
        <v/>
      </c>
      <c r="Y49" s="478" t="str">
        <f>IFERROR(__xludf.DUMMYFUNCTION("""COMPUTED_VALUE"""),"")</f>
        <v/>
      </c>
      <c r="Z49" s="478" t="str">
        <f>IFERROR(__xludf.DUMMYFUNCTION("""COMPUTED_VALUE"""),"")</f>
        <v/>
      </c>
      <c r="AA49" s="478" t="str">
        <f>IFERROR(__xludf.DUMMYFUNCTION("""COMPUTED_VALUE"""),"")</f>
        <v/>
      </c>
      <c r="AB49" s="478" t="str">
        <f>IFERROR(__xludf.DUMMYFUNCTION("""COMPUTED_VALUE"""),"")</f>
        <v/>
      </c>
      <c r="AC49" s="479" t="str">
        <f>IFERROR(__xludf.DUMMYFUNCTION("""COMPUTED_VALUE"""),"")</f>
        <v/>
      </c>
      <c r="AD49" s="10"/>
      <c r="AE49" s="390"/>
    </row>
    <row r="50" hidden="1">
      <c r="A50" s="381" t="str">
        <f>IFERROR(__xludf.DUMMYFUNCTION("""COMPUTED_VALUE"""),"")</f>
        <v/>
      </c>
      <c r="B50" s="382" t="str">
        <f>IFERROR(__xludf.DUMMYFUNCTION("""COMPUTED_VALUE"""),"")</f>
        <v/>
      </c>
      <c r="C50" s="382" t="str">
        <f>IFERROR(__xludf.DUMMYFUNCTION("""COMPUTED_VALUE"""),"")</f>
        <v/>
      </c>
      <c r="D50" s="382" t="str">
        <f>IFERROR(__xludf.DUMMYFUNCTION("""COMPUTED_VALUE"""),"")</f>
        <v/>
      </c>
      <c r="E50" s="383" t="str">
        <f>IFERROR(__xludf.DUMMYFUNCTION("""COMPUTED_VALUE"""),"")</f>
        <v/>
      </c>
      <c r="F50" s="382" t="str">
        <f>IFERROR(__xludf.DUMMYFUNCTION("""COMPUTED_VALUE"""),"")</f>
        <v/>
      </c>
      <c r="G50" s="382" t="str">
        <f>IFERROR(__xludf.DUMMYFUNCTION("""COMPUTED_VALUE"""),"")</f>
        <v/>
      </c>
      <c r="H50" s="382" t="str">
        <f>IFERROR(__xludf.DUMMYFUNCTION("""COMPUTED_VALUE"""),"")</f>
        <v/>
      </c>
      <c r="I50" s="382" t="str">
        <f>IFERROR(__xludf.DUMMYFUNCTION("""COMPUTED_VALUE"""),"")</f>
        <v/>
      </c>
      <c r="J50" s="382" t="str">
        <f>IFERROR(__xludf.DUMMYFUNCTION("""COMPUTED_VALUE"""),"")</f>
        <v/>
      </c>
      <c r="K50" s="382" t="str">
        <f>IFERROR(__xludf.DUMMYFUNCTION("""COMPUTED_VALUE"""),"")</f>
        <v/>
      </c>
      <c r="L50" s="382" t="str">
        <f>IFERROR(__xludf.DUMMYFUNCTION("""COMPUTED_VALUE"""),"")</f>
        <v/>
      </c>
      <c r="M50" s="382" t="str">
        <f>IFERROR(__xludf.DUMMYFUNCTION("""COMPUTED_VALUE"""),"")</f>
        <v/>
      </c>
      <c r="N50" s="382" t="str">
        <f>IFERROR(__xludf.DUMMYFUNCTION("""COMPUTED_VALUE"""),"")</f>
        <v/>
      </c>
      <c r="O50" s="382" t="str">
        <f>IFERROR(__xludf.DUMMYFUNCTION("""COMPUTED_VALUE"""),"")</f>
        <v/>
      </c>
      <c r="P50" s="382" t="str">
        <f>IFERROR(__xludf.DUMMYFUNCTION("""COMPUTED_VALUE"""),"")</f>
        <v/>
      </c>
      <c r="Q50" s="382" t="str">
        <f>IFERROR(__xludf.DUMMYFUNCTION("""COMPUTED_VALUE"""),"")</f>
        <v/>
      </c>
      <c r="R50" s="382" t="str">
        <f>IFERROR(__xludf.DUMMYFUNCTION("""COMPUTED_VALUE"""),"")</f>
        <v/>
      </c>
      <c r="S50" s="382" t="str">
        <f>IFERROR(__xludf.DUMMYFUNCTION("""COMPUTED_VALUE"""),"")</f>
        <v/>
      </c>
      <c r="T50" s="382" t="str">
        <f>IFERROR(__xludf.DUMMYFUNCTION("""COMPUTED_VALUE"""),"")</f>
        <v/>
      </c>
      <c r="U50" s="382" t="str">
        <f>IFERROR(__xludf.DUMMYFUNCTION("""COMPUTED_VALUE"""),"")</f>
        <v/>
      </c>
      <c r="V50" s="382" t="str">
        <f>IFERROR(__xludf.DUMMYFUNCTION("""COMPUTED_VALUE"""),"")</f>
        <v/>
      </c>
      <c r="W50" s="382" t="str">
        <f>IFERROR(__xludf.DUMMYFUNCTION("""COMPUTED_VALUE"""),"")</f>
        <v/>
      </c>
      <c r="X50" s="382" t="str">
        <f>IFERROR(__xludf.DUMMYFUNCTION("""COMPUTED_VALUE"""),"")</f>
        <v/>
      </c>
      <c r="Y50" s="382" t="str">
        <f>IFERROR(__xludf.DUMMYFUNCTION("""COMPUTED_VALUE"""),"")</f>
        <v/>
      </c>
      <c r="Z50" s="382" t="str">
        <f>IFERROR(__xludf.DUMMYFUNCTION("""COMPUTED_VALUE"""),"")</f>
        <v/>
      </c>
      <c r="AA50" s="382" t="str">
        <f>IFERROR(__xludf.DUMMYFUNCTION("""COMPUTED_VALUE"""),"")</f>
        <v/>
      </c>
      <c r="AB50" s="382" t="str">
        <f>IFERROR(__xludf.DUMMYFUNCTION("""COMPUTED_VALUE"""),"")</f>
        <v/>
      </c>
      <c r="AC50" s="382" t="str">
        <f>IFERROR(__xludf.DUMMYFUNCTION("""COMPUTED_VALUE"""),"")</f>
        <v/>
      </c>
      <c r="AD50" s="389"/>
      <c r="AE50" s="390"/>
    </row>
    <row r="51" ht="41.25" hidden="1" customHeight="1">
      <c r="A51" s="391" t="str">
        <f>IFERROR(__xludf.DUMMYFUNCTION("""COMPUTED_VALUE"""),"")</f>
        <v/>
      </c>
      <c r="B51" s="440" t="str">
        <f>IFERROR(__xludf.DUMMYFUNCTION("""COMPUTED_VALUE"""),"")</f>
        <v/>
      </c>
      <c r="C51" s="392" t="str">
        <f>IFERROR(__xludf.DUMMYFUNCTION("""COMPUTED_VALUE"""),"HIDE")</f>
        <v>HIDE</v>
      </c>
      <c r="D51" s="392" t="str">
        <f>IFERROR(__xludf.DUMMYFUNCTION("""COMPUTED_VALUE"""),"")</f>
        <v/>
      </c>
      <c r="E51" s="393" t="str">
        <f>IFERROR(__xludf.DUMMYFUNCTION("""COMPUTED_VALUE"""),"Cost")</f>
        <v>Cost</v>
      </c>
      <c r="F51" s="394" t="str">
        <f>IFERROR(__xludf.DUMMYFUNCTION("""COMPUTED_VALUE"""),"# Runs")</f>
        <v># Runs</v>
      </c>
      <c r="G51" s="395" t="str">
        <f>IFERROR(__xludf.DUMMYFUNCTION("""COMPUTED_VALUE"""),"Status")</f>
        <v>Status</v>
      </c>
      <c r="H51" s="396" t="str">
        <f>IFERROR(__xludf.DUMMYFUNCTION("""COMPUTED_VALUE"""),"Currency/AP @ +0")</f>
        <v>Currency/AP @ +0</v>
      </c>
      <c r="I51" s="397">
        <f>IFERROR(__xludf.DUMMYFUNCTION("""COMPUTED_VALUE"""),0.0)</f>
        <v>0</v>
      </c>
      <c r="J51" s="398">
        <f>IFERROR(__xludf.DUMMYFUNCTION("""COMPUTED_VALUE"""),1.0)</f>
        <v>1</v>
      </c>
      <c r="K51" s="398">
        <f>IFERROR(__xludf.DUMMYFUNCTION("""COMPUTED_VALUE"""),2.0)</f>
        <v>2</v>
      </c>
      <c r="L51" s="398">
        <f>IFERROR(__xludf.DUMMYFUNCTION("""COMPUTED_VALUE"""),3.0)</f>
        <v>3</v>
      </c>
      <c r="M51" s="398">
        <f>IFERROR(__xludf.DUMMYFUNCTION("""COMPUTED_VALUE"""),4.0)</f>
        <v>4</v>
      </c>
      <c r="N51" s="398">
        <f>IFERROR(__xludf.DUMMYFUNCTION("""COMPUTED_VALUE"""),5.0)</f>
        <v>5</v>
      </c>
      <c r="O51" s="398">
        <f>IFERROR(__xludf.DUMMYFUNCTION("""COMPUTED_VALUE"""),6.0)</f>
        <v>6</v>
      </c>
      <c r="P51" s="398">
        <f>IFERROR(__xludf.DUMMYFUNCTION("""COMPUTED_VALUE"""),7.0)</f>
        <v>7</v>
      </c>
      <c r="Q51" s="398">
        <f>IFERROR(__xludf.DUMMYFUNCTION("""COMPUTED_VALUE"""),8.0)</f>
        <v>8</v>
      </c>
      <c r="R51" s="398">
        <f>IFERROR(__xludf.DUMMYFUNCTION("""COMPUTED_VALUE"""),9.0)</f>
        <v>9</v>
      </c>
      <c r="S51" s="398">
        <f>IFERROR(__xludf.DUMMYFUNCTION("""COMPUTED_VALUE"""),10.0)</f>
        <v>10</v>
      </c>
      <c r="T51" s="398">
        <f>IFERROR(__xludf.DUMMYFUNCTION("""COMPUTED_VALUE"""),11.0)</f>
        <v>11</v>
      </c>
      <c r="U51" s="398">
        <f>IFERROR(__xludf.DUMMYFUNCTION("""COMPUTED_VALUE"""),12.0)</f>
        <v>12</v>
      </c>
      <c r="V51" s="398">
        <f>IFERROR(__xludf.DUMMYFUNCTION("""COMPUTED_VALUE"""),13.0)</f>
        <v>13</v>
      </c>
      <c r="W51" s="398">
        <f>IFERROR(__xludf.DUMMYFUNCTION("""COMPUTED_VALUE"""),14.0)</f>
        <v>14</v>
      </c>
      <c r="X51" s="398">
        <f>IFERROR(__xludf.DUMMYFUNCTION("""COMPUTED_VALUE"""),15.0)</f>
        <v>15</v>
      </c>
      <c r="Y51" s="398">
        <f>IFERROR(__xludf.DUMMYFUNCTION("""COMPUTED_VALUE"""),16.0)</f>
        <v>16</v>
      </c>
      <c r="Z51" s="398">
        <f>IFERROR(__xludf.DUMMYFUNCTION("""COMPUTED_VALUE"""),17.0)</f>
        <v>17</v>
      </c>
      <c r="AA51" s="398">
        <f>IFERROR(__xludf.DUMMYFUNCTION("""COMPUTED_VALUE"""),18.0)</f>
        <v>18</v>
      </c>
      <c r="AB51" s="398">
        <f>IFERROR(__xludf.DUMMYFUNCTION("""COMPUTED_VALUE"""),19.0)</f>
        <v>19</v>
      </c>
      <c r="AC51" s="399">
        <f>IFERROR(__xludf.DUMMYFUNCTION("""COMPUTED_VALUE"""),20.0)</f>
        <v>20</v>
      </c>
      <c r="AD51" s="400"/>
      <c r="AE51" s="401"/>
    </row>
    <row r="52" hidden="1">
      <c r="A52" s="480" t="str">
        <f>IFERROR(__xludf.DUMMYFUNCTION("""COMPUTED_VALUE"""),"HIDE")</f>
        <v>HIDE</v>
      </c>
      <c r="B52" s="481" t="str">
        <f>IFERROR(__xludf.DUMMYFUNCTION("""COMPUTED_VALUE"""),"#N/A")</f>
        <v>#N/A</v>
      </c>
      <c r="C52" s="481" t="str">
        <f>IFERROR(__xludf.DUMMYFUNCTION("""COMPUTED_VALUE"""),"#N/A")</f>
        <v>#N/A</v>
      </c>
      <c r="D52" s="482" t="str">
        <f>IFERROR(__xludf.DUMMYFUNCTION("""COMPUTED_VALUE"""),"")</f>
        <v/>
      </c>
      <c r="E52" s="483" t="str">
        <f>IFERROR(__xludf.DUMMYFUNCTION("""COMPUTED_VALUE"""),"")</f>
        <v/>
      </c>
      <c r="F52" s="484" t="str">
        <f>IFERROR(__xludf.DUMMYFUNCTION("""COMPUTED_VALUE"""),"")</f>
        <v/>
      </c>
      <c r="G52" s="485" t="str">
        <f>IFERROR(__xludf.DUMMYFUNCTION("""COMPUTED_VALUE"""),"")</f>
        <v/>
      </c>
      <c r="H52" s="484" t="str">
        <f>IFERROR(__xludf.DUMMYFUNCTION("""COMPUTED_VALUE"""),"")</f>
        <v/>
      </c>
      <c r="I52" s="486" t="str">
        <f>IFERROR(__xludf.DUMMYFUNCTION("""COMPUTED_VALUE"""),"")</f>
        <v/>
      </c>
      <c r="J52" s="486" t="str">
        <f>IFERROR(__xludf.DUMMYFUNCTION("""COMPUTED_VALUE"""),"")</f>
        <v/>
      </c>
      <c r="K52" s="486" t="str">
        <f>IFERROR(__xludf.DUMMYFUNCTION("""COMPUTED_VALUE"""),"")</f>
        <v/>
      </c>
      <c r="L52" s="486" t="str">
        <f>IFERROR(__xludf.DUMMYFUNCTION("""COMPUTED_VALUE"""),"")</f>
        <v/>
      </c>
      <c r="M52" s="486" t="str">
        <f>IFERROR(__xludf.DUMMYFUNCTION("""COMPUTED_VALUE"""),"")</f>
        <v/>
      </c>
      <c r="N52" s="486" t="str">
        <f>IFERROR(__xludf.DUMMYFUNCTION("""COMPUTED_VALUE"""),"")</f>
        <v/>
      </c>
      <c r="O52" s="486" t="str">
        <f>IFERROR(__xludf.DUMMYFUNCTION("""COMPUTED_VALUE"""),"")</f>
        <v/>
      </c>
      <c r="P52" s="486" t="str">
        <f>IFERROR(__xludf.DUMMYFUNCTION("""COMPUTED_VALUE"""),"")</f>
        <v/>
      </c>
      <c r="Q52" s="486" t="str">
        <f>IFERROR(__xludf.DUMMYFUNCTION("""COMPUTED_VALUE"""),"")</f>
        <v/>
      </c>
      <c r="R52" s="486" t="str">
        <f>IFERROR(__xludf.DUMMYFUNCTION("""COMPUTED_VALUE"""),"")</f>
        <v/>
      </c>
      <c r="S52" s="486" t="str">
        <f>IFERROR(__xludf.DUMMYFUNCTION("""COMPUTED_VALUE"""),"")</f>
        <v/>
      </c>
      <c r="T52" s="486" t="str">
        <f>IFERROR(__xludf.DUMMYFUNCTION("""COMPUTED_VALUE"""),"")</f>
        <v/>
      </c>
      <c r="U52" s="486" t="str">
        <f>IFERROR(__xludf.DUMMYFUNCTION("""COMPUTED_VALUE"""),"")</f>
        <v/>
      </c>
      <c r="V52" s="486" t="str">
        <f>IFERROR(__xludf.DUMMYFUNCTION("""COMPUTED_VALUE"""),"")</f>
        <v/>
      </c>
      <c r="W52" s="486" t="str">
        <f>IFERROR(__xludf.DUMMYFUNCTION("""COMPUTED_VALUE"""),"")</f>
        <v/>
      </c>
      <c r="X52" s="486" t="str">
        <f>IFERROR(__xludf.DUMMYFUNCTION("""COMPUTED_VALUE"""),"")</f>
        <v/>
      </c>
      <c r="Y52" s="486" t="str">
        <f>IFERROR(__xludf.DUMMYFUNCTION("""COMPUTED_VALUE"""),"")</f>
        <v/>
      </c>
      <c r="Z52" s="486" t="str">
        <f>IFERROR(__xludf.DUMMYFUNCTION("""COMPUTED_VALUE"""),"")</f>
        <v/>
      </c>
      <c r="AA52" s="486" t="str">
        <f>IFERROR(__xludf.DUMMYFUNCTION("""COMPUTED_VALUE"""),"")</f>
        <v/>
      </c>
      <c r="AB52" s="486" t="str">
        <f>IFERROR(__xludf.DUMMYFUNCTION("""COMPUTED_VALUE"""),"")</f>
        <v/>
      </c>
      <c r="AC52" s="487" t="str">
        <f>IFERROR(__xludf.DUMMYFUNCTION("""COMPUTED_VALUE"""),"")</f>
        <v/>
      </c>
      <c r="AD52" s="488"/>
      <c r="AE52" s="489"/>
    </row>
    <row r="53" hidden="1">
      <c r="A53" s="463" t="str">
        <f>IFERROR(__xludf.DUMMYFUNCTION("""COMPUTED_VALUE"""),"BEST NOW")</f>
        <v>BEST NOW</v>
      </c>
      <c r="B53" s="464" t="str">
        <f>IFERROR(__xludf.DUMMYFUNCTION("""COMPUTED_VALUE"""),"")</f>
        <v/>
      </c>
      <c r="C53" s="464" t="str">
        <f>IFERROR(__xludf.DUMMYFUNCTION("""COMPUTED_VALUE"""),"")</f>
        <v/>
      </c>
      <c r="D53" s="465" t="str">
        <f>IFERROR(__xludf.DUMMYFUNCTION("""COMPUTED_VALUE"""),"")</f>
        <v/>
      </c>
      <c r="E53" s="466" t="str">
        <f>IFERROR(__xludf.DUMMYFUNCTION("""COMPUTED_VALUE"""),"")</f>
        <v/>
      </c>
      <c r="F53" s="467" t="str">
        <f>IFERROR(__xludf.DUMMYFUNCTION("""COMPUTED_VALUE"""),"")</f>
        <v/>
      </c>
      <c r="G53" s="490" t="str">
        <f>IFERROR(__xludf.DUMMYFUNCTION("""COMPUTED_VALUE"""),"")</f>
        <v/>
      </c>
      <c r="H53" s="469" t="str">
        <f>IFERROR(__xludf.DUMMYFUNCTION("""COMPUTED_VALUE"""),"")</f>
        <v/>
      </c>
      <c r="I53" s="470" t="str">
        <f>IFERROR(__xludf.DUMMYFUNCTION("""COMPUTED_VALUE"""),"")</f>
        <v/>
      </c>
      <c r="J53" s="471" t="str">
        <f>IFERROR(__xludf.DUMMYFUNCTION("""COMPUTED_VALUE"""),"")</f>
        <v/>
      </c>
      <c r="K53" s="471" t="str">
        <f>IFERROR(__xludf.DUMMYFUNCTION("""COMPUTED_VALUE"""),"")</f>
        <v/>
      </c>
      <c r="L53" s="471" t="str">
        <f>IFERROR(__xludf.DUMMYFUNCTION("""COMPUTED_VALUE"""),"")</f>
        <v/>
      </c>
      <c r="M53" s="471" t="str">
        <f>IFERROR(__xludf.DUMMYFUNCTION("""COMPUTED_VALUE"""),"")</f>
        <v/>
      </c>
      <c r="N53" s="471" t="str">
        <f>IFERROR(__xludf.DUMMYFUNCTION("""COMPUTED_VALUE"""),"")</f>
        <v/>
      </c>
      <c r="O53" s="471" t="str">
        <f>IFERROR(__xludf.DUMMYFUNCTION("""COMPUTED_VALUE"""),"")</f>
        <v/>
      </c>
      <c r="P53" s="471" t="str">
        <f>IFERROR(__xludf.DUMMYFUNCTION("""COMPUTED_VALUE"""),"")</f>
        <v/>
      </c>
      <c r="Q53" s="471" t="str">
        <f>IFERROR(__xludf.DUMMYFUNCTION("""COMPUTED_VALUE"""),"")</f>
        <v/>
      </c>
      <c r="R53" s="471" t="str">
        <f>IFERROR(__xludf.DUMMYFUNCTION("""COMPUTED_VALUE"""),"")</f>
        <v/>
      </c>
      <c r="S53" s="471" t="str">
        <f>IFERROR(__xludf.DUMMYFUNCTION("""COMPUTED_VALUE"""),"")</f>
        <v/>
      </c>
      <c r="T53" s="471" t="str">
        <f>IFERROR(__xludf.DUMMYFUNCTION("""COMPUTED_VALUE"""),"")</f>
        <v/>
      </c>
      <c r="U53" s="471" t="str">
        <f>IFERROR(__xludf.DUMMYFUNCTION("""COMPUTED_VALUE"""),"")</f>
        <v/>
      </c>
      <c r="V53" s="471" t="str">
        <f>IFERROR(__xludf.DUMMYFUNCTION("""COMPUTED_VALUE"""),"")</f>
        <v/>
      </c>
      <c r="W53" s="471" t="str">
        <f>IFERROR(__xludf.DUMMYFUNCTION("""COMPUTED_VALUE"""),"")</f>
        <v/>
      </c>
      <c r="X53" s="471" t="str">
        <f>IFERROR(__xludf.DUMMYFUNCTION("""COMPUTED_VALUE"""),"")</f>
        <v/>
      </c>
      <c r="Y53" s="471" t="str">
        <f>IFERROR(__xludf.DUMMYFUNCTION("""COMPUTED_VALUE"""),"")</f>
        <v/>
      </c>
      <c r="Z53" s="471" t="str">
        <f>IFERROR(__xludf.DUMMYFUNCTION("""COMPUTED_VALUE"""),"")</f>
        <v/>
      </c>
      <c r="AA53" s="471" t="str">
        <f>IFERROR(__xludf.DUMMYFUNCTION("""COMPUTED_VALUE"""),"")</f>
        <v/>
      </c>
      <c r="AB53" s="471" t="str">
        <f>IFERROR(__xludf.DUMMYFUNCTION("""COMPUTED_VALUE"""),"")</f>
        <v/>
      </c>
      <c r="AC53" s="472" t="str">
        <f>IFERROR(__xludf.DUMMYFUNCTION("""COMPUTED_VALUE"""),"")</f>
        <v/>
      </c>
      <c r="AD53" s="10"/>
      <c r="AE53" s="6"/>
    </row>
    <row r="54" hidden="1">
      <c r="A54" s="450">
        <f>IFERROR(__xludf.DUMMYFUNCTION("""COMPUTED_VALUE"""),1.0)</f>
        <v>1</v>
      </c>
      <c r="B54" s="451" t="str">
        <f>IFERROR(__xludf.DUMMYFUNCTION("""COMPUTED_VALUE"""),"")</f>
        <v/>
      </c>
      <c r="C54" s="422" t="str">
        <f>IFERROR(__xludf.DUMMYFUNCTION("""COMPUTED_VALUE"""),"")</f>
        <v/>
      </c>
      <c r="D54" s="452" t="str">
        <f>IFERROR(__xludf.DUMMYFUNCTION("""COMPUTED_VALUE"""),"")</f>
        <v/>
      </c>
      <c r="E54" s="453" t="str">
        <f>IFERROR(__xludf.DUMMYFUNCTION("""COMPUTED_VALUE"""),"")</f>
        <v/>
      </c>
      <c r="F54" s="454" t="str">
        <f>IFERROR(__xludf.DUMMYFUNCTION("""COMPUTED_VALUE"""),"")</f>
        <v/>
      </c>
      <c r="G54" s="491" t="str">
        <f>IFERROR(__xludf.DUMMYFUNCTION("""COMPUTED_VALUE"""),"")</f>
        <v/>
      </c>
      <c r="H54" s="455" t="str">
        <f>IFERROR(__xludf.DUMMYFUNCTION("""COMPUTED_VALUE"""),"")</f>
        <v/>
      </c>
      <c r="I54" s="473" t="str">
        <f>IFERROR(__xludf.DUMMYFUNCTION("""COMPUTED_VALUE"""),"")</f>
        <v/>
      </c>
      <c r="J54" s="474" t="str">
        <f>IFERROR(__xludf.DUMMYFUNCTION("""COMPUTED_VALUE"""),"")</f>
        <v/>
      </c>
      <c r="K54" s="474" t="str">
        <f>IFERROR(__xludf.DUMMYFUNCTION("""COMPUTED_VALUE"""),"")</f>
        <v/>
      </c>
      <c r="L54" s="474" t="str">
        <f>IFERROR(__xludf.DUMMYFUNCTION("""COMPUTED_VALUE"""),"")</f>
        <v/>
      </c>
      <c r="M54" s="474" t="str">
        <f>IFERROR(__xludf.DUMMYFUNCTION("""COMPUTED_VALUE"""),"")</f>
        <v/>
      </c>
      <c r="N54" s="474" t="str">
        <f>IFERROR(__xludf.DUMMYFUNCTION("""COMPUTED_VALUE"""),"")</f>
        <v/>
      </c>
      <c r="O54" s="474" t="str">
        <f>IFERROR(__xludf.DUMMYFUNCTION("""COMPUTED_VALUE"""),"")</f>
        <v/>
      </c>
      <c r="P54" s="474" t="str">
        <f>IFERROR(__xludf.DUMMYFUNCTION("""COMPUTED_VALUE"""),"")</f>
        <v/>
      </c>
      <c r="Q54" s="474" t="str">
        <f>IFERROR(__xludf.DUMMYFUNCTION("""COMPUTED_VALUE"""),"")</f>
        <v/>
      </c>
      <c r="R54" s="474" t="str">
        <f>IFERROR(__xludf.DUMMYFUNCTION("""COMPUTED_VALUE"""),"")</f>
        <v/>
      </c>
      <c r="S54" s="474" t="str">
        <f>IFERROR(__xludf.DUMMYFUNCTION("""COMPUTED_VALUE"""),"")</f>
        <v/>
      </c>
      <c r="T54" s="474" t="str">
        <f>IFERROR(__xludf.DUMMYFUNCTION("""COMPUTED_VALUE"""),"")</f>
        <v/>
      </c>
      <c r="U54" s="474" t="str">
        <f>IFERROR(__xludf.DUMMYFUNCTION("""COMPUTED_VALUE"""),"")</f>
        <v/>
      </c>
      <c r="V54" s="474" t="str">
        <f>IFERROR(__xludf.DUMMYFUNCTION("""COMPUTED_VALUE"""),"")</f>
        <v/>
      </c>
      <c r="W54" s="474" t="str">
        <f>IFERROR(__xludf.DUMMYFUNCTION("""COMPUTED_VALUE"""),"")</f>
        <v/>
      </c>
      <c r="X54" s="474" t="str">
        <f>IFERROR(__xludf.DUMMYFUNCTION("""COMPUTED_VALUE"""),"")</f>
        <v/>
      </c>
      <c r="Y54" s="474" t="str">
        <f>IFERROR(__xludf.DUMMYFUNCTION("""COMPUTED_VALUE"""),"")</f>
        <v/>
      </c>
      <c r="Z54" s="474" t="str">
        <f>IFERROR(__xludf.DUMMYFUNCTION("""COMPUTED_VALUE"""),"")</f>
        <v/>
      </c>
      <c r="AA54" s="474" t="str">
        <f>IFERROR(__xludf.DUMMYFUNCTION("""COMPUTED_VALUE"""),"")</f>
        <v/>
      </c>
      <c r="AB54" s="474" t="str">
        <f>IFERROR(__xludf.DUMMYFUNCTION("""COMPUTED_VALUE"""),"")</f>
        <v/>
      </c>
      <c r="AC54" s="475" t="str">
        <f>IFERROR(__xludf.DUMMYFUNCTION("""COMPUTED_VALUE"""),"")</f>
        <v/>
      </c>
      <c r="AD54" s="10"/>
      <c r="AE54" s="390"/>
    </row>
    <row r="55" hidden="1">
      <c r="A55" s="421">
        <f>IFERROR(__xludf.DUMMYFUNCTION("""COMPUTED_VALUE"""),2.0)</f>
        <v>2</v>
      </c>
      <c r="B55" s="422" t="str">
        <f>IFERROR(__xludf.DUMMYFUNCTION("""COMPUTED_VALUE"""),"")</f>
        <v/>
      </c>
      <c r="C55" s="422" t="str">
        <f>IFERROR(__xludf.DUMMYFUNCTION("""COMPUTED_VALUE"""),"")</f>
        <v/>
      </c>
      <c r="D55" s="423" t="str">
        <f>IFERROR(__xludf.DUMMYFUNCTION("""COMPUTED_VALUE"""),"")</f>
        <v/>
      </c>
      <c r="E55" s="424" t="str">
        <f>IFERROR(__xludf.DUMMYFUNCTION("""COMPUTED_VALUE"""),"")</f>
        <v/>
      </c>
      <c r="F55" s="425" t="str">
        <f>IFERROR(__xludf.DUMMYFUNCTION("""COMPUTED_VALUE"""),"")</f>
        <v/>
      </c>
      <c r="G55" s="491" t="str">
        <f>IFERROR(__xludf.DUMMYFUNCTION("""COMPUTED_VALUE"""),"")</f>
        <v/>
      </c>
      <c r="H55" s="457" t="str">
        <f>IFERROR(__xludf.DUMMYFUNCTION("""COMPUTED_VALUE"""),"")</f>
        <v/>
      </c>
      <c r="I55" s="473" t="str">
        <f>IFERROR(__xludf.DUMMYFUNCTION("""COMPUTED_VALUE"""),"")</f>
        <v/>
      </c>
      <c r="J55" s="474" t="str">
        <f>IFERROR(__xludf.DUMMYFUNCTION("""COMPUTED_VALUE"""),"")</f>
        <v/>
      </c>
      <c r="K55" s="474" t="str">
        <f>IFERROR(__xludf.DUMMYFUNCTION("""COMPUTED_VALUE"""),"")</f>
        <v/>
      </c>
      <c r="L55" s="474" t="str">
        <f>IFERROR(__xludf.DUMMYFUNCTION("""COMPUTED_VALUE"""),"")</f>
        <v/>
      </c>
      <c r="M55" s="474" t="str">
        <f>IFERROR(__xludf.DUMMYFUNCTION("""COMPUTED_VALUE"""),"")</f>
        <v/>
      </c>
      <c r="N55" s="474" t="str">
        <f>IFERROR(__xludf.DUMMYFUNCTION("""COMPUTED_VALUE"""),"")</f>
        <v/>
      </c>
      <c r="O55" s="474" t="str">
        <f>IFERROR(__xludf.DUMMYFUNCTION("""COMPUTED_VALUE"""),"")</f>
        <v/>
      </c>
      <c r="P55" s="474" t="str">
        <f>IFERROR(__xludf.DUMMYFUNCTION("""COMPUTED_VALUE"""),"")</f>
        <v/>
      </c>
      <c r="Q55" s="474" t="str">
        <f>IFERROR(__xludf.DUMMYFUNCTION("""COMPUTED_VALUE"""),"")</f>
        <v/>
      </c>
      <c r="R55" s="474" t="str">
        <f>IFERROR(__xludf.DUMMYFUNCTION("""COMPUTED_VALUE"""),"")</f>
        <v/>
      </c>
      <c r="S55" s="474" t="str">
        <f>IFERROR(__xludf.DUMMYFUNCTION("""COMPUTED_VALUE"""),"")</f>
        <v/>
      </c>
      <c r="T55" s="474" t="str">
        <f>IFERROR(__xludf.DUMMYFUNCTION("""COMPUTED_VALUE"""),"")</f>
        <v/>
      </c>
      <c r="U55" s="474" t="str">
        <f>IFERROR(__xludf.DUMMYFUNCTION("""COMPUTED_VALUE"""),"")</f>
        <v/>
      </c>
      <c r="V55" s="474" t="str">
        <f>IFERROR(__xludf.DUMMYFUNCTION("""COMPUTED_VALUE"""),"")</f>
        <v/>
      </c>
      <c r="W55" s="474" t="str">
        <f>IFERROR(__xludf.DUMMYFUNCTION("""COMPUTED_VALUE"""),"")</f>
        <v/>
      </c>
      <c r="X55" s="474" t="str">
        <f>IFERROR(__xludf.DUMMYFUNCTION("""COMPUTED_VALUE"""),"")</f>
        <v/>
      </c>
      <c r="Y55" s="474" t="str">
        <f>IFERROR(__xludf.DUMMYFUNCTION("""COMPUTED_VALUE"""),"")</f>
        <v/>
      </c>
      <c r="Z55" s="474" t="str">
        <f>IFERROR(__xludf.DUMMYFUNCTION("""COMPUTED_VALUE"""),"")</f>
        <v/>
      </c>
      <c r="AA55" s="474" t="str">
        <f>IFERROR(__xludf.DUMMYFUNCTION("""COMPUTED_VALUE"""),"")</f>
        <v/>
      </c>
      <c r="AB55" s="474" t="str">
        <f>IFERROR(__xludf.DUMMYFUNCTION("""COMPUTED_VALUE"""),"")</f>
        <v/>
      </c>
      <c r="AC55" s="475" t="str">
        <f>IFERROR(__xludf.DUMMYFUNCTION("""COMPUTED_VALUE"""),"")</f>
        <v/>
      </c>
      <c r="AD55" s="10"/>
      <c r="AE55" s="390"/>
    </row>
    <row r="56" hidden="1">
      <c r="A56" s="421">
        <f>IFERROR(__xludf.DUMMYFUNCTION("""COMPUTED_VALUE"""),3.0)</f>
        <v>3</v>
      </c>
      <c r="B56" s="422" t="str">
        <f>IFERROR(__xludf.DUMMYFUNCTION("""COMPUTED_VALUE"""),"")</f>
        <v/>
      </c>
      <c r="C56" s="422" t="str">
        <f>IFERROR(__xludf.DUMMYFUNCTION("""COMPUTED_VALUE"""),"")</f>
        <v/>
      </c>
      <c r="D56" s="423" t="str">
        <f>IFERROR(__xludf.DUMMYFUNCTION("""COMPUTED_VALUE"""),"")</f>
        <v/>
      </c>
      <c r="E56" s="424" t="str">
        <f>IFERROR(__xludf.DUMMYFUNCTION("""COMPUTED_VALUE"""),"")</f>
        <v/>
      </c>
      <c r="F56" s="425" t="str">
        <f>IFERROR(__xludf.DUMMYFUNCTION("""COMPUTED_VALUE"""),"")</f>
        <v/>
      </c>
      <c r="G56" s="492" t="str">
        <f>IFERROR(__xludf.DUMMYFUNCTION("""COMPUTED_VALUE"""),"")</f>
        <v/>
      </c>
      <c r="H56" s="457" t="str">
        <f>IFERROR(__xludf.DUMMYFUNCTION("""COMPUTED_VALUE"""),"")</f>
        <v/>
      </c>
      <c r="I56" s="473" t="str">
        <f>IFERROR(__xludf.DUMMYFUNCTION("""COMPUTED_VALUE"""),"")</f>
        <v/>
      </c>
      <c r="J56" s="474" t="str">
        <f>IFERROR(__xludf.DUMMYFUNCTION("""COMPUTED_VALUE"""),"")</f>
        <v/>
      </c>
      <c r="K56" s="474" t="str">
        <f>IFERROR(__xludf.DUMMYFUNCTION("""COMPUTED_VALUE"""),"")</f>
        <v/>
      </c>
      <c r="L56" s="474" t="str">
        <f>IFERROR(__xludf.DUMMYFUNCTION("""COMPUTED_VALUE"""),"")</f>
        <v/>
      </c>
      <c r="M56" s="474" t="str">
        <f>IFERROR(__xludf.DUMMYFUNCTION("""COMPUTED_VALUE"""),"")</f>
        <v/>
      </c>
      <c r="N56" s="474" t="str">
        <f>IFERROR(__xludf.DUMMYFUNCTION("""COMPUTED_VALUE"""),"")</f>
        <v/>
      </c>
      <c r="O56" s="474" t="str">
        <f>IFERROR(__xludf.DUMMYFUNCTION("""COMPUTED_VALUE"""),"")</f>
        <v/>
      </c>
      <c r="P56" s="474" t="str">
        <f>IFERROR(__xludf.DUMMYFUNCTION("""COMPUTED_VALUE"""),"")</f>
        <v/>
      </c>
      <c r="Q56" s="474" t="str">
        <f>IFERROR(__xludf.DUMMYFUNCTION("""COMPUTED_VALUE"""),"")</f>
        <v/>
      </c>
      <c r="R56" s="474" t="str">
        <f>IFERROR(__xludf.DUMMYFUNCTION("""COMPUTED_VALUE"""),"")</f>
        <v/>
      </c>
      <c r="S56" s="474" t="str">
        <f>IFERROR(__xludf.DUMMYFUNCTION("""COMPUTED_VALUE"""),"")</f>
        <v/>
      </c>
      <c r="T56" s="474" t="str">
        <f>IFERROR(__xludf.DUMMYFUNCTION("""COMPUTED_VALUE"""),"")</f>
        <v/>
      </c>
      <c r="U56" s="474" t="str">
        <f>IFERROR(__xludf.DUMMYFUNCTION("""COMPUTED_VALUE"""),"")</f>
        <v/>
      </c>
      <c r="V56" s="474" t="str">
        <f>IFERROR(__xludf.DUMMYFUNCTION("""COMPUTED_VALUE"""),"")</f>
        <v/>
      </c>
      <c r="W56" s="474" t="str">
        <f>IFERROR(__xludf.DUMMYFUNCTION("""COMPUTED_VALUE"""),"")</f>
        <v/>
      </c>
      <c r="X56" s="474" t="str">
        <f>IFERROR(__xludf.DUMMYFUNCTION("""COMPUTED_VALUE"""),"")</f>
        <v/>
      </c>
      <c r="Y56" s="474" t="str">
        <f>IFERROR(__xludf.DUMMYFUNCTION("""COMPUTED_VALUE"""),"")</f>
        <v/>
      </c>
      <c r="Z56" s="474" t="str">
        <f>IFERROR(__xludf.DUMMYFUNCTION("""COMPUTED_VALUE"""),"")</f>
        <v/>
      </c>
      <c r="AA56" s="474" t="str">
        <f>IFERROR(__xludf.DUMMYFUNCTION("""COMPUTED_VALUE"""),"")</f>
        <v/>
      </c>
      <c r="AB56" s="474" t="str">
        <f>IFERROR(__xludf.DUMMYFUNCTION("""COMPUTED_VALUE"""),"")</f>
        <v/>
      </c>
      <c r="AC56" s="475" t="str">
        <f>IFERROR(__xludf.DUMMYFUNCTION("""COMPUTED_VALUE"""),"")</f>
        <v/>
      </c>
      <c r="AD56" s="10"/>
      <c r="AE56" s="390"/>
    </row>
    <row r="57" hidden="1">
      <c r="A57" s="421">
        <f>IFERROR(__xludf.DUMMYFUNCTION("""COMPUTED_VALUE"""),4.0)</f>
        <v>4</v>
      </c>
      <c r="B57" s="422" t="str">
        <f>IFERROR(__xludf.DUMMYFUNCTION("""COMPUTED_VALUE"""),"")</f>
        <v/>
      </c>
      <c r="C57" s="422" t="str">
        <f>IFERROR(__xludf.DUMMYFUNCTION("""COMPUTED_VALUE"""),"")</f>
        <v/>
      </c>
      <c r="D57" s="423" t="str">
        <f>IFERROR(__xludf.DUMMYFUNCTION("""COMPUTED_VALUE"""),"")</f>
        <v/>
      </c>
      <c r="E57" s="424" t="str">
        <f>IFERROR(__xludf.DUMMYFUNCTION("""COMPUTED_VALUE"""),"")</f>
        <v/>
      </c>
      <c r="F57" s="425" t="str">
        <f>IFERROR(__xludf.DUMMYFUNCTION("""COMPUTED_VALUE"""),"")</f>
        <v/>
      </c>
      <c r="G57" s="492" t="str">
        <f>IFERROR(__xludf.DUMMYFUNCTION("""COMPUTED_VALUE"""),"")</f>
        <v/>
      </c>
      <c r="H57" s="457" t="str">
        <f>IFERROR(__xludf.DUMMYFUNCTION("""COMPUTED_VALUE"""),"")</f>
        <v/>
      </c>
      <c r="I57" s="473" t="str">
        <f>IFERROR(__xludf.DUMMYFUNCTION("""COMPUTED_VALUE"""),"")</f>
        <v/>
      </c>
      <c r="J57" s="474" t="str">
        <f>IFERROR(__xludf.DUMMYFUNCTION("""COMPUTED_VALUE"""),"")</f>
        <v/>
      </c>
      <c r="K57" s="474" t="str">
        <f>IFERROR(__xludf.DUMMYFUNCTION("""COMPUTED_VALUE"""),"")</f>
        <v/>
      </c>
      <c r="L57" s="474" t="str">
        <f>IFERROR(__xludf.DUMMYFUNCTION("""COMPUTED_VALUE"""),"")</f>
        <v/>
      </c>
      <c r="M57" s="474" t="str">
        <f>IFERROR(__xludf.DUMMYFUNCTION("""COMPUTED_VALUE"""),"")</f>
        <v/>
      </c>
      <c r="N57" s="474" t="str">
        <f>IFERROR(__xludf.DUMMYFUNCTION("""COMPUTED_VALUE"""),"")</f>
        <v/>
      </c>
      <c r="O57" s="474" t="str">
        <f>IFERROR(__xludf.DUMMYFUNCTION("""COMPUTED_VALUE"""),"")</f>
        <v/>
      </c>
      <c r="P57" s="474" t="str">
        <f>IFERROR(__xludf.DUMMYFUNCTION("""COMPUTED_VALUE"""),"")</f>
        <v/>
      </c>
      <c r="Q57" s="474" t="str">
        <f>IFERROR(__xludf.DUMMYFUNCTION("""COMPUTED_VALUE"""),"")</f>
        <v/>
      </c>
      <c r="R57" s="474" t="str">
        <f>IFERROR(__xludf.DUMMYFUNCTION("""COMPUTED_VALUE"""),"")</f>
        <v/>
      </c>
      <c r="S57" s="474" t="str">
        <f>IFERROR(__xludf.DUMMYFUNCTION("""COMPUTED_VALUE"""),"")</f>
        <v/>
      </c>
      <c r="T57" s="474" t="str">
        <f>IFERROR(__xludf.DUMMYFUNCTION("""COMPUTED_VALUE"""),"")</f>
        <v/>
      </c>
      <c r="U57" s="474" t="str">
        <f>IFERROR(__xludf.DUMMYFUNCTION("""COMPUTED_VALUE"""),"")</f>
        <v/>
      </c>
      <c r="V57" s="474" t="str">
        <f>IFERROR(__xludf.DUMMYFUNCTION("""COMPUTED_VALUE"""),"")</f>
        <v/>
      </c>
      <c r="W57" s="474" t="str">
        <f>IFERROR(__xludf.DUMMYFUNCTION("""COMPUTED_VALUE"""),"")</f>
        <v/>
      </c>
      <c r="X57" s="474" t="str">
        <f>IFERROR(__xludf.DUMMYFUNCTION("""COMPUTED_VALUE"""),"")</f>
        <v/>
      </c>
      <c r="Y57" s="474" t="str">
        <f>IFERROR(__xludf.DUMMYFUNCTION("""COMPUTED_VALUE"""),"")</f>
        <v/>
      </c>
      <c r="Z57" s="474" t="str">
        <f>IFERROR(__xludf.DUMMYFUNCTION("""COMPUTED_VALUE"""),"")</f>
        <v/>
      </c>
      <c r="AA57" s="474" t="str">
        <f>IFERROR(__xludf.DUMMYFUNCTION("""COMPUTED_VALUE"""),"")</f>
        <v/>
      </c>
      <c r="AB57" s="474" t="str">
        <f>IFERROR(__xludf.DUMMYFUNCTION("""COMPUTED_VALUE"""),"")</f>
        <v/>
      </c>
      <c r="AC57" s="475" t="str">
        <f>IFERROR(__xludf.DUMMYFUNCTION("""COMPUTED_VALUE"""),"")</f>
        <v/>
      </c>
      <c r="AD57" s="10"/>
      <c r="AE57" s="390"/>
    </row>
    <row r="58" hidden="1">
      <c r="A58" s="421">
        <f>IFERROR(__xludf.DUMMYFUNCTION("""COMPUTED_VALUE"""),5.0)</f>
        <v>5</v>
      </c>
      <c r="B58" s="422" t="str">
        <f>IFERROR(__xludf.DUMMYFUNCTION("""COMPUTED_VALUE"""),"")</f>
        <v/>
      </c>
      <c r="C58" s="422" t="str">
        <f>IFERROR(__xludf.DUMMYFUNCTION("""COMPUTED_VALUE"""),"")</f>
        <v/>
      </c>
      <c r="D58" s="423" t="str">
        <f>IFERROR(__xludf.DUMMYFUNCTION("""COMPUTED_VALUE"""),"")</f>
        <v/>
      </c>
      <c r="E58" s="424" t="str">
        <f>IFERROR(__xludf.DUMMYFUNCTION("""COMPUTED_VALUE"""),"")</f>
        <v/>
      </c>
      <c r="F58" s="425" t="str">
        <f>IFERROR(__xludf.DUMMYFUNCTION("""COMPUTED_VALUE"""),"")</f>
        <v/>
      </c>
      <c r="G58" s="426" t="str">
        <f>IFERROR(__xludf.DUMMYFUNCTION("""COMPUTED_VALUE"""),"")</f>
        <v/>
      </c>
      <c r="H58" s="457" t="str">
        <f>IFERROR(__xludf.DUMMYFUNCTION("""COMPUTED_VALUE"""),"")</f>
        <v/>
      </c>
      <c r="I58" s="473" t="str">
        <f>IFERROR(__xludf.DUMMYFUNCTION("""COMPUTED_VALUE"""),"")</f>
        <v/>
      </c>
      <c r="J58" s="474" t="str">
        <f>IFERROR(__xludf.DUMMYFUNCTION("""COMPUTED_VALUE"""),"")</f>
        <v/>
      </c>
      <c r="K58" s="474" t="str">
        <f>IFERROR(__xludf.DUMMYFUNCTION("""COMPUTED_VALUE"""),"")</f>
        <v/>
      </c>
      <c r="L58" s="474" t="str">
        <f>IFERROR(__xludf.DUMMYFUNCTION("""COMPUTED_VALUE"""),"")</f>
        <v/>
      </c>
      <c r="M58" s="474" t="str">
        <f>IFERROR(__xludf.DUMMYFUNCTION("""COMPUTED_VALUE"""),"")</f>
        <v/>
      </c>
      <c r="N58" s="474" t="str">
        <f>IFERROR(__xludf.DUMMYFUNCTION("""COMPUTED_VALUE"""),"")</f>
        <v/>
      </c>
      <c r="O58" s="474" t="str">
        <f>IFERROR(__xludf.DUMMYFUNCTION("""COMPUTED_VALUE"""),"")</f>
        <v/>
      </c>
      <c r="P58" s="474" t="str">
        <f>IFERROR(__xludf.DUMMYFUNCTION("""COMPUTED_VALUE"""),"")</f>
        <v/>
      </c>
      <c r="Q58" s="474" t="str">
        <f>IFERROR(__xludf.DUMMYFUNCTION("""COMPUTED_VALUE"""),"")</f>
        <v/>
      </c>
      <c r="R58" s="474" t="str">
        <f>IFERROR(__xludf.DUMMYFUNCTION("""COMPUTED_VALUE"""),"")</f>
        <v/>
      </c>
      <c r="S58" s="474" t="str">
        <f>IFERROR(__xludf.DUMMYFUNCTION("""COMPUTED_VALUE"""),"")</f>
        <v/>
      </c>
      <c r="T58" s="474" t="str">
        <f>IFERROR(__xludf.DUMMYFUNCTION("""COMPUTED_VALUE"""),"")</f>
        <v/>
      </c>
      <c r="U58" s="474" t="str">
        <f>IFERROR(__xludf.DUMMYFUNCTION("""COMPUTED_VALUE"""),"")</f>
        <v/>
      </c>
      <c r="V58" s="474" t="str">
        <f>IFERROR(__xludf.DUMMYFUNCTION("""COMPUTED_VALUE"""),"")</f>
        <v/>
      </c>
      <c r="W58" s="474" t="str">
        <f>IFERROR(__xludf.DUMMYFUNCTION("""COMPUTED_VALUE"""),"")</f>
        <v/>
      </c>
      <c r="X58" s="474" t="str">
        <f>IFERROR(__xludf.DUMMYFUNCTION("""COMPUTED_VALUE"""),"")</f>
        <v/>
      </c>
      <c r="Y58" s="474" t="str">
        <f>IFERROR(__xludf.DUMMYFUNCTION("""COMPUTED_VALUE"""),"")</f>
        <v/>
      </c>
      <c r="Z58" s="474" t="str">
        <f>IFERROR(__xludf.DUMMYFUNCTION("""COMPUTED_VALUE"""),"")</f>
        <v/>
      </c>
      <c r="AA58" s="474" t="str">
        <f>IFERROR(__xludf.DUMMYFUNCTION("""COMPUTED_VALUE"""),"")</f>
        <v/>
      </c>
      <c r="AB58" s="474" t="str">
        <f>IFERROR(__xludf.DUMMYFUNCTION("""COMPUTED_VALUE"""),"")</f>
        <v/>
      </c>
      <c r="AC58" s="475" t="str">
        <f>IFERROR(__xludf.DUMMYFUNCTION("""COMPUTED_VALUE"""),"")</f>
        <v/>
      </c>
      <c r="AD58" s="10"/>
      <c r="AE58" s="390"/>
    </row>
    <row r="59" hidden="1">
      <c r="A59" s="421">
        <f>IFERROR(__xludf.DUMMYFUNCTION("""COMPUTED_VALUE"""),6.0)</f>
        <v>6</v>
      </c>
      <c r="B59" s="422" t="str">
        <f>IFERROR(__xludf.DUMMYFUNCTION("""COMPUTED_VALUE"""),"")</f>
        <v/>
      </c>
      <c r="C59" s="422" t="str">
        <f>IFERROR(__xludf.DUMMYFUNCTION("""COMPUTED_VALUE"""),"")</f>
        <v/>
      </c>
      <c r="D59" s="423" t="str">
        <f>IFERROR(__xludf.DUMMYFUNCTION("""COMPUTED_VALUE"""),"")</f>
        <v/>
      </c>
      <c r="E59" s="424" t="str">
        <f>IFERROR(__xludf.DUMMYFUNCTION("""COMPUTED_VALUE"""),"")</f>
        <v/>
      </c>
      <c r="F59" s="425" t="str">
        <f>IFERROR(__xludf.DUMMYFUNCTION("""COMPUTED_VALUE"""),"")</f>
        <v/>
      </c>
      <c r="G59" s="426" t="str">
        <f>IFERROR(__xludf.DUMMYFUNCTION("""COMPUTED_VALUE"""),"")</f>
        <v/>
      </c>
      <c r="H59" s="457" t="str">
        <f>IFERROR(__xludf.DUMMYFUNCTION("""COMPUTED_VALUE"""),"")</f>
        <v/>
      </c>
      <c r="I59" s="473" t="str">
        <f>IFERROR(__xludf.DUMMYFUNCTION("""COMPUTED_VALUE"""),"")</f>
        <v/>
      </c>
      <c r="J59" s="474" t="str">
        <f>IFERROR(__xludf.DUMMYFUNCTION("""COMPUTED_VALUE"""),"")</f>
        <v/>
      </c>
      <c r="K59" s="474" t="str">
        <f>IFERROR(__xludf.DUMMYFUNCTION("""COMPUTED_VALUE"""),"")</f>
        <v/>
      </c>
      <c r="L59" s="474" t="str">
        <f>IFERROR(__xludf.DUMMYFUNCTION("""COMPUTED_VALUE"""),"")</f>
        <v/>
      </c>
      <c r="M59" s="474" t="str">
        <f>IFERROR(__xludf.DUMMYFUNCTION("""COMPUTED_VALUE"""),"")</f>
        <v/>
      </c>
      <c r="N59" s="474" t="str">
        <f>IFERROR(__xludf.DUMMYFUNCTION("""COMPUTED_VALUE"""),"")</f>
        <v/>
      </c>
      <c r="O59" s="474" t="str">
        <f>IFERROR(__xludf.DUMMYFUNCTION("""COMPUTED_VALUE"""),"")</f>
        <v/>
      </c>
      <c r="P59" s="474" t="str">
        <f>IFERROR(__xludf.DUMMYFUNCTION("""COMPUTED_VALUE"""),"")</f>
        <v/>
      </c>
      <c r="Q59" s="474" t="str">
        <f>IFERROR(__xludf.DUMMYFUNCTION("""COMPUTED_VALUE"""),"")</f>
        <v/>
      </c>
      <c r="R59" s="474" t="str">
        <f>IFERROR(__xludf.DUMMYFUNCTION("""COMPUTED_VALUE"""),"")</f>
        <v/>
      </c>
      <c r="S59" s="474" t="str">
        <f>IFERROR(__xludf.DUMMYFUNCTION("""COMPUTED_VALUE"""),"")</f>
        <v/>
      </c>
      <c r="T59" s="474" t="str">
        <f>IFERROR(__xludf.DUMMYFUNCTION("""COMPUTED_VALUE"""),"")</f>
        <v/>
      </c>
      <c r="U59" s="474" t="str">
        <f>IFERROR(__xludf.DUMMYFUNCTION("""COMPUTED_VALUE"""),"")</f>
        <v/>
      </c>
      <c r="V59" s="474" t="str">
        <f>IFERROR(__xludf.DUMMYFUNCTION("""COMPUTED_VALUE"""),"")</f>
        <v/>
      </c>
      <c r="W59" s="474" t="str">
        <f>IFERROR(__xludf.DUMMYFUNCTION("""COMPUTED_VALUE"""),"")</f>
        <v/>
      </c>
      <c r="X59" s="474" t="str">
        <f>IFERROR(__xludf.DUMMYFUNCTION("""COMPUTED_VALUE"""),"")</f>
        <v/>
      </c>
      <c r="Y59" s="474" t="str">
        <f>IFERROR(__xludf.DUMMYFUNCTION("""COMPUTED_VALUE"""),"")</f>
        <v/>
      </c>
      <c r="Z59" s="474" t="str">
        <f>IFERROR(__xludf.DUMMYFUNCTION("""COMPUTED_VALUE"""),"")</f>
        <v/>
      </c>
      <c r="AA59" s="474" t="str">
        <f>IFERROR(__xludf.DUMMYFUNCTION("""COMPUTED_VALUE"""),"")</f>
        <v/>
      </c>
      <c r="AB59" s="474" t="str">
        <f>IFERROR(__xludf.DUMMYFUNCTION("""COMPUTED_VALUE"""),"")</f>
        <v/>
      </c>
      <c r="AC59" s="475" t="str">
        <f>IFERROR(__xludf.DUMMYFUNCTION("""COMPUTED_VALUE"""),"")</f>
        <v/>
      </c>
      <c r="AD59" s="10"/>
      <c r="AE59" s="390"/>
    </row>
    <row r="60" hidden="1">
      <c r="A60" s="421">
        <f>IFERROR(__xludf.DUMMYFUNCTION("""COMPUTED_VALUE"""),7.0)</f>
        <v>7</v>
      </c>
      <c r="B60" s="422" t="str">
        <f>IFERROR(__xludf.DUMMYFUNCTION("""COMPUTED_VALUE"""),"")</f>
        <v/>
      </c>
      <c r="C60" s="422" t="str">
        <f>IFERROR(__xludf.DUMMYFUNCTION("""COMPUTED_VALUE"""),"")</f>
        <v/>
      </c>
      <c r="D60" s="423" t="str">
        <f>IFERROR(__xludf.DUMMYFUNCTION("""COMPUTED_VALUE"""),"")</f>
        <v/>
      </c>
      <c r="E60" s="424" t="str">
        <f>IFERROR(__xludf.DUMMYFUNCTION("""COMPUTED_VALUE"""),"")</f>
        <v/>
      </c>
      <c r="F60" s="425" t="str">
        <f>IFERROR(__xludf.DUMMYFUNCTION("""COMPUTED_VALUE"""),"")</f>
        <v/>
      </c>
      <c r="G60" s="426" t="str">
        <f>IFERROR(__xludf.DUMMYFUNCTION("""COMPUTED_VALUE"""),"")</f>
        <v/>
      </c>
      <c r="H60" s="457" t="str">
        <f>IFERROR(__xludf.DUMMYFUNCTION("""COMPUTED_VALUE"""),"")</f>
        <v/>
      </c>
      <c r="I60" s="473" t="str">
        <f>IFERROR(__xludf.DUMMYFUNCTION("""COMPUTED_VALUE"""),"")</f>
        <v/>
      </c>
      <c r="J60" s="474" t="str">
        <f>IFERROR(__xludf.DUMMYFUNCTION("""COMPUTED_VALUE"""),"")</f>
        <v/>
      </c>
      <c r="K60" s="474" t="str">
        <f>IFERROR(__xludf.DUMMYFUNCTION("""COMPUTED_VALUE"""),"")</f>
        <v/>
      </c>
      <c r="L60" s="474" t="str">
        <f>IFERROR(__xludf.DUMMYFUNCTION("""COMPUTED_VALUE"""),"")</f>
        <v/>
      </c>
      <c r="M60" s="474" t="str">
        <f>IFERROR(__xludf.DUMMYFUNCTION("""COMPUTED_VALUE"""),"")</f>
        <v/>
      </c>
      <c r="N60" s="474" t="str">
        <f>IFERROR(__xludf.DUMMYFUNCTION("""COMPUTED_VALUE"""),"")</f>
        <v/>
      </c>
      <c r="O60" s="474" t="str">
        <f>IFERROR(__xludf.DUMMYFUNCTION("""COMPUTED_VALUE"""),"")</f>
        <v/>
      </c>
      <c r="P60" s="474" t="str">
        <f>IFERROR(__xludf.DUMMYFUNCTION("""COMPUTED_VALUE"""),"")</f>
        <v/>
      </c>
      <c r="Q60" s="474" t="str">
        <f>IFERROR(__xludf.DUMMYFUNCTION("""COMPUTED_VALUE"""),"")</f>
        <v/>
      </c>
      <c r="R60" s="474" t="str">
        <f>IFERROR(__xludf.DUMMYFUNCTION("""COMPUTED_VALUE"""),"")</f>
        <v/>
      </c>
      <c r="S60" s="474" t="str">
        <f>IFERROR(__xludf.DUMMYFUNCTION("""COMPUTED_VALUE"""),"")</f>
        <v/>
      </c>
      <c r="T60" s="474" t="str">
        <f>IFERROR(__xludf.DUMMYFUNCTION("""COMPUTED_VALUE"""),"")</f>
        <v/>
      </c>
      <c r="U60" s="474" t="str">
        <f>IFERROR(__xludf.DUMMYFUNCTION("""COMPUTED_VALUE"""),"")</f>
        <v/>
      </c>
      <c r="V60" s="474" t="str">
        <f>IFERROR(__xludf.DUMMYFUNCTION("""COMPUTED_VALUE"""),"")</f>
        <v/>
      </c>
      <c r="W60" s="474" t="str">
        <f>IFERROR(__xludf.DUMMYFUNCTION("""COMPUTED_VALUE"""),"")</f>
        <v/>
      </c>
      <c r="X60" s="474" t="str">
        <f>IFERROR(__xludf.DUMMYFUNCTION("""COMPUTED_VALUE"""),"")</f>
        <v/>
      </c>
      <c r="Y60" s="474" t="str">
        <f>IFERROR(__xludf.DUMMYFUNCTION("""COMPUTED_VALUE"""),"")</f>
        <v/>
      </c>
      <c r="Z60" s="474" t="str">
        <f>IFERROR(__xludf.DUMMYFUNCTION("""COMPUTED_VALUE"""),"")</f>
        <v/>
      </c>
      <c r="AA60" s="474" t="str">
        <f>IFERROR(__xludf.DUMMYFUNCTION("""COMPUTED_VALUE"""),"")</f>
        <v/>
      </c>
      <c r="AB60" s="474" t="str">
        <f>IFERROR(__xludf.DUMMYFUNCTION("""COMPUTED_VALUE"""),"")</f>
        <v/>
      </c>
      <c r="AC60" s="475" t="str">
        <f>IFERROR(__xludf.DUMMYFUNCTION("""COMPUTED_VALUE"""),"")</f>
        <v/>
      </c>
      <c r="AD60" s="10"/>
      <c r="AE60" s="390"/>
    </row>
    <row r="61" hidden="1">
      <c r="A61" s="431">
        <f>IFERROR(__xludf.DUMMYFUNCTION("""COMPUTED_VALUE"""),8.0)</f>
        <v>8</v>
      </c>
      <c r="B61" s="432" t="str">
        <f>IFERROR(__xludf.DUMMYFUNCTION("""COMPUTED_VALUE"""),"")</f>
        <v/>
      </c>
      <c r="C61" s="432" t="str">
        <f>IFERROR(__xludf.DUMMYFUNCTION("""COMPUTED_VALUE"""),"")</f>
        <v/>
      </c>
      <c r="D61" s="433" t="str">
        <f>IFERROR(__xludf.DUMMYFUNCTION("""COMPUTED_VALUE"""),"")</f>
        <v/>
      </c>
      <c r="E61" s="434" t="str">
        <f>IFERROR(__xludf.DUMMYFUNCTION("""COMPUTED_VALUE"""),"")</f>
        <v/>
      </c>
      <c r="F61" s="435" t="str">
        <f>IFERROR(__xludf.DUMMYFUNCTION("""COMPUTED_VALUE"""),"")</f>
        <v/>
      </c>
      <c r="G61" s="476" t="str">
        <f>IFERROR(__xludf.DUMMYFUNCTION("""COMPUTED_VALUE"""),"")</f>
        <v/>
      </c>
      <c r="H61" s="461" t="str">
        <f>IFERROR(__xludf.DUMMYFUNCTION("""COMPUTED_VALUE"""),"")</f>
        <v/>
      </c>
      <c r="I61" s="477" t="str">
        <f>IFERROR(__xludf.DUMMYFUNCTION("""COMPUTED_VALUE"""),"")</f>
        <v/>
      </c>
      <c r="J61" s="478" t="str">
        <f>IFERROR(__xludf.DUMMYFUNCTION("""COMPUTED_VALUE"""),"")</f>
        <v/>
      </c>
      <c r="K61" s="478" t="str">
        <f>IFERROR(__xludf.DUMMYFUNCTION("""COMPUTED_VALUE"""),"")</f>
        <v/>
      </c>
      <c r="L61" s="478" t="str">
        <f>IFERROR(__xludf.DUMMYFUNCTION("""COMPUTED_VALUE"""),"")</f>
        <v/>
      </c>
      <c r="M61" s="478" t="str">
        <f>IFERROR(__xludf.DUMMYFUNCTION("""COMPUTED_VALUE"""),"")</f>
        <v/>
      </c>
      <c r="N61" s="478" t="str">
        <f>IFERROR(__xludf.DUMMYFUNCTION("""COMPUTED_VALUE"""),"")</f>
        <v/>
      </c>
      <c r="O61" s="478" t="str">
        <f>IFERROR(__xludf.DUMMYFUNCTION("""COMPUTED_VALUE"""),"")</f>
        <v/>
      </c>
      <c r="P61" s="478" t="str">
        <f>IFERROR(__xludf.DUMMYFUNCTION("""COMPUTED_VALUE"""),"")</f>
        <v/>
      </c>
      <c r="Q61" s="478" t="str">
        <f>IFERROR(__xludf.DUMMYFUNCTION("""COMPUTED_VALUE"""),"")</f>
        <v/>
      </c>
      <c r="R61" s="478" t="str">
        <f>IFERROR(__xludf.DUMMYFUNCTION("""COMPUTED_VALUE"""),"")</f>
        <v/>
      </c>
      <c r="S61" s="478" t="str">
        <f>IFERROR(__xludf.DUMMYFUNCTION("""COMPUTED_VALUE"""),"")</f>
        <v/>
      </c>
      <c r="T61" s="478" t="str">
        <f>IFERROR(__xludf.DUMMYFUNCTION("""COMPUTED_VALUE"""),"")</f>
        <v/>
      </c>
      <c r="U61" s="478" t="str">
        <f>IFERROR(__xludf.DUMMYFUNCTION("""COMPUTED_VALUE"""),"")</f>
        <v/>
      </c>
      <c r="V61" s="478" t="str">
        <f>IFERROR(__xludf.DUMMYFUNCTION("""COMPUTED_VALUE"""),"")</f>
        <v/>
      </c>
      <c r="W61" s="478" t="str">
        <f>IFERROR(__xludf.DUMMYFUNCTION("""COMPUTED_VALUE"""),"")</f>
        <v/>
      </c>
      <c r="X61" s="478" t="str">
        <f>IFERROR(__xludf.DUMMYFUNCTION("""COMPUTED_VALUE"""),"")</f>
        <v/>
      </c>
      <c r="Y61" s="478" t="str">
        <f>IFERROR(__xludf.DUMMYFUNCTION("""COMPUTED_VALUE"""),"")</f>
        <v/>
      </c>
      <c r="Z61" s="478" t="str">
        <f>IFERROR(__xludf.DUMMYFUNCTION("""COMPUTED_VALUE"""),"")</f>
        <v/>
      </c>
      <c r="AA61" s="478" t="str">
        <f>IFERROR(__xludf.DUMMYFUNCTION("""COMPUTED_VALUE"""),"")</f>
        <v/>
      </c>
      <c r="AB61" s="478" t="str">
        <f>IFERROR(__xludf.DUMMYFUNCTION("""COMPUTED_VALUE"""),"")</f>
        <v/>
      </c>
      <c r="AC61" s="479" t="str">
        <f>IFERROR(__xludf.DUMMYFUNCTION("""COMPUTED_VALUE"""),"")</f>
        <v/>
      </c>
      <c r="AD61" s="10"/>
      <c r="AE61" s="390"/>
    </row>
    <row r="62" hidden="1">
      <c r="A62" s="493" t="str">
        <f>IFERROR(__xludf.DUMMYFUNCTION("""COMPUTED_VALUE"""),"")</f>
        <v/>
      </c>
      <c r="B62" s="493" t="str">
        <f>IFERROR(__xludf.DUMMYFUNCTION("""COMPUTED_VALUE"""),"")</f>
        <v/>
      </c>
      <c r="C62" s="493" t="str">
        <f>IFERROR(__xludf.DUMMYFUNCTION("""COMPUTED_VALUE"""),"")</f>
        <v/>
      </c>
      <c r="D62" s="493" t="str">
        <f>IFERROR(__xludf.DUMMYFUNCTION("""COMPUTED_VALUE"""),"")</f>
        <v/>
      </c>
      <c r="E62" s="495" t="str">
        <f>IFERROR(__xludf.DUMMYFUNCTION("""COMPUTED_VALUE"""),"")</f>
        <v/>
      </c>
      <c r="F62" s="493" t="str">
        <f>IFERROR(__xludf.DUMMYFUNCTION("""COMPUTED_VALUE"""),"")</f>
        <v/>
      </c>
      <c r="G62" s="493" t="str">
        <f>IFERROR(__xludf.DUMMYFUNCTION("""COMPUTED_VALUE"""),"")</f>
        <v/>
      </c>
      <c r="H62" s="493" t="str">
        <f>IFERROR(__xludf.DUMMYFUNCTION("""COMPUTED_VALUE"""),"")</f>
        <v/>
      </c>
      <c r="I62" s="493" t="str">
        <f>IFERROR(__xludf.DUMMYFUNCTION("""COMPUTED_VALUE"""),"")</f>
        <v/>
      </c>
      <c r="J62" s="493" t="str">
        <f>IFERROR(__xludf.DUMMYFUNCTION("""COMPUTED_VALUE"""),"")</f>
        <v/>
      </c>
      <c r="K62" s="493" t="str">
        <f>IFERROR(__xludf.DUMMYFUNCTION("""COMPUTED_VALUE"""),"")</f>
        <v/>
      </c>
      <c r="L62" s="493" t="str">
        <f>IFERROR(__xludf.DUMMYFUNCTION("""COMPUTED_VALUE"""),"")</f>
        <v/>
      </c>
      <c r="M62" s="493" t="str">
        <f>IFERROR(__xludf.DUMMYFUNCTION("""COMPUTED_VALUE"""),"")</f>
        <v/>
      </c>
      <c r="N62" s="493" t="str">
        <f>IFERROR(__xludf.DUMMYFUNCTION("""COMPUTED_VALUE"""),"")</f>
        <v/>
      </c>
      <c r="O62" s="493" t="str">
        <f>IFERROR(__xludf.DUMMYFUNCTION("""COMPUTED_VALUE"""),"")</f>
        <v/>
      </c>
      <c r="P62" s="493" t="str">
        <f>IFERROR(__xludf.DUMMYFUNCTION("""COMPUTED_VALUE"""),"")</f>
        <v/>
      </c>
      <c r="Q62" s="493" t="str">
        <f>IFERROR(__xludf.DUMMYFUNCTION("""COMPUTED_VALUE"""),"")</f>
        <v/>
      </c>
      <c r="R62" s="493" t="str">
        <f>IFERROR(__xludf.DUMMYFUNCTION("""COMPUTED_VALUE"""),"")</f>
        <v/>
      </c>
      <c r="S62" s="493" t="str">
        <f>IFERROR(__xludf.DUMMYFUNCTION("""COMPUTED_VALUE"""),"")</f>
        <v/>
      </c>
      <c r="T62" s="493" t="str">
        <f>IFERROR(__xludf.DUMMYFUNCTION("""COMPUTED_VALUE"""),"")</f>
        <v/>
      </c>
      <c r="U62" s="493" t="str">
        <f>IFERROR(__xludf.DUMMYFUNCTION("""COMPUTED_VALUE"""),"")</f>
        <v/>
      </c>
      <c r="V62" s="493" t="str">
        <f>IFERROR(__xludf.DUMMYFUNCTION("""COMPUTED_VALUE"""),"")</f>
        <v/>
      </c>
      <c r="W62" s="493" t="str">
        <f>IFERROR(__xludf.DUMMYFUNCTION("""COMPUTED_VALUE"""),"")</f>
        <v/>
      </c>
      <c r="X62" s="493" t="str">
        <f>IFERROR(__xludf.DUMMYFUNCTION("""COMPUTED_VALUE"""),"")</f>
        <v/>
      </c>
      <c r="Y62" s="493" t="str">
        <f>IFERROR(__xludf.DUMMYFUNCTION("""COMPUTED_VALUE"""),"")</f>
        <v/>
      </c>
      <c r="Z62" s="493" t="str">
        <f>IFERROR(__xludf.DUMMYFUNCTION("""COMPUTED_VALUE"""),"")</f>
        <v/>
      </c>
      <c r="AA62" s="493" t="str">
        <f>IFERROR(__xludf.DUMMYFUNCTION("""COMPUTED_VALUE"""),"")</f>
        <v/>
      </c>
      <c r="AB62" s="493" t="str">
        <f>IFERROR(__xludf.DUMMYFUNCTION("""COMPUTED_VALUE"""),"")</f>
        <v/>
      </c>
      <c r="AC62" s="493" t="str">
        <f>IFERROR(__xludf.DUMMYFUNCTION("""COMPUTED_VALUE"""),"")</f>
        <v/>
      </c>
      <c r="AD62" s="496"/>
      <c r="AE62" s="497"/>
    </row>
    <row r="63" ht="41.25" hidden="1" customHeight="1">
      <c r="A63" s="391" t="str">
        <f>IFERROR(__xludf.DUMMYFUNCTION("""COMPUTED_VALUE"""),"")</f>
        <v/>
      </c>
      <c r="B63" s="440" t="str">
        <f>IFERROR(__xludf.DUMMYFUNCTION("""COMPUTED_VALUE"""),"")</f>
        <v/>
      </c>
      <c r="C63" s="392" t="str">
        <f>IFERROR(__xludf.DUMMYFUNCTION("""COMPUTED_VALUE"""),"HIDE")</f>
        <v>HIDE</v>
      </c>
      <c r="D63" s="392" t="str">
        <f>IFERROR(__xludf.DUMMYFUNCTION("""COMPUTED_VALUE"""),"")</f>
        <v/>
      </c>
      <c r="E63" s="393" t="str">
        <f>IFERROR(__xludf.DUMMYFUNCTION("""COMPUTED_VALUE"""),"Cost")</f>
        <v>Cost</v>
      </c>
      <c r="F63" s="394" t="str">
        <f>IFERROR(__xludf.DUMMYFUNCTION("""COMPUTED_VALUE"""),"# Runs")</f>
        <v># Runs</v>
      </c>
      <c r="G63" s="395" t="str">
        <f>IFERROR(__xludf.DUMMYFUNCTION("""COMPUTED_VALUE"""),"Status")</f>
        <v>Status</v>
      </c>
      <c r="H63" s="396" t="str">
        <f>IFERROR(__xludf.DUMMYFUNCTION("""COMPUTED_VALUE"""),"Currency/AP @ +0")</f>
        <v>Currency/AP @ +0</v>
      </c>
      <c r="I63" s="397">
        <f>IFERROR(__xludf.DUMMYFUNCTION("""COMPUTED_VALUE"""),0.0)</f>
        <v>0</v>
      </c>
      <c r="J63" s="398">
        <f>IFERROR(__xludf.DUMMYFUNCTION("""COMPUTED_VALUE"""),1.0)</f>
        <v>1</v>
      </c>
      <c r="K63" s="398">
        <f>IFERROR(__xludf.DUMMYFUNCTION("""COMPUTED_VALUE"""),2.0)</f>
        <v>2</v>
      </c>
      <c r="L63" s="398">
        <f>IFERROR(__xludf.DUMMYFUNCTION("""COMPUTED_VALUE"""),3.0)</f>
        <v>3</v>
      </c>
      <c r="M63" s="398">
        <f>IFERROR(__xludf.DUMMYFUNCTION("""COMPUTED_VALUE"""),4.0)</f>
        <v>4</v>
      </c>
      <c r="N63" s="398">
        <f>IFERROR(__xludf.DUMMYFUNCTION("""COMPUTED_VALUE"""),5.0)</f>
        <v>5</v>
      </c>
      <c r="O63" s="398">
        <f>IFERROR(__xludf.DUMMYFUNCTION("""COMPUTED_VALUE"""),6.0)</f>
        <v>6</v>
      </c>
      <c r="P63" s="398">
        <f>IFERROR(__xludf.DUMMYFUNCTION("""COMPUTED_VALUE"""),7.0)</f>
        <v>7</v>
      </c>
      <c r="Q63" s="398">
        <f>IFERROR(__xludf.DUMMYFUNCTION("""COMPUTED_VALUE"""),8.0)</f>
        <v>8</v>
      </c>
      <c r="R63" s="398">
        <f>IFERROR(__xludf.DUMMYFUNCTION("""COMPUTED_VALUE"""),9.0)</f>
        <v>9</v>
      </c>
      <c r="S63" s="398">
        <f>IFERROR(__xludf.DUMMYFUNCTION("""COMPUTED_VALUE"""),10.0)</f>
        <v>10</v>
      </c>
      <c r="T63" s="398">
        <f>IFERROR(__xludf.DUMMYFUNCTION("""COMPUTED_VALUE"""),11.0)</f>
        <v>11</v>
      </c>
      <c r="U63" s="398">
        <f>IFERROR(__xludf.DUMMYFUNCTION("""COMPUTED_VALUE"""),12.0)</f>
        <v>12</v>
      </c>
      <c r="V63" s="398">
        <f>IFERROR(__xludf.DUMMYFUNCTION("""COMPUTED_VALUE"""),13.0)</f>
        <v>13</v>
      </c>
      <c r="W63" s="398">
        <f>IFERROR(__xludf.DUMMYFUNCTION("""COMPUTED_VALUE"""),14.0)</f>
        <v>14</v>
      </c>
      <c r="X63" s="398">
        <f>IFERROR(__xludf.DUMMYFUNCTION("""COMPUTED_VALUE"""),15.0)</f>
        <v>15</v>
      </c>
      <c r="Y63" s="398">
        <f>IFERROR(__xludf.DUMMYFUNCTION("""COMPUTED_VALUE"""),16.0)</f>
        <v>16</v>
      </c>
      <c r="Z63" s="398">
        <f>IFERROR(__xludf.DUMMYFUNCTION("""COMPUTED_VALUE"""),17.0)</f>
        <v>17</v>
      </c>
      <c r="AA63" s="398">
        <f>IFERROR(__xludf.DUMMYFUNCTION("""COMPUTED_VALUE"""),18.0)</f>
        <v>18</v>
      </c>
      <c r="AB63" s="398">
        <f>IFERROR(__xludf.DUMMYFUNCTION("""COMPUTED_VALUE"""),19.0)</f>
        <v>19</v>
      </c>
      <c r="AC63" s="399">
        <f>IFERROR(__xludf.DUMMYFUNCTION("""COMPUTED_VALUE"""),20.0)</f>
        <v>20</v>
      </c>
      <c r="AD63" s="400"/>
      <c r="AE63" s="401"/>
    </row>
    <row r="64" hidden="1">
      <c r="A64" s="480" t="str">
        <f>IFERROR(__xludf.DUMMYFUNCTION("""COMPUTED_VALUE"""),"HIDE")</f>
        <v>HIDE</v>
      </c>
      <c r="B64" s="481" t="str">
        <f>IFERROR(__xludf.DUMMYFUNCTION("""COMPUTED_VALUE"""),"#N/A")</f>
        <v>#N/A</v>
      </c>
      <c r="C64" s="481" t="str">
        <f>IFERROR(__xludf.DUMMYFUNCTION("""COMPUTED_VALUE"""),"#N/A")</f>
        <v>#N/A</v>
      </c>
      <c r="D64" s="482" t="str">
        <f>IFERROR(__xludf.DUMMYFUNCTION("""COMPUTED_VALUE"""),"")</f>
        <v/>
      </c>
      <c r="E64" s="483" t="str">
        <f>IFERROR(__xludf.DUMMYFUNCTION("""COMPUTED_VALUE"""),"")</f>
        <v/>
      </c>
      <c r="F64" s="484" t="str">
        <f>IFERROR(__xludf.DUMMYFUNCTION("""COMPUTED_VALUE"""),"")</f>
        <v/>
      </c>
      <c r="G64" s="485" t="str">
        <f>IFERROR(__xludf.DUMMYFUNCTION("""COMPUTED_VALUE"""),"")</f>
        <v/>
      </c>
      <c r="H64" s="484" t="str">
        <f>IFERROR(__xludf.DUMMYFUNCTION("""COMPUTED_VALUE"""),"")</f>
        <v/>
      </c>
      <c r="I64" s="486" t="str">
        <f>IFERROR(__xludf.DUMMYFUNCTION("""COMPUTED_VALUE"""),"")</f>
        <v/>
      </c>
      <c r="J64" s="486" t="str">
        <f>IFERROR(__xludf.DUMMYFUNCTION("""COMPUTED_VALUE"""),"")</f>
        <v/>
      </c>
      <c r="K64" s="486" t="str">
        <f>IFERROR(__xludf.DUMMYFUNCTION("""COMPUTED_VALUE"""),"")</f>
        <v/>
      </c>
      <c r="L64" s="486" t="str">
        <f>IFERROR(__xludf.DUMMYFUNCTION("""COMPUTED_VALUE"""),"")</f>
        <v/>
      </c>
      <c r="M64" s="486" t="str">
        <f>IFERROR(__xludf.DUMMYFUNCTION("""COMPUTED_VALUE"""),"")</f>
        <v/>
      </c>
      <c r="N64" s="486" t="str">
        <f>IFERROR(__xludf.DUMMYFUNCTION("""COMPUTED_VALUE"""),"")</f>
        <v/>
      </c>
      <c r="O64" s="486" t="str">
        <f>IFERROR(__xludf.DUMMYFUNCTION("""COMPUTED_VALUE"""),"")</f>
        <v/>
      </c>
      <c r="P64" s="486" t="str">
        <f>IFERROR(__xludf.DUMMYFUNCTION("""COMPUTED_VALUE"""),"")</f>
        <v/>
      </c>
      <c r="Q64" s="486" t="str">
        <f>IFERROR(__xludf.DUMMYFUNCTION("""COMPUTED_VALUE"""),"")</f>
        <v/>
      </c>
      <c r="R64" s="486" t="str">
        <f>IFERROR(__xludf.DUMMYFUNCTION("""COMPUTED_VALUE"""),"")</f>
        <v/>
      </c>
      <c r="S64" s="486" t="str">
        <f>IFERROR(__xludf.DUMMYFUNCTION("""COMPUTED_VALUE"""),"")</f>
        <v/>
      </c>
      <c r="T64" s="486" t="str">
        <f>IFERROR(__xludf.DUMMYFUNCTION("""COMPUTED_VALUE"""),"")</f>
        <v/>
      </c>
      <c r="U64" s="486" t="str">
        <f>IFERROR(__xludf.DUMMYFUNCTION("""COMPUTED_VALUE"""),"")</f>
        <v/>
      </c>
      <c r="V64" s="486" t="str">
        <f>IFERROR(__xludf.DUMMYFUNCTION("""COMPUTED_VALUE"""),"")</f>
        <v/>
      </c>
      <c r="W64" s="486" t="str">
        <f>IFERROR(__xludf.DUMMYFUNCTION("""COMPUTED_VALUE"""),"")</f>
        <v/>
      </c>
      <c r="X64" s="486" t="str">
        <f>IFERROR(__xludf.DUMMYFUNCTION("""COMPUTED_VALUE"""),"")</f>
        <v/>
      </c>
      <c r="Y64" s="486" t="str">
        <f>IFERROR(__xludf.DUMMYFUNCTION("""COMPUTED_VALUE"""),"")</f>
        <v/>
      </c>
      <c r="Z64" s="486" t="str">
        <f>IFERROR(__xludf.DUMMYFUNCTION("""COMPUTED_VALUE"""),"")</f>
        <v/>
      </c>
      <c r="AA64" s="486" t="str">
        <f>IFERROR(__xludf.DUMMYFUNCTION("""COMPUTED_VALUE"""),"")</f>
        <v/>
      </c>
      <c r="AB64" s="486" t="str">
        <f>IFERROR(__xludf.DUMMYFUNCTION("""COMPUTED_VALUE"""),"")</f>
        <v/>
      </c>
      <c r="AC64" s="487" t="str">
        <f>IFERROR(__xludf.DUMMYFUNCTION("""COMPUTED_VALUE"""),"")</f>
        <v/>
      </c>
      <c r="AD64" s="488"/>
      <c r="AE64" s="489"/>
    </row>
    <row r="65" hidden="1">
      <c r="A65" s="463" t="str">
        <f>IFERROR(__xludf.DUMMYFUNCTION("""COMPUTED_VALUE"""),"BEST NOW")</f>
        <v>BEST NOW</v>
      </c>
      <c r="B65" s="464" t="str">
        <f>IFERROR(__xludf.DUMMYFUNCTION("""COMPUTED_VALUE"""),"")</f>
        <v/>
      </c>
      <c r="C65" s="464" t="str">
        <f>IFERROR(__xludf.DUMMYFUNCTION("""COMPUTED_VALUE"""),"")</f>
        <v/>
      </c>
      <c r="D65" s="465" t="str">
        <f>IFERROR(__xludf.DUMMYFUNCTION("""COMPUTED_VALUE"""),"")</f>
        <v/>
      </c>
      <c r="E65" s="466" t="str">
        <f>IFERROR(__xludf.DUMMYFUNCTION("""COMPUTED_VALUE"""),"")</f>
        <v/>
      </c>
      <c r="F65" s="467" t="str">
        <f>IFERROR(__xludf.DUMMYFUNCTION("""COMPUTED_VALUE"""),"")</f>
        <v/>
      </c>
      <c r="G65" s="490" t="str">
        <f>IFERROR(__xludf.DUMMYFUNCTION("""COMPUTED_VALUE"""),"")</f>
        <v/>
      </c>
      <c r="H65" s="469" t="str">
        <f>IFERROR(__xludf.DUMMYFUNCTION("""COMPUTED_VALUE"""),"")</f>
        <v/>
      </c>
      <c r="I65" s="470" t="str">
        <f>IFERROR(__xludf.DUMMYFUNCTION("""COMPUTED_VALUE"""),"")</f>
        <v/>
      </c>
      <c r="J65" s="471" t="str">
        <f>IFERROR(__xludf.DUMMYFUNCTION("""COMPUTED_VALUE"""),"")</f>
        <v/>
      </c>
      <c r="K65" s="471" t="str">
        <f>IFERROR(__xludf.DUMMYFUNCTION("""COMPUTED_VALUE"""),"")</f>
        <v/>
      </c>
      <c r="L65" s="471" t="str">
        <f>IFERROR(__xludf.DUMMYFUNCTION("""COMPUTED_VALUE"""),"")</f>
        <v/>
      </c>
      <c r="M65" s="471" t="str">
        <f>IFERROR(__xludf.DUMMYFUNCTION("""COMPUTED_VALUE"""),"")</f>
        <v/>
      </c>
      <c r="N65" s="471" t="str">
        <f>IFERROR(__xludf.DUMMYFUNCTION("""COMPUTED_VALUE"""),"")</f>
        <v/>
      </c>
      <c r="O65" s="471" t="str">
        <f>IFERROR(__xludf.DUMMYFUNCTION("""COMPUTED_VALUE"""),"")</f>
        <v/>
      </c>
      <c r="P65" s="471" t="str">
        <f>IFERROR(__xludf.DUMMYFUNCTION("""COMPUTED_VALUE"""),"")</f>
        <v/>
      </c>
      <c r="Q65" s="471" t="str">
        <f>IFERROR(__xludf.DUMMYFUNCTION("""COMPUTED_VALUE"""),"")</f>
        <v/>
      </c>
      <c r="R65" s="471" t="str">
        <f>IFERROR(__xludf.DUMMYFUNCTION("""COMPUTED_VALUE"""),"")</f>
        <v/>
      </c>
      <c r="S65" s="471" t="str">
        <f>IFERROR(__xludf.DUMMYFUNCTION("""COMPUTED_VALUE"""),"")</f>
        <v/>
      </c>
      <c r="T65" s="471" t="str">
        <f>IFERROR(__xludf.DUMMYFUNCTION("""COMPUTED_VALUE"""),"")</f>
        <v/>
      </c>
      <c r="U65" s="471" t="str">
        <f>IFERROR(__xludf.DUMMYFUNCTION("""COMPUTED_VALUE"""),"")</f>
        <v/>
      </c>
      <c r="V65" s="471" t="str">
        <f>IFERROR(__xludf.DUMMYFUNCTION("""COMPUTED_VALUE"""),"")</f>
        <v/>
      </c>
      <c r="W65" s="471" t="str">
        <f>IFERROR(__xludf.DUMMYFUNCTION("""COMPUTED_VALUE"""),"")</f>
        <v/>
      </c>
      <c r="X65" s="471" t="str">
        <f>IFERROR(__xludf.DUMMYFUNCTION("""COMPUTED_VALUE"""),"")</f>
        <v/>
      </c>
      <c r="Y65" s="471" t="str">
        <f>IFERROR(__xludf.DUMMYFUNCTION("""COMPUTED_VALUE"""),"")</f>
        <v/>
      </c>
      <c r="Z65" s="471" t="str">
        <f>IFERROR(__xludf.DUMMYFUNCTION("""COMPUTED_VALUE"""),"")</f>
        <v/>
      </c>
      <c r="AA65" s="471" t="str">
        <f>IFERROR(__xludf.DUMMYFUNCTION("""COMPUTED_VALUE"""),"")</f>
        <v/>
      </c>
      <c r="AB65" s="471" t="str">
        <f>IFERROR(__xludf.DUMMYFUNCTION("""COMPUTED_VALUE"""),"")</f>
        <v/>
      </c>
      <c r="AC65" s="472" t="str">
        <f>IFERROR(__xludf.DUMMYFUNCTION("""COMPUTED_VALUE"""),"")</f>
        <v/>
      </c>
      <c r="AD65" s="10"/>
      <c r="AE65" s="6"/>
    </row>
    <row r="66" hidden="1">
      <c r="A66" s="450">
        <f>IFERROR(__xludf.DUMMYFUNCTION("""COMPUTED_VALUE"""),1.0)</f>
        <v>1</v>
      </c>
      <c r="B66" s="451" t="str">
        <f>IFERROR(__xludf.DUMMYFUNCTION("""COMPUTED_VALUE"""),"")</f>
        <v/>
      </c>
      <c r="C66" s="422" t="str">
        <f>IFERROR(__xludf.DUMMYFUNCTION("""COMPUTED_VALUE"""),"")</f>
        <v/>
      </c>
      <c r="D66" s="452" t="str">
        <f>IFERROR(__xludf.DUMMYFUNCTION("""COMPUTED_VALUE"""),"")</f>
        <v/>
      </c>
      <c r="E66" s="453" t="str">
        <f>IFERROR(__xludf.DUMMYFUNCTION("""COMPUTED_VALUE"""),"")</f>
        <v/>
      </c>
      <c r="F66" s="454" t="str">
        <f>IFERROR(__xludf.DUMMYFUNCTION("""COMPUTED_VALUE"""),"")</f>
        <v/>
      </c>
      <c r="G66" s="491" t="str">
        <f>IFERROR(__xludf.DUMMYFUNCTION("""COMPUTED_VALUE"""),"")</f>
        <v/>
      </c>
      <c r="H66" s="455" t="str">
        <f>IFERROR(__xludf.DUMMYFUNCTION("""COMPUTED_VALUE"""),"")</f>
        <v/>
      </c>
      <c r="I66" s="473" t="str">
        <f>IFERROR(__xludf.DUMMYFUNCTION("""COMPUTED_VALUE"""),"")</f>
        <v/>
      </c>
      <c r="J66" s="474" t="str">
        <f>IFERROR(__xludf.DUMMYFUNCTION("""COMPUTED_VALUE"""),"")</f>
        <v/>
      </c>
      <c r="K66" s="474" t="str">
        <f>IFERROR(__xludf.DUMMYFUNCTION("""COMPUTED_VALUE"""),"")</f>
        <v/>
      </c>
      <c r="L66" s="474" t="str">
        <f>IFERROR(__xludf.DUMMYFUNCTION("""COMPUTED_VALUE"""),"")</f>
        <v/>
      </c>
      <c r="M66" s="474" t="str">
        <f>IFERROR(__xludf.DUMMYFUNCTION("""COMPUTED_VALUE"""),"")</f>
        <v/>
      </c>
      <c r="N66" s="474" t="str">
        <f>IFERROR(__xludf.DUMMYFUNCTION("""COMPUTED_VALUE"""),"")</f>
        <v/>
      </c>
      <c r="O66" s="474" t="str">
        <f>IFERROR(__xludf.DUMMYFUNCTION("""COMPUTED_VALUE"""),"")</f>
        <v/>
      </c>
      <c r="P66" s="474" t="str">
        <f>IFERROR(__xludf.DUMMYFUNCTION("""COMPUTED_VALUE"""),"")</f>
        <v/>
      </c>
      <c r="Q66" s="474" t="str">
        <f>IFERROR(__xludf.DUMMYFUNCTION("""COMPUTED_VALUE"""),"")</f>
        <v/>
      </c>
      <c r="R66" s="474" t="str">
        <f>IFERROR(__xludf.DUMMYFUNCTION("""COMPUTED_VALUE"""),"")</f>
        <v/>
      </c>
      <c r="S66" s="474" t="str">
        <f>IFERROR(__xludf.DUMMYFUNCTION("""COMPUTED_VALUE"""),"")</f>
        <v/>
      </c>
      <c r="T66" s="474" t="str">
        <f>IFERROR(__xludf.DUMMYFUNCTION("""COMPUTED_VALUE"""),"")</f>
        <v/>
      </c>
      <c r="U66" s="474" t="str">
        <f>IFERROR(__xludf.DUMMYFUNCTION("""COMPUTED_VALUE"""),"")</f>
        <v/>
      </c>
      <c r="V66" s="474" t="str">
        <f>IFERROR(__xludf.DUMMYFUNCTION("""COMPUTED_VALUE"""),"")</f>
        <v/>
      </c>
      <c r="W66" s="474" t="str">
        <f>IFERROR(__xludf.DUMMYFUNCTION("""COMPUTED_VALUE"""),"")</f>
        <v/>
      </c>
      <c r="X66" s="474" t="str">
        <f>IFERROR(__xludf.DUMMYFUNCTION("""COMPUTED_VALUE"""),"")</f>
        <v/>
      </c>
      <c r="Y66" s="474" t="str">
        <f>IFERROR(__xludf.DUMMYFUNCTION("""COMPUTED_VALUE"""),"")</f>
        <v/>
      </c>
      <c r="Z66" s="474" t="str">
        <f>IFERROR(__xludf.DUMMYFUNCTION("""COMPUTED_VALUE"""),"")</f>
        <v/>
      </c>
      <c r="AA66" s="474" t="str">
        <f>IFERROR(__xludf.DUMMYFUNCTION("""COMPUTED_VALUE"""),"")</f>
        <v/>
      </c>
      <c r="AB66" s="474" t="str">
        <f>IFERROR(__xludf.DUMMYFUNCTION("""COMPUTED_VALUE"""),"")</f>
        <v/>
      </c>
      <c r="AC66" s="475" t="str">
        <f>IFERROR(__xludf.DUMMYFUNCTION("""COMPUTED_VALUE"""),"")</f>
        <v/>
      </c>
      <c r="AD66" s="10"/>
      <c r="AE66" s="390"/>
    </row>
    <row r="67" hidden="1">
      <c r="A67" s="421">
        <f>IFERROR(__xludf.DUMMYFUNCTION("""COMPUTED_VALUE"""),2.0)</f>
        <v>2</v>
      </c>
      <c r="B67" s="422" t="str">
        <f>IFERROR(__xludf.DUMMYFUNCTION("""COMPUTED_VALUE"""),"")</f>
        <v/>
      </c>
      <c r="C67" s="422" t="str">
        <f>IFERROR(__xludf.DUMMYFUNCTION("""COMPUTED_VALUE"""),"")</f>
        <v/>
      </c>
      <c r="D67" s="423" t="str">
        <f>IFERROR(__xludf.DUMMYFUNCTION("""COMPUTED_VALUE"""),"")</f>
        <v/>
      </c>
      <c r="E67" s="424" t="str">
        <f>IFERROR(__xludf.DUMMYFUNCTION("""COMPUTED_VALUE"""),"")</f>
        <v/>
      </c>
      <c r="F67" s="425" t="str">
        <f>IFERROR(__xludf.DUMMYFUNCTION("""COMPUTED_VALUE"""),"")</f>
        <v/>
      </c>
      <c r="G67" s="491" t="str">
        <f>IFERROR(__xludf.DUMMYFUNCTION("""COMPUTED_VALUE"""),"")</f>
        <v/>
      </c>
      <c r="H67" s="457" t="str">
        <f>IFERROR(__xludf.DUMMYFUNCTION("""COMPUTED_VALUE"""),"")</f>
        <v/>
      </c>
      <c r="I67" s="473" t="str">
        <f>IFERROR(__xludf.DUMMYFUNCTION("""COMPUTED_VALUE"""),"")</f>
        <v/>
      </c>
      <c r="J67" s="474" t="str">
        <f>IFERROR(__xludf.DUMMYFUNCTION("""COMPUTED_VALUE"""),"")</f>
        <v/>
      </c>
      <c r="K67" s="474" t="str">
        <f>IFERROR(__xludf.DUMMYFUNCTION("""COMPUTED_VALUE"""),"")</f>
        <v/>
      </c>
      <c r="L67" s="474" t="str">
        <f>IFERROR(__xludf.DUMMYFUNCTION("""COMPUTED_VALUE"""),"")</f>
        <v/>
      </c>
      <c r="M67" s="474" t="str">
        <f>IFERROR(__xludf.DUMMYFUNCTION("""COMPUTED_VALUE"""),"")</f>
        <v/>
      </c>
      <c r="N67" s="474" t="str">
        <f>IFERROR(__xludf.DUMMYFUNCTION("""COMPUTED_VALUE"""),"")</f>
        <v/>
      </c>
      <c r="O67" s="474" t="str">
        <f>IFERROR(__xludf.DUMMYFUNCTION("""COMPUTED_VALUE"""),"")</f>
        <v/>
      </c>
      <c r="P67" s="474" t="str">
        <f>IFERROR(__xludf.DUMMYFUNCTION("""COMPUTED_VALUE"""),"")</f>
        <v/>
      </c>
      <c r="Q67" s="474" t="str">
        <f>IFERROR(__xludf.DUMMYFUNCTION("""COMPUTED_VALUE"""),"")</f>
        <v/>
      </c>
      <c r="R67" s="474" t="str">
        <f>IFERROR(__xludf.DUMMYFUNCTION("""COMPUTED_VALUE"""),"")</f>
        <v/>
      </c>
      <c r="S67" s="474" t="str">
        <f>IFERROR(__xludf.DUMMYFUNCTION("""COMPUTED_VALUE"""),"")</f>
        <v/>
      </c>
      <c r="T67" s="474" t="str">
        <f>IFERROR(__xludf.DUMMYFUNCTION("""COMPUTED_VALUE"""),"")</f>
        <v/>
      </c>
      <c r="U67" s="474" t="str">
        <f>IFERROR(__xludf.DUMMYFUNCTION("""COMPUTED_VALUE"""),"")</f>
        <v/>
      </c>
      <c r="V67" s="474" t="str">
        <f>IFERROR(__xludf.DUMMYFUNCTION("""COMPUTED_VALUE"""),"")</f>
        <v/>
      </c>
      <c r="W67" s="474" t="str">
        <f>IFERROR(__xludf.DUMMYFUNCTION("""COMPUTED_VALUE"""),"")</f>
        <v/>
      </c>
      <c r="X67" s="474" t="str">
        <f>IFERROR(__xludf.DUMMYFUNCTION("""COMPUTED_VALUE"""),"")</f>
        <v/>
      </c>
      <c r="Y67" s="474" t="str">
        <f>IFERROR(__xludf.DUMMYFUNCTION("""COMPUTED_VALUE"""),"")</f>
        <v/>
      </c>
      <c r="Z67" s="474" t="str">
        <f>IFERROR(__xludf.DUMMYFUNCTION("""COMPUTED_VALUE"""),"")</f>
        <v/>
      </c>
      <c r="AA67" s="474" t="str">
        <f>IFERROR(__xludf.DUMMYFUNCTION("""COMPUTED_VALUE"""),"")</f>
        <v/>
      </c>
      <c r="AB67" s="474" t="str">
        <f>IFERROR(__xludf.DUMMYFUNCTION("""COMPUTED_VALUE"""),"")</f>
        <v/>
      </c>
      <c r="AC67" s="475" t="str">
        <f>IFERROR(__xludf.DUMMYFUNCTION("""COMPUTED_VALUE"""),"")</f>
        <v/>
      </c>
      <c r="AD67" s="10"/>
      <c r="AE67" s="390"/>
    </row>
    <row r="68" hidden="1">
      <c r="A68" s="421">
        <f>IFERROR(__xludf.DUMMYFUNCTION("""COMPUTED_VALUE"""),3.0)</f>
        <v>3</v>
      </c>
      <c r="B68" s="422" t="str">
        <f>IFERROR(__xludf.DUMMYFUNCTION("""COMPUTED_VALUE"""),"")</f>
        <v/>
      </c>
      <c r="C68" s="422" t="str">
        <f>IFERROR(__xludf.DUMMYFUNCTION("""COMPUTED_VALUE"""),"")</f>
        <v/>
      </c>
      <c r="D68" s="423" t="str">
        <f>IFERROR(__xludf.DUMMYFUNCTION("""COMPUTED_VALUE"""),"")</f>
        <v/>
      </c>
      <c r="E68" s="424" t="str">
        <f>IFERROR(__xludf.DUMMYFUNCTION("""COMPUTED_VALUE"""),"")</f>
        <v/>
      </c>
      <c r="F68" s="425" t="str">
        <f>IFERROR(__xludf.DUMMYFUNCTION("""COMPUTED_VALUE"""),"")</f>
        <v/>
      </c>
      <c r="G68" s="492" t="str">
        <f>IFERROR(__xludf.DUMMYFUNCTION("""COMPUTED_VALUE"""),"")</f>
        <v/>
      </c>
      <c r="H68" s="457" t="str">
        <f>IFERROR(__xludf.DUMMYFUNCTION("""COMPUTED_VALUE"""),"")</f>
        <v/>
      </c>
      <c r="I68" s="473" t="str">
        <f>IFERROR(__xludf.DUMMYFUNCTION("""COMPUTED_VALUE"""),"")</f>
        <v/>
      </c>
      <c r="J68" s="474" t="str">
        <f>IFERROR(__xludf.DUMMYFUNCTION("""COMPUTED_VALUE"""),"")</f>
        <v/>
      </c>
      <c r="K68" s="474" t="str">
        <f>IFERROR(__xludf.DUMMYFUNCTION("""COMPUTED_VALUE"""),"")</f>
        <v/>
      </c>
      <c r="L68" s="474" t="str">
        <f>IFERROR(__xludf.DUMMYFUNCTION("""COMPUTED_VALUE"""),"")</f>
        <v/>
      </c>
      <c r="M68" s="474" t="str">
        <f>IFERROR(__xludf.DUMMYFUNCTION("""COMPUTED_VALUE"""),"")</f>
        <v/>
      </c>
      <c r="N68" s="474" t="str">
        <f>IFERROR(__xludf.DUMMYFUNCTION("""COMPUTED_VALUE"""),"")</f>
        <v/>
      </c>
      <c r="O68" s="474" t="str">
        <f>IFERROR(__xludf.DUMMYFUNCTION("""COMPUTED_VALUE"""),"")</f>
        <v/>
      </c>
      <c r="P68" s="474" t="str">
        <f>IFERROR(__xludf.DUMMYFUNCTION("""COMPUTED_VALUE"""),"")</f>
        <v/>
      </c>
      <c r="Q68" s="474" t="str">
        <f>IFERROR(__xludf.DUMMYFUNCTION("""COMPUTED_VALUE"""),"")</f>
        <v/>
      </c>
      <c r="R68" s="474" t="str">
        <f>IFERROR(__xludf.DUMMYFUNCTION("""COMPUTED_VALUE"""),"")</f>
        <v/>
      </c>
      <c r="S68" s="474" t="str">
        <f>IFERROR(__xludf.DUMMYFUNCTION("""COMPUTED_VALUE"""),"")</f>
        <v/>
      </c>
      <c r="T68" s="474" t="str">
        <f>IFERROR(__xludf.DUMMYFUNCTION("""COMPUTED_VALUE"""),"")</f>
        <v/>
      </c>
      <c r="U68" s="474" t="str">
        <f>IFERROR(__xludf.DUMMYFUNCTION("""COMPUTED_VALUE"""),"")</f>
        <v/>
      </c>
      <c r="V68" s="474" t="str">
        <f>IFERROR(__xludf.DUMMYFUNCTION("""COMPUTED_VALUE"""),"")</f>
        <v/>
      </c>
      <c r="W68" s="474" t="str">
        <f>IFERROR(__xludf.DUMMYFUNCTION("""COMPUTED_VALUE"""),"")</f>
        <v/>
      </c>
      <c r="X68" s="474" t="str">
        <f>IFERROR(__xludf.DUMMYFUNCTION("""COMPUTED_VALUE"""),"")</f>
        <v/>
      </c>
      <c r="Y68" s="474" t="str">
        <f>IFERROR(__xludf.DUMMYFUNCTION("""COMPUTED_VALUE"""),"")</f>
        <v/>
      </c>
      <c r="Z68" s="474" t="str">
        <f>IFERROR(__xludf.DUMMYFUNCTION("""COMPUTED_VALUE"""),"")</f>
        <v/>
      </c>
      <c r="AA68" s="474" t="str">
        <f>IFERROR(__xludf.DUMMYFUNCTION("""COMPUTED_VALUE"""),"")</f>
        <v/>
      </c>
      <c r="AB68" s="474" t="str">
        <f>IFERROR(__xludf.DUMMYFUNCTION("""COMPUTED_VALUE"""),"")</f>
        <v/>
      </c>
      <c r="AC68" s="475" t="str">
        <f>IFERROR(__xludf.DUMMYFUNCTION("""COMPUTED_VALUE"""),"")</f>
        <v/>
      </c>
      <c r="AD68" s="10"/>
      <c r="AE68" s="390"/>
    </row>
    <row r="69" hidden="1">
      <c r="A69" s="421">
        <f>IFERROR(__xludf.DUMMYFUNCTION("""COMPUTED_VALUE"""),4.0)</f>
        <v>4</v>
      </c>
      <c r="B69" s="422" t="str">
        <f>IFERROR(__xludf.DUMMYFUNCTION("""COMPUTED_VALUE"""),"")</f>
        <v/>
      </c>
      <c r="C69" s="422" t="str">
        <f>IFERROR(__xludf.DUMMYFUNCTION("""COMPUTED_VALUE"""),"")</f>
        <v/>
      </c>
      <c r="D69" s="423" t="str">
        <f>IFERROR(__xludf.DUMMYFUNCTION("""COMPUTED_VALUE"""),"")</f>
        <v/>
      </c>
      <c r="E69" s="424" t="str">
        <f>IFERROR(__xludf.DUMMYFUNCTION("""COMPUTED_VALUE"""),"")</f>
        <v/>
      </c>
      <c r="F69" s="425" t="str">
        <f>IFERROR(__xludf.DUMMYFUNCTION("""COMPUTED_VALUE"""),"")</f>
        <v/>
      </c>
      <c r="G69" s="492" t="str">
        <f>IFERROR(__xludf.DUMMYFUNCTION("""COMPUTED_VALUE"""),"")</f>
        <v/>
      </c>
      <c r="H69" s="457" t="str">
        <f>IFERROR(__xludf.DUMMYFUNCTION("""COMPUTED_VALUE"""),"")</f>
        <v/>
      </c>
      <c r="I69" s="473" t="str">
        <f>IFERROR(__xludf.DUMMYFUNCTION("""COMPUTED_VALUE"""),"")</f>
        <v/>
      </c>
      <c r="J69" s="474" t="str">
        <f>IFERROR(__xludf.DUMMYFUNCTION("""COMPUTED_VALUE"""),"")</f>
        <v/>
      </c>
      <c r="K69" s="474" t="str">
        <f>IFERROR(__xludf.DUMMYFUNCTION("""COMPUTED_VALUE"""),"")</f>
        <v/>
      </c>
      <c r="L69" s="474" t="str">
        <f>IFERROR(__xludf.DUMMYFUNCTION("""COMPUTED_VALUE"""),"")</f>
        <v/>
      </c>
      <c r="M69" s="474" t="str">
        <f>IFERROR(__xludf.DUMMYFUNCTION("""COMPUTED_VALUE"""),"")</f>
        <v/>
      </c>
      <c r="N69" s="474" t="str">
        <f>IFERROR(__xludf.DUMMYFUNCTION("""COMPUTED_VALUE"""),"")</f>
        <v/>
      </c>
      <c r="O69" s="474" t="str">
        <f>IFERROR(__xludf.DUMMYFUNCTION("""COMPUTED_VALUE"""),"")</f>
        <v/>
      </c>
      <c r="P69" s="474" t="str">
        <f>IFERROR(__xludf.DUMMYFUNCTION("""COMPUTED_VALUE"""),"")</f>
        <v/>
      </c>
      <c r="Q69" s="474" t="str">
        <f>IFERROR(__xludf.DUMMYFUNCTION("""COMPUTED_VALUE"""),"")</f>
        <v/>
      </c>
      <c r="R69" s="474" t="str">
        <f>IFERROR(__xludf.DUMMYFUNCTION("""COMPUTED_VALUE"""),"")</f>
        <v/>
      </c>
      <c r="S69" s="474" t="str">
        <f>IFERROR(__xludf.DUMMYFUNCTION("""COMPUTED_VALUE"""),"")</f>
        <v/>
      </c>
      <c r="T69" s="474" t="str">
        <f>IFERROR(__xludf.DUMMYFUNCTION("""COMPUTED_VALUE"""),"")</f>
        <v/>
      </c>
      <c r="U69" s="474" t="str">
        <f>IFERROR(__xludf.DUMMYFUNCTION("""COMPUTED_VALUE"""),"")</f>
        <v/>
      </c>
      <c r="V69" s="474" t="str">
        <f>IFERROR(__xludf.DUMMYFUNCTION("""COMPUTED_VALUE"""),"")</f>
        <v/>
      </c>
      <c r="W69" s="474" t="str">
        <f>IFERROR(__xludf.DUMMYFUNCTION("""COMPUTED_VALUE"""),"")</f>
        <v/>
      </c>
      <c r="X69" s="474" t="str">
        <f>IFERROR(__xludf.DUMMYFUNCTION("""COMPUTED_VALUE"""),"")</f>
        <v/>
      </c>
      <c r="Y69" s="474" t="str">
        <f>IFERROR(__xludf.DUMMYFUNCTION("""COMPUTED_VALUE"""),"")</f>
        <v/>
      </c>
      <c r="Z69" s="474" t="str">
        <f>IFERROR(__xludf.DUMMYFUNCTION("""COMPUTED_VALUE"""),"")</f>
        <v/>
      </c>
      <c r="AA69" s="474" t="str">
        <f>IFERROR(__xludf.DUMMYFUNCTION("""COMPUTED_VALUE"""),"")</f>
        <v/>
      </c>
      <c r="AB69" s="474" t="str">
        <f>IFERROR(__xludf.DUMMYFUNCTION("""COMPUTED_VALUE"""),"")</f>
        <v/>
      </c>
      <c r="AC69" s="475" t="str">
        <f>IFERROR(__xludf.DUMMYFUNCTION("""COMPUTED_VALUE"""),"")</f>
        <v/>
      </c>
      <c r="AD69" s="10"/>
      <c r="AE69" s="390"/>
    </row>
    <row r="70" hidden="1">
      <c r="A70" s="421">
        <f>IFERROR(__xludf.DUMMYFUNCTION("""COMPUTED_VALUE"""),5.0)</f>
        <v>5</v>
      </c>
      <c r="B70" s="422" t="str">
        <f>IFERROR(__xludf.DUMMYFUNCTION("""COMPUTED_VALUE"""),"")</f>
        <v/>
      </c>
      <c r="C70" s="422" t="str">
        <f>IFERROR(__xludf.DUMMYFUNCTION("""COMPUTED_VALUE"""),"")</f>
        <v/>
      </c>
      <c r="D70" s="423" t="str">
        <f>IFERROR(__xludf.DUMMYFUNCTION("""COMPUTED_VALUE"""),"")</f>
        <v/>
      </c>
      <c r="E70" s="424" t="str">
        <f>IFERROR(__xludf.DUMMYFUNCTION("""COMPUTED_VALUE"""),"")</f>
        <v/>
      </c>
      <c r="F70" s="425" t="str">
        <f>IFERROR(__xludf.DUMMYFUNCTION("""COMPUTED_VALUE"""),"")</f>
        <v/>
      </c>
      <c r="G70" s="426" t="str">
        <f>IFERROR(__xludf.DUMMYFUNCTION("""COMPUTED_VALUE"""),"")</f>
        <v/>
      </c>
      <c r="H70" s="457" t="str">
        <f>IFERROR(__xludf.DUMMYFUNCTION("""COMPUTED_VALUE"""),"")</f>
        <v/>
      </c>
      <c r="I70" s="473" t="str">
        <f>IFERROR(__xludf.DUMMYFUNCTION("""COMPUTED_VALUE"""),"")</f>
        <v/>
      </c>
      <c r="J70" s="474" t="str">
        <f>IFERROR(__xludf.DUMMYFUNCTION("""COMPUTED_VALUE"""),"")</f>
        <v/>
      </c>
      <c r="K70" s="474" t="str">
        <f>IFERROR(__xludf.DUMMYFUNCTION("""COMPUTED_VALUE"""),"")</f>
        <v/>
      </c>
      <c r="L70" s="474" t="str">
        <f>IFERROR(__xludf.DUMMYFUNCTION("""COMPUTED_VALUE"""),"")</f>
        <v/>
      </c>
      <c r="M70" s="474" t="str">
        <f>IFERROR(__xludf.DUMMYFUNCTION("""COMPUTED_VALUE"""),"")</f>
        <v/>
      </c>
      <c r="N70" s="474" t="str">
        <f>IFERROR(__xludf.DUMMYFUNCTION("""COMPUTED_VALUE"""),"")</f>
        <v/>
      </c>
      <c r="O70" s="474" t="str">
        <f>IFERROR(__xludf.DUMMYFUNCTION("""COMPUTED_VALUE"""),"")</f>
        <v/>
      </c>
      <c r="P70" s="474" t="str">
        <f>IFERROR(__xludf.DUMMYFUNCTION("""COMPUTED_VALUE"""),"")</f>
        <v/>
      </c>
      <c r="Q70" s="474" t="str">
        <f>IFERROR(__xludf.DUMMYFUNCTION("""COMPUTED_VALUE"""),"")</f>
        <v/>
      </c>
      <c r="R70" s="474" t="str">
        <f>IFERROR(__xludf.DUMMYFUNCTION("""COMPUTED_VALUE"""),"")</f>
        <v/>
      </c>
      <c r="S70" s="474" t="str">
        <f>IFERROR(__xludf.DUMMYFUNCTION("""COMPUTED_VALUE"""),"")</f>
        <v/>
      </c>
      <c r="T70" s="474" t="str">
        <f>IFERROR(__xludf.DUMMYFUNCTION("""COMPUTED_VALUE"""),"")</f>
        <v/>
      </c>
      <c r="U70" s="474" t="str">
        <f>IFERROR(__xludf.DUMMYFUNCTION("""COMPUTED_VALUE"""),"")</f>
        <v/>
      </c>
      <c r="V70" s="474" t="str">
        <f>IFERROR(__xludf.DUMMYFUNCTION("""COMPUTED_VALUE"""),"")</f>
        <v/>
      </c>
      <c r="W70" s="474" t="str">
        <f>IFERROR(__xludf.DUMMYFUNCTION("""COMPUTED_VALUE"""),"")</f>
        <v/>
      </c>
      <c r="X70" s="474" t="str">
        <f>IFERROR(__xludf.DUMMYFUNCTION("""COMPUTED_VALUE"""),"")</f>
        <v/>
      </c>
      <c r="Y70" s="474" t="str">
        <f>IFERROR(__xludf.DUMMYFUNCTION("""COMPUTED_VALUE"""),"")</f>
        <v/>
      </c>
      <c r="Z70" s="474" t="str">
        <f>IFERROR(__xludf.DUMMYFUNCTION("""COMPUTED_VALUE"""),"")</f>
        <v/>
      </c>
      <c r="AA70" s="474" t="str">
        <f>IFERROR(__xludf.DUMMYFUNCTION("""COMPUTED_VALUE"""),"")</f>
        <v/>
      </c>
      <c r="AB70" s="474" t="str">
        <f>IFERROR(__xludf.DUMMYFUNCTION("""COMPUTED_VALUE"""),"")</f>
        <v/>
      </c>
      <c r="AC70" s="475" t="str">
        <f>IFERROR(__xludf.DUMMYFUNCTION("""COMPUTED_VALUE"""),"")</f>
        <v/>
      </c>
      <c r="AD70" s="10"/>
      <c r="AE70" s="390"/>
    </row>
    <row r="71" hidden="1">
      <c r="A71" s="421">
        <f>IFERROR(__xludf.DUMMYFUNCTION("""COMPUTED_VALUE"""),6.0)</f>
        <v>6</v>
      </c>
      <c r="B71" s="422" t="str">
        <f>IFERROR(__xludf.DUMMYFUNCTION("""COMPUTED_VALUE"""),"")</f>
        <v/>
      </c>
      <c r="C71" s="422" t="str">
        <f>IFERROR(__xludf.DUMMYFUNCTION("""COMPUTED_VALUE"""),"")</f>
        <v/>
      </c>
      <c r="D71" s="423" t="str">
        <f>IFERROR(__xludf.DUMMYFUNCTION("""COMPUTED_VALUE"""),"")</f>
        <v/>
      </c>
      <c r="E71" s="424" t="str">
        <f>IFERROR(__xludf.DUMMYFUNCTION("""COMPUTED_VALUE"""),"")</f>
        <v/>
      </c>
      <c r="F71" s="425" t="str">
        <f>IFERROR(__xludf.DUMMYFUNCTION("""COMPUTED_VALUE"""),"")</f>
        <v/>
      </c>
      <c r="G71" s="426" t="str">
        <f>IFERROR(__xludf.DUMMYFUNCTION("""COMPUTED_VALUE"""),"")</f>
        <v/>
      </c>
      <c r="H71" s="457" t="str">
        <f>IFERROR(__xludf.DUMMYFUNCTION("""COMPUTED_VALUE"""),"")</f>
        <v/>
      </c>
      <c r="I71" s="473" t="str">
        <f>IFERROR(__xludf.DUMMYFUNCTION("""COMPUTED_VALUE"""),"")</f>
        <v/>
      </c>
      <c r="J71" s="474" t="str">
        <f>IFERROR(__xludf.DUMMYFUNCTION("""COMPUTED_VALUE"""),"")</f>
        <v/>
      </c>
      <c r="K71" s="474" t="str">
        <f>IFERROR(__xludf.DUMMYFUNCTION("""COMPUTED_VALUE"""),"")</f>
        <v/>
      </c>
      <c r="L71" s="474" t="str">
        <f>IFERROR(__xludf.DUMMYFUNCTION("""COMPUTED_VALUE"""),"")</f>
        <v/>
      </c>
      <c r="M71" s="474" t="str">
        <f>IFERROR(__xludf.DUMMYFUNCTION("""COMPUTED_VALUE"""),"")</f>
        <v/>
      </c>
      <c r="N71" s="474" t="str">
        <f>IFERROR(__xludf.DUMMYFUNCTION("""COMPUTED_VALUE"""),"")</f>
        <v/>
      </c>
      <c r="O71" s="474" t="str">
        <f>IFERROR(__xludf.DUMMYFUNCTION("""COMPUTED_VALUE"""),"")</f>
        <v/>
      </c>
      <c r="P71" s="474" t="str">
        <f>IFERROR(__xludf.DUMMYFUNCTION("""COMPUTED_VALUE"""),"")</f>
        <v/>
      </c>
      <c r="Q71" s="474" t="str">
        <f>IFERROR(__xludf.DUMMYFUNCTION("""COMPUTED_VALUE"""),"")</f>
        <v/>
      </c>
      <c r="R71" s="474" t="str">
        <f>IFERROR(__xludf.DUMMYFUNCTION("""COMPUTED_VALUE"""),"")</f>
        <v/>
      </c>
      <c r="S71" s="474" t="str">
        <f>IFERROR(__xludf.DUMMYFUNCTION("""COMPUTED_VALUE"""),"")</f>
        <v/>
      </c>
      <c r="T71" s="474" t="str">
        <f>IFERROR(__xludf.DUMMYFUNCTION("""COMPUTED_VALUE"""),"")</f>
        <v/>
      </c>
      <c r="U71" s="474" t="str">
        <f>IFERROR(__xludf.DUMMYFUNCTION("""COMPUTED_VALUE"""),"")</f>
        <v/>
      </c>
      <c r="V71" s="474" t="str">
        <f>IFERROR(__xludf.DUMMYFUNCTION("""COMPUTED_VALUE"""),"")</f>
        <v/>
      </c>
      <c r="W71" s="474" t="str">
        <f>IFERROR(__xludf.DUMMYFUNCTION("""COMPUTED_VALUE"""),"")</f>
        <v/>
      </c>
      <c r="X71" s="474" t="str">
        <f>IFERROR(__xludf.DUMMYFUNCTION("""COMPUTED_VALUE"""),"")</f>
        <v/>
      </c>
      <c r="Y71" s="474" t="str">
        <f>IFERROR(__xludf.DUMMYFUNCTION("""COMPUTED_VALUE"""),"")</f>
        <v/>
      </c>
      <c r="Z71" s="474" t="str">
        <f>IFERROR(__xludf.DUMMYFUNCTION("""COMPUTED_VALUE"""),"")</f>
        <v/>
      </c>
      <c r="AA71" s="474" t="str">
        <f>IFERROR(__xludf.DUMMYFUNCTION("""COMPUTED_VALUE"""),"")</f>
        <v/>
      </c>
      <c r="AB71" s="474" t="str">
        <f>IFERROR(__xludf.DUMMYFUNCTION("""COMPUTED_VALUE"""),"")</f>
        <v/>
      </c>
      <c r="AC71" s="475" t="str">
        <f>IFERROR(__xludf.DUMMYFUNCTION("""COMPUTED_VALUE"""),"")</f>
        <v/>
      </c>
      <c r="AD71" s="10"/>
      <c r="AE71" s="390"/>
    </row>
    <row r="72" hidden="1">
      <c r="A72" s="421">
        <f>IFERROR(__xludf.DUMMYFUNCTION("""COMPUTED_VALUE"""),7.0)</f>
        <v>7</v>
      </c>
      <c r="B72" s="422" t="str">
        <f>IFERROR(__xludf.DUMMYFUNCTION("""COMPUTED_VALUE"""),"")</f>
        <v/>
      </c>
      <c r="C72" s="422" t="str">
        <f>IFERROR(__xludf.DUMMYFUNCTION("""COMPUTED_VALUE"""),"")</f>
        <v/>
      </c>
      <c r="D72" s="423" t="str">
        <f>IFERROR(__xludf.DUMMYFUNCTION("""COMPUTED_VALUE"""),"")</f>
        <v/>
      </c>
      <c r="E72" s="424" t="str">
        <f>IFERROR(__xludf.DUMMYFUNCTION("""COMPUTED_VALUE"""),"")</f>
        <v/>
      </c>
      <c r="F72" s="425" t="str">
        <f>IFERROR(__xludf.DUMMYFUNCTION("""COMPUTED_VALUE"""),"")</f>
        <v/>
      </c>
      <c r="G72" s="426" t="str">
        <f>IFERROR(__xludf.DUMMYFUNCTION("""COMPUTED_VALUE"""),"")</f>
        <v/>
      </c>
      <c r="H72" s="457" t="str">
        <f>IFERROR(__xludf.DUMMYFUNCTION("""COMPUTED_VALUE"""),"")</f>
        <v/>
      </c>
      <c r="I72" s="473" t="str">
        <f>IFERROR(__xludf.DUMMYFUNCTION("""COMPUTED_VALUE"""),"")</f>
        <v/>
      </c>
      <c r="J72" s="474" t="str">
        <f>IFERROR(__xludf.DUMMYFUNCTION("""COMPUTED_VALUE"""),"")</f>
        <v/>
      </c>
      <c r="K72" s="474" t="str">
        <f>IFERROR(__xludf.DUMMYFUNCTION("""COMPUTED_VALUE"""),"")</f>
        <v/>
      </c>
      <c r="L72" s="474" t="str">
        <f>IFERROR(__xludf.DUMMYFUNCTION("""COMPUTED_VALUE"""),"")</f>
        <v/>
      </c>
      <c r="M72" s="474" t="str">
        <f>IFERROR(__xludf.DUMMYFUNCTION("""COMPUTED_VALUE"""),"")</f>
        <v/>
      </c>
      <c r="N72" s="474" t="str">
        <f>IFERROR(__xludf.DUMMYFUNCTION("""COMPUTED_VALUE"""),"")</f>
        <v/>
      </c>
      <c r="O72" s="474" t="str">
        <f>IFERROR(__xludf.DUMMYFUNCTION("""COMPUTED_VALUE"""),"")</f>
        <v/>
      </c>
      <c r="P72" s="474" t="str">
        <f>IFERROR(__xludf.DUMMYFUNCTION("""COMPUTED_VALUE"""),"")</f>
        <v/>
      </c>
      <c r="Q72" s="474" t="str">
        <f>IFERROR(__xludf.DUMMYFUNCTION("""COMPUTED_VALUE"""),"")</f>
        <v/>
      </c>
      <c r="R72" s="474" t="str">
        <f>IFERROR(__xludf.DUMMYFUNCTION("""COMPUTED_VALUE"""),"")</f>
        <v/>
      </c>
      <c r="S72" s="474" t="str">
        <f>IFERROR(__xludf.DUMMYFUNCTION("""COMPUTED_VALUE"""),"")</f>
        <v/>
      </c>
      <c r="T72" s="474" t="str">
        <f>IFERROR(__xludf.DUMMYFUNCTION("""COMPUTED_VALUE"""),"")</f>
        <v/>
      </c>
      <c r="U72" s="474" t="str">
        <f>IFERROR(__xludf.DUMMYFUNCTION("""COMPUTED_VALUE"""),"")</f>
        <v/>
      </c>
      <c r="V72" s="474" t="str">
        <f>IFERROR(__xludf.DUMMYFUNCTION("""COMPUTED_VALUE"""),"")</f>
        <v/>
      </c>
      <c r="W72" s="474" t="str">
        <f>IFERROR(__xludf.DUMMYFUNCTION("""COMPUTED_VALUE"""),"")</f>
        <v/>
      </c>
      <c r="X72" s="474" t="str">
        <f>IFERROR(__xludf.DUMMYFUNCTION("""COMPUTED_VALUE"""),"")</f>
        <v/>
      </c>
      <c r="Y72" s="474" t="str">
        <f>IFERROR(__xludf.DUMMYFUNCTION("""COMPUTED_VALUE"""),"")</f>
        <v/>
      </c>
      <c r="Z72" s="474" t="str">
        <f>IFERROR(__xludf.DUMMYFUNCTION("""COMPUTED_VALUE"""),"")</f>
        <v/>
      </c>
      <c r="AA72" s="474" t="str">
        <f>IFERROR(__xludf.DUMMYFUNCTION("""COMPUTED_VALUE"""),"")</f>
        <v/>
      </c>
      <c r="AB72" s="474" t="str">
        <f>IFERROR(__xludf.DUMMYFUNCTION("""COMPUTED_VALUE"""),"")</f>
        <v/>
      </c>
      <c r="AC72" s="475" t="str">
        <f>IFERROR(__xludf.DUMMYFUNCTION("""COMPUTED_VALUE"""),"")</f>
        <v/>
      </c>
      <c r="AD72" s="10"/>
      <c r="AE72" s="390"/>
    </row>
    <row r="73" hidden="1">
      <c r="A73" s="431">
        <f>IFERROR(__xludf.DUMMYFUNCTION("""COMPUTED_VALUE"""),8.0)</f>
        <v>8</v>
      </c>
      <c r="B73" s="432" t="str">
        <f>IFERROR(__xludf.DUMMYFUNCTION("""COMPUTED_VALUE"""),"")</f>
        <v/>
      </c>
      <c r="C73" s="432" t="str">
        <f>IFERROR(__xludf.DUMMYFUNCTION("""COMPUTED_VALUE"""),"")</f>
        <v/>
      </c>
      <c r="D73" s="433" t="str">
        <f>IFERROR(__xludf.DUMMYFUNCTION("""COMPUTED_VALUE"""),"")</f>
        <v/>
      </c>
      <c r="E73" s="434" t="str">
        <f>IFERROR(__xludf.DUMMYFUNCTION("""COMPUTED_VALUE"""),"")</f>
        <v/>
      </c>
      <c r="F73" s="435" t="str">
        <f>IFERROR(__xludf.DUMMYFUNCTION("""COMPUTED_VALUE"""),"")</f>
        <v/>
      </c>
      <c r="G73" s="476" t="str">
        <f>IFERROR(__xludf.DUMMYFUNCTION("""COMPUTED_VALUE"""),"")</f>
        <v/>
      </c>
      <c r="H73" s="461" t="str">
        <f>IFERROR(__xludf.DUMMYFUNCTION("""COMPUTED_VALUE"""),"")</f>
        <v/>
      </c>
      <c r="I73" s="477" t="str">
        <f>IFERROR(__xludf.DUMMYFUNCTION("""COMPUTED_VALUE"""),"")</f>
        <v/>
      </c>
      <c r="J73" s="478" t="str">
        <f>IFERROR(__xludf.DUMMYFUNCTION("""COMPUTED_VALUE"""),"")</f>
        <v/>
      </c>
      <c r="K73" s="478" t="str">
        <f>IFERROR(__xludf.DUMMYFUNCTION("""COMPUTED_VALUE"""),"")</f>
        <v/>
      </c>
      <c r="L73" s="478" t="str">
        <f>IFERROR(__xludf.DUMMYFUNCTION("""COMPUTED_VALUE"""),"")</f>
        <v/>
      </c>
      <c r="M73" s="478" t="str">
        <f>IFERROR(__xludf.DUMMYFUNCTION("""COMPUTED_VALUE"""),"")</f>
        <v/>
      </c>
      <c r="N73" s="478" t="str">
        <f>IFERROR(__xludf.DUMMYFUNCTION("""COMPUTED_VALUE"""),"")</f>
        <v/>
      </c>
      <c r="O73" s="478" t="str">
        <f>IFERROR(__xludf.DUMMYFUNCTION("""COMPUTED_VALUE"""),"")</f>
        <v/>
      </c>
      <c r="P73" s="478" t="str">
        <f>IFERROR(__xludf.DUMMYFUNCTION("""COMPUTED_VALUE"""),"")</f>
        <v/>
      </c>
      <c r="Q73" s="478" t="str">
        <f>IFERROR(__xludf.DUMMYFUNCTION("""COMPUTED_VALUE"""),"")</f>
        <v/>
      </c>
      <c r="R73" s="478" t="str">
        <f>IFERROR(__xludf.DUMMYFUNCTION("""COMPUTED_VALUE"""),"")</f>
        <v/>
      </c>
      <c r="S73" s="478" t="str">
        <f>IFERROR(__xludf.DUMMYFUNCTION("""COMPUTED_VALUE"""),"")</f>
        <v/>
      </c>
      <c r="T73" s="478" t="str">
        <f>IFERROR(__xludf.DUMMYFUNCTION("""COMPUTED_VALUE"""),"")</f>
        <v/>
      </c>
      <c r="U73" s="478" t="str">
        <f>IFERROR(__xludf.DUMMYFUNCTION("""COMPUTED_VALUE"""),"")</f>
        <v/>
      </c>
      <c r="V73" s="478" t="str">
        <f>IFERROR(__xludf.DUMMYFUNCTION("""COMPUTED_VALUE"""),"")</f>
        <v/>
      </c>
      <c r="W73" s="478" t="str">
        <f>IFERROR(__xludf.DUMMYFUNCTION("""COMPUTED_VALUE"""),"")</f>
        <v/>
      </c>
      <c r="X73" s="478" t="str">
        <f>IFERROR(__xludf.DUMMYFUNCTION("""COMPUTED_VALUE"""),"")</f>
        <v/>
      </c>
      <c r="Y73" s="478" t="str">
        <f>IFERROR(__xludf.DUMMYFUNCTION("""COMPUTED_VALUE"""),"")</f>
        <v/>
      </c>
      <c r="Z73" s="478" t="str">
        <f>IFERROR(__xludf.DUMMYFUNCTION("""COMPUTED_VALUE"""),"")</f>
        <v/>
      </c>
      <c r="AA73" s="478" t="str">
        <f>IFERROR(__xludf.DUMMYFUNCTION("""COMPUTED_VALUE"""),"")</f>
        <v/>
      </c>
      <c r="AB73" s="478" t="str">
        <f>IFERROR(__xludf.DUMMYFUNCTION("""COMPUTED_VALUE"""),"")</f>
        <v/>
      </c>
      <c r="AC73" s="479" t="str">
        <f>IFERROR(__xludf.DUMMYFUNCTION("""COMPUTED_VALUE"""),"")</f>
        <v/>
      </c>
      <c r="AD73" s="10"/>
      <c r="AE73" s="390"/>
    </row>
    <row r="74" hidden="1">
      <c r="A74" s="493" t="str">
        <f>IFERROR(__xludf.DUMMYFUNCTION("""COMPUTED_VALUE"""),"")</f>
        <v/>
      </c>
      <c r="B74" s="493" t="str">
        <f>IFERROR(__xludf.DUMMYFUNCTION("""COMPUTED_VALUE"""),"")</f>
        <v/>
      </c>
      <c r="C74" s="493" t="str">
        <f>IFERROR(__xludf.DUMMYFUNCTION("""COMPUTED_VALUE"""),"")</f>
        <v/>
      </c>
      <c r="D74" s="493" t="str">
        <f>IFERROR(__xludf.DUMMYFUNCTION("""COMPUTED_VALUE"""),"")</f>
        <v/>
      </c>
      <c r="E74" s="495" t="str">
        <f>IFERROR(__xludf.DUMMYFUNCTION("""COMPUTED_VALUE"""),"")</f>
        <v/>
      </c>
      <c r="F74" s="493" t="str">
        <f>IFERROR(__xludf.DUMMYFUNCTION("""COMPUTED_VALUE"""),"")</f>
        <v/>
      </c>
      <c r="G74" s="493" t="str">
        <f>IFERROR(__xludf.DUMMYFUNCTION("""COMPUTED_VALUE"""),"")</f>
        <v/>
      </c>
      <c r="H74" s="493" t="str">
        <f>IFERROR(__xludf.DUMMYFUNCTION("""COMPUTED_VALUE"""),"")</f>
        <v/>
      </c>
      <c r="I74" s="499" t="str">
        <f>IFERROR(__xludf.DUMMYFUNCTION("""COMPUTED_VALUE"""),"")</f>
        <v/>
      </c>
      <c r="J74" s="499" t="str">
        <f>IFERROR(__xludf.DUMMYFUNCTION("""COMPUTED_VALUE"""),"")</f>
        <v/>
      </c>
      <c r="K74" s="499" t="str">
        <f>IFERROR(__xludf.DUMMYFUNCTION("""COMPUTED_VALUE"""),"")</f>
        <v/>
      </c>
      <c r="L74" s="499" t="str">
        <f>IFERROR(__xludf.DUMMYFUNCTION("""COMPUTED_VALUE"""),"")</f>
        <v/>
      </c>
      <c r="M74" s="499" t="str">
        <f>IFERROR(__xludf.DUMMYFUNCTION("""COMPUTED_VALUE"""),"")</f>
        <v/>
      </c>
      <c r="N74" s="499" t="str">
        <f>IFERROR(__xludf.DUMMYFUNCTION("""COMPUTED_VALUE"""),"")</f>
        <v/>
      </c>
      <c r="O74" s="499" t="str">
        <f>IFERROR(__xludf.DUMMYFUNCTION("""COMPUTED_VALUE"""),"")</f>
        <v/>
      </c>
      <c r="P74" s="499" t="str">
        <f>IFERROR(__xludf.DUMMYFUNCTION("""COMPUTED_VALUE"""),"")</f>
        <v/>
      </c>
      <c r="Q74" s="499" t="str">
        <f>IFERROR(__xludf.DUMMYFUNCTION("""COMPUTED_VALUE"""),"")</f>
        <v/>
      </c>
      <c r="R74" s="499" t="str">
        <f>IFERROR(__xludf.DUMMYFUNCTION("""COMPUTED_VALUE"""),"")</f>
        <v/>
      </c>
      <c r="S74" s="499" t="str">
        <f>IFERROR(__xludf.DUMMYFUNCTION("""COMPUTED_VALUE"""),"")</f>
        <v/>
      </c>
      <c r="T74" s="499" t="str">
        <f>IFERROR(__xludf.DUMMYFUNCTION("""COMPUTED_VALUE"""),"")</f>
        <v/>
      </c>
      <c r="U74" s="499" t="str">
        <f>IFERROR(__xludf.DUMMYFUNCTION("""COMPUTED_VALUE"""),"")</f>
        <v/>
      </c>
      <c r="V74" s="499" t="str">
        <f>IFERROR(__xludf.DUMMYFUNCTION("""COMPUTED_VALUE"""),"")</f>
        <v/>
      </c>
      <c r="W74" s="499" t="str">
        <f>IFERROR(__xludf.DUMMYFUNCTION("""COMPUTED_VALUE"""),"")</f>
        <v/>
      </c>
      <c r="X74" s="499" t="str">
        <f>IFERROR(__xludf.DUMMYFUNCTION("""COMPUTED_VALUE"""),"")</f>
        <v/>
      </c>
      <c r="Y74" s="499" t="str">
        <f>IFERROR(__xludf.DUMMYFUNCTION("""COMPUTED_VALUE"""),"")</f>
        <v/>
      </c>
      <c r="Z74" s="499" t="str">
        <f>IFERROR(__xludf.DUMMYFUNCTION("""COMPUTED_VALUE"""),"")</f>
        <v/>
      </c>
      <c r="AA74" s="499" t="str">
        <f>IFERROR(__xludf.DUMMYFUNCTION("""COMPUTED_VALUE"""),"")</f>
        <v/>
      </c>
      <c r="AB74" s="499" t="str">
        <f>IFERROR(__xludf.DUMMYFUNCTION("""COMPUTED_VALUE"""),"")</f>
        <v/>
      </c>
      <c r="AC74" s="499" t="str">
        <f>IFERROR(__xludf.DUMMYFUNCTION("""COMPUTED_VALUE"""),"")</f>
        <v/>
      </c>
      <c r="AD74" s="496"/>
      <c r="AE74" s="497"/>
    </row>
    <row r="75" ht="41.25" hidden="1" customHeight="1">
      <c r="A75" s="391" t="str">
        <f>IFERROR(__xludf.DUMMYFUNCTION("""COMPUTED_VALUE"""),"")</f>
        <v/>
      </c>
      <c r="B75" s="440" t="str">
        <f>IFERROR(__xludf.DUMMYFUNCTION("""COMPUTED_VALUE"""),"")</f>
        <v/>
      </c>
      <c r="C75" s="392" t="str">
        <f>IFERROR(__xludf.DUMMYFUNCTION("""COMPUTED_VALUE"""),"HIDE")</f>
        <v>HIDE</v>
      </c>
      <c r="D75" s="392" t="str">
        <f>IFERROR(__xludf.DUMMYFUNCTION("""COMPUTED_VALUE"""),"")</f>
        <v/>
      </c>
      <c r="E75" s="393" t="str">
        <f>IFERROR(__xludf.DUMMYFUNCTION("""COMPUTED_VALUE"""),"Cost")</f>
        <v>Cost</v>
      </c>
      <c r="F75" s="394" t="str">
        <f>IFERROR(__xludf.DUMMYFUNCTION("""COMPUTED_VALUE"""),"# Runs")</f>
        <v># Runs</v>
      </c>
      <c r="G75" s="395" t="str">
        <f>IFERROR(__xludf.DUMMYFUNCTION("""COMPUTED_VALUE"""),"Status")</f>
        <v>Status</v>
      </c>
      <c r="H75" s="396" t="str">
        <f>IFERROR(__xludf.DUMMYFUNCTION("""COMPUTED_VALUE"""),"Currency/AP @ +0")</f>
        <v>Currency/AP @ +0</v>
      </c>
      <c r="I75" s="397">
        <f>IFERROR(__xludf.DUMMYFUNCTION("""COMPUTED_VALUE"""),0.0)</f>
        <v>0</v>
      </c>
      <c r="J75" s="398">
        <f>IFERROR(__xludf.DUMMYFUNCTION("""COMPUTED_VALUE"""),1.0)</f>
        <v>1</v>
      </c>
      <c r="K75" s="398">
        <f>IFERROR(__xludf.DUMMYFUNCTION("""COMPUTED_VALUE"""),2.0)</f>
        <v>2</v>
      </c>
      <c r="L75" s="398">
        <f>IFERROR(__xludf.DUMMYFUNCTION("""COMPUTED_VALUE"""),3.0)</f>
        <v>3</v>
      </c>
      <c r="M75" s="398">
        <f>IFERROR(__xludf.DUMMYFUNCTION("""COMPUTED_VALUE"""),4.0)</f>
        <v>4</v>
      </c>
      <c r="N75" s="398">
        <f>IFERROR(__xludf.DUMMYFUNCTION("""COMPUTED_VALUE"""),5.0)</f>
        <v>5</v>
      </c>
      <c r="O75" s="398">
        <f>IFERROR(__xludf.DUMMYFUNCTION("""COMPUTED_VALUE"""),6.0)</f>
        <v>6</v>
      </c>
      <c r="P75" s="398">
        <f>IFERROR(__xludf.DUMMYFUNCTION("""COMPUTED_VALUE"""),7.0)</f>
        <v>7</v>
      </c>
      <c r="Q75" s="398">
        <f>IFERROR(__xludf.DUMMYFUNCTION("""COMPUTED_VALUE"""),8.0)</f>
        <v>8</v>
      </c>
      <c r="R75" s="398">
        <f>IFERROR(__xludf.DUMMYFUNCTION("""COMPUTED_VALUE"""),9.0)</f>
        <v>9</v>
      </c>
      <c r="S75" s="398">
        <f>IFERROR(__xludf.DUMMYFUNCTION("""COMPUTED_VALUE"""),10.0)</f>
        <v>10</v>
      </c>
      <c r="T75" s="398">
        <f>IFERROR(__xludf.DUMMYFUNCTION("""COMPUTED_VALUE"""),11.0)</f>
        <v>11</v>
      </c>
      <c r="U75" s="398">
        <f>IFERROR(__xludf.DUMMYFUNCTION("""COMPUTED_VALUE"""),12.0)</f>
        <v>12</v>
      </c>
      <c r="V75" s="398">
        <f>IFERROR(__xludf.DUMMYFUNCTION("""COMPUTED_VALUE"""),13.0)</f>
        <v>13</v>
      </c>
      <c r="W75" s="398">
        <f>IFERROR(__xludf.DUMMYFUNCTION("""COMPUTED_VALUE"""),14.0)</f>
        <v>14</v>
      </c>
      <c r="X75" s="398">
        <f>IFERROR(__xludf.DUMMYFUNCTION("""COMPUTED_VALUE"""),15.0)</f>
        <v>15</v>
      </c>
      <c r="Y75" s="398">
        <f>IFERROR(__xludf.DUMMYFUNCTION("""COMPUTED_VALUE"""),16.0)</f>
        <v>16</v>
      </c>
      <c r="Z75" s="398">
        <f>IFERROR(__xludf.DUMMYFUNCTION("""COMPUTED_VALUE"""),17.0)</f>
        <v>17</v>
      </c>
      <c r="AA75" s="398">
        <f>IFERROR(__xludf.DUMMYFUNCTION("""COMPUTED_VALUE"""),18.0)</f>
        <v>18</v>
      </c>
      <c r="AB75" s="398">
        <f>IFERROR(__xludf.DUMMYFUNCTION("""COMPUTED_VALUE"""),19.0)</f>
        <v>19</v>
      </c>
      <c r="AC75" s="399">
        <f>IFERROR(__xludf.DUMMYFUNCTION("""COMPUTED_VALUE"""),20.0)</f>
        <v>20</v>
      </c>
      <c r="AD75" s="400"/>
      <c r="AE75" s="401"/>
    </row>
    <row r="76" hidden="1">
      <c r="A76" s="480" t="str">
        <f>IFERROR(__xludf.DUMMYFUNCTION("""COMPUTED_VALUE"""),"HIDE")</f>
        <v>HIDE</v>
      </c>
      <c r="B76" s="481" t="str">
        <f>IFERROR(__xludf.DUMMYFUNCTION("""COMPUTED_VALUE"""),"#N/A")</f>
        <v>#N/A</v>
      </c>
      <c r="C76" s="481" t="str">
        <f>IFERROR(__xludf.DUMMYFUNCTION("""COMPUTED_VALUE"""),"#N/A")</f>
        <v>#N/A</v>
      </c>
      <c r="D76" s="482" t="str">
        <f>IFERROR(__xludf.DUMMYFUNCTION("""COMPUTED_VALUE"""),"")</f>
        <v/>
      </c>
      <c r="E76" s="483" t="str">
        <f>IFERROR(__xludf.DUMMYFUNCTION("""COMPUTED_VALUE"""),"")</f>
        <v/>
      </c>
      <c r="F76" s="484" t="str">
        <f>IFERROR(__xludf.DUMMYFUNCTION("""COMPUTED_VALUE"""),"")</f>
        <v/>
      </c>
      <c r="G76" s="485" t="str">
        <f>IFERROR(__xludf.DUMMYFUNCTION("""COMPUTED_VALUE"""),"")</f>
        <v/>
      </c>
      <c r="H76" s="484" t="str">
        <f>IFERROR(__xludf.DUMMYFUNCTION("""COMPUTED_VALUE"""),"")</f>
        <v/>
      </c>
      <c r="I76" s="486" t="str">
        <f>IFERROR(__xludf.DUMMYFUNCTION("""COMPUTED_VALUE"""),"")</f>
        <v/>
      </c>
      <c r="J76" s="486" t="str">
        <f>IFERROR(__xludf.DUMMYFUNCTION("""COMPUTED_VALUE"""),"")</f>
        <v/>
      </c>
      <c r="K76" s="486" t="str">
        <f>IFERROR(__xludf.DUMMYFUNCTION("""COMPUTED_VALUE"""),"")</f>
        <v/>
      </c>
      <c r="L76" s="486" t="str">
        <f>IFERROR(__xludf.DUMMYFUNCTION("""COMPUTED_VALUE"""),"")</f>
        <v/>
      </c>
      <c r="M76" s="486" t="str">
        <f>IFERROR(__xludf.DUMMYFUNCTION("""COMPUTED_VALUE"""),"")</f>
        <v/>
      </c>
      <c r="N76" s="486" t="str">
        <f>IFERROR(__xludf.DUMMYFUNCTION("""COMPUTED_VALUE"""),"")</f>
        <v/>
      </c>
      <c r="O76" s="486" t="str">
        <f>IFERROR(__xludf.DUMMYFUNCTION("""COMPUTED_VALUE"""),"")</f>
        <v/>
      </c>
      <c r="P76" s="486" t="str">
        <f>IFERROR(__xludf.DUMMYFUNCTION("""COMPUTED_VALUE"""),"")</f>
        <v/>
      </c>
      <c r="Q76" s="486" t="str">
        <f>IFERROR(__xludf.DUMMYFUNCTION("""COMPUTED_VALUE"""),"")</f>
        <v/>
      </c>
      <c r="R76" s="486" t="str">
        <f>IFERROR(__xludf.DUMMYFUNCTION("""COMPUTED_VALUE"""),"")</f>
        <v/>
      </c>
      <c r="S76" s="486" t="str">
        <f>IFERROR(__xludf.DUMMYFUNCTION("""COMPUTED_VALUE"""),"")</f>
        <v/>
      </c>
      <c r="T76" s="486" t="str">
        <f>IFERROR(__xludf.DUMMYFUNCTION("""COMPUTED_VALUE"""),"")</f>
        <v/>
      </c>
      <c r="U76" s="486" t="str">
        <f>IFERROR(__xludf.DUMMYFUNCTION("""COMPUTED_VALUE"""),"")</f>
        <v/>
      </c>
      <c r="V76" s="486" t="str">
        <f>IFERROR(__xludf.DUMMYFUNCTION("""COMPUTED_VALUE"""),"")</f>
        <v/>
      </c>
      <c r="W76" s="486" t="str">
        <f>IFERROR(__xludf.DUMMYFUNCTION("""COMPUTED_VALUE"""),"")</f>
        <v/>
      </c>
      <c r="X76" s="486" t="str">
        <f>IFERROR(__xludf.DUMMYFUNCTION("""COMPUTED_VALUE"""),"")</f>
        <v/>
      </c>
      <c r="Y76" s="486" t="str">
        <f>IFERROR(__xludf.DUMMYFUNCTION("""COMPUTED_VALUE"""),"")</f>
        <v/>
      </c>
      <c r="Z76" s="486" t="str">
        <f>IFERROR(__xludf.DUMMYFUNCTION("""COMPUTED_VALUE"""),"")</f>
        <v/>
      </c>
      <c r="AA76" s="486" t="str">
        <f>IFERROR(__xludf.DUMMYFUNCTION("""COMPUTED_VALUE"""),"")</f>
        <v/>
      </c>
      <c r="AB76" s="486" t="str">
        <f>IFERROR(__xludf.DUMMYFUNCTION("""COMPUTED_VALUE"""),"")</f>
        <v/>
      </c>
      <c r="AC76" s="487" t="str">
        <f>IFERROR(__xludf.DUMMYFUNCTION("""COMPUTED_VALUE"""),"")</f>
        <v/>
      </c>
      <c r="AD76" s="488"/>
      <c r="AE76" s="489"/>
    </row>
    <row r="77" hidden="1">
      <c r="A77" s="463" t="str">
        <f>IFERROR(__xludf.DUMMYFUNCTION("""COMPUTED_VALUE"""),"BEST NOW")</f>
        <v>BEST NOW</v>
      </c>
      <c r="B77" s="464" t="str">
        <f>IFERROR(__xludf.DUMMYFUNCTION("""COMPUTED_VALUE"""),"")</f>
        <v/>
      </c>
      <c r="C77" s="464" t="str">
        <f>IFERROR(__xludf.DUMMYFUNCTION("""COMPUTED_VALUE"""),"")</f>
        <v/>
      </c>
      <c r="D77" s="465" t="str">
        <f>IFERROR(__xludf.DUMMYFUNCTION("""COMPUTED_VALUE"""),"")</f>
        <v/>
      </c>
      <c r="E77" s="466" t="str">
        <f>IFERROR(__xludf.DUMMYFUNCTION("""COMPUTED_VALUE"""),"")</f>
        <v/>
      </c>
      <c r="F77" s="467" t="str">
        <f>IFERROR(__xludf.DUMMYFUNCTION("""COMPUTED_VALUE"""),"")</f>
        <v/>
      </c>
      <c r="G77" s="468" t="str">
        <f>IFERROR(__xludf.DUMMYFUNCTION("""COMPUTED_VALUE"""),"")</f>
        <v/>
      </c>
      <c r="H77" s="469" t="str">
        <f>IFERROR(__xludf.DUMMYFUNCTION("""COMPUTED_VALUE"""),"")</f>
        <v/>
      </c>
      <c r="I77" s="500" t="str">
        <f>IFERROR(__xludf.DUMMYFUNCTION("""COMPUTED_VALUE"""),"")</f>
        <v/>
      </c>
      <c r="J77" s="471" t="str">
        <f>IFERROR(__xludf.DUMMYFUNCTION("""COMPUTED_VALUE"""),"")</f>
        <v/>
      </c>
      <c r="K77" s="471" t="str">
        <f>IFERROR(__xludf.DUMMYFUNCTION("""COMPUTED_VALUE"""),"")</f>
        <v/>
      </c>
      <c r="L77" s="471" t="str">
        <f>IFERROR(__xludf.DUMMYFUNCTION("""COMPUTED_VALUE"""),"")</f>
        <v/>
      </c>
      <c r="M77" s="471" t="str">
        <f>IFERROR(__xludf.DUMMYFUNCTION("""COMPUTED_VALUE"""),"")</f>
        <v/>
      </c>
      <c r="N77" s="471" t="str">
        <f>IFERROR(__xludf.DUMMYFUNCTION("""COMPUTED_VALUE"""),"")</f>
        <v/>
      </c>
      <c r="O77" s="471" t="str">
        <f>IFERROR(__xludf.DUMMYFUNCTION("""COMPUTED_VALUE"""),"")</f>
        <v/>
      </c>
      <c r="P77" s="471" t="str">
        <f>IFERROR(__xludf.DUMMYFUNCTION("""COMPUTED_VALUE"""),"")</f>
        <v/>
      </c>
      <c r="Q77" s="471" t="str">
        <f>IFERROR(__xludf.DUMMYFUNCTION("""COMPUTED_VALUE"""),"")</f>
        <v/>
      </c>
      <c r="R77" s="471" t="str">
        <f>IFERROR(__xludf.DUMMYFUNCTION("""COMPUTED_VALUE"""),"")</f>
        <v/>
      </c>
      <c r="S77" s="471" t="str">
        <f>IFERROR(__xludf.DUMMYFUNCTION("""COMPUTED_VALUE"""),"")</f>
        <v/>
      </c>
      <c r="T77" s="471" t="str">
        <f>IFERROR(__xludf.DUMMYFUNCTION("""COMPUTED_VALUE"""),"")</f>
        <v/>
      </c>
      <c r="U77" s="471" t="str">
        <f>IFERROR(__xludf.DUMMYFUNCTION("""COMPUTED_VALUE"""),"")</f>
        <v/>
      </c>
      <c r="V77" s="471" t="str">
        <f>IFERROR(__xludf.DUMMYFUNCTION("""COMPUTED_VALUE"""),"")</f>
        <v/>
      </c>
      <c r="W77" s="471" t="str">
        <f>IFERROR(__xludf.DUMMYFUNCTION("""COMPUTED_VALUE"""),"")</f>
        <v/>
      </c>
      <c r="X77" s="471" t="str">
        <f>IFERROR(__xludf.DUMMYFUNCTION("""COMPUTED_VALUE"""),"")</f>
        <v/>
      </c>
      <c r="Y77" s="471" t="str">
        <f>IFERROR(__xludf.DUMMYFUNCTION("""COMPUTED_VALUE"""),"")</f>
        <v/>
      </c>
      <c r="Z77" s="471" t="str">
        <f>IFERROR(__xludf.DUMMYFUNCTION("""COMPUTED_VALUE"""),"")</f>
        <v/>
      </c>
      <c r="AA77" s="471" t="str">
        <f>IFERROR(__xludf.DUMMYFUNCTION("""COMPUTED_VALUE"""),"")</f>
        <v/>
      </c>
      <c r="AB77" s="471" t="str">
        <f>IFERROR(__xludf.DUMMYFUNCTION("""COMPUTED_VALUE"""),"")</f>
        <v/>
      </c>
      <c r="AC77" s="472" t="str">
        <f>IFERROR(__xludf.DUMMYFUNCTION("""COMPUTED_VALUE"""),"")</f>
        <v/>
      </c>
      <c r="AD77" s="10"/>
      <c r="AE77" s="6"/>
    </row>
    <row r="78" hidden="1">
      <c r="A78" s="450">
        <f>IFERROR(__xludf.DUMMYFUNCTION("""COMPUTED_VALUE"""),1.0)</f>
        <v>1</v>
      </c>
      <c r="B78" s="451" t="str">
        <f>IFERROR(__xludf.DUMMYFUNCTION("""COMPUTED_VALUE"""),"")</f>
        <v/>
      </c>
      <c r="C78" s="422" t="str">
        <f>IFERROR(__xludf.DUMMYFUNCTION("""COMPUTED_VALUE"""),"")</f>
        <v/>
      </c>
      <c r="D78" s="452" t="str">
        <f>IFERROR(__xludf.DUMMYFUNCTION("""COMPUTED_VALUE"""),"")</f>
        <v/>
      </c>
      <c r="E78" s="453" t="str">
        <f>IFERROR(__xludf.DUMMYFUNCTION("""COMPUTED_VALUE"""),"")</f>
        <v/>
      </c>
      <c r="F78" s="454" t="str">
        <f>IFERROR(__xludf.DUMMYFUNCTION("""COMPUTED_VALUE"""),"")</f>
        <v/>
      </c>
      <c r="G78" s="491" t="str">
        <f>IFERROR(__xludf.DUMMYFUNCTION("""COMPUTED_VALUE"""),"")</f>
        <v/>
      </c>
      <c r="H78" s="455" t="str">
        <f>IFERROR(__xludf.DUMMYFUNCTION("""COMPUTED_VALUE"""),"")</f>
        <v/>
      </c>
      <c r="I78" s="473" t="str">
        <f>IFERROR(__xludf.DUMMYFUNCTION("""COMPUTED_VALUE"""),"")</f>
        <v/>
      </c>
      <c r="J78" s="474" t="str">
        <f>IFERROR(__xludf.DUMMYFUNCTION("""COMPUTED_VALUE"""),"")</f>
        <v/>
      </c>
      <c r="K78" s="474" t="str">
        <f>IFERROR(__xludf.DUMMYFUNCTION("""COMPUTED_VALUE"""),"")</f>
        <v/>
      </c>
      <c r="L78" s="474" t="str">
        <f>IFERROR(__xludf.DUMMYFUNCTION("""COMPUTED_VALUE"""),"")</f>
        <v/>
      </c>
      <c r="M78" s="474" t="str">
        <f>IFERROR(__xludf.DUMMYFUNCTION("""COMPUTED_VALUE"""),"")</f>
        <v/>
      </c>
      <c r="N78" s="474" t="str">
        <f>IFERROR(__xludf.DUMMYFUNCTION("""COMPUTED_VALUE"""),"")</f>
        <v/>
      </c>
      <c r="O78" s="474" t="str">
        <f>IFERROR(__xludf.DUMMYFUNCTION("""COMPUTED_VALUE"""),"")</f>
        <v/>
      </c>
      <c r="P78" s="474" t="str">
        <f>IFERROR(__xludf.DUMMYFUNCTION("""COMPUTED_VALUE"""),"")</f>
        <v/>
      </c>
      <c r="Q78" s="474" t="str">
        <f>IFERROR(__xludf.DUMMYFUNCTION("""COMPUTED_VALUE"""),"")</f>
        <v/>
      </c>
      <c r="R78" s="474" t="str">
        <f>IFERROR(__xludf.DUMMYFUNCTION("""COMPUTED_VALUE"""),"")</f>
        <v/>
      </c>
      <c r="S78" s="474" t="str">
        <f>IFERROR(__xludf.DUMMYFUNCTION("""COMPUTED_VALUE"""),"")</f>
        <v/>
      </c>
      <c r="T78" s="474" t="str">
        <f>IFERROR(__xludf.DUMMYFUNCTION("""COMPUTED_VALUE"""),"")</f>
        <v/>
      </c>
      <c r="U78" s="474" t="str">
        <f>IFERROR(__xludf.DUMMYFUNCTION("""COMPUTED_VALUE"""),"")</f>
        <v/>
      </c>
      <c r="V78" s="474" t="str">
        <f>IFERROR(__xludf.DUMMYFUNCTION("""COMPUTED_VALUE"""),"")</f>
        <v/>
      </c>
      <c r="W78" s="474" t="str">
        <f>IFERROR(__xludf.DUMMYFUNCTION("""COMPUTED_VALUE"""),"")</f>
        <v/>
      </c>
      <c r="X78" s="474" t="str">
        <f>IFERROR(__xludf.DUMMYFUNCTION("""COMPUTED_VALUE"""),"")</f>
        <v/>
      </c>
      <c r="Y78" s="474" t="str">
        <f>IFERROR(__xludf.DUMMYFUNCTION("""COMPUTED_VALUE"""),"")</f>
        <v/>
      </c>
      <c r="Z78" s="474" t="str">
        <f>IFERROR(__xludf.DUMMYFUNCTION("""COMPUTED_VALUE"""),"")</f>
        <v/>
      </c>
      <c r="AA78" s="474" t="str">
        <f>IFERROR(__xludf.DUMMYFUNCTION("""COMPUTED_VALUE"""),"")</f>
        <v/>
      </c>
      <c r="AB78" s="474" t="str">
        <f>IFERROR(__xludf.DUMMYFUNCTION("""COMPUTED_VALUE"""),"")</f>
        <v/>
      </c>
      <c r="AC78" s="475" t="str">
        <f>IFERROR(__xludf.DUMMYFUNCTION("""COMPUTED_VALUE"""),"")</f>
        <v/>
      </c>
      <c r="AD78" s="10"/>
      <c r="AE78" s="390"/>
    </row>
    <row r="79" hidden="1">
      <c r="A79" s="421">
        <f>IFERROR(__xludf.DUMMYFUNCTION("""COMPUTED_VALUE"""),2.0)</f>
        <v>2</v>
      </c>
      <c r="B79" s="422" t="str">
        <f>IFERROR(__xludf.DUMMYFUNCTION("""COMPUTED_VALUE"""),"")</f>
        <v/>
      </c>
      <c r="C79" s="422" t="str">
        <f>IFERROR(__xludf.DUMMYFUNCTION("""COMPUTED_VALUE"""),"")</f>
        <v/>
      </c>
      <c r="D79" s="423" t="str">
        <f>IFERROR(__xludf.DUMMYFUNCTION("""COMPUTED_VALUE"""),"")</f>
        <v/>
      </c>
      <c r="E79" s="424" t="str">
        <f>IFERROR(__xludf.DUMMYFUNCTION("""COMPUTED_VALUE"""),"")</f>
        <v/>
      </c>
      <c r="F79" s="425" t="str">
        <f>IFERROR(__xludf.DUMMYFUNCTION("""COMPUTED_VALUE"""),"")</f>
        <v/>
      </c>
      <c r="G79" s="491" t="str">
        <f>IFERROR(__xludf.DUMMYFUNCTION("""COMPUTED_VALUE"""),"")</f>
        <v/>
      </c>
      <c r="H79" s="457" t="str">
        <f>IFERROR(__xludf.DUMMYFUNCTION("""COMPUTED_VALUE"""),"")</f>
        <v/>
      </c>
      <c r="I79" s="473" t="str">
        <f>IFERROR(__xludf.DUMMYFUNCTION("""COMPUTED_VALUE"""),"")</f>
        <v/>
      </c>
      <c r="J79" s="474" t="str">
        <f>IFERROR(__xludf.DUMMYFUNCTION("""COMPUTED_VALUE"""),"")</f>
        <v/>
      </c>
      <c r="K79" s="474" t="str">
        <f>IFERROR(__xludf.DUMMYFUNCTION("""COMPUTED_VALUE"""),"")</f>
        <v/>
      </c>
      <c r="L79" s="474" t="str">
        <f>IFERROR(__xludf.DUMMYFUNCTION("""COMPUTED_VALUE"""),"")</f>
        <v/>
      </c>
      <c r="M79" s="474" t="str">
        <f>IFERROR(__xludf.DUMMYFUNCTION("""COMPUTED_VALUE"""),"")</f>
        <v/>
      </c>
      <c r="N79" s="474" t="str">
        <f>IFERROR(__xludf.DUMMYFUNCTION("""COMPUTED_VALUE"""),"")</f>
        <v/>
      </c>
      <c r="O79" s="474" t="str">
        <f>IFERROR(__xludf.DUMMYFUNCTION("""COMPUTED_VALUE"""),"")</f>
        <v/>
      </c>
      <c r="P79" s="474" t="str">
        <f>IFERROR(__xludf.DUMMYFUNCTION("""COMPUTED_VALUE"""),"")</f>
        <v/>
      </c>
      <c r="Q79" s="474" t="str">
        <f>IFERROR(__xludf.DUMMYFUNCTION("""COMPUTED_VALUE"""),"")</f>
        <v/>
      </c>
      <c r="R79" s="474" t="str">
        <f>IFERROR(__xludf.DUMMYFUNCTION("""COMPUTED_VALUE"""),"")</f>
        <v/>
      </c>
      <c r="S79" s="474" t="str">
        <f>IFERROR(__xludf.DUMMYFUNCTION("""COMPUTED_VALUE"""),"")</f>
        <v/>
      </c>
      <c r="T79" s="474" t="str">
        <f>IFERROR(__xludf.DUMMYFUNCTION("""COMPUTED_VALUE"""),"")</f>
        <v/>
      </c>
      <c r="U79" s="474" t="str">
        <f>IFERROR(__xludf.DUMMYFUNCTION("""COMPUTED_VALUE"""),"")</f>
        <v/>
      </c>
      <c r="V79" s="474" t="str">
        <f>IFERROR(__xludf.DUMMYFUNCTION("""COMPUTED_VALUE"""),"")</f>
        <v/>
      </c>
      <c r="W79" s="474" t="str">
        <f>IFERROR(__xludf.DUMMYFUNCTION("""COMPUTED_VALUE"""),"")</f>
        <v/>
      </c>
      <c r="X79" s="474" t="str">
        <f>IFERROR(__xludf.DUMMYFUNCTION("""COMPUTED_VALUE"""),"")</f>
        <v/>
      </c>
      <c r="Y79" s="474" t="str">
        <f>IFERROR(__xludf.DUMMYFUNCTION("""COMPUTED_VALUE"""),"")</f>
        <v/>
      </c>
      <c r="Z79" s="474" t="str">
        <f>IFERROR(__xludf.DUMMYFUNCTION("""COMPUTED_VALUE"""),"")</f>
        <v/>
      </c>
      <c r="AA79" s="474" t="str">
        <f>IFERROR(__xludf.DUMMYFUNCTION("""COMPUTED_VALUE"""),"")</f>
        <v/>
      </c>
      <c r="AB79" s="474" t="str">
        <f>IFERROR(__xludf.DUMMYFUNCTION("""COMPUTED_VALUE"""),"")</f>
        <v/>
      </c>
      <c r="AC79" s="475" t="str">
        <f>IFERROR(__xludf.DUMMYFUNCTION("""COMPUTED_VALUE"""),"")</f>
        <v/>
      </c>
      <c r="AD79" s="10"/>
      <c r="AE79" s="390"/>
    </row>
    <row r="80" hidden="1">
      <c r="A80" s="421">
        <f>IFERROR(__xludf.DUMMYFUNCTION("""COMPUTED_VALUE"""),3.0)</f>
        <v>3</v>
      </c>
      <c r="B80" s="422" t="str">
        <f>IFERROR(__xludf.DUMMYFUNCTION("""COMPUTED_VALUE"""),"")</f>
        <v/>
      </c>
      <c r="C80" s="422" t="str">
        <f>IFERROR(__xludf.DUMMYFUNCTION("""COMPUTED_VALUE"""),"")</f>
        <v/>
      </c>
      <c r="D80" s="423" t="str">
        <f>IFERROR(__xludf.DUMMYFUNCTION("""COMPUTED_VALUE"""),"")</f>
        <v/>
      </c>
      <c r="E80" s="424" t="str">
        <f>IFERROR(__xludf.DUMMYFUNCTION("""COMPUTED_VALUE"""),"")</f>
        <v/>
      </c>
      <c r="F80" s="425" t="str">
        <f>IFERROR(__xludf.DUMMYFUNCTION("""COMPUTED_VALUE"""),"")</f>
        <v/>
      </c>
      <c r="G80" s="492" t="str">
        <f>IFERROR(__xludf.DUMMYFUNCTION("""COMPUTED_VALUE"""),"")</f>
        <v/>
      </c>
      <c r="H80" s="457" t="str">
        <f>IFERROR(__xludf.DUMMYFUNCTION("""COMPUTED_VALUE"""),"")</f>
        <v/>
      </c>
      <c r="I80" s="473" t="str">
        <f>IFERROR(__xludf.DUMMYFUNCTION("""COMPUTED_VALUE"""),"")</f>
        <v/>
      </c>
      <c r="J80" s="474" t="str">
        <f>IFERROR(__xludf.DUMMYFUNCTION("""COMPUTED_VALUE"""),"")</f>
        <v/>
      </c>
      <c r="K80" s="474" t="str">
        <f>IFERROR(__xludf.DUMMYFUNCTION("""COMPUTED_VALUE"""),"")</f>
        <v/>
      </c>
      <c r="L80" s="474" t="str">
        <f>IFERROR(__xludf.DUMMYFUNCTION("""COMPUTED_VALUE"""),"")</f>
        <v/>
      </c>
      <c r="M80" s="474" t="str">
        <f>IFERROR(__xludf.DUMMYFUNCTION("""COMPUTED_VALUE"""),"")</f>
        <v/>
      </c>
      <c r="N80" s="474" t="str">
        <f>IFERROR(__xludf.DUMMYFUNCTION("""COMPUTED_VALUE"""),"")</f>
        <v/>
      </c>
      <c r="O80" s="474" t="str">
        <f>IFERROR(__xludf.DUMMYFUNCTION("""COMPUTED_VALUE"""),"")</f>
        <v/>
      </c>
      <c r="P80" s="474" t="str">
        <f>IFERROR(__xludf.DUMMYFUNCTION("""COMPUTED_VALUE"""),"")</f>
        <v/>
      </c>
      <c r="Q80" s="474" t="str">
        <f>IFERROR(__xludf.DUMMYFUNCTION("""COMPUTED_VALUE"""),"")</f>
        <v/>
      </c>
      <c r="R80" s="474" t="str">
        <f>IFERROR(__xludf.DUMMYFUNCTION("""COMPUTED_VALUE"""),"")</f>
        <v/>
      </c>
      <c r="S80" s="474" t="str">
        <f>IFERROR(__xludf.DUMMYFUNCTION("""COMPUTED_VALUE"""),"")</f>
        <v/>
      </c>
      <c r="T80" s="474" t="str">
        <f>IFERROR(__xludf.DUMMYFUNCTION("""COMPUTED_VALUE"""),"")</f>
        <v/>
      </c>
      <c r="U80" s="474" t="str">
        <f>IFERROR(__xludf.DUMMYFUNCTION("""COMPUTED_VALUE"""),"")</f>
        <v/>
      </c>
      <c r="V80" s="474" t="str">
        <f>IFERROR(__xludf.DUMMYFUNCTION("""COMPUTED_VALUE"""),"")</f>
        <v/>
      </c>
      <c r="W80" s="474" t="str">
        <f>IFERROR(__xludf.DUMMYFUNCTION("""COMPUTED_VALUE"""),"")</f>
        <v/>
      </c>
      <c r="X80" s="474" t="str">
        <f>IFERROR(__xludf.DUMMYFUNCTION("""COMPUTED_VALUE"""),"")</f>
        <v/>
      </c>
      <c r="Y80" s="474" t="str">
        <f>IFERROR(__xludf.DUMMYFUNCTION("""COMPUTED_VALUE"""),"")</f>
        <v/>
      </c>
      <c r="Z80" s="474" t="str">
        <f>IFERROR(__xludf.DUMMYFUNCTION("""COMPUTED_VALUE"""),"")</f>
        <v/>
      </c>
      <c r="AA80" s="474" t="str">
        <f>IFERROR(__xludf.DUMMYFUNCTION("""COMPUTED_VALUE"""),"")</f>
        <v/>
      </c>
      <c r="AB80" s="474" t="str">
        <f>IFERROR(__xludf.DUMMYFUNCTION("""COMPUTED_VALUE"""),"")</f>
        <v/>
      </c>
      <c r="AC80" s="475" t="str">
        <f>IFERROR(__xludf.DUMMYFUNCTION("""COMPUTED_VALUE"""),"")</f>
        <v/>
      </c>
      <c r="AD80" s="10"/>
      <c r="AE80" s="390"/>
    </row>
    <row r="81" hidden="1">
      <c r="A81" s="421">
        <f>IFERROR(__xludf.DUMMYFUNCTION("""COMPUTED_VALUE"""),4.0)</f>
        <v>4</v>
      </c>
      <c r="B81" s="422" t="str">
        <f>IFERROR(__xludf.DUMMYFUNCTION("""COMPUTED_VALUE"""),"")</f>
        <v/>
      </c>
      <c r="C81" s="422" t="str">
        <f>IFERROR(__xludf.DUMMYFUNCTION("""COMPUTED_VALUE"""),"")</f>
        <v/>
      </c>
      <c r="D81" s="423" t="str">
        <f>IFERROR(__xludf.DUMMYFUNCTION("""COMPUTED_VALUE"""),"")</f>
        <v/>
      </c>
      <c r="E81" s="424" t="str">
        <f>IFERROR(__xludf.DUMMYFUNCTION("""COMPUTED_VALUE"""),"")</f>
        <v/>
      </c>
      <c r="F81" s="425" t="str">
        <f>IFERROR(__xludf.DUMMYFUNCTION("""COMPUTED_VALUE"""),"")</f>
        <v/>
      </c>
      <c r="G81" s="492" t="str">
        <f>IFERROR(__xludf.DUMMYFUNCTION("""COMPUTED_VALUE"""),"")</f>
        <v/>
      </c>
      <c r="H81" s="457" t="str">
        <f>IFERROR(__xludf.DUMMYFUNCTION("""COMPUTED_VALUE"""),"")</f>
        <v/>
      </c>
      <c r="I81" s="473" t="str">
        <f>IFERROR(__xludf.DUMMYFUNCTION("""COMPUTED_VALUE"""),"")</f>
        <v/>
      </c>
      <c r="J81" s="474" t="str">
        <f>IFERROR(__xludf.DUMMYFUNCTION("""COMPUTED_VALUE"""),"")</f>
        <v/>
      </c>
      <c r="K81" s="474" t="str">
        <f>IFERROR(__xludf.DUMMYFUNCTION("""COMPUTED_VALUE"""),"")</f>
        <v/>
      </c>
      <c r="L81" s="474" t="str">
        <f>IFERROR(__xludf.DUMMYFUNCTION("""COMPUTED_VALUE"""),"")</f>
        <v/>
      </c>
      <c r="M81" s="474" t="str">
        <f>IFERROR(__xludf.DUMMYFUNCTION("""COMPUTED_VALUE"""),"")</f>
        <v/>
      </c>
      <c r="N81" s="474" t="str">
        <f>IFERROR(__xludf.DUMMYFUNCTION("""COMPUTED_VALUE"""),"")</f>
        <v/>
      </c>
      <c r="O81" s="474" t="str">
        <f>IFERROR(__xludf.DUMMYFUNCTION("""COMPUTED_VALUE"""),"")</f>
        <v/>
      </c>
      <c r="P81" s="474" t="str">
        <f>IFERROR(__xludf.DUMMYFUNCTION("""COMPUTED_VALUE"""),"")</f>
        <v/>
      </c>
      <c r="Q81" s="474" t="str">
        <f>IFERROR(__xludf.DUMMYFUNCTION("""COMPUTED_VALUE"""),"")</f>
        <v/>
      </c>
      <c r="R81" s="474" t="str">
        <f>IFERROR(__xludf.DUMMYFUNCTION("""COMPUTED_VALUE"""),"")</f>
        <v/>
      </c>
      <c r="S81" s="474" t="str">
        <f>IFERROR(__xludf.DUMMYFUNCTION("""COMPUTED_VALUE"""),"")</f>
        <v/>
      </c>
      <c r="T81" s="474" t="str">
        <f>IFERROR(__xludf.DUMMYFUNCTION("""COMPUTED_VALUE"""),"")</f>
        <v/>
      </c>
      <c r="U81" s="474" t="str">
        <f>IFERROR(__xludf.DUMMYFUNCTION("""COMPUTED_VALUE"""),"")</f>
        <v/>
      </c>
      <c r="V81" s="474" t="str">
        <f>IFERROR(__xludf.DUMMYFUNCTION("""COMPUTED_VALUE"""),"")</f>
        <v/>
      </c>
      <c r="W81" s="474" t="str">
        <f>IFERROR(__xludf.DUMMYFUNCTION("""COMPUTED_VALUE"""),"")</f>
        <v/>
      </c>
      <c r="X81" s="474" t="str">
        <f>IFERROR(__xludf.DUMMYFUNCTION("""COMPUTED_VALUE"""),"")</f>
        <v/>
      </c>
      <c r="Y81" s="474" t="str">
        <f>IFERROR(__xludf.DUMMYFUNCTION("""COMPUTED_VALUE"""),"")</f>
        <v/>
      </c>
      <c r="Z81" s="474" t="str">
        <f>IFERROR(__xludf.DUMMYFUNCTION("""COMPUTED_VALUE"""),"")</f>
        <v/>
      </c>
      <c r="AA81" s="474" t="str">
        <f>IFERROR(__xludf.DUMMYFUNCTION("""COMPUTED_VALUE"""),"")</f>
        <v/>
      </c>
      <c r="AB81" s="474" t="str">
        <f>IFERROR(__xludf.DUMMYFUNCTION("""COMPUTED_VALUE"""),"")</f>
        <v/>
      </c>
      <c r="AC81" s="475" t="str">
        <f>IFERROR(__xludf.DUMMYFUNCTION("""COMPUTED_VALUE"""),"")</f>
        <v/>
      </c>
      <c r="AD81" s="10"/>
      <c r="AE81" s="390"/>
    </row>
    <row r="82" hidden="1">
      <c r="A82" s="421">
        <f>IFERROR(__xludf.DUMMYFUNCTION("""COMPUTED_VALUE"""),5.0)</f>
        <v>5</v>
      </c>
      <c r="B82" s="422" t="str">
        <f>IFERROR(__xludf.DUMMYFUNCTION("""COMPUTED_VALUE"""),"")</f>
        <v/>
      </c>
      <c r="C82" s="422" t="str">
        <f>IFERROR(__xludf.DUMMYFUNCTION("""COMPUTED_VALUE"""),"")</f>
        <v/>
      </c>
      <c r="D82" s="423" t="str">
        <f>IFERROR(__xludf.DUMMYFUNCTION("""COMPUTED_VALUE"""),"")</f>
        <v/>
      </c>
      <c r="E82" s="424" t="str">
        <f>IFERROR(__xludf.DUMMYFUNCTION("""COMPUTED_VALUE"""),"")</f>
        <v/>
      </c>
      <c r="F82" s="425" t="str">
        <f>IFERROR(__xludf.DUMMYFUNCTION("""COMPUTED_VALUE"""),"")</f>
        <v/>
      </c>
      <c r="G82" s="426" t="str">
        <f>IFERROR(__xludf.DUMMYFUNCTION("""COMPUTED_VALUE"""),"")</f>
        <v/>
      </c>
      <c r="H82" s="457" t="str">
        <f>IFERROR(__xludf.DUMMYFUNCTION("""COMPUTED_VALUE"""),"")</f>
        <v/>
      </c>
      <c r="I82" s="473" t="str">
        <f>IFERROR(__xludf.DUMMYFUNCTION("""COMPUTED_VALUE"""),"")</f>
        <v/>
      </c>
      <c r="J82" s="474" t="str">
        <f>IFERROR(__xludf.DUMMYFUNCTION("""COMPUTED_VALUE"""),"")</f>
        <v/>
      </c>
      <c r="K82" s="474" t="str">
        <f>IFERROR(__xludf.DUMMYFUNCTION("""COMPUTED_VALUE"""),"")</f>
        <v/>
      </c>
      <c r="L82" s="474" t="str">
        <f>IFERROR(__xludf.DUMMYFUNCTION("""COMPUTED_VALUE"""),"")</f>
        <v/>
      </c>
      <c r="M82" s="474" t="str">
        <f>IFERROR(__xludf.DUMMYFUNCTION("""COMPUTED_VALUE"""),"")</f>
        <v/>
      </c>
      <c r="N82" s="474" t="str">
        <f>IFERROR(__xludf.DUMMYFUNCTION("""COMPUTED_VALUE"""),"")</f>
        <v/>
      </c>
      <c r="O82" s="474" t="str">
        <f>IFERROR(__xludf.DUMMYFUNCTION("""COMPUTED_VALUE"""),"")</f>
        <v/>
      </c>
      <c r="P82" s="474" t="str">
        <f>IFERROR(__xludf.DUMMYFUNCTION("""COMPUTED_VALUE"""),"")</f>
        <v/>
      </c>
      <c r="Q82" s="474" t="str">
        <f>IFERROR(__xludf.DUMMYFUNCTION("""COMPUTED_VALUE"""),"")</f>
        <v/>
      </c>
      <c r="R82" s="474" t="str">
        <f>IFERROR(__xludf.DUMMYFUNCTION("""COMPUTED_VALUE"""),"")</f>
        <v/>
      </c>
      <c r="S82" s="474" t="str">
        <f>IFERROR(__xludf.DUMMYFUNCTION("""COMPUTED_VALUE"""),"")</f>
        <v/>
      </c>
      <c r="T82" s="474" t="str">
        <f>IFERROR(__xludf.DUMMYFUNCTION("""COMPUTED_VALUE"""),"")</f>
        <v/>
      </c>
      <c r="U82" s="474" t="str">
        <f>IFERROR(__xludf.DUMMYFUNCTION("""COMPUTED_VALUE"""),"")</f>
        <v/>
      </c>
      <c r="V82" s="474" t="str">
        <f>IFERROR(__xludf.DUMMYFUNCTION("""COMPUTED_VALUE"""),"")</f>
        <v/>
      </c>
      <c r="W82" s="474" t="str">
        <f>IFERROR(__xludf.DUMMYFUNCTION("""COMPUTED_VALUE"""),"")</f>
        <v/>
      </c>
      <c r="X82" s="474" t="str">
        <f>IFERROR(__xludf.DUMMYFUNCTION("""COMPUTED_VALUE"""),"")</f>
        <v/>
      </c>
      <c r="Y82" s="474" t="str">
        <f>IFERROR(__xludf.DUMMYFUNCTION("""COMPUTED_VALUE"""),"")</f>
        <v/>
      </c>
      <c r="Z82" s="474" t="str">
        <f>IFERROR(__xludf.DUMMYFUNCTION("""COMPUTED_VALUE"""),"")</f>
        <v/>
      </c>
      <c r="AA82" s="474" t="str">
        <f>IFERROR(__xludf.DUMMYFUNCTION("""COMPUTED_VALUE"""),"")</f>
        <v/>
      </c>
      <c r="AB82" s="474" t="str">
        <f>IFERROR(__xludf.DUMMYFUNCTION("""COMPUTED_VALUE"""),"")</f>
        <v/>
      </c>
      <c r="AC82" s="475" t="str">
        <f>IFERROR(__xludf.DUMMYFUNCTION("""COMPUTED_VALUE"""),"")</f>
        <v/>
      </c>
      <c r="AD82" s="10"/>
      <c r="AE82" s="390"/>
    </row>
    <row r="83" hidden="1">
      <c r="A83" s="421">
        <f>IFERROR(__xludf.DUMMYFUNCTION("""COMPUTED_VALUE"""),6.0)</f>
        <v>6</v>
      </c>
      <c r="B83" s="422" t="str">
        <f>IFERROR(__xludf.DUMMYFUNCTION("""COMPUTED_VALUE"""),"")</f>
        <v/>
      </c>
      <c r="C83" s="422" t="str">
        <f>IFERROR(__xludf.DUMMYFUNCTION("""COMPUTED_VALUE"""),"")</f>
        <v/>
      </c>
      <c r="D83" s="423" t="str">
        <f>IFERROR(__xludf.DUMMYFUNCTION("""COMPUTED_VALUE"""),"")</f>
        <v/>
      </c>
      <c r="E83" s="424" t="str">
        <f>IFERROR(__xludf.DUMMYFUNCTION("""COMPUTED_VALUE"""),"")</f>
        <v/>
      </c>
      <c r="F83" s="425" t="str">
        <f>IFERROR(__xludf.DUMMYFUNCTION("""COMPUTED_VALUE"""),"")</f>
        <v/>
      </c>
      <c r="G83" s="426" t="str">
        <f>IFERROR(__xludf.DUMMYFUNCTION("""COMPUTED_VALUE"""),"")</f>
        <v/>
      </c>
      <c r="H83" s="457" t="str">
        <f>IFERROR(__xludf.DUMMYFUNCTION("""COMPUTED_VALUE"""),"")</f>
        <v/>
      </c>
      <c r="I83" s="473" t="str">
        <f>IFERROR(__xludf.DUMMYFUNCTION("""COMPUTED_VALUE"""),"")</f>
        <v/>
      </c>
      <c r="J83" s="474" t="str">
        <f>IFERROR(__xludf.DUMMYFUNCTION("""COMPUTED_VALUE"""),"")</f>
        <v/>
      </c>
      <c r="K83" s="474" t="str">
        <f>IFERROR(__xludf.DUMMYFUNCTION("""COMPUTED_VALUE"""),"")</f>
        <v/>
      </c>
      <c r="L83" s="474" t="str">
        <f>IFERROR(__xludf.DUMMYFUNCTION("""COMPUTED_VALUE"""),"")</f>
        <v/>
      </c>
      <c r="M83" s="474" t="str">
        <f>IFERROR(__xludf.DUMMYFUNCTION("""COMPUTED_VALUE"""),"")</f>
        <v/>
      </c>
      <c r="N83" s="474" t="str">
        <f>IFERROR(__xludf.DUMMYFUNCTION("""COMPUTED_VALUE"""),"")</f>
        <v/>
      </c>
      <c r="O83" s="474" t="str">
        <f>IFERROR(__xludf.DUMMYFUNCTION("""COMPUTED_VALUE"""),"")</f>
        <v/>
      </c>
      <c r="P83" s="474" t="str">
        <f>IFERROR(__xludf.DUMMYFUNCTION("""COMPUTED_VALUE"""),"")</f>
        <v/>
      </c>
      <c r="Q83" s="474" t="str">
        <f>IFERROR(__xludf.DUMMYFUNCTION("""COMPUTED_VALUE"""),"")</f>
        <v/>
      </c>
      <c r="R83" s="474" t="str">
        <f>IFERROR(__xludf.DUMMYFUNCTION("""COMPUTED_VALUE"""),"")</f>
        <v/>
      </c>
      <c r="S83" s="474" t="str">
        <f>IFERROR(__xludf.DUMMYFUNCTION("""COMPUTED_VALUE"""),"")</f>
        <v/>
      </c>
      <c r="T83" s="474" t="str">
        <f>IFERROR(__xludf.DUMMYFUNCTION("""COMPUTED_VALUE"""),"")</f>
        <v/>
      </c>
      <c r="U83" s="474" t="str">
        <f>IFERROR(__xludf.DUMMYFUNCTION("""COMPUTED_VALUE"""),"")</f>
        <v/>
      </c>
      <c r="V83" s="474" t="str">
        <f>IFERROR(__xludf.DUMMYFUNCTION("""COMPUTED_VALUE"""),"")</f>
        <v/>
      </c>
      <c r="W83" s="474" t="str">
        <f>IFERROR(__xludf.DUMMYFUNCTION("""COMPUTED_VALUE"""),"")</f>
        <v/>
      </c>
      <c r="X83" s="474" t="str">
        <f>IFERROR(__xludf.DUMMYFUNCTION("""COMPUTED_VALUE"""),"")</f>
        <v/>
      </c>
      <c r="Y83" s="474" t="str">
        <f>IFERROR(__xludf.DUMMYFUNCTION("""COMPUTED_VALUE"""),"")</f>
        <v/>
      </c>
      <c r="Z83" s="474" t="str">
        <f>IFERROR(__xludf.DUMMYFUNCTION("""COMPUTED_VALUE"""),"")</f>
        <v/>
      </c>
      <c r="AA83" s="474" t="str">
        <f>IFERROR(__xludf.DUMMYFUNCTION("""COMPUTED_VALUE"""),"")</f>
        <v/>
      </c>
      <c r="AB83" s="474" t="str">
        <f>IFERROR(__xludf.DUMMYFUNCTION("""COMPUTED_VALUE"""),"")</f>
        <v/>
      </c>
      <c r="AC83" s="475" t="str">
        <f>IFERROR(__xludf.DUMMYFUNCTION("""COMPUTED_VALUE"""),"")</f>
        <v/>
      </c>
      <c r="AD83" s="10"/>
      <c r="AE83" s="390"/>
    </row>
    <row r="84" hidden="1">
      <c r="A84" s="421">
        <f>IFERROR(__xludf.DUMMYFUNCTION("""COMPUTED_VALUE"""),7.0)</f>
        <v>7</v>
      </c>
      <c r="B84" s="422" t="str">
        <f>IFERROR(__xludf.DUMMYFUNCTION("""COMPUTED_VALUE"""),"")</f>
        <v/>
      </c>
      <c r="C84" s="422" t="str">
        <f>IFERROR(__xludf.DUMMYFUNCTION("""COMPUTED_VALUE"""),"")</f>
        <v/>
      </c>
      <c r="D84" s="423" t="str">
        <f>IFERROR(__xludf.DUMMYFUNCTION("""COMPUTED_VALUE"""),"")</f>
        <v/>
      </c>
      <c r="E84" s="424" t="str">
        <f>IFERROR(__xludf.DUMMYFUNCTION("""COMPUTED_VALUE"""),"")</f>
        <v/>
      </c>
      <c r="F84" s="425" t="str">
        <f>IFERROR(__xludf.DUMMYFUNCTION("""COMPUTED_VALUE"""),"")</f>
        <v/>
      </c>
      <c r="G84" s="426" t="str">
        <f>IFERROR(__xludf.DUMMYFUNCTION("""COMPUTED_VALUE"""),"")</f>
        <v/>
      </c>
      <c r="H84" s="457" t="str">
        <f>IFERROR(__xludf.DUMMYFUNCTION("""COMPUTED_VALUE"""),"")</f>
        <v/>
      </c>
      <c r="I84" s="473" t="str">
        <f>IFERROR(__xludf.DUMMYFUNCTION("""COMPUTED_VALUE"""),"")</f>
        <v/>
      </c>
      <c r="J84" s="474" t="str">
        <f>IFERROR(__xludf.DUMMYFUNCTION("""COMPUTED_VALUE"""),"")</f>
        <v/>
      </c>
      <c r="K84" s="474" t="str">
        <f>IFERROR(__xludf.DUMMYFUNCTION("""COMPUTED_VALUE"""),"")</f>
        <v/>
      </c>
      <c r="L84" s="474" t="str">
        <f>IFERROR(__xludf.DUMMYFUNCTION("""COMPUTED_VALUE"""),"")</f>
        <v/>
      </c>
      <c r="M84" s="474" t="str">
        <f>IFERROR(__xludf.DUMMYFUNCTION("""COMPUTED_VALUE"""),"")</f>
        <v/>
      </c>
      <c r="N84" s="474" t="str">
        <f>IFERROR(__xludf.DUMMYFUNCTION("""COMPUTED_VALUE"""),"")</f>
        <v/>
      </c>
      <c r="O84" s="474" t="str">
        <f>IFERROR(__xludf.DUMMYFUNCTION("""COMPUTED_VALUE"""),"")</f>
        <v/>
      </c>
      <c r="P84" s="474" t="str">
        <f>IFERROR(__xludf.DUMMYFUNCTION("""COMPUTED_VALUE"""),"")</f>
        <v/>
      </c>
      <c r="Q84" s="474" t="str">
        <f>IFERROR(__xludf.DUMMYFUNCTION("""COMPUTED_VALUE"""),"")</f>
        <v/>
      </c>
      <c r="R84" s="474" t="str">
        <f>IFERROR(__xludf.DUMMYFUNCTION("""COMPUTED_VALUE"""),"")</f>
        <v/>
      </c>
      <c r="S84" s="474" t="str">
        <f>IFERROR(__xludf.DUMMYFUNCTION("""COMPUTED_VALUE"""),"")</f>
        <v/>
      </c>
      <c r="T84" s="474" t="str">
        <f>IFERROR(__xludf.DUMMYFUNCTION("""COMPUTED_VALUE"""),"")</f>
        <v/>
      </c>
      <c r="U84" s="474" t="str">
        <f>IFERROR(__xludf.DUMMYFUNCTION("""COMPUTED_VALUE"""),"")</f>
        <v/>
      </c>
      <c r="V84" s="474" t="str">
        <f>IFERROR(__xludf.DUMMYFUNCTION("""COMPUTED_VALUE"""),"")</f>
        <v/>
      </c>
      <c r="W84" s="474" t="str">
        <f>IFERROR(__xludf.DUMMYFUNCTION("""COMPUTED_VALUE"""),"")</f>
        <v/>
      </c>
      <c r="X84" s="474" t="str">
        <f>IFERROR(__xludf.DUMMYFUNCTION("""COMPUTED_VALUE"""),"")</f>
        <v/>
      </c>
      <c r="Y84" s="474" t="str">
        <f>IFERROR(__xludf.DUMMYFUNCTION("""COMPUTED_VALUE"""),"")</f>
        <v/>
      </c>
      <c r="Z84" s="474" t="str">
        <f>IFERROR(__xludf.DUMMYFUNCTION("""COMPUTED_VALUE"""),"")</f>
        <v/>
      </c>
      <c r="AA84" s="474" t="str">
        <f>IFERROR(__xludf.DUMMYFUNCTION("""COMPUTED_VALUE"""),"")</f>
        <v/>
      </c>
      <c r="AB84" s="474" t="str">
        <f>IFERROR(__xludf.DUMMYFUNCTION("""COMPUTED_VALUE"""),"")</f>
        <v/>
      </c>
      <c r="AC84" s="475" t="str">
        <f>IFERROR(__xludf.DUMMYFUNCTION("""COMPUTED_VALUE"""),"")</f>
        <v/>
      </c>
      <c r="AD84" s="10"/>
      <c r="AE84" s="390"/>
    </row>
    <row r="85" hidden="1">
      <c r="A85" s="431">
        <f>IFERROR(__xludf.DUMMYFUNCTION("""COMPUTED_VALUE"""),8.0)</f>
        <v>8</v>
      </c>
      <c r="B85" s="432" t="str">
        <f>IFERROR(__xludf.DUMMYFUNCTION("""COMPUTED_VALUE"""),"")</f>
        <v/>
      </c>
      <c r="C85" s="432" t="str">
        <f>IFERROR(__xludf.DUMMYFUNCTION("""COMPUTED_VALUE"""),"")</f>
        <v/>
      </c>
      <c r="D85" s="433" t="str">
        <f>IFERROR(__xludf.DUMMYFUNCTION("""COMPUTED_VALUE"""),"")</f>
        <v/>
      </c>
      <c r="E85" s="434" t="str">
        <f>IFERROR(__xludf.DUMMYFUNCTION("""COMPUTED_VALUE"""),"")</f>
        <v/>
      </c>
      <c r="F85" s="435" t="str">
        <f>IFERROR(__xludf.DUMMYFUNCTION("""COMPUTED_VALUE"""),"")</f>
        <v/>
      </c>
      <c r="G85" s="476" t="str">
        <f>IFERROR(__xludf.DUMMYFUNCTION("""COMPUTED_VALUE"""),"")</f>
        <v/>
      </c>
      <c r="H85" s="461" t="str">
        <f>IFERROR(__xludf.DUMMYFUNCTION("""COMPUTED_VALUE"""),"")</f>
        <v/>
      </c>
      <c r="I85" s="477" t="str">
        <f>IFERROR(__xludf.DUMMYFUNCTION("""COMPUTED_VALUE"""),"")</f>
        <v/>
      </c>
      <c r="J85" s="478" t="str">
        <f>IFERROR(__xludf.DUMMYFUNCTION("""COMPUTED_VALUE"""),"")</f>
        <v/>
      </c>
      <c r="K85" s="478" t="str">
        <f>IFERROR(__xludf.DUMMYFUNCTION("""COMPUTED_VALUE"""),"")</f>
        <v/>
      </c>
      <c r="L85" s="478" t="str">
        <f>IFERROR(__xludf.DUMMYFUNCTION("""COMPUTED_VALUE"""),"")</f>
        <v/>
      </c>
      <c r="M85" s="478" t="str">
        <f>IFERROR(__xludf.DUMMYFUNCTION("""COMPUTED_VALUE"""),"")</f>
        <v/>
      </c>
      <c r="N85" s="478" t="str">
        <f>IFERROR(__xludf.DUMMYFUNCTION("""COMPUTED_VALUE"""),"")</f>
        <v/>
      </c>
      <c r="O85" s="478" t="str">
        <f>IFERROR(__xludf.DUMMYFUNCTION("""COMPUTED_VALUE"""),"")</f>
        <v/>
      </c>
      <c r="P85" s="478" t="str">
        <f>IFERROR(__xludf.DUMMYFUNCTION("""COMPUTED_VALUE"""),"")</f>
        <v/>
      </c>
      <c r="Q85" s="478" t="str">
        <f>IFERROR(__xludf.DUMMYFUNCTION("""COMPUTED_VALUE"""),"")</f>
        <v/>
      </c>
      <c r="R85" s="478" t="str">
        <f>IFERROR(__xludf.DUMMYFUNCTION("""COMPUTED_VALUE"""),"")</f>
        <v/>
      </c>
      <c r="S85" s="478" t="str">
        <f>IFERROR(__xludf.DUMMYFUNCTION("""COMPUTED_VALUE"""),"")</f>
        <v/>
      </c>
      <c r="T85" s="478" t="str">
        <f>IFERROR(__xludf.DUMMYFUNCTION("""COMPUTED_VALUE"""),"")</f>
        <v/>
      </c>
      <c r="U85" s="478" t="str">
        <f>IFERROR(__xludf.DUMMYFUNCTION("""COMPUTED_VALUE"""),"")</f>
        <v/>
      </c>
      <c r="V85" s="478" t="str">
        <f>IFERROR(__xludf.DUMMYFUNCTION("""COMPUTED_VALUE"""),"")</f>
        <v/>
      </c>
      <c r="W85" s="478" t="str">
        <f>IFERROR(__xludf.DUMMYFUNCTION("""COMPUTED_VALUE"""),"")</f>
        <v/>
      </c>
      <c r="X85" s="478" t="str">
        <f>IFERROR(__xludf.DUMMYFUNCTION("""COMPUTED_VALUE"""),"")</f>
        <v/>
      </c>
      <c r="Y85" s="478" t="str">
        <f>IFERROR(__xludf.DUMMYFUNCTION("""COMPUTED_VALUE"""),"")</f>
        <v/>
      </c>
      <c r="Z85" s="478" t="str">
        <f>IFERROR(__xludf.DUMMYFUNCTION("""COMPUTED_VALUE"""),"")</f>
        <v/>
      </c>
      <c r="AA85" s="478" t="str">
        <f>IFERROR(__xludf.DUMMYFUNCTION("""COMPUTED_VALUE"""),"")</f>
        <v/>
      </c>
      <c r="AB85" s="478" t="str">
        <f>IFERROR(__xludf.DUMMYFUNCTION("""COMPUTED_VALUE"""),"")</f>
        <v/>
      </c>
      <c r="AC85" s="479" t="str">
        <f>IFERROR(__xludf.DUMMYFUNCTION("""COMPUTED_VALUE"""),"")</f>
        <v/>
      </c>
      <c r="AD85" s="10"/>
      <c r="AE85" s="390"/>
    </row>
    <row r="86" hidden="1">
      <c r="A86" s="493" t="str">
        <f>IFERROR(__xludf.DUMMYFUNCTION("""COMPUTED_VALUE"""),"")</f>
        <v/>
      </c>
      <c r="B86" s="493" t="str">
        <f>IFERROR(__xludf.DUMMYFUNCTION("""COMPUTED_VALUE"""),"")</f>
        <v/>
      </c>
      <c r="C86" s="493" t="str">
        <f>IFERROR(__xludf.DUMMYFUNCTION("""COMPUTED_VALUE"""),"")</f>
        <v/>
      </c>
      <c r="D86" s="493" t="str">
        <f>IFERROR(__xludf.DUMMYFUNCTION("""COMPUTED_VALUE"""),"")</f>
        <v/>
      </c>
      <c r="E86" s="495" t="str">
        <f>IFERROR(__xludf.DUMMYFUNCTION("""COMPUTED_VALUE"""),"")</f>
        <v/>
      </c>
      <c r="F86" s="493" t="str">
        <f>IFERROR(__xludf.DUMMYFUNCTION("""COMPUTED_VALUE"""),"")</f>
        <v/>
      </c>
      <c r="G86" s="493" t="str">
        <f>IFERROR(__xludf.DUMMYFUNCTION("""COMPUTED_VALUE"""),"")</f>
        <v/>
      </c>
      <c r="H86" s="493" t="str">
        <f>IFERROR(__xludf.DUMMYFUNCTION("""COMPUTED_VALUE"""),"")</f>
        <v/>
      </c>
      <c r="I86" s="499" t="str">
        <f>IFERROR(__xludf.DUMMYFUNCTION("""COMPUTED_VALUE"""),"")</f>
        <v/>
      </c>
      <c r="J86" s="499" t="str">
        <f>IFERROR(__xludf.DUMMYFUNCTION("""COMPUTED_VALUE"""),"")</f>
        <v/>
      </c>
      <c r="K86" s="499" t="str">
        <f>IFERROR(__xludf.DUMMYFUNCTION("""COMPUTED_VALUE"""),"")</f>
        <v/>
      </c>
      <c r="L86" s="499" t="str">
        <f>IFERROR(__xludf.DUMMYFUNCTION("""COMPUTED_VALUE"""),"")</f>
        <v/>
      </c>
      <c r="M86" s="499" t="str">
        <f>IFERROR(__xludf.DUMMYFUNCTION("""COMPUTED_VALUE"""),"")</f>
        <v/>
      </c>
      <c r="N86" s="499" t="str">
        <f>IFERROR(__xludf.DUMMYFUNCTION("""COMPUTED_VALUE"""),"")</f>
        <v/>
      </c>
      <c r="O86" s="499" t="str">
        <f>IFERROR(__xludf.DUMMYFUNCTION("""COMPUTED_VALUE"""),"")</f>
        <v/>
      </c>
      <c r="P86" s="499" t="str">
        <f>IFERROR(__xludf.DUMMYFUNCTION("""COMPUTED_VALUE"""),"")</f>
        <v/>
      </c>
      <c r="Q86" s="499" t="str">
        <f>IFERROR(__xludf.DUMMYFUNCTION("""COMPUTED_VALUE"""),"")</f>
        <v/>
      </c>
      <c r="R86" s="499" t="str">
        <f>IFERROR(__xludf.DUMMYFUNCTION("""COMPUTED_VALUE"""),"")</f>
        <v/>
      </c>
      <c r="S86" s="499" t="str">
        <f>IFERROR(__xludf.DUMMYFUNCTION("""COMPUTED_VALUE"""),"")</f>
        <v/>
      </c>
      <c r="T86" s="499" t="str">
        <f>IFERROR(__xludf.DUMMYFUNCTION("""COMPUTED_VALUE"""),"")</f>
        <v/>
      </c>
      <c r="U86" s="499" t="str">
        <f>IFERROR(__xludf.DUMMYFUNCTION("""COMPUTED_VALUE"""),"")</f>
        <v/>
      </c>
      <c r="V86" s="499" t="str">
        <f>IFERROR(__xludf.DUMMYFUNCTION("""COMPUTED_VALUE"""),"")</f>
        <v/>
      </c>
      <c r="W86" s="499" t="str">
        <f>IFERROR(__xludf.DUMMYFUNCTION("""COMPUTED_VALUE"""),"")</f>
        <v/>
      </c>
      <c r="X86" s="499" t="str">
        <f>IFERROR(__xludf.DUMMYFUNCTION("""COMPUTED_VALUE"""),"")</f>
        <v/>
      </c>
      <c r="Y86" s="499" t="str">
        <f>IFERROR(__xludf.DUMMYFUNCTION("""COMPUTED_VALUE"""),"")</f>
        <v/>
      </c>
      <c r="Z86" s="499" t="str">
        <f>IFERROR(__xludf.DUMMYFUNCTION("""COMPUTED_VALUE"""),"")</f>
        <v/>
      </c>
      <c r="AA86" s="499" t="str">
        <f>IFERROR(__xludf.DUMMYFUNCTION("""COMPUTED_VALUE"""),"")</f>
        <v/>
      </c>
      <c r="AB86" s="499" t="str">
        <f>IFERROR(__xludf.DUMMYFUNCTION("""COMPUTED_VALUE"""),"")</f>
        <v/>
      </c>
      <c r="AC86" s="499" t="str">
        <f>IFERROR(__xludf.DUMMYFUNCTION("""COMPUTED_VALUE"""),"")</f>
        <v/>
      </c>
      <c r="AD86" s="496"/>
      <c r="AE86" s="497"/>
    </row>
    <row r="87" ht="41.25" hidden="1" customHeight="1">
      <c r="A87" s="391" t="str">
        <f>IFERROR(__xludf.DUMMYFUNCTION("""COMPUTED_VALUE"""),"")</f>
        <v/>
      </c>
      <c r="B87" s="440" t="str">
        <f>IFERROR(__xludf.DUMMYFUNCTION("""COMPUTED_VALUE"""),"")</f>
        <v/>
      </c>
      <c r="C87" s="392" t="str">
        <f>IFERROR(__xludf.DUMMYFUNCTION("""COMPUTED_VALUE"""),"HIDE")</f>
        <v>HIDE</v>
      </c>
      <c r="D87" s="392" t="str">
        <f>IFERROR(__xludf.DUMMYFUNCTION("""COMPUTED_VALUE"""),"")</f>
        <v/>
      </c>
      <c r="E87" s="393" t="str">
        <f>IFERROR(__xludf.DUMMYFUNCTION("""COMPUTED_VALUE"""),"Cost")</f>
        <v>Cost</v>
      </c>
      <c r="F87" s="394" t="str">
        <f>IFERROR(__xludf.DUMMYFUNCTION("""COMPUTED_VALUE"""),"# Runs")</f>
        <v># Runs</v>
      </c>
      <c r="G87" s="395" t="str">
        <f>IFERROR(__xludf.DUMMYFUNCTION("""COMPUTED_VALUE"""),"Status")</f>
        <v>Status</v>
      </c>
      <c r="H87" s="396" t="str">
        <f>IFERROR(__xludf.DUMMYFUNCTION("""COMPUTED_VALUE"""),"Currency/AP @ +0")</f>
        <v>Currency/AP @ +0</v>
      </c>
      <c r="I87" s="397">
        <f>IFERROR(__xludf.DUMMYFUNCTION("""COMPUTED_VALUE"""),0.0)</f>
        <v>0</v>
      </c>
      <c r="J87" s="398">
        <f>IFERROR(__xludf.DUMMYFUNCTION("""COMPUTED_VALUE"""),1.0)</f>
        <v>1</v>
      </c>
      <c r="K87" s="398">
        <f>IFERROR(__xludf.DUMMYFUNCTION("""COMPUTED_VALUE"""),2.0)</f>
        <v>2</v>
      </c>
      <c r="L87" s="398">
        <f>IFERROR(__xludf.DUMMYFUNCTION("""COMPUTED_VALUE"""),3.0)</f>
        <v>3</v>
      </c>
      <c r="M87" s="398">
        <f>IFERROR(__xludf.DUMMYFUNCTION("""COMPUTED_VALUE"""),4.0)</f>
        <v>4</v>
      </c>
      <c r="N87" s="398">
        <f>IFERROR(__xludf.DUMMYFUNCTION("""COMPUTED_VALUE"""),5.0)</f>
        <v>5</v>
      </c>
      <c r="O87" s="398">
        <f>IFERROR(__xludf.DUMMYFUNCTION("""COMPUTED_VALUE"""),6.0)</f>
        <v>6</v>
      </c>
      <c r="P87" s="398">
        <f>IFERROR(__xludf.DUMMYFUNCTION("""COMPUTED_VALUE"""),7.0)</f>
        <v>7</v>
      </c>
      <c r="Q87" s="398">
        <f>IFERROR(__xludf.DUMMYFUNCTION("""COMPUTED_VALUE"""),8.0)</f>
        <v>8</v>
      </c>
      <c r="R87" s="398">
        <f>IFERROR(__xludf.DUMMYFUNCTION("""COMPUTED_VALUE"""),9.0)</f>
        <v>9</v>
      </c>
      <c r="S87" s="398">
        <f>IFERROR(__xludf.DUMMYFUNCTION("""COMPUTED_VALUE"""),10.0)</f>
        <v>10</v>
      </c>
      <c r="T87" s="398">
        <f>IFERROR(__xludf.DUMMYFUNCTION("""COMPUTED_VALUE"""),11.0)</f>
        <v>11</v>
      </c>
      <c r="U87" s="398">
        <f>IFERROR(__xludf.DUMMYFUNCTION("""COMPUTED_VALUE"""),12.0)</f>
        <v>12</v>
      </c>
      <c r="V87" s="398">
        <f>IFERROR(__xludf.DUMMYFUNCTION("""COMPUTED_VALUE"""),13.0)</f>
        <v>13</v>
      </c>
      <c r="W87" s="398">
        <f>IFERROR(__xludf.DUMMYFUNCTION("""COMPUTED_VALUE"""),14.0)</f>
        <v>14</v>
      </c>
      <c r="X87" s="398">
        <f>IFERROR(__xludf.DUMMYFUNCTION("""COMPUTED_VALUE"""),15.0)</f>
        <v>15</v>
      </c>
      <c r="Y87" s="398">
        <f>IFERROR(__xludf.DUMMYFUNCTION("""COMPUTED_VALUE"""),16.0)</f>
        <v>16</v>
      </c>
      <c r="Z87" s="398">
        <f>IFERROR(__xludf.DUMMYFUNCTION("""COMPUTED_VALUE"""),17.0)</f>
        <v>17</v>
      </c>
      <c r="AA87" s="398">
        <f>IFERROR(__xludf.DUMMYFUNCTION("""COMPUTED_VALUE"""),18.0)</f>
        <v>18</v>
      </c>
      <c r="AB87" s="398">
        <f>IFERROR(__xludf.DUMMYFUNCTION("""COMPUTED_VALUE"""),19.0)</f>
        <v>19</v>
      </c>
      <c r="AC87" s="399">
        <f>IFERROR(__xludf.DUMMYFUNCTION("""COMPUTED_VALUE"""),20.0)</f>
        <v>20</v>
      </c>
      <c r="AD87" s="400"/>
      <c r="AE87" s="401"/>
    </row>
    <row r="88" hidden="1">
      <c r="A88" s="480" t="str">
        <f>IFERROR(__xludf.DUMMYFUNCTION("""COMPUTED_VALUE"""),"HIDE")</f>
        <v>HIDE</v>
      </c>
      <c r="B88" s="481" t="str">
        <f>IFERROR(__xludf.DUMMYFUNCTION("""COMPUTED_VALUE"""),"#N/A")</f>
        <v>#N/A</v>
      </c>
      <c r="C88" s="481" t="str">
        <f>IFERROR(__xludf.DUMMYFUNCTION("""COMPUTED_VALUE"""),"#N/A")</f>
        <v>#N/A</v>
      </c>
      <c r="D88" s="482" t="str">
        <f>IFERROR(__xludf.DUMMYFUNCTION("""COMPUTED_VALUE"""),"")</f>
        <v/>
      </c>
      <c r="E88" s="483" t="str">
        <f>IFERROR(__xludf.DUMMYFUNCTION("""COMPUTED_VALUE"""),"")</f>
        <v/>
      </c>
      <c r="F88" s="484" t="str">
        <f>IFERROR(__xludf.DUMMYFUNCTION("""COMPUTED_VALUE"""),"")</f>
        <v/>
      </c>
      <c r="G88" s="501" t="str">
        <f>IFERROR(__xludf.DUMMYFUNCTION("""COMPUTED_VALUE"""),"")</f>
        <v/>
      </c>
      <c r="H88" s="484" t="str">
        <f>IFERROR(__xludf.DUMMYFUNCTION("""COMPUTED_VALUE"""),"")</f>
        <v/>
      </c>
      <c r="I88" s="486" t="str">
        <f>IFERROR(__xludf.DUMMYFUNCTION("""COMPUTED_VALUE"""),"")</f>
        <v/>
      </c>
      <c r="J88" s="486" t="str">
        <f>IFERROR(__xludf.DUMMYFUNCTION("""COMPUTED_VALUE"""),"")</f>
        <v/>
      </c>
      <c r="K88" s="486" t="str">
        <f>IFERROR(__xludf.DUMMYFUNCTION("""COMPUTED_VALUE"""),"")</f>
        <v/>
      </c>
      <c r="L88" s="486" t="str">
        <f>IFERROR(__xludf.DUMMYFUNCTION("""COMPUTED_VALUE"""),"")</f>
        <v/>
      </c>
      <c r="M88" s="486" t="str">
        <f>IFERROR(__xludf.DUMMYFUNCTION("""COMPUTED_VALUE"""),"")</f>
        <v/>
      </c>
      <c r="N88" s="486" t="str">
        <f>IFERROR(__xludf.DUMMYFUNCTION("""COMPUTED_VALUE"""),"")</f>
        <v/>
      </c>
      <c r="O88" s="486" t="str">
        <f>IFERROR(__xludf.DUMMYFUNCTION("""COMPUTED_VALUE"""),"")</f>
        <v/>
      </c>
      <c r="P88" s="486" t="str">
        <f>IFERROR(__xludf.DUMMYFUNCTION("""COMPUTED_VALUE"""),"")</f>
        <v/>
      </c>
      <c r="Q88" s="486" t="str">
        <f>IFERROR(__xludf.DUMMYFUNCTION("""COMPUTED_VALUE"""),"")</f>
        <v/>
      </c>
      <c r="R88" s="486" t="str">
        <f>IFERROR(__xludf.DUMMYFUNCTION("""COMPUTED_VALUE"""),"")</f>
        <v/>
      </c>
      <c r="S88" s="486" t="str">
        <f>IFERROR(__xludf.DUMMYFUNCTION("""COMPUTED_VALUE"""),"")</f>
        <v/>
      </c>
      <c r="T88" s="486" t="str">
        <f>IFERROR(__xludf.DUMMYFUNCTION("""COMPUTED_VALUE"""),"")</f>
        <v/>
      </c>
      <c r="U88" s="486" t="str">
        <f>IFERROR(__xludf.DUMMYFUNCTION("""COMPUTED_VALUE"""),"")</f>
        <v/>
      </c>
      <c r="V88" s="486" t="str">
        <f>IFERROR(__xludf.DUMMYFUNCTION("""COMPUTED_VALUE"""),"")</f>
        <v/>
      </c>
      <c r="W88" s="486" t="str">
        <f>IFERROR(__xludf.DUMMYFUNCTION("""COMPUTED_VALUE"""),"")</f>
        <v/>
      </c>
      <c r="X88" s="486" t="str">
        <f>IFERROR(__xludf.DUMMYFUNCTION("""COMPUTED_VALUE"""),"")</f>
        <v/>
      </c>
      <c r="Y88" s="486" t="str">
        <f>IFERROR(__xludf.DUMMYFUNCTION("""COMPUTED_VALUE"""),"")</f>
        <v/>
      </c>
      <c r="Z88" s="486" t="str">
        <f>IFERROR(__xludf.DUMMYFUNCTION("""COMPUTED_VALUE"""),"")</f>
        <v/>
      </c>
      <c r="AA88" s="486" t="str">
        <f>IFERROR(__xludf.DUMMYFUNCTION("""COMPUTED_VALUE"""),"")</f>
        <v/>
      </c>
      <c r="AB88" s="486" t="str">
        <f>IFERROR(__xludf.DUMMYFUNCTION("""COMPUTED_VALUE"""),"")</f>
        <v/>
      </c>
      <c r="AC88" s="487" t="str">
        <f>IFERROR(__xludf.DUMMYFUNCTION("""COMPUTED_VALUE"""),"")</f>
        <v/>
      </c>
      <c r="AD88" s="488"/>
      <c r="AE88" s="489"/>
    </row>
    <row r="89" hidden="1">
      <c r="A89" s="463" t="str">
        <f>IFERROR(__xludf.DUMMYFUNCTION("""COMPUTED_VALUE"""),"BEST NOW")</f>
        <v>BEST NOW</v>
      </c>
      <c r="B89" s="464" t="str">
        <f>IFERROR(__xludf.DUMMYFUNCTION("""COMPUTED_VALUE"""),"")</f>
        <v/>
      </c>
      <c r="C89" s="464" t="str">
        <f>IFERROR(__xludf.DUMMYFUNCTION("""COMPUTED_VALUE"""),"")</f>
        <v/>
      </c>
      <c r="D89" s="465" t="str">
        <f>IFERROR(__xludf.DUMMYFUNCTION("""COMPUTED_VALUE"""),"")</f>
        <v/>
      </c>
      <c r="E89" s="466" t="str">
        <f>IFERROR(__xludf.DUMMYFUNCTION("""COMPUTED_VALUE"""),"")</f>
        <v/>
      </c>
      <c r="F89" s="467" t="str">
        <f>IFERROR(__xludf.DUMMYFUNCTION("""COMPUTED_VALUE"""),"")</f>
        <v/>
      </c>
      <c r="G89" s="490" t="str">
        <f>IFERROR(__xludf.DUMMYFUNCTION("""COMPUTED_VALUE"""),"")</f>
        <v/>
      </c>
      <c r="H89" s="469" t="str">
        <f>IFERROR(__xludf.DUMMYFUNCTION("""COMPUTED_VALUE"""),"")</f>
        <v/>
      </c>
      <c r="I89" s="470" t="str">
        <f>IFERROR(__xludf.DUMMYFUNCTION("""COMPUTED_VALUE"""),"")</f>
        <v/>
      </c>
      <c r="J89" s="471" t="str">
        <f>IFERROR(__xludf.DUMMYFUNCTION("""COMPUTED_VALUE"""),"")</f>
        <v/>
      </c>
      <c r="K89" s="471" t="str">
        <f>IFERROR(__xludf.DUMMYFUNCTION("""COMPUTED_VALUE"""),"")</f>
        <v/>
      </c>
      <c r="L89" s="471" t="str">
        <f>IFERROR(__xludf.DUMMYFUNCTION("""COMPUTED_VALUE"""),"")</f>
        <v/>
      </c>
      <c r="M89" s="471" t="str">
        <f>IFERROR(__xludf.DUMMYFUNCTION("""COMPUTED_VALUE"""),"")</f>
        <v/>
      </c>
      <c r="N89" s="471" t="str">
        <f>IFERROR(__xludf.DUMMYFUNCTION("""COMPUTED_VALUE"""),"")</f>
        <v/>
      </c>
      <c r="O89" s="471" t="str">
        <f>IFERROR(__xludf.DUMMYFUNCTION("""COMPUTED_VALUE"""),"")</f>
        <v/>
      </c>
      <c r="P89" s="471" t="str">
        <f>IFERROR(__xludf.DUMMYFUNCTION("""COMPUTED_VALUE"""),"")</f>
        <v/>
      </c>
      <c r="Q89" s="471" t="str">
        <f>IFERROR(__xludf.DUMMYFUNCTION("""COMPUTED_VALUE"""),"")</f>
        <v/>
      </c>
      <c r="R89" s="471" t="str">
        <f>IFERROR(__xludf.DUMMYFUNCTION("""COMPUTED_VALUE"""),"")</f>
        <v/>
      </c>
      <c r="S89" s="471" t="str">
        <f>IFERROR(__xludf.DUMMYFUNCTION("""COMPUTED_VALUE"""),"")</f>
        <v/>
      </c>
      <c r="T89" s="471" t="str">
        <f>IFERROR(__xludf.DUMMYFUNCTION("""COMPUTED_VALUE"""),"")</f>
        <v/>
      </c>
      <c r="U89" s="471" t="str">
        <f>IFERROR(__xludf.DUMMYFUNCTION("""COMPUTED_VALUE"""),"")</f>
        <v/>
      </c>
      <c r="V89" s="471" t="str">
        <f>IFERROR(__xludf.DUMMYFUNCTION("""COMPUTED_VALUE"""),"")</f>
        <v/>
      </c>
      <c r="W89" s="471" t="str">
        <f>IFERROR(__xludf.DUMMYFUNCTION("""COMPUTED_VALUE"""),"")</f>
        <v/>
      </c>
      <c r="X89" s="471" t="str">
        <f>IFERROR(__xludf.DUMMYFUNCTION("""COMPUTED_VALUE"""),"")</f>
        <v/>
      </c>
      <c r="Y89" s="471" t="str">
        <f>IFERROR(__xludf.DUMMYFUNCTION("""COMPUTED_VALUE"""),"")</f>
        <v/>
      </c>
      <c r="Z89" s="471" t="str">
        <f>IFERROR(__xludf.DUMMYFUNCTION("""COMPUTED_VALUE"""),"")</f>
        <v/>
      </c>
      <c r="AA89" s="471" t="str">
        <f>IFERROR(__xludf.DUMMYFUNCTION("""COMPUTED_VALUE"""),"")</f>
        <v/>
      </c>
      <c r="AB89" s="471" t="str">
        <f>IFERROR(__xludf.DUMMYFUNCTION("""COMPUTED_VALUE"""),"")</f>
        <v/>
      </c>
      <c r="AC89" s="472" t="str">
        <f>IFERROR(__xludf.DUMMYFUNCTION("""COMPUTED_VALUE"""),"")</f>
        <v/>
      </c>
      <c r="AD89" s="10"/>
      <c r="AE89" s="6"/>
    </row>
    <row r="90" hidden="1">
      <c r="A90" s="450">
        <f>IFERROR(__xludf.DUMMYFUNCTION("""COMPUTED_VALUE"""),1.0)</f>
        <v>1</v>
      </c>
      <c r="B90" s="451" t="str">
        <f>IFERROR(__xludf.DUMMYFUNCTION("""COMPUTED_VALUE"""),"")</f>
        <v/>
      </c>
      <c r="C90" s="502" t="str">
        <f>IFERROR(__xludf.DUMMYFUNCTION("""COMPUTED_VALUE"""),"")</f>
        <v/>
      </c>
      <c r="D90" s="452" t="str">
        <f>IFERROR(__xludf.DUMMYFUNCTION("""COMPUTED_VALUE"""),"")</f>
        <v/>
      </c>
      <c r="E90" s="453" t="str">
        <f>IFERROR(__xludf.DUMMYFUNCTION("""COMPUTED_VALUE"""),"")</f>
        <v/>
      </c>
      <c r="F90" s="454" t="str">
        <f>IFERROR(__xludf.DUMMYFUNCTION("""COMPUTED_VALUE"""),"")</f>
        <v/>
      </c>
      <c r="G90" s="491" t="str">
        <f>IFERROR(__xludf.DUMMYFUNCTION("""COMPUTED_VALUE"""),"")</f>
        <v/>
      </c>
      <c r="H90" s="455" t="str">
        <f>IFERROR(__xludf.DUMMYFUNCTION("""COMPUTED_VALUE"""),"")</f>
        <v/>
      </c>
      <c r="I90" s="473" t="str">
        <f>IFERROR(__xludf.DUMMYFUNCTION("""COMPUTED_VALUE"""),"")</f>
        <v/>
      </c>
      <c r="J90" s="474" t="str">
        <f>IFERROR(__xludf.DUMMYFUNCTION("""COMPUTED_VALUE"""),"")</f>
        <v/>
      </c>
      <c r="K90" s="474" t="str">
        <f>IFERROR(__xludf.DUMMYFUNCTION("""COMPUTED_VALUE"""),"")</f>
        <v/>
      </c>
      <c r="L90" s="474" t="str">
        <f>IFERROR(__xludf.DUMMYFUNCTION("""COMPUTED_VALUE"""),"")</f>
        <v/>
      </c>
      <c r="M90" s="474" t="str">
        <f>IFERROR(__xludf.DUMMYFUNCTION("""COMPUTED_VALUE"""),"")</f>
        <v/>
      </c>
      <c r="N90" s="474" t="str">
        <f>IFERROR(__xludf.DUMMYFUNCTION("""COMPUTED_VALUE"""),"")</f>
        <v/>
      </c>
      <c r="O90" s="474" t="str">
        <f>IFERROR(__xludf.DUMMYFUNCTION("""COMPUTED_VALUE"""),"")</f>
        <v/>
      </c>
      <c r="P90" s="474" t="str">
        <f>IFERROR(__xludf.DUMMYFUNCTION("""COMPUTED_VALUE"""),"")</f>
        <v/>
      </c>
      <c r="Q90" s="474" t="str">
        <f>IFERROR(__xludf.DUMMYFUNCTION("""COMPUTED_VALUE"""),"")</f>
        <v/>
      </c>
      <c r="R90" s="474" t="str">
        <f>IFERROR(__xludf.DUMMYFUNCTION("""COMPUTED_VALUE"""),"")</f>
        <v/>
      </c>
      <c r="S90" s="474" t="str">
        <f>IFERROR(__xludf.DUMMYFUNCTION("""COMPUTED_VALUE"""),"")</f>
        <v/>
      </c>
      <c r="T90" s="474" t="str">
        <f>IFERROR(__xludf.DUMMYFUNCTION("""COMPUTED_VALUE"""),"")</f>
        <v/>
      </c>
      <c r="U90" s="474" t="str">
        <f>IFERROR(__xludf.DUMMYFUNCTION("""COMPUTED_VALUE"""),"")</f>
        <v/>
      </c>
      <c r="V90" s="474" t="str">
        <f>IFERROR(__xludf.DUMMYFUNCTION("""COMPUTED_VALUE"""),"")</f>
        <v/>
      </c>
      <c r="W90" s="474" t="str">
        <f>IFERROR(__xludf.DUMMYFUNCTION("""COMPUTED_VALUE"""),"")</f>
        <v/>
      </c>
      <c r="X90" s="474" t="str">
        <f>IFERROR(__xludf.DUMMYFUNCTION("""COMPUTED_VALUE"""),"")</f>
        <v/>
      </c>
      <c r="Y90" s="474" t="str">
        <f>IFERROR(__xludf.DUMMYFUNCTION("""COMPUTED_VALUE"""),"")</f>
        <v/>
      </c>
      <c r="Z90" s="474" t="str">
        <f>IFERROR(__xludf.DUMMYFUNCTION("""COMPUTED_VALUE"""),"")</f>
        <v/>
      </c>
      <c r="AA90" s="474" t="str">
        <f>IFERROR(__xludf.DUMMYFUNCTION("""COMPUTED_VALUE"""),"")</f>
        <v/>
      </c>
      <c r="AB90" s="474" t="str">
        <f>IFERROR(__xludf.DUMMYFUNCTION("""COMPUTED_VALUE"""),"")</f>
        <v/>
      </c>
      <c r="AC90" s="475" t="str">
        <f>IFERROR(__xludf.DUMMYFUNCTION("""COMPUTED_VALUE"""),"")</f>
        <v/>
      </c>
      <c r="AD90" s="10"/>
      <c r="AE90" s="390"/>
    </row>
    <row r="91" hidden="1">
      <c r="A91" s="421">
        <f>IFERROR(__xludf.DUMMYFUNCTION("""COMPUTED_VALUE"""),2.0)</f>
        <v>2</v>
      </c>
      <c r="B91" s="422" t="str">
        <f>IFERROR(__xludf.DUMMYFUNCTION("""COMPUTED_VALUE"""),"")</f>
        <v/>
      </c>
      <c r="C91" s="502" t="str">
        <f>IFERROR(__xludf.DUMMYFUNCTION("""COMPUTED_VALUE"""),"")</f>
        <v/>
      </c>
      <c r="D91" s="423" t="str">
        <f>IFERROR(__xludf.DUMMYFUNCTION("""COMPUTED_VALUE"""),"")</f>
        <v/>
      </c>
      <c r="E91" s="424" t="str">
        <f>IFERROR(__xludf.DUMMYFUNCTION("""COMPUTED_VALUE"""),"")</f>
        <v/>
      </c>
      <c r="F91" s="425" t="str">
        <f>IFERROR(__xludf.DUMMYFUNCTION("""COMPUTED_VALUE"""),"")</f>
        <v/>
      </c>
      <c r="G91" s="491" t="str">
        <f>IFERROR(__xludf.DUMMYFUNCTION("""COMPUTED_VALUE"""),"")</f>
        <v/>
      </c>
      <c r="H91" s="457" t="str">
        <f>IFERROR(__xludf.DUMMYFUNCTION("""COMPUTED_VALUE"""),"")</f>
        <v/>
      </c>
      <c r="I91" s="473" t="str">
        <f>IFERROR(__xludf.DUMMYFUNCTION("""COMPUTED_VALUE"""),"")</f>
        <v/>
      </c>
      <c r="J91" s="474" t="str">
        <f>IFERROR(__xludf.DUMMYFUNCTION("""COMPUTED_VALUE"""),"")</f>
        <v/>
      </c>
      <c r="K91" s="474" t="str">
        <f>IFERROR(__xludf.DUMMYFUNCTION("""COMPUTED_VALUE"""),"")</f>
        <v/>
      </c>
      <c r="L91" s="474" t="str">
        <f>IFERROR(__xludf.DUMMYFUNCTION("""COMPUTED_VALUE"""),"")</f>
        <v/>
      </c>
      <c r="M91" s="474" t="str">
        <f>IFERROR(__xludf.DUMMYFUNCTION("""COMPUTED_VALUE"""),"")</f>
        <v/>
      </c>
      <c r="N91" s="474" t="str">
        <f>IFERROR(__xludf.DUMMYFUNCTION("""COMPUTED_VALUE"""),"")</f>
        <v/>
      </c>
      <c r="O91" s="474" t="str">
        <f>IFERROR(__xludf.DUMMYFUNCTION("""COMPUTED_VALUE"""),"")</f>
        <v/>
      </c>
      <c r="P91" s="474" t="str">
        <f>IFERROR(__xludf.DUMMYFUNCTION("""COMPUTED_VALUE"""),"")</f>
        <v/>
      </c>
      <c r="Q91" s="474" t="str">
        <f>IFERROR(__xludf.DUMMYFUNCTION("""COMPUTED_VALUE"""),"")</f>
        <v/>
      </c>
      <c r="R91" s="474" t="str">
        <f>IFERROR(__xludf.DUMMYFUNCTION("""COMPUTED_VALUE"""),"")</f>
        <v/>
      </c>
      <c r="S91" s="474" t="str">
        <f>IFERROR(__xludf.DUMMYFUNCTION("""COMPUTED_VALUE"""),"")</f>
        <v/>
      </c>
      <c r="T91" s="474" t="str">
        <f>IFERROR(__xludf.DUMMYFUNCTION("""COMPUTED_VALUE"""),"")</f>
        <v/>
      </c>
      <c r="U91" s="474" t="str">
        <f>IFERROR(__xludf.DUMMYFUNCTION("""COMPUTED_VALUE"""),"")</f>
        <v/>
      </c>
      <c r="V91" s="474" t="str">
        <f>IFERROR(__xludf.DUMMYFUNCTION("""COMPUTED_VALUE"""),"")</f>
        <v/>
      </c>
      <c r="W91" s="474" t="str">
        <f>IFERROR(__xludf.DUMMYFUNCTION("""COMPUTED_VALUE"""),"")</f>
        <v/>
      </c>
      <c r="X91" s="474" t="str">
        <f>IFERROR(__xludf.DUMMYFUNCTION("""COMPUTED_VALUE"""),"")</f>
        <v/>
      </c>
      <c r="Y91" s="474" t="str">
        <f>IFERROR(__xludf.DUMMYFUNCTION("""COMPUTED_VALUE"""),"")</f>
        <v/>
      </c>
      <c r="Z91" s="474" t="str">
        <f>IFERROR(__xludf.DUMMYFUNCTION("""COMPUTED_VALUE"""),"")</f>
        <v/>
      </c>
      <c r="AA91" s="474" t="str">
        <f>IFERROR(__xludf.DUMMYFUNCTION("""COMPUTED_VALUE"""),"")</f>
        <v/>
      </c>
      <c r="AB91" s="474" t="str">
        <f>IFERROR(__xludf.DUMMYFUNCTION("""COMPUTED_VALUE"""),"")</f>
        <v/>
      </c>
      <c r="AC91" s="475" t="str">
        <f>IFERROR(__xludf.DUMMYFUNCTION("""COMPUTED_VALUE"""),"")</f>
        <v/>
      </c>
      <c r="AD91" s="10"/>
      <c r="AE91" s="390"/>
    </row>
    <row r="92" hidden="1">
      <c r="A92" s="421">
        <f>IFERROR(__xludf.DUMMYFUNCTION("""COMPUTED_VALUE"""),3.0)</f>
        <v>3</v>
      </c>
      <c r="B92" s="422" t="str">
        <f>IFERROR(__xludf.DUMMYFUNCTION("""COMPUTED_VALUE"""),"")</f>
        <v/>
      </c>
      <c r="C92" s="502" t="str">
        <f>IFERROR(__xludf.DUMMYFUNCTION("""COMPUTED_VALUE"""),"")</f>
        <v/>
      </c>
      <c r="D92" s="423" t="str">
        <f>IFERROR(__xludf.DUMMYFUNCTION("""COMPUTED_VALUE"""),"")</f>
        <v/>
      </c>
      <c r="E92" s="424" t="str">
        <f>IFERROR(__xludf.DUMMYFUNCTION("""COMPUTED_VALUE"""),"")</f>
        <v/>
      </c>
      <c r="F92" s="425" t="str">
        <f>IFERROR(__xludf.DUMMYFUNCTION("""COMPUTED_VALUE"""),"")</f>
        <v/>
      </c>
      <c r="G92" s="492" t="str">
        <f>IFERROR(__xludf.DUMMYFUNCTION("""COMPUTED_VALUE"""),"")</f>
        <v/>
      </c>
      <c r="H92" s="457" t="str">
        <f>IFERROR(__xludf.DUMMYFUNCTION("""COMPUTED_VALUE"""),"")</f>
        <v/>
      </c>
      <c r="I92" s="473" t="str">
        <f>IFERROR(__xludf.DUMMYFUNCTION("""COMPUTED_VALUE"""),"")</f>
        <v/>
      </c>
      <c r="J92" s="474" t="str">
        <f>IFERROR(__xludf.DUMMYFUNCTION("""COMPUTED_VALUE"""),"")</f>
        <v/>
      </c>
      <c r="K92" s="474" t="str">
        <f>IFERROR(__xludf.DUMMYFUNCTION("""COMPUTED_VALUE"""),"")</f>
        <v/>
      </c>
      <c r="L92" s="474" t="str">
        <f>IFERROR(__xludf.DUMMYFUNCTION("""COMPUTED_VALUE"""),"")</f>
        <v/>
      </c>
      <c r="M92" s="474" t="str">
        <f>IFERROR(__xludf.DUMMYFUNCTION("""COMPUTED_VALUE"""),"")</f>
        <v/>
      </c>
      <c r="N92" s="474" t="str">
        <f>IFERROR(__xludf.DUMMYFUNCTION("""COMPUTED_VALUE"""),"")</f>
        <v/>
      </c>
      <c r="O92" s="474" t="str">
        <f>IFERROR(__xludf.DUMMYFUNCTION("""COMPUTED_VALUE"""),"")</f>
        <v/>
      </c>
      <c r="P92" s="474" t="str">
        <f>IFERROR(__xludf.DUMMYFUNCTION("""COMPUTED_VALUE"""),"")</f>
        <v/>
      </c>
      <c r="Q92" s="474" t="str">
        <f>IFERROR(__xludf.DUMMYFUNCTION("""COMPUTED_VALUE"""),"")</f>
        <v/>
      </c>
      <c r="R92" s="474" t="str">
        <f>IFERROR(__xludf.DUMMYFUNCTION("""COMPUTED_VALUE"""),"")</f>
        <v/>
      </c>
      <c r="S92" s="474" t="str">
        <f>IFERROR(__xludf.DUMMYFUNCTION("""COMPUTED_VALUE"""),"")</f>
        <v/>
      </c>
      <c r="T92" s="474" t="str">
        <f>IFERROR(__xludf.DUMMYFUNCTION("""COMPUTED_VALUE"""),"")</f>
        <v/>
      </c>
      <c r="U92" s="474" t="str">
        <f>IFERROR(__xludf.DUMMYFUNCTION("""COMPUTED_VALUE"""),"")</f>
        <v/>
      </c>
      <c r="V92" s="474" t="str">
        <f>IFERROR(__xludf.DUMMYFUNCTION("""COMPUTED_VALUE"""),"")</f>
        <v/>
      </c>
      <c r="W92" s="474" t="str">
        <f>IFERROR(__xludf.DUMMYFUNCTION("""COMPUTED_VALUE"""),"")</f>
        <v/>
      </c>
      <c r="X92" s="474" t="str">
        <f>IFERROR(__xludf.DUMMYFUNCTION("""COMPUTED_VALUE"""),"")</f>
        <v/>
      </c>
      <c r="Y92" s="474" t="str">
        <f>IFERROR(__xludf.DUMMYFUNCTION("""COMPUTED_VALUE"""),"")</f>
        <v/>
      </c>
      <c r="Z92" s="474" t="str">
        <f>IFERROR(__xludf.DUMMYFUNCTION("""COMPUTED_VALUE"""),"")</f>
        <v/>
      </c>
      <c r="AA92" s="474" t="str">
        <f>IFERROR(__xludf.DUMMYFUNCTION("""COMPUTED_VALUE"""),"")</f>
        <v/>
      </c>
      <c r="AB92" s="474" t="str">
        <f>IFERROR(__xludf.DUMMYFUNCTION("""COMPUTED_VALUE"""),"")</f>
        <v/>
      </c>
      <c r="AC92" s="475" t="str">
        <f>IFERROR(__xludf.DUMMYFUNCTION("""COMPUTED_VALUE"""),"")</f>
        <v/>
      </c>
      <c r="AD92" s="10"/>
      <c r="AE92" s="390"/>
    </row>
    <row r="93" hidden="1">
      <c r="A93" s="421">
        <f>IFERROR(__xludf.DUMMYFUNCTION("""COMPUTED_VALUE"""),4.0)</f>
        <v>4</v>
      </c>
      <c r="B93" s="422" t="str">
        <f>IFERROR(__xludf.DUMMYFUNCTION("""COMPUTED_VALUE"""),"")</f>
        <v/>
      </c>
      <c r="C93" s="502" t="str">
        <f>IFERROR(__xludf.DUMMYFUNCTION("""COMPUTED_VALUE"""),"")</f>
        <v/>
      </c>
      <c r="D93" s="423" t="str">
        <f>IFERROR(__xludf.DUMMYFUNCTION("""COMPUTED_VALUE"""),"")</f>
        <v/>
      </c>
      <c r="E93" s="424" t="str">
        <f>IFERROR(__xludf.DUMMYFUNCTION("""COMPUTED_VALUE"""),"")</f>
        <v/>
      </c>
      <c r="F93" s="425" t="str">
        <f>IFERROR(__xludf.DUMMYFUNCTION("""COMPUTED_VALUE"""),"")</f>
        <v/>
      </c>
      <c r="G93" s="492" t="str">
        <f>IFERROR(__xludf.DUMMYFUNCTION("""COMPUTED_VALUE"""),"")</f>
        <v/>
      </c>
      <c r="H93" s="457" t="str">
        <f>IFERROR(__xludf.DUMMYFUNCTION("""COMPUTED_VALUE"""),"")</f>
        <v/>
      </c>
      <c r="I93" s="473" t="str">
        <f>IFERROR(__xludf.DUMMYFUNCTION("""COMPUTED_VALUE"""),"")</f>
        <v/>
      </c>
      <c r="J93" s="474" t="str">
        <f>IFERROR(__xludf.DUMMYFUNCTION("""COMPUTED_VALUE"""),"")</f>
        <v/>
      </c>
      <c r="K93" s="474" t="str">
        <f>IFERROR(__xludf.DUMMYFUNCTION("""COMPUTED_VALUE"""),"")</f>
        <v/>
      </c>
      <c r="L93" s="474" t="str">
        <f>IFERROR(__xludf.DUMMYFUNCTION("""COMPUTED_VALUE"""),"")</f>
        <v/>
      </c>
      <c r="M93" s="474" t="str">
        <f>IFERROR(__xludf.DUMMYFUNCTION("""COMPUTED_VALUE"""),"")</f>
        <v/>
      </c>
      <c r="N93" s="474" t="str">
        <f>IFERROR(__xludf.DUMMYFUNCTION("""COMPUTED_VALUE"""),"")</f>
        <v/>
      </c>
      <c r="O93" s="474" t="str">
        <f>IFERROR(__xludf.DUMMYFUNCTION("""COMPUTED_VALUE"""),"")</f>
        <v/>
      </c>
      <c r="P93" s="474" t="str">
        <f>IFERROR(__xludf.DUMMYFUNCTION("""COMPUTED_VALUE"""),"")</f>
        <v/>
      </c>
      <c r="Q93" s="474" t="str">
        <f>IFERROR(__xludf.DUMMYFUNCTION("""COMPUTED_VALUE"""),"")</f>
        <v/>
      </c>
      <c r="R93" s="474" t="str">
        <f>IFERROR(__xludf.DUMMYFUNCTION("""COMPUTED_VALUE"""),"")</f>
        <v/>
      </c>
      <c r="S93" s="474" t="str">
        <f>IFERROR(__xludf.DUMMYFUNCTION("""COMPUTED_VALUE"""),"")</f>
        <v/>
      </c>
      <c r="T93" s="474" t="str">
        <f>IFERROR(__xludf.DUMMYFUNCTION("""COMPUTED_VALUE"""),"")</f>
        <v/>
      </c>
      <c r="U93" s="474" t="str">
        <f>IFERROR(__xludf.DUMMYFUNCTION("""COMPUTED_VALUE"""),"")</f>
        <v/>
      </c>
      <c r="V93" s="474" t="str">
        <f>IFERROR(__xludf.DUMMYFUNCTION("""COMPUTED_VALUE"""),"")</f>
        <v/>
      </c>
      <c r="W93" s="474" t="str">
        <f>IFERROR(__xludf.DUMMYFUNCTION("""COMPUTED_VALUE"""),"")</f>
        <v/>
      </c>
      <c r="X93" s="474" t="str">
        <f>IFERROR(__xludf.DUMMYFUNCTION("""COMPUTED_VALUE"""),"")</f>
        <v/>
      </c>
      <c r="Y93" s="474" t="str">
        <f>IFERROR(__xludf.DUMMYFUNCTION("""COMPUTED_VALUE"""),"")</f>
        <v/>
      </c>
      <c r="Z93" s="474" t="str">
        <f>IFERROR(__xludf.DUMMYFUNCTION("""COMPUTED_VALUE"""),"")</f>
        <v/>
      </c>
      <c r="AA93" s="474" t="str">
        <f>IFERROR(__xludf.DUMMYFUNCTION("""COMPUTED_VALUE"""),"")</f>
        <v/>
      </c>
      <c r="AB93" s="474" t="str">
        <f>IFERROR(__xludf.DUMMYFUNCTION("""COMPUTED_VALUE"""),"")</f>
        <v/>
      </c>
      <c r="AC93" s="475" t="str">
        <f>IFERROR(__xludf.DUMMYFUNCTION("""COMPUTED_VALUE"""),"")</f>
        <v/>
      </c>
      <c r="AD93" s="10"/>
      <c r="AE93" s="390"/>
    </row>
    <row r="94" hidden="1">
      <c r="A94" s="421">
        <f>IFERROR(__xludf.DUMMYFUNCTION("""COMPUTED_VALUE"""),5.0)</f>
        <v>5</v>
      </c>
      <c r="B94" s="422" t="str">
        <f>IFERROR(__xludf.DUMMYFUNCTION("""COMPUTED_VALUE"""),"")</f>
        <v/>
      </c>
      <c r="C94" s="503" t="str">
        <f>IFERROR(__xludf.DUMMYFUNCTION("""COMPUTED_VALUE"""),"")</f>
        <v/>
      </c>
      <c r="D94" s="423" t="str">
        <f>IFERROR(__xludf.DUMMYFUNCTION("""COMPUTED_VALUE"""),"")</f>
        <v/>
      </c>
      <c r="E94" s="424" t="str">
        <f>IFERROR(__xludf.DUMMYFUNCTION("""COMPUTED_VALUE"""),"")</f>
        <v/>
      </c>
      <c r="F94" s="425" t="str">
        <f>IFERROR(__xludf.DUMMYFUNCTION("""COMPUTED_VALUE"""),"")</f>
        <v/>
      </c>
      <c r="G94" s="426" t="str">
        <f>IFERROR(__xludf.DUMMYFUNCTION("""COMPUTED_VALUE"""),"")</f>
        <v/>
      </c>
      <c r="H94" s="457" t="str">
        <f>IFERROR(__xludf.DUMMYFUNCTION("""COMPUTED_VALUE"""),"")</f>
        <v/>
      </c>
      <c r="I94" s="473" t="str">
        <f>IFERROR(__xludf.DUMMYFUNCTION("""COMPUTED_VALUE"""),"")</f>
        <v/>
      </c>
      <c r="J94" s="474" t="str">
        <f>IFERROR(__xludf.DUMMYFUNCTION("""COMPUTED_VALUE"""),"")</f>
        <v/>
      </c>
      <c r="K94" s="474" t="str">
        <f>IFERROR(__xludf.DUMMYFUNCTION("""COMPUTED_VALUE"""),"")</f>
        <v/>
      </c>
      <c r="L94" s="474" t="str">
        <f>IFERROR(__xludf.DUMMYFUNCTION("""COMPUTED_VALUE"""),"")</f>
        <v/>
      </c>
      <c r="M94" s="474" t="str">
        <f>IFERROR(__xludf.DUMMYFUNCTION("""COMPUTED_VALUE"""),"")</f>
        <v/>
      </c>
      <c r="N94" s="474" t="str">
        <f>IFERROR(__xludf.DUMMYFUNCTION("""COMPUTED_VALUE"""),"")</f>
        <v/>
      </c>
      <c r="O94" s="474" t="str">
        <f>IFERROR(__xludf.DUMMYFUNCTION("""COMPUTED_VALUE"""),"")</f>
        <v/>
      </c>
      <c r="P94" s="474" t="str">
        <f>IFERROR(__xludf.DUMMYFUNCTION("""COMPUTED_VALUE"""),"")</f>
        <v/>
      </c>
      <c r="Q94" s="474" t="str">
        <f>IFERROR(__xludf.DUMMYFUNCTION("""COMPUTED_VALUE"""),"")</f>
        <v/>
      </c>
      <c r="R94" s="474" t="str">
        <f>IFERROR(__xludf.DUMMYFUNCTION("""COMPUTED_VALUE"""),"")</f>
        <v/>
      </c>
      <c r="S94" s="474" t="str">
        <f>IFERROR(__xludf.DUMMYFUNCTION("""COMPUTED_VALUE"""),"")</f>
        <v/>
      </c>
      <c r="T94" s="474" t="str">
        <f>IFERROR(__xludf.DUMMYFUNCTION("""COMPUTED_VALUE"""),"")</f>
        <v/>
      </c>
      <c r="U94" s="474" t="str">
        <f>IFERROR(__xludf.DUMMYFUNCTION("""COMPUTED_VALUE"""),"")</f>
        <v/>
      </c>
      <c r="V94" s="474" t="str">
        <f>IFERROR(__xludf.DUMMYFUNCTION("""COMPUTED_VALUE"""),"")</f>
        <v/>
      </c>
      <c r="W94" s="474" t="str">
        <f>IFERROR(__xludf.DUMMYFUNCTION("""COMPUTED_VALUE"""),"")</f>
        <v/>
      </c>
      <c r="X94" s="474" t="str">
        <f>IFERROR(__xludf.DUMMYFUNCTION("""COMPUTED_VALUE"""),"")</f>
        <v/>
      </c>
      <c r="Y94" s="474" t="str">
        <f>IFERROR(__xludf.DUMMYFUNCTION("""COMPUTED_VALUE"""),"")</f>
        <v/>
      </c>
      <c r="Z94" s="474" t="str">
        <f>IFERROR(__xludf.DUMMYFUNCTION("""COMPUTED_VALUE"""),"")</f>
        <v/>
      </c>
      <c r="AA94" s="474" t="str">
        <f>IFERROR(__xludf.DUMMYFUNCTION("""COMPUTED_VALUE"""),"")</f>
        <v/>
      </c>
      <c r="AB94" s="474" t="str">
        <f>IFERROR(__xludf.DUMMYFUNCTION("""COMPUTED_VALUE"""),"")</f>
        <v/>
      </c>
      <c r="AC94" s="475" t="str">
        <f>IFERROR(__xludf.DUMMYFUNCTION("""COMPUTED_VALUE"""),"")</f>
        <v/>
      </c>
      <c r="AD94" s="10"/>
      <c r="AE94" s="390"/>
    </row>
    <row r="95" hidden="1">
      <c r="A95" s="421">
        <f>IFERROR(__xludf.DUMMYFUNCTION("""COMPUTED_VALUE"""),6.0)</f>
        <v>6</v>
      </c>
      <c r="B95" s="422" t="str">
        <f>IFERROR(__xludf.DUMMYFUNCTION("""COMPUTED_VALUE"""),"")</f>
        <v/>
      </c>
      <c r="C95" s="503" t="str">
        <f>IFERROR(__xludf.DUMMYFUNCTION("""COMPUTED_VALUE"""),"")</f>
        <v/>
      </c>
      <c r="D95" s="423" t="str">
        <f>IFERROR(__xludf.DUMMYFUNCTION("""COMPUTED_VALUE"""),"")</f>
        <v/>
      </c>
      <c r="E95" s="424" t="str">
        <f>IFERROR(__xludf.DUMMYFUNCTION("""COMPUTED_VALUE"""),"")</f>
        <v/>
      </c>
      <c r="F95" s="425" t="str">
        <f>IFERROR(__xludf.DUMMYFUNCTION("""COMPUTED_VALUE"""),"")</f>
        <v/>
      </c>
      <c r="G95" s="426" t="str">
        <f>IFERROR(__xludf.DUMMYFUNCTION("""COMPUTED_VALUE"""),"")</f>
        <v/>
      </c>
      <c r="H95" s="457" t="str">
        <f>IFERROR(__xludf.DUMMYFUNCTION("""COMPUTED_VALUE"""),"")</f>
        <v/>
      </c>
      <c r="I95" s="473" t="str">
        <f>IFERROR(__xludf.DUMMYFUNCTION("""COMPUTED_VALUE"""),"")</f>
        <v/>
      </c>
      <c r="J95" s="474" t="str">
        <f>IFERROR(__xludf.DUMMYFUNCTION("""COMPUTED_VALUE"""),"")</f>
        <v/>
      </c>
      <c r="K95" s="474" t="str">
        <f>IFERROR(__xludf.DUMMYFUNCTION("""COMPUTED_VALUE"""),"")</f>
        <v/>
      </c>
      <c r="L95" s="474" t="str">
        <f>IFERROR(__xludf.DUMMYFUNCTION("""COMPUTED_VALUE"""),"")</f>
        <v/>
      </c>
      <c r="M95" s="474" t="str">
        <f>IFERROR(__xludf.DUMMYFUNCTION("""COMPUTED_VALUE"""),"")</f>
        <v/>
      </c>
      <c r="N95" s="474" t="str">
        <f>IFERROR(__xludf.DUMMYFUNCTION("""COMPUTED_VALUE"""),"")</f>
        <v/>
      </c>
      <c r="O95" s="474" t="str">
        <f>IFERROR(__xludf.DUMMYFUNCTION("""COMPUTED_VALUE"""),"")</f>
        <v/>
      </c>
      <c r="P95" s="474" t="str">
        <f>IFERROR(__xludf.DUMMYFUNCTION("""COMPUTED_VALUE"""),"")</f>
        <v/>
      </c>
      <c r="Q95" s="474" t="str">
        <f>IFERROR(__xludf.DUMMYFUNCTION("""COMPUTED_VALUE"""),"")</f>
        <v/>
      </c>
      <c r="R95" s="474" t="str">
        <f>IFERROR(__xludf.DUMMYFUNCTION("""COMPUTED_VALUE"""),"")</f>
        <v/>
      </c>
      <c r="S95" s="474" t="str">
        <f>IFERROR(__xludf.DUMMYFUNCTION("""COMPUTED_VALUE"""),"")</f>
        <v/>
      </c>
      <c r="T95" s="474" t="str">
        <f>IFERROR(__xludf.DUMMYFUNCTION("""COMPUTED_VALUE"""),"")</f>
        <v/>
      </c>
      <c r="U95" s="474" t="str">
        <f>IFERROR(__xludf.DUMMYFUNCTION("""COMPUTED_VALUE"""),"")</f>
        <v/>
      </c>
      <c r="V95" s="474" t="str">
        <f>IFERROR(__xludf.DUMMYFUNCTION("""COMPUTED_VALUE"""),"")</f>
        <v/>
      </c>
      <c r="W95" s="474" t="str">
        <f>IFERROR(__xludf.DUMMYFUNCTION("""COMPUTED_VALUE"""),"")</f>
        <v/>
      </c>
      <c r="X95" s="474" t="str">
        <f>IFERROR(__xludf.DUMMYFUNCTION("""COMPUTED_VALUE"""),"")</f>
        <v/>
      </c>
      <c r="Y95" s="474" t="str">
        <f>IFERROR(__xludf.DUMMYFUNCTION("""COMPUTED_VALUE"""),"")</f>
        <v/>
      </c>
      <c r="Z95" s="474" t="str">
        <f>IFERROR(__xludf.DUMMYFUNCTION("""COMPUTED_VALUE"""),"")</f>
        <v/>
      </c>
      <c r="AA95" s="474" t="str">
        <f>IFERROR(__xludf.DUMMYFUNCTION("""COMPUTED_VALUE"""),"")</f>
        <v/>
      </c>
      <c r="AB95" s="474" t="str">
        <f>IFERROR(__xludf.DUMMYFUNCTION("""COMPUTED_VALUE"""),"")</f>
        <v/>
      </c>
      <c r="AC95" s="475" t="str">
        <f>IFERROR(__xludf.DUMMYFUNCTION("""COMPUTED_VALUE"""),"")</f>
        <v/>
      </c>
      <c r="AD95" s="10"/>
      <c r="AE95" s="390"/>
    </row>
    <row r="96" hidden="1">
      <c r="A96" s="421">
        <f>IFERROR(__xludf.DUMMYFUNCTION("""COMPUTED_VALUE"""),7.0)</f>
        <v>7</v>
      </c>
      <c r="B96" s="422" t="str">
        <f>IFERROR(__xludf.DUMMYFUNCTION("""COMPUTED_VALUE"""),"")</f>
        <v/>
      </c>
      <c r="C96" s="503" t="str">
        <f>IFERROR(__xludf.DUMMYFUNCTION("""COMPUTED_VALUE"""),"")</f>
        <v/>
      </c>
      <c r="D96" s="423" t="str">
        <f>IFERROR(__xludf.DUMMYFUNCTION("""COMPUTED_VALUE"""),"")</f>
        <v/>
      </c>
      <c r="E96" s="424" t="str">
        <f>IFERROR(__xludf.DUMMYFUNCTION("""COMPUTED_VALUE"""),"")</f>
        <v/>
      </c>
      <c r="F96" s="425" t="str">
        <f>IFERROR(__xludf.DUMMYFUNCTION("""COMPUTED_VALUE"""),"")</f>
        <v/>
      </c>
      <c r="G96" s="426" t="str">
        <f>IFERROR(__xludf.DUMMYFUNCTION("""COMPUTED_VALUE"""),"")</f>
        <v/>
      </c>
      <c r="H96" s="457" t="str">
        <f>IFERROR(__xludf.DUMMYFUNCTION("""COMPUTED_VALUE"""),"")</f>
        <v/>
      </c>
      <c r="I96" s="473" t="str">
        <f>IFERROR(__xludf.DUMMYFUNCTION("""COMPUTED_VALUE"""),"")</f>
        <v/>
      </c>
      <c r="J96" s="474" t="str">
        <f>IFERROR(__xludf.DUMMYFUNCTION("""COMPUTED_VALUE"""),"")</f>
        <v/>
      </c>
      <c r="K96" s="474" t="str">
        <f>IFERROR(__xludf.DUMMYFUNCTION("""COMPUTED_VALUE"""),"")</f>
        <v/>
      </c>
      <c r="L96" s="474" t="str">
        <f>IFERROR(__xludf.DUMMYFUNCTION("""COMPUTED_VALUE"""),"")</f>
        <v/>
      </c>
      <c r="M96" s="474" t="str">
        <f>IFERROR(__xludf.DUMMYFUNCTION("""COMPUTED_VALUE"""),"")</f>
        <v/>
      </c>
      <c r="N96" s="474" t="str">
        <f>IFERROR(__xludf.DUMMYFUNCTION("""COMPUTED_VALUE"""),"")</f>
        <v/>
      </c>
      <c r="O96" s="474" t="str">
        <f>IFERROR(__xludf.DUMMYFUNCTION("""COMPUTED_VALUE"""),"")</f>
        <v/>
      </c>
      <c r="P96" s="474" t="str">
        <f>IFERROR(__xludf.DUMMYFUNCTION("""COMPUTED_VALUE"""),"")</f>
        <v/>
      </c>
      <c r="Q96" s="474" t="str">
        <f>IFERROR(__xludf.DUMMYFUNCTION("""COMPUTED_VALUE"""),"")</f>
        <v/>
      </c>
      <c r="R96" s="474" t="str">
        <f>IFERROR(__xludf.DUMMYFUNCTION("""COMPUTED_VALUE"""),"")</f>
        <v/>
      </c>
      <c r="S96" s="474" t="str">
        <f>IFERROR(__xludf.DUMMYFUNCTION("""COMPUTED_VALUE"""),"")</f>
        <v/>
      </c>
      <c r="T96" s="474" t="str">
        <f>IFERROR(__xludf.DUMMYFUNCTION("""COMPUTED_VALUE"""),"")</f>
        <v/>
      </c>
      <c r="U96" s="474" t="str">
        <f>IFERROR(__xludf.DUMMYFUNCTION("""COMPUTED_VALUE"""),"")</f>
        <v/>
      </c>
      <c r="V96" s="474" t="str">
        <f>IFERROR(__xludf.DUMMYFUNCTION("""COMPUTED_VALUE"""),"")</f>
        <v/>
      </c>
      <c r="W96" s="474" t="str">
        <f>IFERROR(__xludf.DUMMYFUNCTION("""COMPUTED_VALUE"""),"")</f>
        <v/>
      </c>
      <c r="X96" s="474" t="str">
        <f>IFERROR(__xludf.DUMMYFUNCTION("""COMPUTED_VALUE"""),"")</f>
        <v/>
      </c>
      <c r="Y96" s="474" t="str">
        <f>IFERROR(__xludf.DUMMYFUNCTION("""COMPUTED_VALUE"""),"")</f>
        <v/>
      </c>
      <c r="Z96" s="474" t="str">
        <f>IFERROR(__xludf.DUMMYFUNCTION("""COMPUTED_VALUE"""),"")</f>
        <v/>
      </c>
      <c r="AA96" s="474" t="str">
        <f>IFERROR(__xludf.DUMMYFUNCTION("""COMPUTED_VALUE"""),"")</f>
        <v/>
      </c>
      <c r="AB96" s="474" t="str">
        <f>IFERROR(__xludf.DUMMYFUNCTION("""COMPUTED_VALUE"""),"")</f>
        <v/>
      </c>
      <c r="AC96" s="475" t="str">
        <f>IFERROR(__xludf.DUMMYFUNCTION("""COMPUTED_VALUE"""),"")</f>
        <v/>
      </c>
      <c r="AD96" s="10"/>
      <c r="AE96" s="390"/>
    </row>
    <row r="97" hidden="1">
      <c r="A97" s="431">
        <f>IFERROR(__xludf.DUMMYFUNCTION("""COMPUTED_VALUE"""),8.0)</f>
        <v>8</v>
      </c>
      <c r="B97" s="432" t="str">
        <f>IFERROR(__xludf.DUMMYFUNCTION("""COMPUTED_VALUE"""),"")</f>
        <v/>
      </c>
      <c r="C97" s="504" t="str">
        <f>IFERROR(__xludf.DUMMYFUNCTION("""COMPUTED_VALUE"""),"")</f>
        <v/>
      </c>
      <c r="D97" s="433" t="str">
        <f>IFERROR(__xludf.DUMMYFUNCTION("""COMPUTED_VALUE"""),"")</f>
        <v/>
      </c>
      <c r="E97" s="434" t="str">
        <f>IFERROR(__xludf.DUMMYFUNCTION("""COMPUTED_VALUE"""),"")</f>
        <v/>
      </c>
      <c r="F97" s="435" t="str">
        <f>IFERROR(__xludf.DUMMYFUNCTION("""COMPUTED_VALUE"""),"")</f>
        <v/>
      </c>
      <c r="G97" s="476" t="str">
        <f>IFERROR(__xludf.DUMMYFUNCTION("""COMPUTED_VALUE"""),"")</f>
        <v/>
      </c>
      <c r="H97" s="461" t="str">
        <f>IFERROR(__xludf.DUMMYFUNCTION("""COMPUTED_VALUE"""),"")</f>
        <v/>
      </c>
      <c r="I97" s="477" t="str">
        <f>IFERROR(__xludf.DUMMYFUNCTION("""COMPUTED_VALUE"""),"")</f>
        <v/>
      </c>
      <c r="J97" s="478" t="str">
        <f>IFERROR(__xludf.DUMMYFUNCTION("""COMPUTED_VALUE"""),"")</f>
        <v/>
      </c>
      <c r="K97" s="478" t="str">
        <f>IFERROR(__xludf.DUMMYFUNCTION("""COMPUTED_VALUE"""),"")</f>
        <v/>
      </c>
      <c r="L97" s="478" t="str">
        <f>IFERROR(__xludf.DUMMYFUNCTION("""COMPUTED_VALUE"""),"")</f>
        <v/>
      </c>
      <c r="M97" s="478" t="str">
        <f>IFERROR(__xludf.DUMMYFUNCTION("""COMPUTED_VALUE"""),"")</f>
        <v/>
      </c>
      <c r="N97" s="478" t="str">
        <f>IFERROR(__xludf.DUMMYFUNCTION("""COMPUTED_VALUE"""),"")</f>
        <v/>
      </c>
      <c r="O97" s="478" t="str">
        <f>IFERROR(__xludf.DUMMYFUNCTION("""COMPUTED_VALUE"""),"")</f>
        <v/>
      </c>
      <c r="P97" s="478" t="str">
        <f>IFERROR(__xludf.DUMMYFUNCTION("""COMPUTED_VALUE"""),"")</f>
        <v/>
      </c>
      <c r="Q97" s="478" t="str">
        <f>IFERROR(__xludf.DUMMYFUNCTION("""COMPUTED_VALUE"""),"")</f>
        <v/>
      </c>
      <c r="R97" s="478" t="str">
        <f>IFERROR(__xludf.DUMMYFUNCTION("""COMPUTED_VALUE"""),"")</f>
        <v/>
      </c>
      <c r="S97" s="478" t="str">
        <f>IFERROR(__xludf.DUMMYFUNCTION("""COMPUTED_VALUE"""),"")</f>
        <v/>
      </c>
      <c r="T97" s="478" t="str">
        <f>IFERROR(__xludf.DUMMYFUNCTION("""COMPUTED_VALUE"""),"")</f>
        <v/>
      </c>
      <c r="U97" s="478" t="str">
        <f>IFERROR(__xludf.DUMMYFUNCTION("""COMPUTED_VALUE"""),"")</f>
        <v/>
      </c>
      <c r="V97" s="478" t="str">
        <f>IFERROR(__xludf.DUMMYFUNCTION("""COMPUTED_VALUE"""),"")</f>
        <v/>
      </c>
      <c r="W97" s="478" t="str">
        <f>IFERROR(__xludf.DUMMYFUNCTION("""COMPUTED_VALUE"""),"")</f>
        <v/>
      </c>
      <c r="X97" s="478" t="str">
        <f>IFERROR(__xludf.DUMMYFUNCTION("""COMPUTED_VALUE"""),"")</f>
        <v/>
      </c>
      <c r="Y97" s="478" t="str">
        <f>IFERROR(__xludf.DUMMYFUNCTION("""COMPUTED_VALUE"""),"")</f>
        <v/>
      </c>
      <c r="Z97" s="478" t="str">
        <f>IFERROR(__xludf.DUMMYFUNCTION("""COMPUTED_VALUE"""),"")</f>
        <v/>
      </c>
      <c r="AA97" s="478" t="str">
        <f>IFERROR(__xludf.DUMMYFUNCTION("""COMPUTED_VALUE"""),"")</f>
        <v/>
      </c>
      <c r="AB97" s="478" t="str">
        <f>IFERROR(__xludf.DUMMYFUNCTION("""COMPUTED_VALUE"""),"")</f>
        <v/>
      </c>
      <c r="AC97" s="479" t="str">
        <f>IFERROR(__xludf.DUMMYFUNCTION("""COMPUTED_VALUE"""),"")</f>
        <v/>
      </c>
      <c r="AD97" s="10"/>
      <c r="AE97" s="390"/>
    </row>
    <row r="98" hidden="1">
      <c r="A98" s="493" t="str">
        <f>IFERROR(__xludf.DUMMYFUNCTION("""COMPUTED_VALUE"""),"")</f>
        <v/>
      </c>
      <c r="B98" s="493" t="str">
        <f>IFERROR(__xludf.DUMMYFUNCTION("""COMPUTED_VALUE"""),"")</f>
        <v/>
      </c>
      <c r="C98" s="493" t="str">
        <f>IFERROR(__xludf.DUMMYFUNCTION("""COMPUTED_VALUE"""),"")</f>
        <v/>
      </c>
      <c r="D98" s="493" t="str">
        <f>IFERROR(__xludf.DUMMYFUNCTION("""COMPUTED_VALUE"""),"")</f>
        <v/>
      </c>
      <c r="E98" s="495" t="str">
        <f>IFERROR(__xludf.DUMMYFUNCTION("""COMPUTED_VALUE"""),"")</f>
        <v/>
      </c>
      <c r="F98" s="493" t="str">
        <f>IFERROR(__xludf.DUMMYFUNCTION("""COMPUTED_VALUE"""),"")</f>
        <v/>
      </c>
      <c r="G98" s="493" t="str">
        <f>IFERROR(__xludf.DUMMYFUNCTION("""COMPUTED_VALUE"""),"")</f>
        <v/>
      </c>
      <c r="H98" s="493" t="str">
        <f>IFERROR(__xludf.DUMMYFUNCTION("""COMPUTED_VALUE"""),"")</f>
        <v/>
      </c>
      <c r="I98" s="499" t="str">
        <f>IFERROR(__xludf.DUMMYFUNCTION("""COMPUTED_VALUE"""),"")</f>
        <v/>
      </c>
      <c r="J98" s="499" t="str">
        <f>IFERROR(__xludf.DUMMYFUNCTION("""COMPUTED_VALUE"""),"")</f>
        <v/>
      </c>
      <c r="K98" s="499" t="str">
        <f>IFERROR(__xludf.DUMMYFUNCTION("""COMPUTED_VALUE"""),"")</f>
        <v/>
      </c>
      <c r="L98" s="499" t="str">
        <f>IFERROR(__xludf.DUMMYFUNCTION("""COMPUTED_VALUE"""),"")</f>
        <v/>
      </c>
      <c r="M98" s="499" t="str">
        <f>IFERROR(__xludf.DUMMYFUNCTION("""COMPUTED_VALUE"""),"")</f>
        <v/>
      </c>
      <c r="N98" s="499" t="str">
        <f>IFERROR(__xludf.DUMMYFUNCTION("""COMPUTED_VALUE"""),"")</f>
        <v/>
      </c>
      <c r="O98" s="499" t="str">
        <f>IFERROR(__xludf.DUMMYFUNCTION("""COMPUTED_VALUE"""),"")</f>
        <v/>
      </c>
      <c r="P98" s="499" t="str">
        <f>IFERROR(__xludf.DUMMYFUNCTION("""COMPUTED_VALUE"""),"")</f>
        <v/>
      </c>
      <c r="Q98" s="499" t="str">
        <f>IFERROR(__xludf.DUMMYFUNCTION("""COMPUTED_VALUE"""),"")</f>
        <v/>
      </c>
      <c r="R98" s="499" t="str">
        <f>IFERROR(__xludf.DUMMYFUNCTION("""COMPUTED_VALUE"""),"")</f>
        <v/>
      </c>
      <c r="S98" s="499" t="str">
        <f>IFERROR(__xludf.DUMMYFUNCTION("""COMPUTED_VALUE"""),"")</f>
        <v/>
      </c>
      <c r="T98" s="499" t="str">
        <f>IFERROR(__xludf.DUMMYFUNCTION("""COMPUTED_VALUE"""),"")</f>
        <v/>
      </c>
      <c r="U98" s="499" t="str">
        <f>IFERROR(__xludf.DUMMYFUNCTION("""COMPUTED_VALUE"""),"")</f>
        <v/>
      </c>
      <c r="V98" s="499" t="str">
        <f>IFERROR(__xludf.DUMMYFUNCTION("""COMPUTED_VALUE"""),"")</f>
        <v/>
      </c>
      <c r="W98" s="499" t="str">
        <f>IFERROR(__xludf.DUMMYFUNCTION("""COMPUTED_VALUE"""),"")</f>
        <v/>
      </c>
      <c r="X98" s="499" t="str">
        <f>IFERROR(__xludf.DUMMYFUNCTION("""COMPUTED_VALUE"""),"")</f>
        <v/>
      </c>
      <c r="Y98" s="499" t="str">
        <f>IFERROR(__xludf.DUMMYFUNCTION("""COMPUTED_VALUE"""),"")</f>
        <v/>
      </c>
      <c r="Z98" s="499" t="str">
        <f>IFERROR(__xludf.DUMMYFUNCTION("""COMPUTED_VALUE"""),"")</f>
        <v/>
      </c>
      <c r="AA98" s="499" t="str">
        <f>IFERROR(__xludf.DUMMYFUNCTION("""COMPUTED_VALUE"""),"")</f>
        <v/>
      </c>
      <c r="AB98" s="499" t="str">
        <f>IFERROR(__xludf.DUMMYFUNCTION("""COMPUTED_VALUE"""),"")</f>
        <v/>
      </c>
      <c r="AC98" s="499" t="str">
        <f>IFERROR(__xludf.DUMMYFUNCTION("""COMPUTED_VALUE"""),"")</f>
        <v/>
      </c>
      <c r="AD98" s="496"/>
      <c r="AE98" s="497"/>
    </row>
    <row r="99" ht="41.25" hidden="1" customHeight="1">
      <c r="A99" s="391" t="str">
        <f>IFERROR(__xludf.DUMMYFUNCTION("""COMPUTED_VALUE"""),"")</f>
        <v/>
      </c>
      <c r="B99" s="440" t="str">
        <f>IFERROR(__xludf.DUMMYFUNCTION("""COMPUTED_VALUE"""),"")</f>
        <v/>
      </c>
      <c r="C99" s="392" t="str">
        <f>IFERROR(__xludf.DUMMYFUNCTION("""COMPUTED_VALUE"""),"HIDE")</f>
        <v>HIDE</v>
      </c>
      <c r="D99" s="392" t="str">
        <f>IFERROR(__xludf.DUMMYFUNCTION("""COMPUTED_VALUE"""),"")</f>
        <v/>
      </c>
      <c r="E99" s="393" t="str">
        <f>IFERROR(__xludf.DUMMYFUNCTION("""COMPUTED_VALUE"""),"Cost")</f>
        <v>Cost</v>
      </c>
      <c r="F99" s="394" t="str">
        <f>IFERROR(__xludf.DUMMYFUNCTION("""COMPUTED_VALUE"""),"# Runs")</f>
        <v># Runs</v>
      </c>
      <c r="G99" s="395" t="str">
        <f>IFERROR(__xludf.DUMMYFUNCTION("""COMPUTED_VALUE"""),"Status")</f>
        <v>Status</v>
      </c>
      <c r="H99" s="396" t="str">
        <f>IFERROR(__xludf.DUMMYFUNCTION("""COMPUTED_VALUE"""),"Currency/AP @ +0")</f>
        <v>Currency/AP @ +0</v>
      </c>
      <c r="I99" s="397">
        <f>IFERROR(__xludf.DUMMYFUNCTION("""COMPUTED_VALUE"""),0.0)</f>
        <v>0</v>
      </c>
      <c r="J99" s="398">
        <f>IFERROR(__xludf.DUMMYFUNCTION("""COMPUTED_VALUE"""),1.0)</f>
        <v>1</v>
      </c>
      <c r="K99" s="398">
        <f>IFERROR(__xludf.DUMMYFUNCTION("""COMPUTED_VALUE"""),2.0)</f>
        <v>2</v>
      </c>
      <c r="L99" s="398">
        <f>IFERROR(__xludf.DUMMYFUNCTION("""COMPUTED_VALUE"""),3.0)</f>
        <v>3</v>
      </c>
      <c r="M99" s="398">
        <f>IFERROR(__xludf.DUMMYFUNCTION("""COMPUTED_VALUE"""),4.0)</f>
        <v>4</v>
      </c>
      <c r="N99" s="398">
        <f>IFERROR(__xludf.DUMMYFUNCTION("""COMPUTED_VALUE"""),5.0)</f>
        <v>5</v>
      </c>
      <c r="O99" s="398">
        <f>IFERROR(__xludf.DUMMYFUNCTION("""COMPUTED_VALUE"""),6.0)</f>
        <v>6</v>
      </c>
      <c r="P99" s="398">
        <f>IFERROR(__xludf.DUMMYFUNCTION("""COMPUTED_VALUE"""),7.0)</f>
        <v>7</v>
      </c>
      <c r="Q99" s="398">
        <f>IFERROR(__xludf.DUMMYFUNCTION("""COMPUTED_VALUE"""),8.0)</f>
        <v>8</v>
      </c>
      <c r="R99" s="398">
        <f>IFERROR(__xludf.DUMMYFUNCTION("""COMPUTED_VALUE"""),9.0)</f>
        <v>9</v>
      </c>
      <c r="S99" s="398">
        <f>IFERROR(__xludf.DUMMYFUNCTION("""COMPUTED_VALUE"""),10.0)</f>
        <v>10</v>
      </c>
      <c r="T99" s="398">
        <f>IFERROR(__xludf.DUMMYFUNCTION("""COMPUTED_VALUE"""),11.0)</f>
        <v>11</v>
      </c>
      <c r="U99" s="398">
        <f>IFERROR(__xludf.DUMMYFUNCTION("""COMPUTED_VALUE"""),12.0)</f>
        <v>12</v>
      </c>
      <c r="V99" s="398">
        <f>IFERROR(__xludf.DUMMYFUNCTION("""COMPUTED_VALUE"""),13.0)</f>
        <v>13</v>
      </c>
      <c r="W99" s="398">
        <f>IFERROR(__xludf.DUMMYFUNCTION("""COMPUTED_VALUE"""),14.0)</f>
        <v>14</v>
      </c>
      <c r="X99" s="398">
        <f>IFERROR(__xludf.DUMMYFUNCTION("""COMPUTED_VALUE"""),15.0)</f>
        <v>15</v>
      </c>
      <c r="Y99" s="398">
        <f>IFERROR(__xludf.DUMMYFUNCTION("""COMPUTED_VALUE"""),16.0)</f>
        <v>16</v>
      </c>
      <c r="Z99" s="398">
        <f>IFERROR(__xludf.DUMMYFUNCTION("""COMPUTED_VALUE"""),17.0)</f>
        <v>17</v>
      </c>
      <c r="AA99" s="398">
        <f>IFERROR(__xludf.DUMMYFUNCTION("""COMPUTED_VALUE"""),18.0)</f>
        <v>18</v>
      </c>
      <c r="AB99" s="398">
        <f>IFERROR(__xludf.DUMMYFUNCTION("""COMPUTED_VALUE"""),19.0)</f>
        <v>19</v>
      </c>
      <c r="AC99" s="399">
        <f>IFERROR(__xludf.DUMMYFUNCTION("""COMPUTED_VALUE"""),20.0)</f>
        <v>20</v>
      </c>
      <c r="AD99" s="400"/>
      <c r="AE99" s="401"/>
    </row>
    <row r="100" hidden="1">
      <c r="A100" s="480" t="str">
        <f>IFERROR(__xludf.DUMMYFUNCTION("""COMPUTED_VALUE"""),"HIDE")</f>
        <v>HIDE</v>
      </c>
      <c r="B100" s="481" t="str">
        <f>IFERROR(__xludf.DUMMYFUNCTION("""COMPUTED_VALUE"""),"#N/A")</f>
        <v>#N/A</v>
      </c>
      <c r="C100" s="481" t="str">
        <f>IFERROR(__xludf.DUMMYFUNCTION("""COMPUTED_VALUE"""),"#N/A")</f>
        <v>#N/A</v>
      </c>
      <c r="D100" s="482" t="str">
        <f>IFERROR(__xludf.DUMMYFUNCTION("""COMPUTED_VALUE"""),"")</f>
        <v/>
      </c>
      <c r="E100" s="483" t="str">
        <f>IFERROR(__xludf.DUMMYFUNCTION("""COMPUTED_VALUE"""),"")</f>
        <v/>
      </c>
      <c r="F100" s="484" t="str">
        <f>IFERROR(__xludf.DUMMYFUNCTION("""COMPUTED_VALUE"""),"")</f>
        <v/>
      </c>
      <c r="G100" s="501" t="str">
        <f>IFERROR(__xludf.DUMMYFUNCTION("""COMPUTED_VALUE"""),"")</f>
        <v/>
      </c>
      <c r="H100" s="484" t="str">
        <f>IFERROR(__xludf.DUMMYFUNCTION("""COMPUTED_VALUE"""),"")</f>
        <v/>
      </c>
      <c r="I100" s="486" t="str">
        <f>IFERROR(__xludf.DUMMYFUNCTION("""COMPUTED_VALUE"""),"")</f>
        <v/>
      </c>
      <c r="J100" s="486" t="str">
        <f>IFERROR(__xludf.DUMMYFUNCTION("""COMPUTED_VALUE"""),"")</f>
        <v/>
      </c>
      <c r="K100" s="486" t="str">
        <f>IFERROR(__xludf.DUMMYFUNCTION("""COMPUTED_VALUE"""),"")</f>
        <v/>
      </c>
      <c r="L100" s="486" t="str">
        <f>IFERROR(__xludf.DUMMYFUNCTION("""COMPUTED_VALUE"""),"")</f>
        <v/>
      </c>
      <c r="M100" s="486" t="str">
        <f>IFERROR(__xludf.DUMMYFUNCTION("""COMPUTED_VALUE"""),"")</f>
        <v/>
      </c>
      <c r="N100" s="486" t="str">
        <f>IFERROR(__xludf.DUMMYFUNCTION("""COMPUTED_VALUE"""),"")</f>
        <v/>
      </c>
      <c r="O100" s="486" t="str">
        <f>IFERROR(__xludf.DUMMYFUNCTION("""COMPUTED_VALUE"""),"")</f>
        <v/>
      </c>
      <c r="P100" s="486" t="str">
        <f>IFERROR(__xludf.DUMMYFUNCTION("""COMPUTED_VALUE"""),"")</f>
        <v/>
      </c>
      <c r="Q100" s="486" t="str">
        <f>IFERROR(__xludf.DUMMYFUNCTION("""COMPUTED_VALUE"""),"")</f>
        <v/>
      </c>
      <c r="R100" s="486" t="str">
        <f>IFERROR(__xludf.DUMMYFUNCTION("""COMPUTED_VALUE"""),"")</f>
        <v/>
      </c>
      <c r="S100" s="486" t="str">
        <f>IFERROR(__xludf.DUMMYFUNCTION("""COMPUTED_VALUE"""),"")</f>
        <v/>
      </c>
      <c r="T100" s="486" t="str">
        <f>IFERROR(__xludf.DUMMYFUNCTION("""COMPUTED_VALUE"""),"")</f>
        <v/>
      </c>
      <c r="U100" s="486" t="str">
        <f>IFERROR(__xludf.DUMMYFUNCTION("""COMPUTED_VALUE"""),"")</f>
        <v/>
      </c>
      <c r="V100" s="486" t="str">
        <f>IFERROR(__xludf.DUMMYFUNCTION("""COMPUTED_VALUE"""),"")</f>
        <v/>
      </c>
      <c r="W100" s="486" t="str">
        <f>IFERROR(__xludf.DUMMYFUNCTION("""COMPUTED_VALUE"""),"")</f>
        <v/>
      </c>
      <c r="X100" s="486" t="str">
        <f>IFERROR(__xludf.DUMMYFUNCTION("""COMPUTED_VALUE"""),"")</f>
        <v/>
      </c>
      <c r="Y100" s="486" t="str">
        <f>IFERROR(__xludf.DUMMYFUNCTION("""COMPUTED_VALUE"""),"")</f>
        <v/>
      </c>
      <c r="Z100" s="486" t="str">
        <f>IFERROR(__xludf.DUMMYFUNCTION("""COMPUTED_VALUE"""),"")</f>
        <v/>
      </c>
      <c r="AA100" s="486" t="str">
        <f>IFERROR(__xludf.DUMMYFUNCTION("""COMPUTED_VALUE"""),"")</f>
        <v/>
      </c>
      <c r="AB100" s="486" t="str">
        <f>IFERROR(__xludf.DUMMYFUNCTION("""COMPUTED_VALUE"""),"")</f>
        <v/>
      </c>
      <c r="AC100" s="487" t="str">
        <f>IFERROR(__xludf.DUMMYFUNCTION("""COMPUTED_VALUE"""),"")</f>
        <v/>
      </c>
      <c r="AD100" s="488"/>
      <c r="AE100" s="489"/>
    </row>
    <row r="101" hidden="1">
      <c r="A101" s="463" t="str">
        <f>IFERROR(__xludf.DUMMYFUNCTION("""COMPUTED_VALUE"""),"BEST NOW")</f>
        <v>BEST NOW</v>
      </c>
      <c r="B101" s="464" t="str">
        <f>IFERROR(__xludf.DUMMYFUNCTION("""COMPUTED_VALUE"""),"")</f>
        <v/>
      </c>
      <c r="C101" s="464" t="str">
        <f>IFERROR(__xludf.DUMMYFUNCTION("""COMPUTED_VALUE"""),"")</f>
        <v/>
      </c>
      <c r="D101" s="465" t="str">
        <f>IFERROR(__xludf.DUMMYFUNCTION("""COMPUTED_VALUE"""),"")</f>
        <v/>
      </c>
      <c r="E101" s="466" t="str">
        <f>IFERROR(__xludf.DUMMYFUNCTION("""COMPUTED_VALUE"""),"")</f>
        <v/>
      </c>
      <c r="F101" s="467" t="str">
        <f>IFERROR(__xludf.DUMMYFUNCTION("""COMPUTED_VALUE"""),"")</f>
        <v/>
      </c>
      <c r="G101" s="468" t="str">
        <f>IFERROR(__xludf.DUMMYFUNCTION("""COMPUTED_VALUE"""),"")</f>
        <v/>
      </c>
      <c r="H101" s="469" t="str">
        <f>IFERROR(__xludf.DUMMYFUNCTION("""COMPUTED_VALUE"""),"")</f>
        <v/>
      </c>
      <c r="I101" s="470" t="str">
        <f>IFERROR(__xludf.DUMMYFUNCTION("""COMPUTED_VALUE"""),"")</f>
        <v/>
      </c>
      <c r="J101" s="471" t="str">
        <f>IFERROR(__xludf.DUMMYFUNCTION("""COMPUTED_VALUE"""),"")</f>
        <v/>
      </c>
      <c r="K101" s="471" t="str">
        <f>IFERROR(__xludf.DUMMYFUNCTION("""COMPUTED_VALUE"""),"")</f>
        <v/>
      </c>
      <c r="L101" s="471" t="str">
        <f>IFERROR(__xludf.DUMMYFUNCTION("""COMPUTED_VALUE"""),"")</f>
        <v/>
      </c>
      <c r="M101" s="471" t="str">
        <f>IFERROR(__xludf.DUMMYFUNCTION("""COMPUTED_VALUE"""),"")</f>
        <v/>
      </c>
      <c r="N101" s="471" t="str">
        <f>IFERROR(__xludf.DUMMYFUNCTION("""COMPUTED_VALUE"""),"")</f>
        <v/>
      </c>
      <c r="O101" s="471" t="str">
        <f>IFERROR(__xludf.DUMMYFUNCTION("""COMPUTED_VALUE"""),"")</f>
        <v/>
      </c>
      <c r="P101" s="471" t="str">
        <f>IFERROR(__xludf.DUMMYFUNCTION("""COMPUTED_VALUE"""),"")</f>
        <v/>
      </c>
      <c r="Q101" s="471" t="str">
        <f>IFERROR(__xludf.DUMMYFUNCTION("""COMPUTED_VALUE"""),"")</f>
        <v/>
      </c>
      <c r="R101" s="471" t="str">
        <f>IFERROR(__xludf.DUMMYFUNCTION("""COMPUTED_VALUE"""),"")</f>
        <v/>
      </c>
      <c r="S101" s="471" t="str">
        <f>IFERROR(__xludf.DUMMYFUNCTION("""COMPUTED_VALUE"""),"")</f>
        <v/>
      </c>
      <c r="T101" s="471" t="str">
        <f>IFERROR(__xludf.DUMMYFUNCTION("""COMPUTED_VALUE"""),"")</f>
        <v/>
      </c>
      <c r="U101" s="471" t="str">
        <f>IFERROR(__xludf.DUMMYFUNCTION("""COMPUTED_VALUE"""),"")</f>
        <v/>
      </c>
      <c r="V101" s="471" t="str">
        <f>IFERROR(__xludf.DUMMYFUNCTION("""COMPUTED_VALUE"""),"")</f>
        <v/>
      </c>
      <c r="W101" s="471" t="str">
        <f>IFERROR(__xludf.DUMMYFUNCTION("""COMPUTED_VALUE"""),"")</f>
        <v/>
      </c>
      <c r="X101" s="471" t="str">
        <f>IFERROR(__xludf.DUMMYFUNCTION("""COMPUTED_VALUE"""),"")</f>
        <v/>
      </c>
      <c r="Y101" s="471" t="str">
        <f>IFERROR(__xludf.DUMMYFUNCTION("""COMPUTED_VALUE"""),"")</f>
        <v/>
      </c>
      <c r="Z101" s="471" t="str">
        <f>IFERROR(__xludf.DUMMYFUNCTION("""COMPUTED_VALUE"""),"")</f>
        <v/>
      </c>
      <c r="AA101" s="471" t="str">
        <f>IFERROR(__xludf.DUMMYFUNCTION("""COMPUTED_VALUE"""),"")</f>
        <v/>
      </c>
      <c r="AB101" s="471" t="str">
        <f>IFERROR(__xludf.DUMMYFUNCTION("""COMPUTED_VALUE"""),"")</f>
        <v/>
      </c>
      <c r="AC101" s="472" t="str">
        <f>IFERROR(__xludf.DUMMYFUNCTION("""COMPUTED_VALUE"""),"")</f>
        <v/>
      </c>
      <c r="AD101" s="10"/>
      <c r="AE101" s="6"/>
    </row>
    <row r="102" hidden="1">
      <c r="A102" s="450">
        <f>IFERROR(__xludf.DUMMYFUNCTION("""COMPUTED_VALUE"""),1.0)</f>
        <v>1</v>
      </c>
      <c r="B102" s="451" t="str">
        <f>IFERROR(__xludf.DUMMYFUNCTION("""COMPUTED_VALUE"""),"")</f>
        <v/>
      </c>
      <c r="C102" s="502" t="str">
        <f>IFERROR(__xludf.DUMMYFUNCTION("""COMPUTED_VALUE"""),"")</f>
        <v/>
      </c>
      <c r="D102" s="452" t="str">
        <f>IFERROR(__xludf.DUMMYFUNCTION("""COMPUTED_VALUE"""),"")</f>
        <v/>
      </c>
      <c r="E102" s="453" t="str">
        <f>IFERROR(__xludf.DUMMYFUNCTION("""COMPUTED_VALUE"""),"")</f>
        <v/>
      </c>
      <c r="F102" s="454" t="str">
        <f>IFERROR(__xludf.DUMMYFUNCTION("""COMPUTED_VALUE"""),"")</f>
        <v/>
      </c>
      <c r="G102" s="491" t="str">
        <f>IFERROR(__xludf.DUMMYFUNCTION("""COMPUTED_VALUE"""),"")</f>
        <v/>
      </c>
      <c r="H102" s="455" t="str">
        <f>IFERROR(__xludf.DUMMYFUNCTION("""COMPUTED_VALUE"""),"")</f>
        <v/>
      </c>
      <c r="I102" s="473" t="str">
        <f>IFERROR(__xludf.DUMMYFUNCTION("""COMPUTED_VALUE"""),"")</f>
        <v/>
      </c>
      <c r="J102" s="474" t="str">
        <f>IFERROR(__xludf.DUMMYFUNCTION("""COMPUTED_VALUE"""),"")</f>
        <v/>
      </c>
      <c r="K102" s="474" t="str">
        <f>IFERROR(__xludf.DUMMYFUNCTION("""COMPUTED_VALUE"""),"")</f>
        <v/>
      </c>
      <c r="L102" s="474" t="str">
        <f>IFERROR(__xludf.DUMMYFUNCTION("""COMPUTED_VALUE"""),"")</f>
        <v/>
      </c>
      <c r="M102" s="474" t="str">
        <f>IFERROR(__xludf.DUMMYFUNCTION("""COMPUTED_VALUE"""),"")</f>
        <v/>
      </c>
      <c r="N102" s="474" t="str">
        <f>IFERROR(__xludf.DUMMYFUNCTION("""COMPUTED_VALUE"""),"")</f>
        <v/>
      </c>
      <c r="O102" s="474" t="str">
        <f>IFERROR(__xludf.DUMMYFUNCTION("""COMPUTED_VALUE"""),"")</f>
        <v/>
      </c>
      <c r="P102" s="474" t="str">
        <f>IFERROR(__xludf.DUMMYFUNCTION("""COMPUTED_VALUE"""),"")</f>
        <v/>
      </c>
      <c r="Q102" s="474" t="str">
        <f>IFERROR(__xludf.DUMMYFUNCTION("""COMPUTED_VALUE"""),"")</f>
        <v/>
      </c>
      <c r="R102" s="474" t="str">
        <f>IFERROR(__xludf.DUMMYFUNCTION("""COMPUTED_VALUE"""),"")</f>
        <v/>
      </c>
      <c r="S102" s="474" t="str">
        <f>IFERROR(__xludf.DUMMYFUNCTION("""COMPUTED_VALUE"""),"")</f>
        <v/>
      </c>
      <c r="T102" s="474" t="str">
        <f>IFERROR(__xludf.DUMMYFUNCTION("""COMPUTED_VALUE"""),"")</f>
        <v/>
      </c>
      <c r="U102" s="474" t="str">
        <f>IFERROR(__xludf.DUMMYFUNCTION("""COMPUTED_VALUE"""),"")</f>
        <v/>
      </c>
      <c r="V102" s="474" t="str">
        <f>IFERROR(__xludf.DUMMYFUNCTION("""COMPUTED_VALUE"""),"")</f>
        <v/>
      </c>
      <c r="W102" s="474" t="str">
        <f>IFERROR(__xludf.DUMMYFUNCTION("""COMPUTED_VALUE"""),"")</f>
        <v/>
      </c>
      <c r="X102" s="474" t="str">
        <f>IFERROR(__xludf.DUMMYFUNCTION("""COMPUTED_VALUE"""),"")</f>
        <v/>
      </c>
      <c r="Y102" s="474" t="str">
        <f>IFERROR(__xludf.DUMMYFUNCTION("""COMPUTED_VALUE"""),"")</f>
        <v/>
      </c>
      <c r="Z102" s="474" t="str">
        <f>IFERROR(__xludf.DUMMYFUNCTION("""COMPUTED_VALUE"""),"")</f>
        <v/>
      </c>
      <c r="AA102" s="474" t="str">
        <f>IFERROR(__xludf.DUMMYFUNCTION("""COMPUTED_VALUE"""),"")</f>
        <v/>
      </c>
      <c r="AB102" s="474" t="str">
        <f>IFERROR(__xludf.DUMMYFUNCTION("""COMPUTED_VALUE"""),"")</f>
        <v/>
      </c>
      <c r="AC102" s="475" t="str">
        <f>IFERROR(__xludf.DUMMYFUNCTION("""COMPUTED_VALUE"""),"")</f>
        <v/>
      </c>
      <c r="AD102" s="10"/>
      <c r="AE102" s="390"/>
    </row>
    <row r="103" hidden="1">
      <c r="A103" s="421">
        <f>IFERROR(__xludf.DUMMYFUNCTION("""COMPUTED_VALUE"""),2.0)</f>
        <v>2</v>
      </c>
      <c r="B103" s="422" t="str">
        <f>IFERROR(__xludf.DUMMYFUNCTION("""COMPUTED_VALUE"""),"")</f>
        <v/>
      </c>
      <c r="C103" s="502" t="str">
        <f>IFERROR(__xludf.DUMMYFUNCTION("""COMPUTED_VALUE"""),"")</f>
        <v/>
      </c>
      <c r="D103" s="423" t="str">
        <f>IFERROR(__xludf.DUMMYFUNCTION("""COMPUTED_VALUE"""),"")</f>
        <v/>
      </c>
      <c r="E103" s="424" t="str">
        <f>IFERROR(__xludf.DUMMYFUNCTION("""COMPUTED_VALUE"""),"")</f>
        <v/>
      </c>
      <c r="F103" s="425" t="str">
        <f>IFERROR(__xludf.DUMMYFUNCTION("""COMPUTED_VALUE"""),"")</f>
        <v/>
      </c>
      <c r="G103" s="491" t="str">
        <f>IFERROR(__xludf.DUMMYFUNCTION("""COMPUTED_VALUE"""),"")</f>
        <v/>
      </c>
      <c r="H103" s="457" t="str">
        <f>IFERROR(__xludf.DUMMYFUNCTION("""COMPUTED_VALUE"""),"")</f>
        <v/>
      </c>
      <c r="I103" s="473" t="str">
        <f>IFERROR(__xludf.DUMMYFUNCTION("""COMPUTED_VALUE"""),"")</f>
        <v/>
      </c>
      <c r="J103" s="474" t="str">
        <f>IFERROR(__xludf.DUMMYFUNCTION("""COMPUTED_VALUE"""),"")</f>
        <v/>
      </c>
      <c r="K103" s="474" t="str">
        <f>IFERROR(__xludf.DUMMYFUNCTION("""COMPUTED_VALUE"""),"")</f>
        <v/>
      </c>
      <c r="L103" s="474" t="str">
        <f>IFERROR(__xludf.DUMMYFUNCTION("""COMPUTED_VALUE"""),"")</f>
        <v/>
      </c>
      <c r="M103" s="474" t="str">
        <f>IFERROR(__xludf.DUMMYFUNCTION("""COMPUTED_VALUE"""),"")</f>
        <v/>
      </c>
      <c r="N103" s="474" t="str">
        <f>IFERROR(__xludf.DUMMYFUNCTION("""COMPUTED_VALUE"""),"")</f>
        <v/>
      </c>
      <c r="O103" s="474" t="str">
        <f>IFERROR(__xludf.DUMMYFUNCTION("""COMPUTED_VALUE"""),"")</f>
        <v/>
      </c>
      <c r="P103" s="474" t="str">
        <f>IFERROR(__xludf.DUMMYFUNCTION("""COMPUTED_VALUE"""),"")</f>
        <v/>
      </c>
      <c r="Q103" s="474" t="str">
        <f>IFERROR(__xludf.DUMMYFUNCTION("""COMPUTED_VALUE"""),"")</f>
        <v/>
      </c>
      <c r="R103" s="474" t="str">
        <f>IFERROR(__xludf.DUMMYFUNCTION("""COMPUTED_VALUE"""),"")</f>
        <v/>
      </c>
      <c r="S103" s="474" t="str">
        <f>IFERROR(__xludf.DUMMYFUNCTION("""COMPUTED_VALUE"""),"")</f>
        <v/>
      </c>
      <c r="T103" s="474" t="str">
        <f>IFERROR(__xludf.DUMMYFUNCTION("""COMPUTED_VALUE"""),"")</f>
        <v/>
      </c>
      <c r="U103" s="474" t="str">
        <f>IFERROR(__xludf.DUMMYFUNCTION("""COMPUTED_VALUE"""),"")</f>
        <v/>
      </c>
      <c r="V103" s="474" t="str">
        <f>IFERROR(__xludf.DUMMYFUNCTION("""COMPUTED_VALUE"""),"")</f>
        <v/>
      </c>
      <c r="W103" s="474" t="str">
        <f>IFERROR(__xludf.DUMMYFUNCTION("""COMPUTED_VALUE"""),"")</f>
        <v/>
      </c>
      <c r="X103" s="474" t="str">
        <f>IFERROR(__xludf.DUMMYFUNCTION("""COMPUTED_VALUE"""),"")</f>
        <v/>
      </c>
      <c r="Y103" s="474" t="str">
        <f>IFERROR(__xludf.DUMMYFUNCTION("""COMPUTED_VALUE"""),"")</f>
        <v/>
      </c>
      <c r="Z103" s="474" t="str">
        <f>IFERROR(__xludf.DUMMYFUNCTION("""COMPUTED_VALUE"""),"")</f>
        <v/>
      </c>
      <c r="AA103" s="474" t="str">
        <f>IFERROR(__xludf.DUMMYFUNCTION("""COMPUTED_VALUE"""),"")</f>
        <v/>
      </c>
      <c r="AB103" s="474" t="str">
        <f>IFERROR(__xludf.DUMMYFUNCTION("""COMPUTED_VALUE"""),"")</f>
        <v/>
      </c>
      <c r="AC103" s="475" t="str">
        <f>IFERROR(__xludf.DUMMYFUNCTION("""COMPUTED_VALUE"""),"")</f>
        <v/>
      </c>
      <c r="AD103" s="10"/>
      <c r="AE103" s="390"/>
    </row>
    <row r="104" hidden="1">
      <c r="A104" s="421">
        <f>IFERROR(__xludf.DUMMYFUNCTION("""COMPUTED_VALUE"""),3.0)</f>
        <v>3</v>
      </c>
      <c r="B104" s="422" t="str">
        <f>IFERROR(__xludf.DUMMYFUNCTION("""COMPUTED_VALUE"""),"")</f>
        <v/>
      </c>
      <c r="C104" s="502" t="str">
        <f>IFERROR(__xludf.DUMMYFUNCTION("""COMPUTED_VALUE"""),"")</f>
        <v/>
      </c>
      <c r="D104" s="423" t="str">
        <f>IFERROR(__xludf.DUMMYFUNCTION("""COMPUTED_VALUE"""),"")</f>
        <v/>
      </c>
      <c r="E104" s="424" t="str">
        <f>IFERROR(__xludf.DUMMYFUNCTION("""COMPUTED_VALUE"""),"")</f>
        <v/>
      </c>
      <c r="F104" s="425" t="str">
        <f>IFERROR(__xludf.DUMMYFUNCTION("""COMPUTED_VALUE"""),"")</f>
        <v/>
      </c>
      <c r="G104" s="492" t="str">
        <f>IFERROR(__xludf.DUMMYFUNCTION("""COMPUTED_VALUE"""),"")</f>
        <v/>
      </c>
      <c r="H104" s="457" t="str">
        <f>IFERROR(__xludf.DUMMYFUNCTION("""COMPUTED_VALUE"""),"")</f>
        <v/>
      </c>
      <c r="I104" s="473" t="str">
        <f>IFERROR(__xludf.DUMMYFUNCTION("""COMPUTED_VALUE"""),"")</f>
        <v/>
      </c>
      <c r="J104" s="474" t="str">
        <f>IFERROR(__xludf.DUMMYFUNCTION("""COMPUTED_VALUE"""),"")</f>
        <v/>
      </c>
      <c r="K104" s="474" t="str">
        <f>IFERROR(__xludf.DUMMYFUNCTION("""COMPUTED_VALUE"""),"")</f>
        <v/>
      </c>
      <c r="L104" s="474" t="str">
        <f>IFERROR(__xludf.DUMMYFUNCTION("""COMPUTED_VALUE"""),"")</f>
        <v/>
      </c>
      <c r="M104" s="474" t="str">
        <f>IFERROR(__xludf.DUMMYFUNCTION("""COMPUTED_VALUE"""),"")</f>
        <v/>
      </c>
      <c r="N104" s="474" t="str">
        <f>IFERROR(__xludf.DUMMYFUNCTION("""COMPUTED_VALUE"""),"")</f>
        <v/>
      </c>
      <c r="O104" s="474" t="str">
        <f>IFERROR(__xludf.DUMMYFUNCTION("""COMPUTED_VALUE"""),"")</f>
        <v/>
      </c>
      <c r="P104" s="474" t="str">
        <f>IFERROR(__xludf.DUMMYFUNCTION("""COMPUTED_VALUE"""),"")</f>
        <v/>
      </c>
      <c r="Q104" s="474" t="str">
        <f>IFERROR(__xludf.DUMMYFUNCTION("""COMPUTED_VALUE"""),"")</f>
        <v/>
      </c>
      <c r="R104" s="474" t="str">
        <f>IFERROR(__xludf.DUMMYFUNCTION("""COMPUTED_VALUE"""),"")</f>
        <v/>
      </c>
      <c r="S104" s="474" t="str">
        <f>IFERROR(__xludf.DUMMYFUNCTION("""COMPUTED_VALUE"""),"")</f>
        <v/>
      </c>
      <c r="T104" s="474" t="str">
        <f>IFERROR(__xludf.DUMMYFUNCTION("""COMPUTED_VALUE"""),"")</f>
        <v/>
      </c>
      <c r="U104" s="474" t="str">
        <f>IFERROR(__xludf.DUMMYFUNCTION("""COMPUTED_VALUE"""),"")</f>
        <v/>
      </c>
      <c r="V104" s="474" t="str">
        <f>IFERROR(__xludf.DUMMYFUNCTION("""COMPUTED_VALUE"""),"")</f>
        <v/>
      </c>
      <c r="W104" s="474" t="str">
        <f>IFERROR(__xludf.DUMMYFUNCTION("""COMPUTED_VALUE"""),"")</f>
        <v/>
      </c>
      <c r="X104" s="474" t="str">
        <f>IFERROR(__xludf.DUMMYFUNCTION("""COMPUTED_VALUE"""),"")</f>
        <v/>
      </c>
      <c r="Y104" s="474" t="str">
        <f>IFERROR(__xludf.DUMMYFUNCTION("""COMPUTED_VALUE"""),"")</f>
        <v/>
      </c>
      <c r="Z104" s="474" t="str">
        <f>IFERROR(__xludf.DUMMYFUNCTION("""COMPUTED_VALUE"""),"")</f>
        <v/>
      </c>
      <c r="AA104" s="474" t="str">
        <f>IFERROR(__xludf.DUMMYFUNCTION("""COMPUTED_VALUE"""),"")</f>
        <v/>
      </c>
      <c r="AB104" s="474" t="str">
        <f>IFERROR(__xludf.DUMMYFUNCTION("""COMPUTED_VALUE"""),"")</f>
        <v/>
      </c>
      <c r="AC104" s="475" t="str">
        <f>IFERROR(__xludf.DUMMYFUNCTION("""COMPUTED_VALUE"""),"")</f>
        <v/>
      </c>
      <c r="AD104" s="10"/>
      <c r="AE104" s="390"/>
    </row>
    <row r="105" hidden="1">
      <c r="A105" s="421">
        <f>IFERROR(__xludf.DUMMYFUNCTION("""COMPUTED_VALUE"""),4.0)</f>
        <v>4</v>
      </c>
      <c r="B105" s="422" t="str">
        <f>IFERROR(__xludf.DUMMYFUNCTION("""COMPUTED_VALUE"""),"")</f>
        <v/>
      </c>
      <c r="C105" s="502" t="str">
        <f>IFERROR(__xludf.DUMMYFUNCTION("""COMPUTED_VALUE"""),"")</f>
        <v/>
      </c>
      <c r="D105" s="423" t="str">
        <f>IFERROR(__xludf.DUMMYFUNCTION("""COMPUTED_VALUE"""),"")</f>
        <v/>
      </c>
      <c r="E105" s="424" t="str">
        <f>IFERROR(__xludf.DUMMYFUNCTION("""COMPUTED_VALUE"""),"")</f>
        <v/>
      </c>
      <c r="F105" s="425" t="str">
        <f>IFERROR(__xludf.DUMMYFUNCTION("""COMPUTED_VALUE"""),"")</f>
        <v/>
      </c>
      <c r="G105" s="492" t="str">
        <f>IFERROR(__xludf.DUMMYFUNCTION("""COMPUTED_VALUE"""),"")</f>
        <v/>
      </c>
      <c r="H105" s="457" t="str">
        <f>IFERROR(__xludf.DUMMYFUNCTION("""COMPUTED_VALUE"""),"")</f>
        <v/>
      </c>
      <c r="I105" s="473" t="str">
        <f>IFERROR(__xludf.DUMMYFUNCTION("""COMPUTED_VALUE"""),"")</f>
        <v/>
      </c>
      <c r="J105" s="474" t="str">
        <f>IFERROR(__xludf.DUMMYFUNCTION("""COMPUTED_VALUE"""),"")</f>
        <v/>
      </c>
      <c r="K105" s="474" t="str">
        <f>IFERROR(__xludf.DUMMYFUNCTION("""COMPUTED_VALUE"""),"")</f>
        <v/>
      </c>
      <c r="L105" s="474" t="str">
        <f>IFERROR(__xludf.DUMMYFUNCTION("""COMPUTED_VALUE"""),"")</f>
        <v/>
      </c>
      <c r="M105" s="474" t="str">
        <f>IFERROR(__xludf.DUMMYFUNCTION("""COMPUTED_VALUE"""),"")</f>
        <v/>
      </c>
      <c r="N105" s="474" t="str">
        <f>IFERROR(__xludf.DUMMYFUNCTION("""COMPUTED_VALUE"""),"")</f>
        <v/>
      </c>
      <c r="O105" s="474" t="str">
        <f>IFERROR(__xludf.DUMMYFUNCTION("""COMPUTED_VALUE"""),"")</f>
        <v/>
      </c>
      <c r="P105" s="474" t="str">
        <f>IFERROR(__xludf.DUMMYFUNCTION("""COMPUTED_VALUE"""),"")</f>
        <v/>
      </c>
      <c r="Q105" s="474" t="str">
        <f>IFERROR(__xludf.DUMMYFUNCTION("""COMPUTED_VALUE"""),"")</f>
        <v/>
      </c>
      <c r="R105" s="474" t="str">
        <f>IFERROR(__xludf.DUMMYFUNCTION("""COMPUTED_VALUE"""),"")</f>
        <v/>
      </c>
      <c r="S105" s="474" t="str">
        <f>IFERROR(__xludf.DUMMYFUNCTION("""COMPUTED_VALUE"""),"")</f>
        <v/>
      </c>
      <c r="T105" s="474" t="str">
        <f>IFERROR(__xludf.DUMMYFUNCTION("""COMPUTED_VALUE"""),"")</f>
        <v/>
      </c>
      <c r="U105" s="474" t="str">
        <f>IFERROR(__xludf.DUMMYFUNCTION("""COMPUTED_VALUE"""),"")</f>
        <v/>
      </c>
      <c r="V105" s="474" t="str">
        <f>IFERROR(__xludf.DUMMYFUNCTION("""COMPUTED_VALUE"""),"")</f>
        <v/>
      </c>
      <c r="W105" s="474" t="str">
        <f>IFERROR(__xludf.DUMMYFUNCTION("""COMPUTED_VALUE"""),"")</f>
        <v/>
      </c>
      <c r="X105" s="474" t="str">
        <f>IFERROR(__xludf.DUMMYFUNCTION("""COMPUTED_VALUE"""),"")</f>
        <v/>
      </c>
      <c r="Y105" s="474" t="str">
        <f>IFERROR(__xludf.DUMMYFUNCTION("""COMPUTED_VALUE"""),"")</f>
        <v/>
      </c>
      <c r="Z105" s="474" t="str">
        <f>IFERROR(__xludf.DUMMYFUNCTION("""COMPUTED_VALUE"""),"")</f>
        <v/>
      </c>
      <c r="AA105" s="474" t="str">
        <f>IFERROR(__xludf.DUMMYFUNCTION("""COMPUTED_VALUE"""),"")</f>
        <v/>
      </c>
      <c r="AB105" s="474" t="str">
        <f>IFERROR(__xludf.DUMMYFUNCTION("""COMPUTED_VALUE"""),"")</f>
        <v/>
      </c>
      <c r="AC105" s="475" t="str">
        <f>IFERROR(__xludf.DUMMYFUNCTION("""COMPUTED_VALUE"""),"")</f>
        <v/>
      </c>
      <c r="AD105" s="10"/>
      <c r="AE105" s="390"/>
    </row>
    <row r="106" hidden="1">
      <c r="A106" s="421">
        <f>IFERROR(__xludf.DUMMYFUNCTION("""COMPUTED_VALUE"""),5.0)</f>
        <v>5</v>
      </c>
      <c r="B106" s="422" t="str">
        <f>IFERROR(__xludf.DUMMYFUNCTION("""COMPUTED_VALUE"""),"")</f>
        <v/>
      </c>
      <c r="C106" s="503" t="str">
        <f>IFERROR(__xludf.DUMMYFUNCTION("""COMPUTED_VALUE"""),"")</f>
        <v/>
      </c>
      <c r="D106" s="423" t="str">
        <f>IFERROR(__xludf.DUMMYFUNCTION("""COMPUTED_VALUE"""),"")</f>
        <v/>
      </c>
      <c r="E106" s="424" t="str">
        <f>IFERROR(__xludf.DUMMYFUNCTION("""COMPUTED_VALUE"""),"")</f>
        <v/>
      </c>
      <c r="F106" s="425" t="str">
        <f>IFERROR(__xludf.DUMMYFUNCTION("""COMPUTED_VALUE"""),"")</f>
        <v/>
      </c>
      <c r="G106" s="426" t="str">
        <f>IFERROR(__xludf.DUMMYFUNCTION("""COMPUTED_VALUE"""),"")</f>
        <v/>
      </c>
      <c r="H106" s="457" t="str">
        <f>IFERROR(__xludf.DUMMYFUNCTION("""COMPUTED_VALUE"""),"")</f>
        <v/>
      </c>
      <c r="I106" s="473" t="str">
        <f>IFERROR(__xludf.DUMMYFUNCTION("""COMPUTED_VALUE"""),"")</f>
        <v/>
      </c>
      <c r="J106" s="474" t="str">
        <f>IFERROR(__xludf.DUMMYFUNCTION("""COMPUTED_VALUE"""),"")</f>
        <v/>
      </c>
      <c r="K106" s="474" t="str">
        <f>IFERROR(__xludf.DUMMYFUNCTION("""COMPUTED_VALUE"""),"")</f>
        <v/>
      </c>
      <c r="L106" s="474" t="str">
        <f>IFERROR(__xludf.DUMMYFUNCTION("""COMPUTED_VALUE"""),"")</f>
        <v/>
      </c>
      <c r="M106" s="474" t="str">
        <f>IFERROR(__xludf.DUMMYFUNCTION("""COMPUTED_VALUE"""),"")</f>
        <v/>
      </c>
      <c r="N106" s="474" t="str">
        <f>IFERROR(__xludf.DUMMYFUNCTION("""COMPUTED_VALUE"""),"")</f>
        <v/>
      </c>
      <c r="O106" s="474" t="str">
        <f>IFERROR(__xludf.DUMMYFUNCTION("""COMPUTED_VALUE"""),"")</f>
        <v/>
      </c>
      <c r="P106" s="474" t="str">
        <f>IFERROR(__xludf.DUMMYFUNCTION("""COMPUTED_VALUE"""),"")</f>
        <v/>
      </c>
      <c r="Q106" s="474" t="str">
        <f>IFERROR(__xludf.DUMMYFUNCTION("""COMPUTED_VALUE"""),"")</f>
        <v/>
      </c>
      <c r="R106" s="474" t="str">
        <f>IFERROR(__xludf.DUMMYFUNCTION("""COMPUTED_VALUE"""),"")</f>
        <v/>
      </c>
      <c r="S106" s="474" t="str">
        <f>IFERROR(__xludf.DUMMYFUNCTION("""COMPUTED_VALUE"""),"")</f>
        <v/>
      </c>
      <c r="T106" s="474" t="str">
        <f>IFERROR(__xludf.DUMMYFUNCTION("""COMPUTED_VALUE"""),"")</f>
        <v/>
      </c>
      <c r="U106" s="474" t="str">
        <f>IFERROR(__xludf.DUMMYFUNCTION("""COMPUTED_VALUE"""),"")</f>
        <v/>
      </c>
      <c r="V106" s="474" t="str">
        <f>IFERROR(__xludf.DUMMYFUNCTION("""COMPUTED_VALUE"""),"")</f>
        <v/>
      </c>
      <c r="W106" s="474" t="str">
        <f>IFERROR(__xludf.DUMMYFUNCTION("""COMPUTED_VALUE"""),"")</f>
        <v/>
      </c>
      <c r="X106" s="474" t="str">
        <f>IFERROR(__xludf.DUMMYFUNCTION("""COMPUTED_VALUE"""),"")</f>
        <v/>
      </c>
      <c r="Y106" s="474" t="str">
        <f>IFERROR(__xludf.DUMMYFUNCTION("""COMPUTED_VALUE"""),"")</f>
        <v/>
      </c>
      <c r="Z106" s="474" t="str">
        <f>IFERROR(__xludf.DUMMYFUNCTION("""COMPUTED_VALUE"""),"")</f>
        <v/>
      </c>
      <c r="AA106" s="474" t="str">
        <f>IFERROR(__xludf.DUMMYFUNCTION("""COMPUTED_VALUE"""),"")</f>
        <v/>
      </c>
      <c r="AB106" s="474" t="str">
        <f>IFERROR(__xludf.DUMMYFUNCTION("""COMPUTED_VALUE"""),"")</f>
        <v/>
      </c>
      <c r="AC106" s="475" t="str">
        <f>IFERROR(__xludf.DUMMYFUNCTION("""COMPUTED_VALUE"""),"")</f>
        <v/>
      </c>
      <c r="AD106" s="10"/>
      <c r="AE106" s="390"/>
    </row>
    <row r="107" hidden="1">
      <c r="A107" s="421">
        <f>IFERROR(__xludf.DUMMYFUNCTION("""COMPUTED_VALUE"""),6.0)</f>
        <v>6</v>
      </c>
      <c r="B107" s="422" t="str">
        <f>IFERROR(__xludf.DUMMYFUNCTION("""COMPUTED_VALUE"""),"")</f>
        <v/>
      </c>
      <c r="C107" s="503" t="str">
        <f>IFERROR(__xludf.DUMMYFUNCTION("""COMPUTED_VALUE"""),"")</f>
        <v/>
      </c>
      <c r="D107" s="423" t="str">
        <f>IFERROR(__xludf.DUMMYFUNCTION("""COMPUTED_VALUE"""),"")</f>
        <v/>
      </c>
      <c r="E107" s="424" t="str">
        <f>IFERROR(__xludf.DUMMYFUNCTION("""COMPUTED_VALUE"""),"")</f>
        <v/>
      </c>
      <c r="F107" s="425" t="str">
        <f>IFERROR(__xludf.DUMMYFUNCTION("""COMPUTED_VALUE"""),"")</f>
        <v/>
      </c>
      <c r="G107" s="426" t="str">
        <f>IFERROR(__xludf.DUMMYFUNCTION("""COMPUTED_VALUE"""),"")</f>
        <v/>
      </c>
      <c r="H107" s="457" t="str">
        <f>IFERROR(__xludf.DUMMYFUNCTION("""COMPUTED_VALUE"""),"")</f>
        <v/>
      </c>
      <c r="I107" s="473" t="str">
        <f>IFERROR(__xludf.DUMMYFUNCTION("""COMPUTED_VALUE"""),"")</f>
        <v/>
      </c>
      <c r="J107" s="474" t="str">
        <f>IFERROR(__xludf.DUMMYFUNCTION("""COMPUTED_VALUE"""),"")</f>
        <v/>
      </c>
      <c r="K107" s="474" t="str">
        <f>IFERROR(__xludf.DUMMYFUNCTION("""COMPUTED_VALUE"""),"")</f>
        <v/>
      </c>
      <c r="L107" s="474" t="str">
        <f>IFERROR(__xludf.DUMMYFUNCTION("""COMPUTED_VALUE"""),"")</f>
        <v/>
      </c>
      <c r="M107" s="474" t="str">
        <f>IFERROR(__xludf.DUMMYFUNCTION("""COMPUTED_VALUE"""),"")</f>
        <v/>
      </c>
      <c r="N107" s="474" t="str">
        <f>IFERROR(__xludf.DUMMYFUNCTION("""COMPUTED_VALUE"""),"")</f>
        <v/>
      </c>
      <c r="O107" s="474" t="str">
        <f>IFERROR(__xludf.DUMMYFUNCTION("""COMPUTED_VALUE"""),"")</f>
        <v/>
      </c>
      <c r="P107" s="474" t="str">
        <f>IFERROR(__xludf.DUMMYFUNCTION("""COMPUTED_VALUE"""),"")</f>
        <v/>
      </c>
      <c r="Q107" s="474" t="str">
        <f>IFERROR(__xludf.DUMMYFUNCTION("""COMPUTED_VALUE"""),"")</f>
        <v/>
      </c>
      <c r="R107" s="474" t="str">
        <f>IFERROR(__xludf.DUMMYFUNCTION("""COMPUTED_VALUE"""),"")</f>
        <v/>
      </c>
      <c r="S107" s="474" t="str">
        <f>IFERROR(__xludf.DUMMYFUNCTION("""COMPUTED_VALUE"""),"")</f>
        <v/>
      </c>
      <c r="T107" s="474" t="str">
        <f>IFERROR(__xludf.DUMMYFUNCTION("""COMPUTED_VALUE"""),"")</f>
        <v/>
      </c>
      <c r="U107" s="474" t="str">
        <f>IFERROR(__xludf.DUMMYFUNCTION("""COMPUTED_VALUE"""),"")</f>
        <v/>
      </c>
      <c r="V107" s="474" t="str">
        <f>IFERROR(__xludf.DUMMYFUNCTION("""COMPUTED_VALUE"""),"")</f>
        <v/>
      </c>
      <c r="W107" s="474" t="str">
        <f>IFERROR(__xludf.DUMMYFUNCTION("""COMPUTED_VALUE"""),"")</f>
        <v/>
      </c>
      <c r="X107" s="474" t="str">
        <f>IFERROR(__xludf.DUMMYFUNCTION("""COMPUTED_VALUE"""),"")</f>
        <v/>
      </c>
      <c r="Y107" s="474" t="str">
        <f>IFERROR(__xludf.DUMMYFUNCTION("""COMPUTED_VALUE"""),"")</f>
        <v/>
      </c>
      <c r="Z107" s="474" t="str">
        <f>IFERROR(__xludf.DUMMYFUNCTION("""COMPUTED_VALUE"""),"")</f>
        <v/>
      </c>
      <c r="AA107" s="474" t="str">
        <f>IFERROR(__xludf.DUMMYFUNCTION("""COMPUTED_VALUE"""),"")</f>
        <v/>
      </c>
      <c r="AB107" s="474" t="str">
        <f>IFERROR(__xludf.DUMMYFUNCTION("""COMPUTED_VALUE"""),"")</f>
        <v/>
      </c>
      <c r="AC107" s="475" t="str">
        <f>IFERROR(__xludf.DUMMYFUNCTION("""COMPUTED_VALUE"""),"")</f>
        <v/>
      </c>
      <c r="AD107" s="10"/>
      <c r="AE107" s="390"/>
    </row>
    <row r="108" hidden="1">
      <c r="A108" s="421">
        <f>IFERROR(__xludf.DUMMYFUNCTION("""COMPUTED_VALUE"""),7.0)</f>
        <v>7</v>
      </c>
      <c r="B108" s="422" t="str">
        <f>IFERROR(__xludf.DUMMYFUNCTION("""COMPUTED_VALUE"""),"")</f>
        <v/>
      </c>
      <c r="C108" s="503" t="str">
        <f>IFERROR(__xludf.DUMMYFUNCTION("""COMPUTED_VALUE"""),"")</f>
        <v/>
      </c>
      <c r="D108" s="423" t="str">
        <f>IFERROR(__xludf.DUMMYFUNCTION("""COMPUTED_VALUE"""),"")</f>
        <v/>
      </c>
      <c r="E108" s="424" t="str">
        <f>IFERROR(__xludf.DUMMYFUNCTION("""COMPUTED_VALUE"""),"")</f>
        <v/>
      </c>
      <c r="F108" s="425" t="str">
        <f>IFERROR(__xludf.DUMMYFUNCTION("""COMPUTED_VALUE"""),"")</f>
        <v/>
      </c>
      <c r="G108" s="426" t="str">
        <f>IFERROR(__xludf.DUMMYFUNCTION("""COMPUTED_VALUE"""),"")</f>
        <v/>
      </c>
      <c r="H108" s="457" t="str">
        <f>IFERROR(__xludf.DUMMYFUNCTION("""COMPUTED_VALUE"""),"")</f>
        <v/>
      </c>
      <c r="I108" s="473" t="str">
        <f>IFERROR(__xludf.DUMMYFUNCTION("""COMPUTED_VALUE"""),"")</f>
        <v/>
      </c>
      <c r="J108" s="474" t="str">
        <f>IFERROR(__xludf.DUMMYFUNCTION("""COMPUTED_VALUE"""),"")</f>
        <v/>
      </c>
      <c r="K108" s="474" t="str">
        <f>IFERROR(__xludf.DUMMYFUNCTION("""COMPUTED_VALUE"""),"")</f>
        <v/>
      </c>
      <c r="L108" s="474" t="str">
        <f>IFERROR(__xludf.DUMMYFUNCTION("""COMPUTED_VALUE"""),"")</f>
        <v/>
      </c>
      <c r="M108" s="474" t="str">
        <f>IFERROR(__xludf.DUMMYFUNCTION("""COMPUTED_VALUE"""),"")</f>
        <v/>
      </c>
      <c r="N108" s="474" t="str">
        <f>IFERROR(__xludf.DUMMYFUNCTION("""COMPUTED_VALUE"""),"")</f>
        <v/>
      </c>
      <c r="O108" s="474" t="str">
        <f>IFERROR(__xludf.DUMMYFUNCTION("""COMPUTED_VALUE"""),"")</f>
        <v/>
      </c>
      <c r="P108" s="474" t="str">
        <f>IFERROR(__xludf.DUMMYFUNCTION("""COMPUTED_VALUE"""),"")</f>
        <v/>
      </c>
      <c r="Q108" s="474" t="str">
        <f>IFERROR(__xludf.DUMMYFUNCTION("""COMPUTED_VALUE"""),"")</f>
        <v/>
      </c>
      <c r="R108" s="474" t="str">
        <f>IFERROR(__xludf.DUMMYFUNCTION("""COMPUTED_VALUE"""),"")</f>
        <v/>
      </c>
      <c r="S108" s="474" t="str">
        <f>IFERROR(__xludf.DUMMYFUNCTION("""COMPUTED_VALUE"""),"")</f>
        <v/>
      </c>
      <c r="T108" s="474" t="str">
        <f>IFERROR(__xludf.DUMMYFUNCTION("""COMPUTED_VALUE"""),"")</f>
        <v/>
      </c>
      <c r="U108" s="474" t="str">
        <f>IFERROR(__xludf.DUMMYFUNCTION("""COMPUTED_VALUE"""),"")</f>
        <v/>
      </c>
      <c r="V108" s="474" t="str">
        <f>IFERROR(__xludf.DUMMYFUNCTION("""COMPUTED_VALUE"""),"")</f>
        <v/>
      </c>
      <c r="W108" s="474" t="str">
        <f>IFERROR(__xludf.DUMMYFUNCTION("""COMPUTED_VALUE"""),"")</f>
        <v/>
      </c>
      <c r="X108" s="474" t="str">
        <f>IFERROR(__xludf.DUMMYFUNCTION("""COMPUTED_VALUE"""),"")</f>
        <v/>
      </c>
      <c r="Y108" s="474" t="str">
        <f>IFERROR(__xludf.DUMMYFUNCTION("""COMPUTED_VALUE"""),"")</f>
        <v/>
      </c>
      <c r="Z108" s="474" t="str">
        <f>IFERROR(__xludf.DUMMYFUNCTION("""COMPUTED_VALUE"""),"")</f>
        <v/>
      </c>
      <c r="AA108" s="474" t="str">
        <f>IFERROR(__xludf.DUMMYFUNCTION("""COMPUTED_VALUE"""),"")</f>
        <v/>
      </c>
      <c r="AB108" s="474" t="str">
        <f>IFERROR(__xludf.DUMMYFUNCTION("""COMPUTED_VALUE"""),"")</f>
        <v/>
      </c>
      <c r="AC108" s="475" t="str">
        <f>IFERROR(__xludf.DUMMYFUNCTION("""COMPUTED_VALUE"""),"")</f>
        <v/>
      </c>
      <c r="AD108" s="10"/>
      <c r="AE108" s="390"/>
    </row>
    <row r="109" hidden="1">
      <c r="A109" s="431">
        <f>IFERROR(__xludf.DUMMYFUNCTION("""COMPUTED_VALUE"""),8.0)</f>
        <v>8</v>
      </c>
      <c r="B109" s="432" t="str">
        <f>IFERROR(__xludf.DUMMYFUNCTION("""COMPUTED_VALUE"""),"")</f>
        <v/>
      </c>
      <c r="C109" s="504" t="str">
        <f>IFERROR(__xludf.DUMMYFUNCTION("""COMPUTED_VALUE"""),"")</f>
        <v/>
      </c>
      <c r="D109" s="433" t="str">
        <f>IFERROR(__xludf.DUMMYFUNCTION("""COMPUTED_VALUE"""),"")</f>
        <v/>
      </c>
      <c r="E109" s="434" t="str">
        <f>IFERROR(__xludf.DUMMYFUNCTION("""COMPUTED_VALUE"""),"")</f>
        <v/>
      </c>
      <c r="F109" s="435" t="str">
        <f>IFERROR(__xludf.DUMMYFUNCTION("""COMPUTED_VALUE"""),"")</f>
        <v/>
      </c>
      <c r="G109" s="476" t="str">
        <f>IFERROR(__xludf.DUMMYFUNCTION("""COMPUTED_VALUE"""),"")</f>
        <v/>
      </c>
      <c r="H109" s="461" t="str">
        <f>IFERROR(__xludf.DUMMYFUNCTION("""COMPUTED_VALUE"""),"")</f>
        <v/>
      </c>
      <c r="I109" s="477" t="str">
        <f>IFERROR(__xludf.DUMMYFUNCTION("""COMPUTED_VALUE"""),"")</f>
        <v/>
      </c>
      <c r="J109" s="478" t="str">
        <f>IFERROR(__xludf.DUMMYFUNCTION("""COMPUTED_VALUE"""),"")</f>
        <v/>
      </c>
      <c r="K109" s="478" t="str">
        <f>IFERROR(__xludf.DUMMYFUNCTION("""COMPUTED_VALUE"""),"")</f>
        <v/>
      </c>
      <c r="L109" s="478" t="str">
        <f>IFERROR(__xludf.DUMMYFUNCTION("""COMPUTED_VALUE"""),"")</f>
        <v/>
      </c>
      <c r="M109" s="478" t="str">
        <f>IFERROR(__xludf.DUMMYFUNCTION("""COMPUTED_VALUE"""),"")</f>
        <v/>
      </c>
      <c r="N109" s="478" t="str">
        <f>IFERROR(__xludf.DUMMYFUNCTION("""COMPUTED_VALUE"""),"")</f>
        <v/>
      </c>
      <c r="O109" s="478" t="str">
        <f>IFERROR(__xludf.DUMMYFUNCTION("""COMPUTED_VALUE"""),"")</f>
        <v/>
      </c>
      <c r="P109" s="478" t="str">
        <f>IFERROR(__xludf.DUMMYFUNCTION("""COMPUTED_VALUE"""),"")</f>
        <v/>
      </c>
      <c r="Q109" s="478" t="str">
        <f>IFERROR(__xludf.DUMMYFUNCTION("""COMPUTED_VALUE"""),"")</f>
        <v/>
      </c>
      <c r="R109" s="478" t="str">
        <f>IFERROR(__xludf.DUMMYFUNCTION("""COMPUTED_VALUE"""),"")</f>
        <v/>
      </c>
      <c r="S109" s="478" t="str">
        <f>IFERROR(__xludf.DUMMYFUNCTION("""COMPUTED_VALUE"""),"")</f>
        <v/>
      </c>
      <c r="T109" s="478" t="str">
        <f>IFERROR(__xludf.DUMMYFUNCTION("""COMPUTED_VALUE"""),"")</f>
        <v/>
      </c>
      <c r="U109" s="478" t="str">
        <f>IFERROR(__xludf.DUMMYFUNCTION("""COMPUTED_VALUE"""),"")</f>
        <v/>
      </c>
      <c r="V109" s="478" t="str">
        <f>IFERROR(__xludf.DUMMYFUNCTION("""COMPUTED_VALUE"""),"")</f>
        <v/>
      </c>
      <c r="W109" s="478" t="str">
        <f>IFERROR(__xludf.DUMMYFUNCTION("""COMPUTED_VALUE"""),"")</f>
        <v/>
      </c>
      <c r="X109" s="478" t="str">
        <f>IFERROR(__xludf.DUMMYFUNCTION("""COMPUTED_VALUE"""),"")</f>
        <v/>
      </c>
      <c r="Y109" s="478" t="str">
        <f>IFERROR(__xludf.DUMMYFUNCTION("""COMPUTED_VALUE"""),"")</f>
        <v/>
      </c>
      <c r="Z109" s="478" t="str">
        <f>IFERROR(__xludf.DUMMYFUNCTION("""COMPUTED_VALUE"""),"")</f>
        <v/>
      </c>
      <c r="AA109" s="478" t="str">
        <f>IFERROR(__xludf.DUMMYFUNCTION("""COMPUTED_VALUE"""),"")</f>
        <v/>
      </c>
      <c r="AB109" s="478" t="str">
        <f>IFERROR(__xludf.DUMMYFUNCTION("""COMPUTED_VALUE"""),"")</f>
        <v/>
      </c>
      <c r="AC109" s="479" t="str">
        <f>IFERROR(__xludf.DUMMYFUNCTION("""COMPUTED_VALUE"""),"")</f>
        <v/>
      </c>
      <c r="AD109" s="10"/>
      <c r="AE109" s="390"/>
    </row>
    <row r="110" hidden="1">
      <c r="A110" s="493" t="str">
        <f>IFERROR(__xludf.DUMMYFUNCTION("""COMPUTED_VALUE"""),"")</f>
        <v/>
      </c>
      <c r="B110" s="493" t="str">
        <f>IFERROR(__xludf.DUMMYFUNCTION("""COMPUTED_VALUE"""),"")</f>
        <v/>
      </c>
      <c r="C110" s="493" t="str">
        <f>IFERROR(__xludf.DUMMYFUNCTION("""COMPUTED_VALUE"""),"")</f>
        <v/>
      </c>
      <c r="D110" s="493" t="str">
        <f>IFERROR(__xludf.DUMMYFUNCTION("""COMPUTED_VALUE"""),"")</f>
        <v/>
      </c>
      <c r="E110" s="495" t="str">
        <f>IFERROR(__xludf.DUMMYFUNCTION("""COMPUTED_VALUE"""),"")</f>
        <v/>
      </c>
      <c r="F110" s="493" t="str">
        <f>IFERROR(__xludf.DUMMYFUNCTION("""COMPUTED_VALUE"""),"")</f>
        <v/>
      </c>
      <c r="G110" s="493" t="str">
        <f>IFERROR(__xludf.DUMMYFUNCTION("""COMPUTED_VALUE"""),"")</f>
        <v/>
      </c>
      <c r="H110" s="493" t="str">
        <f>IFERROR(__xludf.DUMMYFUNCTION("""COMPUTED_VALUE"""),"")</f>
        <v/>
      </c>
      <c r="I110" s="499" t="str">
        <f>IFERROR(__xludf.DUMMYFUNCTION("""COMPUTED_VALUE"""),"")</f>
        <v/>
      </c>
      <c r="J110" s="499" t="str">
        <f>IFERROR(__xludf.DUMMYFUNCTION("""COMPUTED_VALUE"""),"")</f>
        <v/>
      </c>
      <c r="K110" s="499" t="str">
        <f>IFERROR(__xludf.DUMMYFUNCTION("""COMPUTED_VALUE"""),"")</f>
        <v/>
      </c>
      <c r="L110" s="499" t="str">
        <f>IFERROR(__xludf.DUMMYFUNCTION("""COMPUTED_VALUE"""),"")</f>
        <v/>
      </c>
      <c r="M110" s="499" t="str">
        <f>IFERROR(__xludf.DUMMYFUNCTION("""COMPUTED_VALUE"""),"")</f>
        <v/>
      </c>
      <c r="N110" s="499" t="str">
        <f>IFERROR(__xludf.DUMMYFUNCTION("""COMPUTED_VALUE"""),"")</f>
        <v/>
      </c>
      <c r="O110" s="499" t="str">
        <f>IFERROR(__xludf.DUMMYFUNCTION("""COMPUTED_VALUE"""),"")</f>
        <v/>
      </c>
      <c r="P110" s="499" t="str">
        <f>IFERROR(__xludf.DUMMYFUNCTION("""COMPUTED_VALUE"""),"")</f>
        <v/>
      </c>
      <c r="Q110" s="499" t="str">
        <f>IFERROR(__xludf.DUMMYFUNCTION("""COMPUTED_VALUE"""),"")</f>
        <v/>
      </c>
      <c r="R110" s="499" t="str">
        <f>IFERROR(__xludf.DUMMYFUNCTION("""COMPUTED_VALUE"""),"")</f>
        <v/>
      </c>
      <c r="S110" s="499" t="str">
        <f>IFERROR(__xludf.DUMMYFUNCTION("""COMPUTED_VALUE"""),"")</f>
        <v/>
      </c>
      <c r="T110" s="499" t="str">
        <f>IFERROR(__xludf.DUMMYFUNCTION("""COMPUTED_VALUE"""),"")</f>
        <v/>
      </c>
      <c r="U110" s="499" t="str">
        <f>IFERROR(__xludf.DUMMYFUNCTION("""COMPUTED_VALUE"""),"")</f>
        <v/>
      </c>
      <c r="V110" s="499" t="str">
        <f>IFERROR(__xludf.DUMMYFUNCTION("""COMPUTED_VALUE"""),"")</f>
        <v/>
      </c>
      <c r="W110" s="499" t="str">
        <f>IFERROR(__xludf.DUMMYFUNCTION("""COMPUTED_VALUE"""),"")</f>
        <v/>
      </c>
      <c r="X110" s="499" t="str">
        <f>IFERROR(__xludf.DUMMYFUNCTION("""COMPUTED_VALUE"""),"")</f>
        <v/>
      </c>
      <c r="Y110" s="499" t="str">
        <f>IFERROR(__xludf.DUMMYFUNCTION("""COMPUTED_VALUE"""),"")</f>
        <v/>
      </c>
      <c r="Z110" s="499" t="str">
        <f>IFERROR(__xludf.DUMMYFUNCTION("""COMPUTED_VALUE"""),"")</f>
        <v/>
      </c>
      <c r="AA110" s="499" t="str">
        <f>IFERROR(__xludf.DUMMYFUNCTION("""COMPUTED_VALUE"""),"")</f>
        <v/>
      </c>
      <c r="AB110" s="499" t="str">
        <f>IFERROR(__xludf.DUMMYFUNCTION("""COMPUTED_VALUE"""),"")</f>
        <v/>
      </c>
      <c r="AC110" s="499" t="str">
        <f>IFERROR(__xludf.DUMMYFUNCTION("""COMPUTED_VALUE"""),"")</f>
        <v/>
      </c>
      <c r="AD110" s="496"/>
      <c r="AE110" s="497"/>
    </row>
    <row r="111" ht="41.25" hidden="1" customHeight="1">
      <c r="A111" s="391" t="str">
        <f>IFERROR(__xludf.DUMMYFUNCTION("""COMPUTED_VALUE"""),"")</f>
        <v/>
      </c>
      <c r="B111" s="440" t="str">
        <f>IFERROR(__xludf.DUMMYFUNCTION("""COMPUTED_VALUE"""),"")</f>
        <v/>
      </c>
      <c r="C111" s="392" t="str">
        <f>IFERROR(__xludf.DUMMYFUNCTION("""COMPUTED_VALUE"""),"HIDE")</f>
        <v>HIDE</v>
      </c>
      <c r="D111" s="392" t="str">
        <f>IFERROR(__xludf.DUMMYFUNCTION("""COMPUTED_VALUE"""),"")</f>
        <v/>
      </c>
      <c r="E111" s="393" t="str">
        <f>IFERROR(__xludf.DUMMYFUNCTION("""COMPUTED_VALUE"""),"Cost")</f>
        <v>Cost</v>
      </c>
      <c r="F111" s="394" t="str">
        <f>IFERROR(__xludf.DUMMYFUNCTION("""COMPUTED_VALUE"""),"# Runs")</f>
        <v># Runs</v>
      </c>
      <c r="G111" s="395" t="str">
        <f>IFERROR(__xludf.DUMMYFUNCTION("""COMPUTED_VALUE"""),"Status")</f>
        <v>Status</v>
      </c>
      <c r="H111" s="396" t="str">
        <f>IFERROR(__xludf.DUMMYFUNCTION("""COMPUTED_VALUE"""),"Currency/AP @ +0")</f>
        <v>Currency/AP @ +0</v>
      </c>
      <c r="I111" s="397">
        <f>IFERROR(__xludf.DUMMYFUNCTION("""COMPUTED_VALUE"""),0.0)</f>
        <v>0</v>
      </c>
      <c r="J111" s="398">
        <f>IFERROR(__xludf.DUMMYFUNCTION("""COMPUTED_VALUE"""),1.0)</f>
        <v>1</v>
      </c>
      <c r="K111" s="398">
        <f>IFERROR(__xludf.DUMMYFUNCTION("""COMPUTED_VALUE"""),2.0)</f>
        <v>2</v>
      </c>
      <c r="L111" s="398">
        <f>IFERROR(__xludf.DUMMYFUNCTION("""COMPUTED_VALUE"""),3.0)</f>
        <v>3</v>
      </c>
      <c r="M111" s="398">
        <f>IFERROR(__xludf.DUMMYFUNCTION("""COMPUTED_VALUE"""),4.0)</f>
        <v>4</v>
      </c>
      <c r="N111" s="398">
        <f>IFERROR(__xludf.DUMMYFUNCTION("""COMPUTED_VALUE"""),5.0)</f>
        <v>5</v>
      </c>
      <c r="O111" s="398">
        <f>IFERROR(__xludf.DUMMYFUNCTION("""COMPUTED_VALUE"""),6.0)</f>
        <v>6</v>
      </c>
      <c r="P111" s="398">
        <f>IFERROR(__xludf.DUMMYFUNCTION("""COMPUTED_VALUE"""),7.0)</f>
        <v>7</v>
      </c>
      <c r="Q111" s="398">
        <f>IFERROR(__xludf.DUMMYFUNCTION("""COMPUTED_VALUE"""),8.0)</f>
        <v>8</v>
      </c>
      <c r="R111" s="398">
        <f>IFERROR(__xludf.DUMMYFUNCTION("""COMPUTED_VALUE"""),9.0)</f>
        <v>9</v>
      </c>
      <c r="S111" s="398">
        <f>IFERROR(__xludf.DUMMYFUNCTION("""COMPUTED_VALUE"""),10.0)</f>
        <v>10</v>
      </c>
      <c r="T111" s="398">
        <f>IFERROR(__xludf.DUMMYFUNCTION("""COMPUTED_VALUE"""),11.0)</f>
        <v>11</v>
      </c>
      <c r="U111" s="398">
        <f>IFERROR(__xludf.DUMMYFUNCTION("""COMPUTED_VALUE"""),12.0)</f>
        <v>12</v>
      </c>
      <c r="V111" s="398">
        <f>IFERROR(__xludf.DUMMYFUNCTION("""COMPUTED_VALUE"""),13.0)</f>
        <v>13</v>
      </c>
      <c r="W111" s="398">
        <f>IFERROR(__xludf.DUMMYFUNCTION("""COMPUTED_VALUE"""),14.0)</f>
        <v>14</v>
      </c>
      <c r="X111" s="398">
        <f>IFERROR(__xludf.DUMMYFUNCTION("""COMPUTED_VALUE"""),15.0)</f>
        <v>15</v>
      </c>
      <c r="Y111" s="398">
        <f>IFERROR(__xludf.DUMMYFUNCTION("""COMPUTED_VALUE"""),16.0)</f>
        <v>16</v>
      </c>
      <c r="Z111" s="398">
        <f>IFERROR(__xludf.DUMMYFUNCTION("""COMPUTED_VALUE"""),17.0)</f>
        <v>17</v>
      </c>
      <c r="AA111" s="398">
        <f>IFERROR(__xludf.DUMMYFUNCTION("""COMPUTED_VALUE"""),18.0)</f>
        <v>18</v>
      </c>
      <c r="AB111" s="398">
        <f>IFERROR(__xludf.DUMMYFUNCTION("""COMPUTED_VALUE"""),19.0)</f>
        <v>19</v>
      </c>
      <c r="AC111" s="399">
        <f>IFERROR(__xludf.DUMMYFUNCTION("""COMPUTED_VALUE"""),20.0)</f>
        <v>20</v>
      </c>
      <c r="AD111" s="10"/>
      <c r="AE111" s="390"/>
    </row>
    <row r="112" hidden="1">
      <c r="A112" s="480" t="str">
        <f>IFERROR(__xludf.DUMMYFUNCTION("""COMPUTED_VALUE"""),"HIDE")</f>
        <v>HIDE</v>
      </c>
      <c r="B112" s="481" t="str">
        <f>IFERROR(__xludf.DUMMYFUNCTION("""COMPUTED_VALUE"""),"#N/A")</f>
        <v>#N/A</v>
      </c>
      <c r="C112" s="481" t="str">
        <f>IFERROR(__xludf.DUMMYFUNCTION("""COMPUTED_VALUE"""),"#N/A")</f>
        <v>#N/A</v>
      </c>
      <c r="D112" s="482" t="str">
        <f>IFERROR(__xludf.DUMMYFUNCTION("""COMPUTED_VALUE"""),"")</f>
        <v/>
      </c>
      <c r="E112" s="483" t="str">
        <f>IFERROR(__xludf.DUMMYFUNCTION("""COMPUTED_VALUE"""),"")</f>
        <v/>
      </c>
      <c r="F112" s="484" t="str">
        <f>IFERROR(__xludf.DUMMYFUNCTION("""COMPUTED_VALUE"""),"")</f>
        <v/>
      </c>
      <c r="G112" s="501" t="str">
        <f>IFERROR(__xludf.DUMMYFUNCTION("""COMPUTED_VALUE"""),"")</f>
        <v/>
      </c>
      <c r="H112" s="484" t="str">
        <f>IFERROR(__xludf.DUMMYFUNCTION("""COMPUTED_VALUE"""),"")</f>
        <v/>
      </c>
      <c r="I112" s="486" t="str">
        <f>IFERROR(__xludf.DUMMYFUNCTION("""COMPUTED_VALUE"""),"")</f>
        <v/>
      </c>
      <c r="J112" s="486" t="str">
        <f>IFERROR(__xludf.DUMMYFUNCTION("""COMPUTED_VALUE"""),"")</f>
        <v/>
      </c>
      <c r="K112" s="486" t="str">
        <f>IFERROR(__xludf.DUMMYFUNCTION("""COMPUTED_VALUE"""),"")</f>
        <v/>
      </c>
      <c r="L112" s="486" t="str">
        <f>IFERROR(__xludf.DUMMYFUNCTION("""COMPUTED_VALUE"""),"")</f>
        <v/>
      </c>
      <c r="M112" s="486" t="str">
        <f>IFERROR(__xludf.DUMMYFUNCTION("""COMPUTED_VALUE"""),"")</f>
        <v/>
      </c>
      <c r="N112" s="486" t="str">
        <f>IFERROR(__xludf.DUMMYFUNCTION("""COMPUTED_VALUE"""),"")</f>
        <v/>
      </c>
      <c r="O112" s="486" t="str">
        <f>IFERROR(__xludf.DUMMYFUNCTION("""COMPUTED_VALUE"""),"")</f>
        <v/>
      </c>
      <c r="P112" s="486" t="str">
        <f>IFERROR(__xludf.DUMMYFUNCTION("""COMPUTED_VALUE"""),"")</f>
        <v/>
      </c>
      <c r="Q112" s="486" t="str">
        <f>IFERROR(__xludf.DUMMYFUNCTION("""COMPUTED_VALUE"""),"")</f>
        <v/>
      </c>
      <c r="R112" s="486" t="str">
        <f>IFERROR(__xludf.DUMMYFUNCTION("""COMPUTED_VALUE"""),"")</f>
        <v/>
      </c>
      <c r="S112" s="486" t="str">
        <f>IFERROR(__xludf.DUMMYFUNCTION("""COMPUTED_VALUE"""),"")</f>
        <v/>
      </c>
      <c r="T112" s="486" t="str">
        <f>IFERROR(__xludf.DUMMYFUNCTION("""COMPUTED_VALUE"""),"")</f>
        <v/>
      </c>
      <c r="U112" s="486" t="str">
        <f>IFERROR(__xludf.DUMMYFUNCTION("""COMPUTED_VALUE"""),"")</f>
        <v/>
      </c>
      <c r="V112" s="486" t="str">
        <f>IFERROR(__xludf.DUMMYFUNCTION("""COMPUTED_VALUE"""),"")</f>
        <v/>
      </c>
      <c r="W112" s="486" t="str">
        <f>IFERROR(__xludf.DUMMYFUNCTION("""COMPUTED_VALUE"""),"")</f>
        <v/>
      </c>
      <c r="X112" s="486" t="str">
        <f>IFERROR(__xludf.DUMMYFUNCTION("""COMPUTED_VALUE"""),"")</f>
        <v/>
      </c>
      <c r="Y112" s="486" t="str">
        <f>IFERROR(__xludf.DUMMYFUNCTION("""COMPUTED_VALUE"""),"")</f>
        <v/>
      </c>
      <c r="Z112" s="486" t="str">
        <f>IFERROR(__xludf.DUMMYFUNCTION("""COMPUTED_VALUE"""),"")</f>
        <v/>
      </c>
      <c r="AA112" s="486" t="str">
        <f>IFERROR(__xludf.DUMMYFUNCTION("""COMPUTED_VALUE"""),"")</f>
        <v/>
      </c>
      <c r="AB112" s="486" t="str">
        <f>IFERROR(__xludf.DUMMYFUNCTION("""COMPUTED_VALUE"""),"")</f>
        <v/>
      </c>
      <c r="AC112" s="487" t="str">
        <f>IFERROR(__xludf.DUMMYFUNCTION("""COMPUTED_VALUE"""),"")</f>
        <v/>
      </c>
      <c r="AD112" s="488"/>
      <c r="AE112" s="489"/>
    </row>
    <row r="113" hidden="1">
      <c r="A113" s="463" t="str">
        <f>IFERROR(__xludf.DUMMYFUNCTION("""COMPUTED_VALUE"""),"BEST NOW")</f>
        <v>BEST NOW</v>
      </c>
      <c r="B113" s="464" t="str">
        <f>IFERROR(__xludf.DUMMYFUNCTION("""COMPUTED_VALUE"""),"")</f>
        <v/>
      </c>
      <c r="C113" s="464" t="str">
        <f>IFERROR(__xludf.DUMMYFUNCTION("""COMPUTED_VALUE"""),"")</f>
        <v/>
      </c>
      <c r="D113" s="465" t="str">
        <f>IFERROR(__xludf.DUMMYFUNCTION("""COMPUTED_VALUE"""),"")</f>
        <v/>
      </c>
      <c r="E113" s="466" t="str">
        <f>IFERROR(__xludf.DUMMYFUNCTION("""COMPUTED_VALUE"""),"")</f>
        <v/>
      </c>
      <c r="F113" s="467" t="str">
        <f>IFERROR(__xludf.DUMMYFUNCTION("""COMPUTED_VALUE"""),"")</f>
        <v/>
      </c>
      <c r="G113" s="468" t="str">
        <f>IFERROR(__xludf.DUMMYFUNCTION("""COMPUTED_VALUE"""),"")</f>
        <v/>
      </c>
      <c r="H113" s="469" t="str">
        <f>IFERROR(__xludf.DUMMYFUNCTION("""COMPUTED_VALUE"""),"")</f>
        <v/>
      </c>
      <c r="I113" s="470" t="str">
        <f>IFERROR(__xludf.DUMMYFUNCTION("""COMPUTED_VALUE"""),"")</f>
        <v/>
      </c>
      <c r="J113" s="471" t="str">
        <f>IFERROR(__xludf.DUMMYFUNCTION("""COMPUTED_VALUE"""),"")</f>
        <v/>
      </c>
      <c r="K113" s="471" t="str">
        <f>IFERROR(__xludf.DUMMYFUNCTION("""COMPUTED_VALUE"""),"")</f>
        <v/>
      </c>
      <c r="L113" s="471" t="str">
        <f>IFERROR(__xludf.DUMMYFUNCTION("""COMPUTED_VALUE"""),"")</f>
        <v/>
      </c>
      <c r="M113" s="471" t="str">
        <f>IFERROR(__xludf.DUMMYFUNCTION("""COMPUTED_VALUE"""),"")</f>
        <v/>
      </c>
      <c r="N113" s="471" t="str">
        <f>IFERROR(__xludf.DUMMYFUNCTION("""COMPUTED_VALUE"""),"")</f>
        <v/>
      </c>
      <c r="O113" s="471" t="str">
        <f>IFERROR(__xludf.DUMMYFUNCTION("""COMPUTED_VALUE"""),"")</f>
        <v/>
      </c>
      <c r="P113" s="471" t="str">
        <f>IFERROR(__xludf.DUMMYFUNCTION("""COMPUTED_VALUE"""),"")</f>
        <v/>
      </c>
      <c r="Q113" s="471" t="str">
        <f>IFERROR(__xludf.DUMMYFUNCTION("""COMPUTED_VALUE"""),"")</f>
        <v/>
      </c>
      <c r="R113" s="471" t="str">
        <f>IFERROR(__xludf.DUMMYFUNCTION("""COMPUTED_VALUE"""),"")</f>
        <v/>
      </c>
      <c r="S113" s="471" t="str">
        <f>IFERROR(__xludf.DUMMYFUNCTION("""COMPUTED_VALUE"""),"")</f>
        <v/>
      </c>
      <c r="T113" s="471" t="str">
        <f>IFERROR(__xludf.DUMMYFUNCTION("""COMPUTED_VALUE"""),"")</f>
        <v/>
      </c>
      <c r="U113" s="471" t="str">
        <f>IFERROR(__xludf.DUMMYFUNCTION("""COMPUTED_VALUE"""),"")</f>
        <v/>
      </c>
      <c r="V113" s="471" t="str">
        <f>IFERROR(__xludf.DUMMYFUNCTION("""COMPUTED_VALUE"""),"")</f>
        <v/>
      </c>
      <c r="W113" s="471" t="str">
        <f>IFERROR(__xludf.DUMMYFUNCTION("""COMPUTED_VALUE"""),"")</f>
        <v/>
      </c>
      <c r="X113" s="471" t="str">
        <f>IFERROR(__xludf.DUMMYFUNCTION("""COMPUTED_VALUE"""),"")</f>
        <v/>
      </c>
      <c r="Y113" s="471" t="str">
        <f>IFERROR(__xludf.DUMMYFUNCTION("""COMPUTED_VALUE"""),"")</f>
        <v/>
      </c>
      <c r="Z113" s="471" t="str">
        <f>IFERROR(__xludf.DUMMYFUNCTION("""COMPUTED_VALUE"""),"")</f>
        <v/>
      </c>
      <c r="AA113" s="471" t="str">
        <f>IFERROR(__xludf.DUMMYFUNCTION("""COMPUTED_VALUE"""),"")</f>
        <v/>
      </c>
      <c r="AB113" s="471" t="str">
        <f>IFERROR(__xludf.DUMMYFUNCTION("""COMPUTED_VALUE"""),"")</f>
        <v/>
      </c>
      <c r="AC113" s="472" t="str">
        <f>IFERROR(__xludf.DUMMYFUNCTION("""COMPUTED_VALUE"""),"")</f>
        <v/>
      </c>
      <c r="AD113" s="10"/>
      <c r="AE113" s="6"/>
    </row>
    <row r="114" hidden="1">
      <c r="A114" s="450">
        <f>IFERROR(__xludf.DUMMYFUNCTION("""COMPUTED_VALUE"""),1.0)</f>
        <v>1</v>
      </c>
      <c r="B114" s="451" t="str">
        <f>IFERROR(__xludf.DUMMYFUNCTION("""COMPUTED_VALUE"""),"")</f>
        <v/>
      </c>
      <c r="C114" s="502" t="str">
        <f>IFERROR(__xludf.DUMMYFUNCTION("""COMPUTED_VALUE"""),"")</f>
        <v/>
      </c>
      <c r="D114" s="452" t="str">
        <f>IFERROR(__xludf.DUMMYFUNCTION("""COMPUTED_VALUE"""),"")</f>
        <v/>
      </c>
      <c r="E114" s="453" t="str">
        <f>IFERROR(__xludf.DUMMYFUNCTION("""COMPUTED_VALUE"""),"")</f>
        <v/>
      </c>
      <c r="F114" s="454" t="str">
        <f>IFERROR(__xludf.DUMMYFUNCTION("""COMPUTED_VALUE"""),"")</f>
        <v/>
      </c>
      <c r="G114" s="491" t="str">
        <f>IFERROR(__xludf.DUMMYFUNCTION("""COMPUTED_VALUE"""),"")</f>
        <v/>
      </c>
      <c r="H114" s="455" t="str">
        <f>IFERROR(__xludf.DUMMYFUNCTION("""COMPUTED_VALUE"""),"")</f>
        <v/>
      </c>
      <c r="I114" s="473" t="str">
        <f>IFERROR(__xludf.DUMMYFUNCTION("""COMPUTED_VALUE"""),"")</f>
        <v/>
      </c>
      <c r="J114" s="474" t="str">
        <f>IFERROR(__xludf.DUMMYFUNCTION("""COMPUTED_VALUE"""),"")</f>
        <v/>
      </c>
      <c r="K114" s="474" t="str">
        <f>IFERROR(__xludf.DUMMYFUNCTION("""COMPUTED_VALUE"""),"")</f>
        <v/>
      </c>
      <c r="L114" s="474" t="str">
        <f>IFERROR(__xludf.DUMMYFUNCTION("""COMPUTED_VALUE"""),"")</f>
        <v/>
      </c>
      <c r="M114" s="474" t="str">
        <f>IFERROR(__xludf.DUMMYFUNCTION("""COMPUTED_VALUE"""),"")</f>
        <v/>
      </c>
      <c r="N114" s="474" t="str">
        <f>IFERROR(__xludf.DUMMYFUNCTION("""COMPUTED_VALUE"""),"")</f>
        <v/>
      </c>
      <c r="O114" s="474" t="str">
        <f>IFERROR(__xludf.DUMMYFUNCTION("""COMPUTED_VALUE"""),"")</f>
        <v/>
      </c>
      <c r="P114" s="474" t="str">
        <f>IFERROR(__xludf.DUMMYFUNCTION("""COMPUTED_VALUE"""),"")</f>
        <v/>
      </c>
      <c r="Q114" s="474" t="str">
        <f>IFERROR(__xludf.DUMMYFUNCTION("""COMPUTED_VALUE"""),"")</f>
        <v/>
      </c>
      <c r="R114" s="474" t="str">
        <f>IFERROR(__xludf.DUMMYFUNCTION("""COMPUTED_VALUE"""),"")</f>
        <v/>
      </c>
      <c r="S114" s="474" t="str">
        <f>IFERROR(__xludf.DUMMYFUNCTION("""COMPUTED_VALUE"""),"")</f>
        <v/>
      </c>
      <c r="T114" s="474" t="str">
        <f>IFERROR(__xludf.DUMMYFUNCTION("""COMPUTED_VALUE"""),"")</f>
        <v/>
      </c>
      <c r="U114" s="474" t="str">
        <f>IFERROR(__xludf.DUMMYFUNCTION("""COMPUTED_VALUE"""),"")</f>
        <v/>
      </c>
      <c r="V114" s="474" t="str">
        <f>IFERROR(__xludf.DUMMYFUNCTION("""COMPUTED_VALUE"""),"")</f>
        <v/>
      </c>
      <c r="W114" s="474" t="str">
        <f>IFERROR(__xludf.DUMMYFUNCTION("""COMPUTED_VALUE"""),"")</f>
        <v/>
      </c>
      <c r="X114" s="474" t="str">
        <f>IFERROR(__xludf.DUMMYFUNCTION("""COMPUTED_VALUE"""),"")</f>
        <v/>
      </c>
      <c r="Y114" s="474" t="str">
        <f>IFERROR(__xludf.DUMMYFUNCTION("""COMPUTED_VALUE"""),"")</f>
        <v/>
      </c>
      <c r="Z114" s="474" t="str">
        <f>IFERROR(__xludf.DUMMYFUNCTION("""COMPUTED_VALUE"""),"")</f>
        <v/>
      </c>
      <c r="AA114" s="474" t="str">
        <f>IFERROR(__xludf.DUMMYFUNCTION("""COMPUTED_VALUE"""),"")</f>
        <v/>
      </c>
      <c r="AB114" s="474" t="str">
        <f>IFERROR(__xludf.DUMMYFUNCTION("""COMPUTED_VALUE"""),"")</f>
        <v/>
      </c>
      <c r="AC114" s="475" t="str">
        <f>IFERROR(__xludf.DUMMYFUNCTION("""COMPUTED_VALUE"""),"")</f>
        <v/>
      </c>
      <c r="AD114" s="10"/>
      <c r="AE114" s="390"/>
    </row>
    <row r="115" hidden="1">
      <c r="A115" s="421">
        <f>IFERROR(__xludf.DUMMYFUNCTION("""COMPUTED_VALUE"""),2.0)</f>
        <v>2</v>
      </c>
      <c r="B115" s="422" t="str">
        <f>IFERROR(__xludf.DUMMYFUNCTION("""COMPUTED_VALUE"""),"")</f>
        <v/>
      </c>
      <c r="C115" s="502" t="str">
        <f>IFERROR(__xludf.DUMMYFUNCTION("""COMPUTED_VALUE"""),"")</f>
        <v/>
      </c>
      <c r="D115" s="423" t="str">
        <f>IFERROR(__xludf.DUMMYFUNCTION("""COMPUTED_VALUE"""),"")</f>
        <v/>
      </c>
      <c r="E115" s="424" t="str">
        <f>IFERROR(__xludf.DUMMYFUNCTION("""COMPUTED_VALUE"""),"")</f>
        <v/>
      </c>
      <c r="F115" s="425" t="str">
        <f>IFERROR(__xludf.DUMMYFUNCTION("""COMPUTED_VALUE"""),"")</f>
        <v/>
      </c>
      <c r="G115" s="491" t="str">
        <f>IFERROR(__xludf.DUMMYFUNCTION("""COMPUTED_VALUE"""),"")</f>
        <v/>
      </c>
      <c r="H115" s="457" t="str">
        <f>IFERROR(__xludf.DUMMYFUNCTION("""COMPUTED_VALUE"""),"")</f>
        <v/>
      </c>
      <c r="I115" s="473" t="str">
        <f>IFERROR(__xludf.DUMMYFUNCTION("""COMPUTED_VALUE"""),"")</f>
        <v/>
      </c>
      <c r="J115" s="474" t="str">
        <f>IFERROR(__xludf.DUMMYFUNCTION("""COMPUTED_VALUE"""),"")</f>
        <v/>
      </c>
      <c r="K115" s="474" t="str">
        <f>IFERROR(__xludf.DUMMYFUNCTION("""COMPUTED_VALUE"""),"")</f>
        <v/>
      </c>
      <c r="L115" s="474" t="str">
        <f>IFERROR(__xludf.DUMMYFUNCTION("""COMPUTED_VALUE"""),"")</f>
        <v/>
      </c>
      <c r="M115" s="474" t="str">
        <f>IFERROR(__xludf.DUMMYFUNCTION("""COMPUTED_VALUE"""),"")</f>
        <v/>
      </c>
      <c r="N115" s="474" t="str">
        <f>IFERROR(__xludf.DUMMYFUNCTION("""COMPUTED_VALUE"""),"")</f>
        <v/>
      </c>
      <c r="O115" s="474" t="str">
        <f>IFERROR(__xludf.DUMMYFUNCTION("""COMPUTED_VALUE"""),"")</f>
        <v/>
      </c>
      <c r="P115" s="474" t="str">
        <f>IFERROR(__xludf.DUMMYFUNCTION("""COMPUTED_VALUE"""),"")</f>
        <v/>
      </c>
      <c r="Q115" s="474" t="str">
        <f>IFERROR(__xludf.DUMMYFUNCTION("""COMPUTED_VALUE"""),"")</f>
        <v/>
      </c>
      <c r="R115" s="474" t="str">
        <f>IFERROR(__xludf.DUMMYFUNCTION("""COMPUTED_VALUE"""),"")</f>
        <v/>
      </c>
      <c r="S115" s="474" t="str">
        <f>IFERROR(__xludf.DUMMYFUNCTION("""COMPUTED_VALUE"""),"")</f>
        <v/>
      </c>
      <c r="T115" s="474" t="str">
        <f>IFERROR(__xludf.DUMMYFUNCTION("""COMPUTED_VALUE"""),"")</f>
        <v/>
      </c>
      <c r="U115" s="474" t="str">
        <f>IFERROR(__xludf.DUMMYFUNCTION("""COMPUTED_VALUE"""),"")</f>
        <v/>
      </c>
      <c r="V115" s="474" t="str">
        <f>IFERROR(__xludf.DUMMYFUNCTION("""COMPUTED_VALUE"""),"")</f>
        <v/>
      </c>
      <c r="W115" s="474" t="str">
        <f>IFERROR(__xludf.DUMMYFUNCTION("""COMPUTED_VALUE"""),"")</f>
        <v/>
      </c>
      <c r="X115" s="474" t="str">
        <f>IFERROR(__xludf.DUMMYFUNCTION("""COMPUTED_VALUE"""),"")</f>
        <v/>
      </c>
      <c r="Y115" s="474" t="str">
        <f>IFERROR(__xludf.DUMMYFUNCTION("""COMPUTED_VALUE"""),"")</f>
        <v/>
      </c>
      <c r="Z115" s="474" t="str">
        <f>IFERROR(__xludf.DUMMYFUNCTION("""COMPUTED_VALUE"""),"")</f>
        <v/>
      </c>
      <c r="AA115" s="474" t="str">
        <f>IFERROR(__xludf.DUMMYFUNCTION("""COMPUTED_VALUE"""),"")</f>
        <v/>
      </c>
      <c r="AB115" s="474" t="str">
        <f>IFERROR(__xludf.DUMMYFUNCTION("""COMPUTED_VALUE"""),"")</f>
        <v/>
      </c>
      <c r="AC115" s="475" t="str">
        <f>IFERROR(__xludf.DUMMYFUNCTION("""COMPUTED_VALUE"""),"")</f>
        <v/>
      </c>
      <c r="AD115" s="10"/>
      <c r="AE115" s="390"/>
    </row>
    <row r="116" hidden="1">
      <c r="A116" s="421">
        <f>IFERROR(__xludf.DUMMYFUNCTION("""COMPUTED_VALUE"""),3.0)</f>
        <v>3</v>
      </c>
      <c r="B116" s="422" t="str">
        <f>IFERROR(__xludf.DUMMYFUNCTION("""COMPUTED_VALUE"""),"")</f>
        <v/>
      </c>
      <c r="C116" s="502" t="str">
        <f>IFERROR(__xludf.DUMMYFUNCTION("""COMPUTED_VALUE"""),"")</f>
        <v/>
      </c>
      <c r="D116" s="423" t="str">
        <f>IFERROR(__xludf.DUMMYFUNCTION("""COMPUTED_VALUE"""),"")</f>
        <v/>
      </c>
      <c r="E116" s="424" t="str">
        <f>IFERROR(__xludf.DUMMYFUNCTION("""COMPUTED_VALUE"""),"")</f>
        <v/>
      </c>
      <c r="F116" s="425" t="str">
        <f>IFERROR(__xludf.DUMMYFUNCTION("""COMPUTED_VALUE"""),"")</f>
        <v/>
      </c>
      <c r="G116" s="492" t="str">
        <f>IFERROR(__xludf.DUMMYFUNCTION("""COMPUTED_VALUE"""),"")</f>
        <v/>
      </c>
      <c r="H116" s="457" t="str">
        <f>IFERROR(__xludf.DUMMYFUNCTION("""COMPUTED_VALUE"""),"")</f>
        <v/>
      </c>
      <c r="I116" s="473" t="str">
        <f>IFERROR(__xludf.DUMMYFUNCTION("""COMPUTED_VALUE"""),"")</f>
        <v/>
      </c>
      <c r="J116" s="474" t="str">
        <f>IFERROR(__xludf.DUMMYFUNCTION("""COMPUTED_VALUE"""),"")</f>
        <v/>
      </c>
      <c r="K116" s="474" t="str">
        <f>IFERROR(__xludf.DUMMYFUNCTION("""COMPUTED_VALUE"""),"")</f>
        <v/>
      </c>
      <c r="L116" s="474" t="str">
        <f>IFERROR(__xludf.DUMMYFUNCTION("""COMPUTED_VALUE"""),"")</f>
        <v/>
      </c>
      <c r="M116" s="474" t="str">
        <f>IFERROR(__xludf.DUMMYFUNCTION("""COMPUTED_VALUE"""),"")</f>
        <v/>
      </c>
      <c r="N116" s="474" t="str">
        <f>IFERROR(__xludf.DUMMYFUNCTION("""COMPUTED_VALUE"""),"")</f>
        <v/>
      </c>
      <c r="O116" s="474" t="str">
        <f>IFERROR(__xludf.DUMMYFUNCTION("""COMPUTED_VALUE"""),"")</f>
        <v/>
      </c>
      <c r="P116" s="474" t="str">
        <f>IFERROR(__xludf.DUMMYFUNCTION("""COMPUTED_VALUE"""),"")</f>
        <v/>
      </c>
      <c r="Q116" s="474" t="str">
        <f>IFERROR(__xludf.DUMMYFUNCTION("""COMPUTED_VALUE"""),"")</f>
        <v/>
      </c>
      <c r="R116" s="474" t="str">
        <f>IFERROR(__xludf.DUMMYFUNCTION("""COMPUTED_VALUE"""),"")</f>
        <v/>
      </c>
      <c r="S116" s="474" t="str">
        <f>IFERROR(__xludf.DUMMYFUNCTION("""COMPUTED_VALUE"""),"")</f>
        <v/>
      </c>
      <c r="T116" s="474" t="str">
        <f>IFERROR(__xludf.DUMMYFUNCTION("""COMPUTED_VALUE"""),"")</f>
        <v/>
      </c>
      <c r="U116" s="474" t="str">
        <f>IFERROR(__xludf.DUMMYFUNCTION("""COMPUTED_VALUE"""),"")</f>
        <v/>
      </c>
      <c r="V116" s="474" t="str">
        <f>IFERROR(__xludf.DUMMYFUNCTION("""COMPUTED_VALUE"""),"")</f>
        <v/>
      </c>
      <c r="W116" s="474" t="str">
        <f>IFERROR(__xludf.DUMMYFUNCTION("""COMPUTED_VALUE"""),"")</f>
        <v/>
      </c>
      <c r="X116" s="474" t="str">
        <f>IFERROR(__xludf.DUMMYFUNCTION("""COMPUTED_VALUE"""),"")</f>
        <v/>
      </c>
      <c r="Y116" s="474" t="str">
        <f>IFERROR(__xludf.DUMMYFUNCTION("""COMPUTED_VALUE"""),"")</f>
        <v/>
      </c>
      <c r="Z116" s="474" t="str">
        <f>IFERROR(__xludf.DUMMYFUNCTION("""COMPUTED_VALUE"""),"")</f>
        <v/>
      </c>
      <c r="AA116" s="474" t="str">
        <f>IFERROR(__xludf.DUMMYFUNCTION("""COMPUTED_VALUE"""),"")</f>
        <v/>
      </c>
      <c r="AB116" s="474" t="str">
        <f>IFERROR(__xludf.DUMMYFUNCTION("""COMPUTED_VALUE"""),"")</f>
        <v/>
      </c>
      <c r="AC116" s="475" t="str">
        <f>IFERROR(__xludf.DUMMYFUNCTION("""COMPUTED_VALUE"""),"")</f>
        <v/>
      </c>
      <c r="AD116" s="10"/>
      <c r="AE116" s="390"/>
    </row>
    <row r="117" hidden="1">
      <c r="A117" s="421">
        <f>IFERROR(__xludf.DUMMYFUNCTION("""COMPUTED_VALUE"""),4.0)</f>
        <v>4</v>
      </c>
      <c r="B117" s="422" t="str">
        <f>IFERROR(__xludf.DUMMYFUNCTION("""COMPUTED_VALUE"""),"")</f>
        <v/>
      </c>
      <c r="C117" s="502" t="str">
        <f>IFERROR(__xludf.DUMMYFUNCTION("""COMPUTED_VALUE"""),"")</f>
        <v/>
      </c>
      <c r="D117" s="423" t="str">
        <f>IFERROR(__xludf.DUMMYFUNCTION("""COMPUTED_VALUE"""),"")</f>
        <v/>
      </c>
      <c r="E117" s="424" t="str">
        <f>IFERROR(__xludf.DUMMYFUNCTION("""COMPUTED_VALUE"""),"")</f>
        <v/>
      </c>
      <c r="F117" s="425" t="str">
        <f>IFERROR(__xludf.DUMMYFUNCTION("""COMPUTED_VALUE"""),"")</f>
        <v/>
      </c>
      <c r="G117" s="492" t="str">
        <f>IFERROR(__xludf.DUMMYFUNCTION("""COMPUTED_VALUE"""),"")</f>
        <v/>
      </c>
      <c r="H117" s="457" t="str">
        <f>IFERROR(__xludf.DUMMYFUNCTION("""COMPUTED_VALUE"""),"")</f>
        <v/>
      </c>
      <c r="I117" s="473" t="str">
        <f>IFERROR(__xludf.DUMMYFUNCTION("""COMPUTED_VALUE"""),"")</f>
        <v/>
      </c>
      <c r="J117" s="474" t="str">
        <f>IFERROR(__xludf.DUMMYFUNCTION("""COMPUTED_VALUE"""),"")</f>
        <v/>
      </c>
      <c r="K117" s="474" t="str">
        <f>IFERROR(__xludf.DUMMYFUNCTION("""COMPUTED_VALUE"""),"")</f>
        <v/>
      </c>
      <c r="L117" s="474" t="str">
        <f>IFERROR(__xludf.DUMMYFUNCTION("""COMPUTED_VALUE"""),"")</f>
        <v/>
      </c>
      <c r="M117" s="474" t="str">
        <f>IFERROR(__xludf.DUMMYFUNCTION("""COMPUTED_VALUE"""),"")</f>
        <v/>
      </c>
      <c r="N117" s="474" t="str">
        <f>IFERROR(__xludf.DUMMYFUNCTION("""COMPUTED_VALUE"""),"")</f>
        <v/>
      </c>
      <c r="O117" s="474" t="str">
        <f>IFERROR(__xludf.DUMMYFUNCTION("""COMPUTED_VALUE"""),"")</f>
        <v/>
      </c>
      <c r="P117" s="474" t="str">
        <f>IFERROR(__xludf.DUMMYFUNCTION("""COMPUTED_VALUE"""),"")</f>
        <v/>
      </c>
      <c r="Q117" s="474" t="str">
        <f>IFERROR(__xludf.DUMMYFUNCTION("""COMPUTED_VALUE"""),"")</f>
        <v/>
      </c>
      <c r="R117" s="474" t="str">
        <f>IFERROR(__xludf.DUMMYFUNCTION("""COMPUTED_VALUE"""),"")</f>
        <v/>
      </c>
      <c r="S117" s="474" t="str">
        <f>IFERROR(__xludf.DUMMYFUNCTION("""COMPUTED_VALUE"""),"")</f>
        <v/>
      </c>
      <c r="T117" s="474" t="str">
        <f>IFERROR(__xludf.DUMMYFUNCTION("""COMPUTED_VALUE"""),"")</f>
        <v/>
      </c>
      <c r="U117" s="474" t="str">
        <f>IFERROR(__xludf.DUMMYFUNCTION("""COMPUTED_VALUE"""),"")</f>
        <v/>
      </c>
      <c r="V117" s="474" t="str">
        <f>IFERROR(__xludf.DUMMYFUNCTION("""COMPUTED_VALUE"""),"")</f>
        <v/>
      </c>
      <c r="W117" s="474" t="str">
        <f>IFERROR(__xludf.DUMMYFUNCTION("""COMPUTED_VALUE"""),"")</f>
        <v/>
      </c>
      <c r="X117" s="474" t="str">
        <f>IFERROR(__xludf.DUMMYFUNCTION("""COMPUTED_VALUE"""),"")</f>
        <v/>
      </c>
      <c r="Y117" s="474" t="str">
        <f>IFERROR(__xludf.DUMMYFUNCTION("""COMPUTED_VALUE"""),"")</f>
        <v/>
      </c>
      <c r="Z117" s="474" t="str">
        <f>IFERROR(__xludf.DUMMYFUNCTION("""COMPUTED_VALUE"""),"")</f>
        <v/>
      </c>
      <c r="AA117" s="474" t="str">
        <f>IFERROR(__xludf.DUMMYFUNCTION("""COMPUTED_VALUE"""),"")</f>
        <v/>
      </c>
      <c r="AB117" s="474" t="str">
        <f>IFERROR(__xludf.DUMMYFUNCTION("""COMPUTED_VALUE"""),"")</f>
        <v/>
      </c>
      <c r="AC117" s="475" t="str">
        <f>IFERROR(__xludf.DUMMYFUNCTION("""COMPUTED_VALUE"""),"")</f>
        <v/>
      </c>
      <c r="AD117" s="10"/>
      <c r="AE117" s="390"/>
    </row>
    <row r="118" hidden="1">
      <c r="A118" s="421">
        <f>IFERROR(__xludf.DUMMYFUNCTION("""COMPUTED_VALUE"""),5.0)</f>
        <v>5</v>
      </c>
      <c r="B118" s="422" t="str">
        <f>IFERROR(__xludf.DUMMYFUNCTION("""COMPUTED_VALUE"""),"")</f>
        <v/>
      </c>
      <c r="C118" s="503" t="str">
        <f>IFERROR(__xludf.DUMMYFUNCTION("""COMPUTED_VALUE"""),"")</f>
        <v/>
      </c>
      <c r="D118" s="423" t="str">
        <f>IFERROR(__xludf.DUMMYFUNCTION("""COMPUTED_VALUE"""),"")</f>
        <v/>
      </c>
      <c r="E118" s="424" t="str">
        <f>IFERROR(__xludf.DUMMYFUNCTION("""COMPUTED_VALUE"""),"")</f>
        <v/>
      </c>
      <c r="F118" s="425" t="str">
        <f>IFERROR(__xludf.DUMMYFUNCTION("""COMPUTED_VALUE"""),"")</f>
        <v/>
      </c>
      <c r="G118" s="426" t="str">
        <f>IFERROR(__xludf.DUMMYFUNCTION("""COMPUTED_VALUE"""),"")</f>
        <v/>
      </c>
      <c r="H118" s="457" t="str">
        <f>IFERROR(__xludf.DUMMYFUNCTION("""COMPUTED_VALUE"""),"")</f>
        <v/>
      </c>
      <c r="I118" s="473" t="str">
        <f>IFERROR(__xludf.DUMMYFUNCTION("""COMPUTED_VALUE"""),"")</f>
        <v/>
      </c>
      <c r="J118" s="474" t="str">
        <f>IFERROR(__xludf.DUMMYFUNCTION("""COMPUTED_VALUE"""),"")</f>
        <v/>
      </c>
      <c r="K118" s="474" t="str">
        <f>IFERROR(__xludf.DUMMYFUNCTION("""COMPUTED_VALUE"""),"")</f>
        <v/>
      </c>
      <c r="L118" s="474" t="str">
        <f>IFERROR(__xludf.DUMMYFUNCTION("""COMPUTED_VALUE"""),"")</f>
        <v/>
      </c>
      <c r="M118" s="474" t="str">
        <f>IFERROR(__xludf.DUMMYFUNCTION("""COMPUTED_VALUE"""),"")</f>
        <v/>
      </c>
      <c r="N118" s="474" t="str">
        <f>IFERROR(__xludf.DUMMYFUNCTION("""COMPUTED_VALUE"""),"")</f>
        <v/>
      </c>
      <c r="O118" s="474" t="str">
        <f>IFERROR(__xludf.DUMMYFUNCTION("""COMPUTED_VALUE"""),"")</f>
        <v/>
      </c>
      <c r="P118" s="474" t="str">
        <f>IFERROR(__xludf.DUMMYFUNCTION("""COMPUTED_VALUE"""),"")</f>
        <v/>
      </c>
      <c r="Q118" s="474" t="str">
        <f>IFERROR(__xludf.DUMMYFUNCTION("""COMPUTED_VALUE"""),"")</f>
        <v/>
      </c>
      <c r="R118" s="474" t="str">
        <f>IFERROR(__xludf.DUMMYFUNCTION("""COMPUTED_VALUE"""),"")</f>
        <v/>
      </c>
      <c r="S118" s="474" t="str">
        <f>IFERROR(__xludf.DUMMYFUNCTION("""COMPUTED_VALUE"""),"")</f>
        <v/>
      </c>
      <c r="T118" s="474" t="str">
        <f>IFERROR(__xludf.DUMMYFUNCTION("""COMPUTED_VALUE"""),"")</f>
        <v/>
      </c>
      <c r="U118" s="474" t="str">
        <f>IFERROR(__xludf.DUMMYFUNCTION("""COMPUTED_VALUE"""),"")</f>
        <v/>
      </c>
      <c r="V118" s="474" t="str">
        <f>IFERROR(__xludf.DUMMYFUNCTION("""COMPUTED_VALUE"""),"")</f>
        <v/>
      </c>
      <c r="W118" s="474" t="str">
        <f>IFERROR(__xludf.DUMMYFUNCTION("""COMPUTED_VALUE"""),"")</f>
        <v/>
      </c>
      <c r="X118" s="474" t="str">
        <f>IFERROR(__xludf.DUMMYFUNCTION("""COMPUTED_VALUE"""),"")</f>
        <v/>
      </c>
      <c r="Y118" s="474" t="str">
        <f>IFERROR(__xludf.DUMMYFUNCTION("""COMPUTED_VALUE"""),"")</f>
        <v/>
      </c>
      <c r="Z118" s="474" t="str">
        <f>IFERROR(__xludf.DUMMYFUNCTION("""COMPUTED_VALUE"""),"")</f>
        <v/>
      </c>
      <c r="AA118" s="474" t="str">
        <f>IFERROR(__xludf.DUMMYFUNCTION("""COMPUTED_VALUE"""),"")</f>
        <v/>
      </c>
      <c r="AB118" s="474" t="str">
        <f>IFERROR(__xludf.DUMMYFUNCTION("""COMPUTED_VALUE"""),"")</f>
        <v/>
      </c>
      <c r="AC118" s="475" t="str">
        <f>IFERROR(__xludf.DUMMYFUNCTION("""COMPUTED_VALUE"""),"")</f>
        <v/>
      </c>
      <c r="AD118" s="10"/>
      <c r="AE118" s="390"/>
    </row>
    <row r="119" hidden="1">
      <c r="A119" s="421">
        <f>IFERROR(__xludf.DUMMYFUNCTION("""COMPUTED_VALUE"""),6.0)</f>
        <v>6</v>
      </c>
      <c r="B119" s="422" t="str">
        <f>IFERROR(__xludf.DUMMYFUNCTION("""COMPUTED_VALUE"""),"")</f>
        <v/>
      </c>
      <c r="C119" s="503" t="str">
        <f>IFERROR(__xludf.DUMMYFUNCTION("""COMPUTED_VALUE"""),"")</f>
        <v/>
      </c>
      <c r="D119" s="423" t="str">
        <f>IFERROR(__xludf.DUMMYFUNCTION("""COMPUTED_VALUE"""),"")</f>
        <v/>
      </c>
      <c r="E119" s="424" t="str">
        <f>IFERROR(__xludf.DUMMYFUNCTION("""COMPUTED_VALUE"""),"")</f>
        <v/>
      </c>
      <c r="F119" s="425" t="str">
        <f>IFERROR(__xludf.DUMMYFUNCTION("""COMPUTED_VALUE"""),"")</f>
        <v/>
      </c>
      <c r="G119" s="426" t="str">
        <f>IFERROR(__xludf.DUMMYFUNCTION("""COMPUTED_VALUE"""),"")</f>
        <v/>
      </c>
      <c r="H119" s="457" t="str">
        <f>IFERROR(__xludf.DUMMYFUNCTION("""COMPUTED_VALUE"""),"")</f>
        <v/>
      </c>
      <c r="I119" s="473" t="str">
        <f>IFERROR(__xludf.DUMMYFUNCTION("""COMPUTED_VALUE"""),"")</f>
        <v/>
      </c>
      <c r="J119" s="474" t="str">
        <f>IFERROR(__xludf.DUMMYFUNCTION("""COMPUTED_VALUE"""),"")</f>
        <v/>
      </c>
      <c r="K119" s="474" t="str">
        <f>IFERROR(__xludf.DUMMYFUNCTION("""COMPUTED_VALUE"""),"")</f>
        <v/>
      </c>
      <c r="L119" s="474" t="str">
        <f>IFERROR(__xludf.DUMMYFUNCTION("""COMPUTED_VALUE"""),"")</f>
        <v/>
      </c>
      <c r="M119" s="474" t="str">
        <f>IFERROR(__xludf.DUMMYFUNCTION("""COMPUTED_VALUE"""),"")</f>
        <v/>
      </c>
      <c r="N119" s="474" t="str">
        <f>IFERROR(__xludf.DUMMYFUNCTION("""COMPUTED_VALUE"""),"")</f>
        <v/>
      </c>
      <c r="O119" s="474" t="str">
        <f>IFERROR(__xludf.DUMMYFUNCTION("""COMPUTED_VALUE"""),"")</f>
        <v/>
      </c>
      <c r="P119" s="474" t="str">
        <f>IFERROR(__xludf.DUMMYFUNCTION("""COMPUTED_VALUE"""),"")</f>
        <v/>
      </c>
      <c r="Q119" s="474" t="str">
        <f>IFERROR(__xludf.DUMMYFUNCTION("""COMPUTED_VALUE"""),"")</f>
        <v/>
      </c>
      <c r="R119" s="474" t="str">
        <f>IFERROR(__xludf.DUMMYFUNCTION("""COMPUTED_VALUE"""),"")</f>
        <v/>
      </c>
      <c r="S119" s="474" t="str">
        <f>IFERROR(__xludf.DUMMYFUNCTION("""COMPUTED_VALUE"""),"")</f>
        <v/>
      </c>
      <c r="T119" s="474" t="str">
        <f>IFERROR(__xludf.DUMMYFUNCTION("""COMPUTED_VALUE"""),"")</f>
        <v/>
      </c>
      <c r="U119" s="474" t="str">
        <f>IFERROR(__xludf.DUMMYFUNCTION("""COMPUTED_VALUE"""),"")</f>
        <v/>
      </c>
      <c r="V119" s="474" t="str">
        <f>IFERROR(__xludf.DUMMYFUNCTION("""COMPUTED_VALUE"""),"")</f>
        <v/>
      </c>
      <c r="W119" s="474" t="str">
        <f>IFERROR(__xludf.DUMMYFUNCTION("""COMPUTED_VALUE"""),"")</f>
        <v/>
      </c>
      <c r="X119" s="474" t="str">
        <f>IFERROR(__xludf.DUMMYFUNCTION("""COMPUTED_VALUE"""),"")</f>
        <v/>
      </c>
      <c r="Y119" s="474" t="str">
        <f>IFERROR(__xludf.DUMMYFUNCTION("""COMPUTED_VALUE"""),"")</f>
        <v/>
      </c>
      <c r="Z119" s="474" t="str">
        <f>IFERROR(__xludf.DUMMYFUNCTION("""COMPUTED_VALUE"""),"")</f>
        <v/>
      </c>
      <c r="AA119" s="474" t="str">
        <f>IFERROR(__xludf.DUMMYFUNCTION("""COMPUTED_VALUE"""),"")</f>
        <v/>
      </c>
      <c r="AB119" s="474" t="str">
        <f>IFERROR(__xludf.DUMMYFUNCTION("""COMPUTED_VALUE"""),"")</f>
        <v/>
      </c>
      <c r="AC119" s="475" t="str">
        <f>IFERROR(__xludf.DUMMYFUNCTION("""COMPUTED_VALUE"""),"")</f>
        <v/>
      </c>
      <c r="AD119" s="10"/>
      <c r="AE119" s="390"/>
    </row>
    <row r="120" hidden="1">
      <c r="A120" s="421">
        <f>IFERROR(__xludf.DUMMYFUNCTION("""COMPUTED_VALUE"""),7.0)</f>
        <v>7</v>
      </c>
      <c r="B120" s="422" t="str">
        <f>IFERROR(__xludf.DUMMYFUNCTION("""COMPUTED_VALUE"""),"")</f>
        <v/>
      </c>
      <c r="C120" s="503" t="str">
        <f>IFERROR(__xludf.DUMMYFUNCTION("""COMPUTED_VALUE"""),"")</f>
        <v/>
      </c>
      <c r="D120" s="423" t="str">
        <f>IFERROR(__xludf.DUMMYFUNCTION("""COMPUTED_VALUE"""),"")</f>
        <v/>
      </c>
      <c r="E120" s="424" t="str">
        <f>IFERROR(__xludf.DUMMYFUNCTION("""COMPUTED_VALUE"""),"")</f>
        <v/>
      </c>
      <c r="F120" s="425" t="str">
        <f>IFERROR(__xludf.DUMMYFUNCTION("""COMPUTED_VALUE"""),"")</f>
        <v/>
      </c>
      <c r="G120" s="426" t="str">
        <f>IFERROR(__xludf.DUMMYFUNCTION("""COMPUTED_VALUE"""),"")</f>
        <v/>
      </c>
      <c r="H120" s="457" t="str">
        <f>IFERROR(__xludf.DUMMYFUNCTION("""COMPUTED_VALUE"""),"")</f>
        <v/>
      </c>
      <c r="I120" s="473" t="str">
        <f>IFERROR(__xludf.DUMMYFUNCTION("""COMPUTED_VALUE"""),"")</f>
        <v/>
      </c>
      <c r="J120" s="474" t="str">
        <f>IFERROR(__xludf.DUMMYFUNCTION("""COMPUTED_VALUE"""),"")</f>
        <v/>
      </c>
      <c r="K120" s="474" t="str">
        <f>IFERROR(__xludf.DUMMYFUNCTION("""COMPUTED_VALUE"""),"")</f>
        <v/>
      </c>
      <c r="L120" s="474" t="str">
        <f>IFERROR(__xludf.DUMMYFUNCTION("""COMPUTED_VALUE"""),"")</f>
        <v/>
      </c>
      <c r="M120" s="474" t="str">
        <f>IFERROR(__xludf.DUMMYFUNCTION("""COMPUTED_VALUE"""),"")</f>
        <v/>
      </c>
      <c r="N120" s="474" t="str">
        <f>IFERROR(__xludf.DUMMYFUNCTION("""COMPUTED_VALUE"""),"")</f>
        <v/>
      </c>
      <c r="O120" s="474" t="str">
        <f>IFERROR(__xludf.DUMMYFUNCTION("""COMPUTED_VALUE"""),"")</f>
        <v/>
      </c>
      <c r="P120" s="474" t="str">
        <f>IFERROR(__xludf.DUMMYFUNCTION("""COMPUTED_VALUE"""),"")</f>
        <v/>
      </c>
      <c r="Q120" s="474" t="str">
        <f>IFERROR(__xludf.DUMMYFUNCTION("""COMPUTED_VALUE"""),"")</f>
        <v/>
      </c>
      <c r="R120" s="474" t="str">
        <f>IFERROR(__xludf.DUMMYFUNCTION("""COMPUTED_VALUE"""),"")</f>
        <v/>
      </c>
      <c r="S120" s="474" t="str">
        <f>IFERROR(__xludf.DUMMYFUNCTION("""COMPUTED_VALUE"""),"")</f>
        <v/>
      </c>
      <c r="T120" s="474" t="str">
        <f>IFERROR(__xludf.DUMMYFUNCTION("""COMPUTED_VALUE"""),"")</f>
        <v/>
      </c>
      <c r="U120" s="474" t="str">
        <f>IFERROR(__xludf.DUMMYFUNCTION("""COMPUTED_VALUE"""),"")</f>
        <v/>
      </c>
      <c r="V120" s="474" t="str">
        <f>IFERROR(__xludf.DUMMYFUNCTION("""COMPUTED_VALUE"""),"")</f>
        <v/>
      </c>
      <c r="W120" s="474" t="str">
        <f>IFERROR(__xludf.DUMMYFUNCTION("""COMPUTED_VALUE"""),"")</f>
        <v/>
      </c>
      <c r="X120" s="474" t="str">
        <f>IFERROR(__xludf.DUMMYFUNCTION("""COMPUTED_VALUE"""),"")</f>
        <v/>
      </c>
      <c r="Y120" s="474" t="str">
        <f>IFERROR(__xludf.DUMMYFUNCTION("""COMPUTED_VALUE"""),"")</f>
        <v/>
      </c>
      <c r="Z120" s="474" t="str">
        <f>IFERROR(__xludf.DUMMYFUNCTION("""COMPUTED_VALUE"""),"")</f>
        <v/>
      </c>
      <c r="AA120" s="474" t="str">
        <f>IFERROR(__xludf.DUMMYFUNCTION("""COMPUTED_VALUE"""),"")</f>
        <v/>
      </c>
      <c r="AB120" s="474" t="str">
        <f>IFERROR(__xludf.DUMMYFUNCTION("""COMPUTED_VALUE"""),"")</f>
        <v/>
      </c>
      <c r="AC120" s="475" t="str">
        <f>IFERROR(__xludf.DUMMYFUNCTION("""COMPUTED_VALUE"""),"")</f>
        <v/>
      </c>
      <c r="AD120" s="10"/>
      <c r="AE120" s="390"/>
    </row>
    <row r="121" hidden="1">
      <c r="A121" s="431">
        <f>IFERROR(__xludf.DUMMYFUNCTION("""COMPUTED_VALUE"""),8.0)</f>
        <v>8</v>
      </c>
      <c r="B121" s="432" t="str">
        <f>IFERROR(__xludf.DUMMYFUNCTION("""COMPUTED_VALUE"""),"")</f>
        <v/>
      </c>
      <c r="C121" s="504" t="str">
        <f>IFERROR(__xludf.DUMMYFUNCTION("""COMPUTED_VALUE"""),"")</f>
        <v/>
      </c>
      <c r="D121" s="433" t="str">
        <f>IFERROR(__xludf.DUMMYFUNCTION("""COMPUTED_VALUE"""),"")</f>
        <v/>
      </c>
      <c r="E121" s="434" t="str">
        <f>IFERROR(__xludf.DUMMYFUNCTION("""COMPUTED_VALUE"""),"")</f>
        <v/>
      </c>
      <c r="F121" s="435" t="str">
        <f>IFERROR(__xludf.DUMMYFUNCTION("""COMPUTED_VALUE"""),"")</f>
        <v/>
      </c>
      <c r="G121" s="476" t="str">
        <f>IFERROR(__xludf.DUMMYFUNCTION("""COMPUTED_VALUE"""),"")</f>
        <v/>
      </c>
      <c r="H121" s="461" t="str">
        <f>IFERROR(__xludf.DUMMYFUNCTION("""COMPUTED_VALUE"""),"")</f>
        <v/>
      </c>
      <c r="I121" s="477" t="str">
        <f>IFERROR(__xludf.DUMMYFUNCTION("""COMPUTED_VALUE"""),"")</f>
        <v/>
      </c>
      <c r="J121" s="478" t="str">
        <f>IFERROR(__xludf.DUMMYFUNCTION("""COMPUTED_VALUE"""),"")</f>
        <v/>
      </c>
      <c r="K121" s="478" t="str">
        <f>IFERROR(__xludf.DUMMYFUNCTION("""COMPUTED_VALUE"""),"")</f>
        <v/>
      </c>
      <c r="L121" s="478" t="str">
        <f>IFERROR(__xludf.DUMMYFUNCTION("""COMPUTED_VALUE"""),"")</f>
        <v/>
      </c>
      <c r="M121" s="478" t="str">
        <f>IFERROR(__xludf.DUMMYFUNCTION("""COMPUTED_VALUE"""),"")</f>
        <v/>
      </c>
      <c r="N121" s="478" t="str">
        <f>IFERROR(__xludf.DUMMYFUNCTION("""COMPUTED_VALUE"""),"")</f>
        <v/>
      </c>
      <c r="O121" s="478" t="str">
        <f>IFERROR(__xludf.DUMMYFUNCTION("""COMPUTED_VALUE"""),"")</f>
        <v/>
      </c>
      <c r="P121" s="478" t="str">
        <f>IFERROR(__xludf.DUMMYFUNCTION("""COMPUTED_VALUE"""),"")</f>
        <v/>
      </c>
      <c r="Q121" s="478" t="str">
        <f>IFERROR(__xludf.DUMMYFUNCTION("""COMPUTED_VALUE"""),"")</f>
        <v/>
      </c>
      <c r="R121" s="478" t="str">
        <f>IFERROR(__xludf.DUMMYFUNCTION("""COMPUTED_VALUE"""),"")</f>
        <v/>
      </c>
      <c r="S121" s="478" t="str">
        <f>IFERROR(__xludf.DUMMYFUNCTION("""COMPUTED_VALUE"""),"")</f>
        <v/>
      </c>
      <c r="T121" s="478" t="str">
        <f>IFERROR(__xludf.DUMMYFUNCTION("""COMPUTED_VALUE"""),"")</f>
        <v/>
      </c>
      <c r="U121" s="478" t="str">
        <f>IFERROR(__xludf.DUMMYFUNCTION("""COMPUTED_VALUE"""),"")</f>
        <v/>
      </c>
      <c r="V121" s="478" t="str">
        <f>IFERROR(__xludf.DUMMYFUNCTION("""COMPUTED_VALUE"""),"")</f>
        <v/>
      </c>
      <c r="W121" s="478" t="str">
        <f>IFERROR(__xludf.DUMMYFUNCTION("""COMPUTED_VALUE"""),"")</f>
        <v/>
      </c>
      <c r="X121" s="478" t="str">
        <f>IFERROR(__xludf.DUMMYFUNCTION("""COMPUTED_VALUE"""),"")</f>
        <v/>
      </c>
      <c r="Y121" s="478" t="str">
        <f>IFERROR(__xludf.DUMMYFUNCTION("""COMPUTED_VALUE"""),"")</f>
        <v/>
      </c>
      <c r="Z121" s="478" t="str">
        <f>IFERROR(__xludf.DUMMYFUNCTION("""COMPUTED_VALUE"""),"")</f>
        <v/>
      </c>
      <c r="AA121" s="478" t="str">
        <f>IFERROR(__xludf.DUMMYFUNCTION("""COMPUTED_VALUE"""),"")</f>
        <v/>
      </c>
      <c r="AB121" s="478" t="str">
        <f>IFERROR(__xludf.DUMMYFUNCTION("""COMPUTED_VALUE"""),"")</f>
        <v/>
      </c>
      <c r="AC121" s="479" t="str">
        <f>IFERROR(__xludf.DUMMYFUNCTION("""COMPUTED_VALUE"""),"")</f>
        <v/>
      </c>
      <c r="AD121" s="10"/>
      <c r="AE121" s="390"/>
    </row>
    <row r="122" hidden="1">
      <c r="A122" s="493" t="str">
        <f>IFERROR(__xludf.DUMMYFUNCTION("""COMPUTED_VALUE"""),"")</f>
        <v/>
      </c>
      <c r="B122" s="493" t="str">
        <f>IFERROR(__xludf.DUMMYFUNCTION("""COMPUTED_VALUE"""),"")</f>
        <v/>
      </c>
      <c r="C122" s="493" t="str">
        <f>IFERROR(__xludf.DUMMYFUNCTION("""COMPUTED_VALUE"""),"")</f>
        <v/>
      </c>
      <c r="D122" s="493" t="str">
        <f>IFERROR(__xludf.DUMMYFUNCTION("""COMPUTED_VALUE"""),"")</f>
        <v/>
      </c>
      <c r="E122" s="495" t="str">
        <f>IFERROR(__xludf.DUMMYFUNCTION("""COMPUTED_VALUE"""),"")</f>
        <v/>
      </c>
      <c r="F122" s="493" t="str">
        <f>IFERROR(__xludf.DUMMYFUNCTION("""COMPUTED_VALUE"""),"")</f>
        <v/>
      </c>
      <c r="G122" s="493" t="str">
        <f>IFERROR(__xludf.DUMMYFUNCTION("""COMPUTED_VALUE"""),"")</f>
        <v/>
      </c>
      <c r="H122" s="493" t="str">
        <f>IFERROR(__xludf.DUMMYFUNCTION("""COMPUTED_VALUE"""),"")</f>
        <v/>
      </c>
      <c r="I122" s="499" t="str">
        <f>IFERROR(__xludf.DUMMYFUNCTION("""COMPUTED_VALUE"""),"")</f>
        <v/>
      </c>
      <c r="J122" s="499" t="str">
        <f>IFERROR(__xludf.DUMMYFUNCTION("""COMPUTED_VALUE"""),"")</f>
        <v/>
      </c>
      <c r="K122" s="499" t="str">
        <f>IFERROR(__xludf.DUMMYFUNCTION("""COMPUTED_VALUE"""),"")</f>
        <v/>
      </c>
      <c r="L122" s="499" t="str">
        <f>IFERROR(__xludf.DUMMYFUNCTION("""COMPUTED_VALUE"""),"")</f>
        <v/>
      </c>
      <c r="M122" s="499" t="str">
        <f>IFERROR(__xludf.DUMMYFUNCTION("""COMPUTED_VALUE"""),"")</f>
        <v/>
      </c>
      <c r="N122" s="499" t="str">
        <f>IFERROR(__xludf.DUMMYFUNCTION("""COMPUTED_VALUE"""),"")</f>
        <v/>
      </c>
      <c r="O122" s="499" t="str">
        <f>IFERROR(__xludf.DUMMYFUNCTION("""COMPUTED_VALUE"""),"")</f>
        <v/>
      </c>
      <c r="P122" s="499" t="str">
        <f>IFERROR(__xludf.DUMMYFUNCTION("""COMPUTED_VALUE"""),"")</f>
        <v/>
      </c>
      <c r="Q122" s="499" t="str">
        <f>IFERROR(__xludf.DUMMYFUNCTION("""COMPUTED_VALUE"""),"")</f>
        <v/>
      </c>
      <c r="R122" s="499" t="str">
        <f>IFERROR(__xludf.DUMMYFUNCTION("""COMPUTED_VALUE"""),"")</f>
        <v/>
      </c>
      <c r="S122" s="499" t="str">
        <f>IFERROR(__xludf.DUMMYFUNCTION("""COMPUTED_VALUE"""),"")</f>
        <v/>
      </c>
      <c r="T122" s="499" t="str">
        <f>IFERROR(__xludf.DUMMYFUNCTION("""COMPUTED_VALUE"""),"")</f>
        <v/>
      </c>
      <c r="U122" s="499" t="str">
        <f>IFERROR(__xludf.DUMMYFUNCTION("""COMPUTED_VALUE"""),"")</f>
        <v/>
      </c>
      <c r="V122" s="499" t="str">
        <f>IFERROR(__xludf.DUMMYFUNCTION("""COMPUTED_VALUE"""),"")</f>
        <v/>
      </c>
      <c r="W122" s="499" t="str">
        <f>IFERROR(__xludf.DUMMYFUNCTION("""COMPUTED_VALUE"""),"")</f>
        <v/>
      </c>
      <c r="X122" s="499" t="str">
        <f>IFERROR(__xludf.DUMMYFUNCTION("""COMPUTED_VALUE"""),"")</f>
        <v/>
      </c>
      <c r="Y122" s="499" t="str">
        <f>IFERROR(__xludf.DUMMYFUNCTION("""COMPUTED_VALUE"""),"")</f>
        <v/>
      </c>
      <c r="Z122" s="499" t="str">
        <f>IFERROR(__xludf.DUMMYFUNCTION("""COMPUTED_VALUE"""),"")</f>
        <v/>
      </c>
      <c r="AA122" s="499" t="str">
        <f>IFERROR(__xludf.DUMMYFUNCTION("""COMPUTED_VALUE"""),"")</f>
        <v/>
      </c>
      <c r="AB122" s="499" t="str">
        <f>IFERROR(__xludf.DUMMYFUNCTION("""COMPUTED_VALUE"""),"")</f>
        <v/>
      </c>
      <c r="AC122" s="499" t="str">
        <f>IFERROR(__xludf.DUMMYFUNCTION("""COMPUTED_VALUE"""),"")</f>
        <v/>
      </c>
      <c r="AD122" s="496"/>
      <c r="AE122" s="497"/>
    </row>
    <row r="123" ht="41.25" hidden="1" customHeight="1">
      <c r="A123" s="391" t="str">
        <f>IFERROR(__xludf.DUMMYFUNCTION("""COMPUTED_VALUE"""),"")</f>
        <v/>
      </c>
      <c r="B123" s="440" t="str">
        <f>IFERROR(__xludf.DUMMYFUNCTION("""COMPUTED_VALUE"""),"")</f>
        <v/>
      </c>
      <c r="C123" s="392" t="str">
        <f>IFERROR(__xludf.DUMMYFUNCTION("""COMPUTED_VALUE"""),"HIDE")</f>
        <v>HIDE</v>
      </c>
      <c r="D123" s="392" t="str">
        <f>IFERROR(__xludf.DUMMYFUNCTION("""COMPUTED_VALUE"""),"")</f>
        <v/>
      </c>
      <c r="E123" s="393" t="str">
        <f>IFERROR(__xludf.DUMMYFUNCTION("""COMPUTED_VALUE"""),"Cost")</f>
        <v>Cost</v>
      </c>
      <c r="F123" s="394" t="str">
        <f>IFERROR(__xludf.DUMMYFUNCTION("""COMPUTED_VALUE"""),"# Runs")</f>
        <v># Runs</v>
      </c>
      <c r="G123" s="395" t="str">
        <f>IFERROR(__xludf.DUMMYFUNCTION("""COMPUTED_VALUE"""),"Status")</f>
        <v>Status</v>
      </c>
      <c r="H123" s="396" t="str">
        <f>IFERROR(__xludf.DUMMYFUNCTION("""COMPUTED_VALUE"""),"Currency/AP @ +0")</f>
        <v>Currency/AP @ +0</v>
      </c>
      <c r="I123" s="505">
        <f>IFERROR(__xludf.DUMMYFUNCTION("""COMPUTED_VALUE"""),0.0)</f>
        <v>0</v>
      </c>
      <c r="J123" s="506">
        <f>IFERROR(__xludf.DUMMYFUNCTION("""COMPUTED_VALUE"""),0.3)</f>
        <v>0.3</v>
      </c>
      <c r="K123" s="506">
        <f>IFERROR(__xludf.DUMMYFUNCTION("""COMPUTED_VALUE"""),0.6)</f>
        <v>0.6</v>
      </c>
      <c r="L123" s="506">
        <f>IFERROR(__xludf.DUMMYFUNCTION("""COMPUTED_VALUE"""),0.8999999999999999)</f>
        <v>0.9</v>
      </c>
      <c r="M123" s="506">
        <f>IFERROR(__xludf.DUMMYFUNCTION("""COMPUTED_VALUE"""),1.2)</f>
        <v>1.2</v>
      </c>
      <c r="N123" s="506">
        <f>IFERROR(__xludf.DUMMYFUNCTION("""COMPUTED_VALUE"""),1.5)</f>
        <v>1.5</v>
      </c>
      <c r="O123" s="506">
        <f>IFERROR(__xludf.DUMMYFUNCTION("""COMPUTED_VALUE"""),1.8)</f>
        <v>1.8</v>
      </c>
      <c r="P123" s="506">
        <f>IFERROR(__xludf.DUMMYFUNCTION("""COMPUTED_VALUE"""),2.1)</f>
        <v>2.1</v>
      </c>
      <c r="Q123" s="506">
        <f>IFERROR(__xludf.DUMMYFUNCTION("""COMPUTED_VALUE"""),2.4)</f>
        <v>2.4</v>
      </c>
      <c r="R123" s="506">
        <f>IFERROR(__xludf.DUMMYFUNCTION("""COMPUTED_VALUE"""),2.6999999999999997)</f>
        <v>2.7</v>
      </c>
      <c r="S123" s="506">
        <f>IFERROR(__xludf.DUMMYFUNCTION("""COMPUTED_VALUE"""),2.9999999999999996)</f>
        <v>3</v>
      </c>
      <c r="T123" s="506">
        <f>IFERROR(__xludf.DUMMYFUNCTION("""COMPUTED_VALUE"""),3.2999999999999994)</f>
        <v>3.3</v>
      </c>
      <c r="U123" s="506">
        <f>IFERROR(__xludf.DUMMYFUNCTION("""COMPUTED_VALUE"""),3.599999999999999)</f>
        <v>3.6</v>
      </c>
      <c r="V123" s="506">
        <f>IFERROR(__xludf.DUMMYFUNCTION("""COMPUTED_VALUE"""),3.899999999999999)</f>
        <v>3.9</v>
      </c>
      <c r="W123" s="506">
        <f>IFERROR(__xludf.DUMMYFUNCTION("""COMPUTED_VALUE"""),4.199999999999999)</f>
        <v>4.2</v>
      </c>
      <c r="X123" s="506">
        <f>IFERROR(__xludf.DUMMYFUNCTION("""COMPUTED_VALUE"""),4.499999999999999)</f>
        <v>4.5</v>
      </c>
      <c r="Y123" s="506">
        <f>IFERROR(__xludf.DUMMYFUNCTION("""COMPUTED_VALUE"""),4.799999999999999)</f>
        <v>4.8</v>
      </c>
      <c r="Z123" s="506">
        <f>IFERROR(__xludf.DUMMYFUNCTION("""COMPUTED_VALUE"""),5.099999999999999)</f>
        <v>5.1</v>
      </c>
      <c r="AA123" s="506">
        <f>IFERROR(__xludf.DUMMYFUNCTION("""COMPUTED_VALUE"""),5.399999999999999)</f>
        <v>5.4</v>
      </c>
      <c r="AB123" s="506">
        <f>IFERROR(__xludf.DUMMYFUNCTION("""COMPUTED_VALUE"""),5.699999999999998)</f>
        <v>5.7</v>
      </c>
      <c r="AC123" s="507">
        <f>IFERROR(__xludf.DUMMYFUNCTION("""COMPUTED_VALUE"""),5.999999999999998)</f>
        <v>6</v>
      </c>
      <c r="AD123" s="400"/>
      <c r="AE123" s="401"/>
    </row>
    <row r="124" hidden="1">
      <c r="A124" s="480" t="str">
        <f>IFERROR(__xludf.DUMMYFUNCTION("""COMPUTED_VALUE"""),"HIDE")</f>
        <v>HIDE</v>
      </c>
      <c r="B124" s="481" t="str">
        <f>IFERROR(__xludf.DUMMYFUNCTION("""COMPUTED_VALUE"""),"#N/A")</f>
        <v>#N/A</v>
      </c>
      <c r="C124" s="481" t="str">
        <f>IFERROR(__xludf.DUMMYFUNCTION("""COMPUTED_VALUE"""),"#N/A")</f>
        <v>#N/A</v>
      </c>
      <c r="D124" s="482" t="str">
        <f>IFERROR(__xludf.DUMMYFUNCTION("""COMPUTED_VALUE"""),"")</f>
        <v/>
      </c>
      <c r="E124" s="483" t="str">
        <f>IFERROR(__xludf.DUMMYFUNCTION("""COMPUTED_VALUE"""),"")</f>
        <v/>
      </c>
      <c r="F124" s="484" t="str">
        <f>IFERROR(__xludf.DUMMYFUNCTION("""COMPUTED_VALUE"""),"")</f>
        <v/>
      </c>
      <c r="G124" s="501" t="str">
        <f>IFERROR(__xludf.DUMMYFUNCTION("""COMPUTED_VALUE"""),"")</f>
        <v/>
      </c>
      <c r="H124" s="484" t="str">
        <f>IFERROR(__xludf.DUMMYFUNCTION("""COMPUTED_VALUE"""),"")</f>
        <v/>
      </c>
      <c r="I124" s="486" t="str">
        <f>IFERROR(__xludf.DUMMYFUNCTION("""COMPUTED_VALUE"""),"")</f>
        <v/>
      </c>
      <c r="J124" s="486" t="str">
        <f>IFERROR(__xludf.DUMMYFUNCTION("""COMPUTED_VALUE"""),"")</f>
        <v/>
      </c>
      <c r="K124" s="486" t="str">
        <f>IFERROR(__xludf.DUMMYFUNCTION("""COMPUTED_VALUE"""),"")</f>
        <v/>
      </c>
      <c r="L124" s="486" t="str">
        <f>IFERROR(__xludf.DUMMYFUNCTION("""COMPUTED_VALUE"""),"")</f>
        <v/>
      </c>
      <c r="M124" s="486" t="str">
        <f>IFERROR(__xludf.DUMMYFUNCTION("""COMPUTED_VALUE"""),"")</f>
        <v/>
      </c>
      <c r="N124" s="486" t="str">
        <f>IFERROR(__xludf.DUMMYFUNCTION("""COMPUTED_VALUE"""),"")</f>
        <v/>
      </c>
      <c r="O124" s="486" t="str">
        <f>IFERROR(__xludf.DUMMYFUNCTION("""COMPUTED_VALUE"""),"")</f>
        <v/>
      </c>
      <c r="P124" s="486" t="str">
        <f>IFERROR(__xludf.DUMMYFUNCTION("""COMPUTED_VALUE"""),"")</f>
        <v/>
      </c>
      <c r="Q124" s="486" t="str">
        <f>IFERROR(__xludf.DUMMYFUNCTION("""COMPUTED_VALUE"""),"")</f>
        <v/>
      </c>
      <c r="R124" s="486" t="str">
        <f>IFERROR(__xludf.DUMMYFUNCTION("""COMPUTED_VALUE"""),"")</f>
        <v/>
      </c>
      <c r="S124" s="486" t="str">
        <f>IFERROR(__xludf.DUMMYFUNCTION("""COMPUTED_VALUE"""),"")</f>
        <v/>
      </c>
      <c r="T124" s="486" t="str">
        <f>IFERROR(__xludf.DUMMYFUNCTION("""COMPUTED_VALUE"""),"")</f>
        <v/>
      </c>
      <c r="U124" s="486" t="str">
        <f>IFERROR(__xludf.DUMMYFUNCTION("""COMPUTED_VALUE"""),"")</f>
        <v/>
      </c>
      <c r="V124" s="486" t="str">
        <f>IFERROR(__xludf.DUMMYFUNCTION("""COMPUTED_VALUE"""),"")</f>
        <v/>
      </c>
      <c r="W124" s="486" t="str">
        <f>IFERROR(__xludf.DUMMYFUNCTION("""COMPUTED_VALUE"""),"")</f>
        <v/>
      </c>
      <c r="X124" s="486" t="str">
        <f>IFERROR(__xludf.DUMMYFUNCTION("""COMPUTED_VALUE"""),"")</f>
        <v/>
      </c>
      <c r="Y124" s="486" t="str">
        <f>IFERROR(__xludf.DUMMYFUNCTION("""COMPUTED_VALUE"""),"")</f>
        <v/>
      </c>
      <c r="Z124" s="486" t="str">
        <f>IFERROR(__xludf.DUMMYFUNCTION("""COMPUTED_VALUE"""),"")</f>
        <v/>
      </c>
      <c r="AA124" s="486" t="str">
        <f>IFERROR(__xludf.DUMMYFUNCTION("""COMPUTED_VALUE"""),"")</f>
        <v/>
      </c>
      <c r="AB124" s="486" t="str">
        <f>IFERROR(__xludf.DUMMYFUNCTION("""COMPUTED_VALUE"""),"")</f>
        <v/>
      </c>
      <c r="AC124" s="487" t="str">
        <f>IFERROR(__xludf.DUMMYFUNCTION("""COMPUTED_VALUE"""),"")</f>
        <v/>
      </c>
      <c r="AD124" s="488"/>
      <c r="AE124" s="489"/>
    </row>
    <row r="125" hidden="1">
      <c r="A125" s="463" t="str">
        <f>IFERROR(__xludf.DUMMYFUNCTION("""COMPUTED_VALUE"""),"BEST NOW")</f>
        <v>BEST NOW</v>
      </c>
      <c r="B125" s="464" t="str">
        <f>IFERROR(__xludf.DUMMYFUNCTION("""COMPUTED_VALUE"""),"")</f>
        <v/>
      </c>
      <c r="C125" s="464" t="str">
        <f>IFERROR(__xludf.DUMMYFUNCTION("""COMPUTED_VALUE"""),"")</f>
        <v/>
      </c>
      <c r="D125" s="465" t="str">
        <f>IFERROR(__xludf.DUMMYFUNCTION("""COMPUTED_VALUE"""),"")</f>
        <v/>
      </c>
      <c r="E125" s="466" t="str">
        <f>IFERROR(__xludf.DUMMYFUNCTION("""COMPUTED_VALUE"""),"")</f>
        <v/>
      </c>
      <c r="F125" s="467" t="str">
        <f>IFERROR(__xludf.DUMMYFUNCTION("""COMPUTED_VALUE"""),"")</f>
        <v/>
      </c>
      <c r="G125" s="490" t="str">
        <f>IFERROR(__xludf.DUMMYFUNCTION("""COMPUTED_VALUE"""),"")</f>
        <v/>
      </c>
      <c r="H125" s="508" t="str">
        <f>IFERROR(__xludf.DUMMYFUNCTION("""COMPUTED_VALUE"""),"")</f>
        <v/>
      </c>
      <c r="I125" s="509" t="str">
        <f>IFERROR(__xludf.DUMMYFUNCTION("""COMPUTED_VALUE"""),"")</f>
        <v/>
      </c>
      <c r="J125" s="510" t="str">
        <f>IFERROR(__xludf.DUMMYFUNCTION("""COMPUTED_VALUE"""),"")</f>
        <v/>
      </c>
      <c r="K125" s="510" t="str">
        <f>IFERROR(__xludf.DUMMYFUNCTION("""COMPUTED_VALUE"""),"")</f>
        <v/>
      </c>
      <c r="L125" s="510" t="str">
        <f>IFERROR(__xludf.DUMMYFUNCTION("""COMPUTED_VALUE"""),"")</f>
        <v/>
      </c>
      <c r="M125" s="510" t="str">
        <f>IFERROR(__xludf.DUMMYFUNCTION("""COMPUTED_VALUE"""),"")</f>
        <v/>
      </c>
      <c r="N125" s="510" t="str">
        <f>IFERROR(__xludf.DUMMYFUNCTION("""COMPUTED_VALUE"""),"")</f>
        <v/>
      </c>
      <c r="O125" s="510" t="str">
        <f>IFERROR(__xludf.DUMMYFUNCTION("""COMPUTED_VALUE"""),"")</f>
        <v/>
      </c>
      <c r="P125" s="510" t="str">
        <f>IFERROR(__xludf.DUMMYFUNCTION("""COMPUTED_VALUE"""),"")</f>
        <v/>
      </c>
      <c r="Q125" s="510" t="str">
        <f>IFERROR(__xludf.DUMMYFUNCTION("""COMPUTED_VALUE"""),"")</f>
        <v/>
      </c>
      <c r="R125" s="510" t="str">
        <f>IFERROR(__xludf.DUMMYFUNCTION("""COMPUTED_VALUE"""),"")</f>
        <v/>
      </c>
      <c r="S125" s="510" t="str">
        <f>IFERROR(__xludf.DUMMYFUNCTION("""COMPUTED_VALUE"""),"")</f>
        <v/>
      </c>
      <c r="T125" s="510" t="str">
        <f>IFERROR(__xludf.DUMMYFUNCTION("""COMPUTED_VALUE"""),"")</f>
        <v/>
      </c>
      <c r="U125" s="510" t="str">
        <f>IFERROR(__xludf.DUMMYFUNCTION("""COMPUTED_VALUE"""),"")</f>
        <v/>
      </c>
      <c r="V125" s="510" t="str">
        <f>IFERROR(__xludf.DUMMYFUNCTION("""COMPUTED_VALUE"""),"")</f>
        <v/>
      </c>
      <c r="W125" s="510" t="str">
        <f>IFERROR(__xludf.DUMMYFUNCTION("""COMPUTED_VALUE"""),"")</f>
        <v/>
      </c>
      <c r="X125" s="510" t="str">
        <f>IFERROR(__xludf.DUMMYFUNCTION("""COMPUTED_VALUE"""),"")</f>
        <v/>
      </c>
      <c r="Y125" s="510" t="str">
        <f>IFERROR(__xludf.DUMMYFUNCTION("""COMPUTED_VALUE"""),"")</f>
        <v/>
      </c>
      <c r="Z125" s="510" t="str">
        <f>IFERROR(__xludf.DUMMYFUNCTION("""COMPUTED_VALUE"""),"")</f>
        <v/>
      </c>
      <c r="AA125" s="510" t="str">
        <f>IFERROR(__xludf.DUMMYFUNCTION("""COMPUTED_VALUE"""),"")</f>
        <v/>
      </c>
      <c r="AB125" s="510" t="str">
        <f>IFERROR(__xludf.DUMMYFUNCTION("""COMPUTED_VALUE"""),"")</f>
        <v/>
      </c>
      <c r="AC125" s="511" t="str">
        <f>IFERROR(__xludf.DUMMYFUNCTION("""COMPUTED_VALUE"""),"")</f>
        <v/>
      </c>
      <c r="AD125" s="10"/>
      <c r="AE125" s="6"/>
    </row>
    <row r="126" hidden="1">
      <c r="A126" s="450">
        <f>IFERROR(__xludf.DUMMYFUNCTION("""COMPUTED_VALUE"""),1.0)</f>
        <v>1</v>
      </c>
      <c r="B126" s="451" t="str">
        <f>IFERROR(__xludf.DUMMYFUNCTION("""COMPUTED_VALUE"""),"")</f>
        <v/>
      </c>
      <c r="C126" s="502" t="str">
        <f>IFERROR(__xludf.DUMMYFUNCTION("""COMPUTED_VALUE"""),"")</f>
        <v/>
      </c>
      <c r="D126" s="452" t="str">
        <f>IFERROR(__xludf.DUMMYFUNCTION("""COMPUTED_VALUE"""),"")</f>
        <v/>
      </c>
      <c r="E126" s="453" t="str">
        <f>IFERROR(__xludf.DUMMYFUNCTION("""COMPUTED_VALUE"""),"")</f>
        <v/>
      </c>
      <c r="F126" s="454" t="str">
        <f>IFERROR(__xludf.DUMMYFUNCTION("""COMPUTED_VALUE"""),"")</f>
        <v/>
      </c>
      <c r="G126" s="492" t="str">
        <f>IFERROR(__xludf.DUMMYFUNCTION("""COMPUTED_VALUE"""),"")</f>
        <v/>
      </c>
      <c r="H126" s="512" t="str">
        <f>IFERROR(__xludf.DUMMYFUNCTION("""COMPUTED_VALUE"""),"")</f>
        <v/>
      </c>
      <c r="I126" s="513" t="str">
        <f>IFERROR(__xludf.DUMMYFUNCTION("""COMPUTED_VALUE"""),"")</f>
        <v/>
      </c>
      <c r="J126" s="514" t="str">
        <f>IFERROR(__xludf.DUMMYFUNCTION("""COMPUTED_VALUE"""),"")</f>
        <v/>
      </c>
      <c r="K126" s="514" t="str">
        <f>IFERROR(__xludf.DUMMYFUNCTION("""COMPUTED_VALUE"""),"")</f>
        <v/>
      </c>
      <c r="L126" s="514" t="str">
        <f>IFERROR(__xludf.DUMMYFUNCTION("""COMPUTED_VALUE"""),"")</f>
        <v/>
      </c>
      <c r="M126" s="514" t="str">
        <f>IFERROR(__xludf.DUMMYFUNCTION("""COMPUTED_VALUE"""),"")</f>
        <v/>
      </c>
      <c r="N126" s="514" t="str">
        <f>IFERROR(__xludf.DUMMYFUNCTION("""COMPUTED_VALUE"""),"")</f>
        <v/>
      </c>
      <c r="O126" s="514" t="str">
        <f>IFERROR(__xludf.DUMMYFUNCTION("""COMPUTED_VALUE"""),"")</f>
        <v/>
      </c>
      <c r="P126" s="514" t="str">
        <f>IFERROR(__xludf.DUMMYFUNCTION("""COMPUTED_VALUE"""),"")</f>
        <v/>
      </c>
      <c r="Q126" s="514" t="str">
        <f>IFERROR(__xludf.DUMMYFUNCTION("""COMPUTED_VALUE"""),"")</f>
        <v/>
      </c>
      <c r="R126" s="514" t="str">
        <f>IFERROR(__xludf.DUMMYFUNCTION("""COMPUTED_VALUE"""),"")</f>
        <v/>
      </c>
      <c r="S126" s="514" t="str">
        <f>IFERROR(__xludf.DUMMYFUNCTION("""COMPUTED_VALUE"""),"")</f>
        <v/>
      </c>
      <c r="T126" s="514" t="str">
        <f>IFERROR(__xludf.DUMMYFUNCTION("""COMPUTED_VALUE"""),"")</f>
        <v/>
      </c>
      <c r="U126" s="514" t="str">
        <f>IFERROR(__xludf.DUMMYFUNCTION("""COMPUTED_VALUE"""),"")</f>
        <v/>
      </c>
      <c r="V126" s="514" t="str">
        <f>IFERROR(__xludf.DUMMYFUNCTION("""COMPUTED_VALUE"""),"")</f>
        <v/>
      </c>
      <c r="W126" s="514" t="str">
        <f>IFERROR(__xludf.DUMMYFUNCTION("""COMPUTED_VALUE"""),"")</f>
        <v/>
      </c>
      <c r="X126" s="514" t="str">
        <f>IFERROR(__xludf.DUMMYFUNCTION("""COMPUTED_VALUE"""),"")</f>
        <v/>
      </c>
      <c r="Y126" s="514" t="str">
        <f>IFERROR(__xludf.DUMMYFUNCTION("""COMPUTED_VALUE"""),"")</f>
        <v/>
      </c>
      <c r="Z126" s="514" t="str">
        <f>IFERROR(__xludf.DUMMYFUNCTION("""COMPUTED_VALUE"""),"")</f>
        <v/>
      </c>
      <c r="AA126" s="514" t="str">
        <f>IFERROR(__xludf.DUMMYFUNCTION("""COMPUTED_VALUE"""),"")</f>
        <v/>
      </c>
      <c r="AB126" s="514" t="str">
        <f>IFERROR(__xludf.DUMMYFUNCTION("""COMPUTED_VALUE"""),"")</f>
        <v/>
      </c>
      <c r="AC126" s="515" t="str">
        <f>IFERROR(__xludf.DUMMYFUNCTION("""COMPUTED_VALUE"""),"")</f>
        <v/>
      </c>
      <c r="AD126" s="10"/>
      <c r="AE126" s="390"/>
    </row>
    <row r="127" hidden="1">
      <c r="A127" s="421">
        <f>IFERROR(__xludf.DUMMYFUNCTION("""COMPUTED_VALUE"""),2.0)</f>
        <v>2</v>
      </c>
      <c r="B127" s="422" t="str">
        <f>IFERROR(__xludf.DUMMYFUNCTION("""COMPUTED_VALUE"""),"")</f>
        <v/>
      </c>
      <c r="C127" s="502" t="str">
        <f>IFERROR(__xludf.DUMMYFUNCTION("""COMPUTED_VALUE"""),"")</f>
        <v/>
      </c>
      <c r="D127" s="423" t="str">
        <f>IFERROR(__xludf.DUMMYFUNCTION("""COMPUTED_VALUE"""),"")</f>
        <v/>
      </c>
      <c r="E127" s="424" t="str">
        <f>IFERROR(__xludf.DUMMYFUNCTION("""COMPUTED_VALUE"""),"")</f>
        <v/>
      </c>
      <c r="F127" s="425" t="str">
        <f>IFERROR(__xludf.DUMMYFUNCTION("""COMPUTED_VALUE"""),"")</f>
        <v/>
      </c>
      <c r="G127" s="492" t="str">
        <f>IFERROR(__xludf.DUMMYFUNCTION("""COMPUTED_VALUE"""),"")</f>
        <v/>
      </c>
      <c r="H127" s="516" t="str">
        <f>IFERROR(__xludf.DUMMYFUNCTION("""COMPUTED_VALUE"""),"")</f>
        <v/>
      </c>
      <c r="I127" s="513" t="str">
        <f>IFERROR(__xludf.DUMMYFUNCTION("""COMPUTED_VALUE"""),"")</f>
        <v/>
      </c>
      <c r="J127" s="514" t="str">
        <f>IFERROR(__xludf.DUMMYFUNCTION("""COMPUTED_VALUE"""),"")</f>
        <v/>
      </c>
      <c r="K127" s="514" t="str">
        <f>IFERROR(__xludf.DUMMYFUNCTION("""COMPUTED_VALUE"""),"")</f>
        <v/>
      </c>
      <c r="L127" s="514" t="str">
        <f>IFERROR(__xludf.DUMMYFUNCTION("""COMPUTED_VALUE"""),"")</f>
        <v/>
      </c>
      <c r="M127" s="514" t="str">
        <f>IFERROR(__xludf.DUMMYFUNCTION("""COMPUTED_VALUE"""),"")</f>
        <v/>
      </c>
      <c r="N127" s="514" t="str">
        <f>IFERROR(__xludf.DUMMYFUNCTION("""COMPUTED_VALUE"""),"")</f>
        <v/>
      </c>
      <c r="O127" s="514" t="str">
        <f>IFERROR(__xludf.DUMMYFUNCTION("""COMPUTED_VALUE"""),"")</f>
        <v/>
      </c>
      <c r="P127" s="514" t="str">
        <f>IFERROR(__xludf.DUMMYFUNCTION("""COMPUTED_VALUE"""),"")</f>
        <v/>
      </c>
      <c r="Q127" s="514" t="str">
        <f>IFERROR(__xludf.DUMMYFUNCTION("""COMPUTED_VALUE"""),"")</f>
        <v/>
      </c>
      <c r="R127" s="514" t="str">
        <f>IFERROR(__xludf.DUMMYFUNCTION("""COMPUTED_VALUE"""),"")</f>
        <v/>
      </c>
      <c r="S127" s="514" t="str">
        <f>IFERROR(__xludf.DUMMYFUNCTION("""COMPUTED_VALUE"""),"")</f>
        <v/>
      </c>
      <c r="T127" s="514" t="str">
        <f>IFERROR(__xludf.DUMMYFUNCTION("""COMPUTED_VALUE"""),"")</f>
        <v/>
      </c>
      <c r="U127" s="514" t="str">
        <f>IFERROR(__xludf.DUMMYFUNCTION("""COMPUTED_VALUE"""),"")</f>
        <v/>
      </c>
      <c r="V127" s="514" t="str">
        <f>IFERROR(__xludf.DUMMYFUNCTION("""COMPUTED_VALUE"""),"")</f>
        <v/>
      </c>
      <c r="W127" s="514" t="str">
        <f>IFERROR(__xludf.DUMMYFUNCTION("""COMPUTED_VALUE"""),"")</f>
        <v/>
      </c>
      <c r="X127" s="514" t="str">
        <f>IFERROR(__xludf.DUMMYFUNCTION("""COMPUTED_VALUE"""),"")</f>
        <v/>
      </c>
      <c r="Y127" s="514" t="str">
        <f>IFERROR(__xludf.DUMMYFUNCTION("""COMPUTED_VALUE"""),"")</f>
        <v/>
      </c>
      <c r="Z127" s="514" t="str">
        <f>IFERROR(__xludf.DUMMYFUNCTION("""COMPUTED_VALUE"""),"")</f>
        <v/>
      </c>
      <c r="AA127" s="514" t="str">
        <f>IFERROR(__xludf.DUMMYFUNCTION("""COMPUTED_VALUE"""),"")</f>
        <v/>
      </c>
      <c r="AB127" s="514" t="str">
        <f>IFERROR(__xludf.DUMMYFUNCTION("""COMPUTED_VALUE"""),"")</f>
        <v/>
      </c>
      <c r="AC127" s="515" t="str">
        <f>IFERROR(__xludf.DUMMYFUNCTION("""COMPUTED_VALUE"""),"")</f>
        <v/>
      </c>
      <c r="AD127" s="10"/>
      <c r="AE127" s="390"/>
    </row>
    <row r="128" hidden="1">
      <c r="A128" s="421">
        <f>IFERROR(__xludf.DUMMYFUNCTION("""COMPUTED_VALUE"""),3.0)</f>
        <v>3</v>
      </c>
      <c r="B128" s="422" t="str">
        <f>IFERROR(__xludf.DUMMYFUNCTION("""COMPUTED_VALUE"""),"")</f>
        <v/>
      </c>
      <c r="C128" s="502" t="str">
        <f>IFERROR(__xludf.DUMMYFUNCTION("""COMPUTED_VALUE"""),"")</f>
        <v/>
      </c>
      <c r="D128" s="423" t="str">
        <f>IFERROR(__xludf.DUMMYFUNCTION("""COMPUTED_VALUE"""),"")</f>
        <v/>
      </c>
      <c r="E128" s="424" t="str">
        <f>IFERROR(__xludf.DUMMYFUNCTION("""COMPUTED_VALUE"""),"")</f>
        <v/>
      </c>
      <c r="F128" s="425" t="str">
        <f>IFERROR(__xludf.DUMMYFUNCTION("""COMPUTED_VALUE"""),"")</f>
        <v/>
      </c>
      <c r="G128" s="491" t="str">
        <f>IFERROR(__xludf.DUMMYFUNCTION("""COMPUTED_VALUE"""),"")</f>
        <v/>
      </c>
      <c r="H128" s="516" t="str">
        <f>IFERROR(__xludf.DUMMYFUNCTION("""COMPUTED_VALUE"""),"")</f>
        <v/>
      </c>
      <c r="I128" s="513" t="str">
        <f>IFERROR(__xludf.DUMMYFUNCTION("""COMPUTED_VALUE"""),"")</f>
        <v/>
      </c>
      <c r="J128" s="514" t="str">
        <f>IFERROR(__xludf.DUMMYFUNCTION("""COMPUTED_VALUE"""),"")</f>
        <v/>
      </c>
      <c r="K128" s="514" t="str">
        <f>IFERROR(__xludf.DUMMYFUNCTION("""COMPUTED_VALUE"""),"")</f>
        <v/>
      </c>
      <c r="L128" s="514" t="str">
        <f>IFERROR(__xludf.DUMMYFUNCTION("""COMPUTED_VALUE"""),"")</f>
        <v/>
      </c>
      <c r="M128" s="514" t="str">
        <f>IFERROR(__xludf.DUMMYFUNCTION("""COMPUTED_VALUE"""),"")</f>
        <v/>
      </c>
      <c r="N128" s="514" t="str">
        <f>IFERROR(__xludf.DUMMYFUNCTION("""COMPUTED_VALUE"""),"")</f>
        <v/>
      </c>
      <c r="O128" s="514" t="str">
        <f>IFERROR(__xludf.DUMMYFUNCTION("""COMPUTED_VALUE"""),"")</f>
        <v/>
      </c>
      <c r="P128" s="514" t="str">
        <f>IFERROR(__xludf.DUMMYFUNCTION("""COMPUTED_VALUE"""),"")</f>
        <v/>
      </c>
      <c r="Q128" s="514" t="str">
        <f>IFERROR(__xludf.DUMMYFUNCTION("""COMPUTED_VALUE"""),"")</f>
        <v/>
      </c>
      <c r="R128" s="514" t="str">
        <f>IFERROR(__xludf.DUMMYFUNCTION("""COMPUTED_VALUE"""),"")</f>
        <v/>
      </c>
      <c r="S128" s="514" t="str">
        <f>IFERROR(__xludf.DUMMYFUNCTION("""COMPUTED_VALUE"""),"")</f>
        <v/>
      </c>
      <c r="T128" s="514" t="str">
        <f>IFERROR(__xludf.DUMMYFUNCTION("""COMPUTED_VALUE"""),"")</f>
        <v/>
      </c>
      <c r="U128" s="514" t="str">
        <f>IFERROR(__xludf.DUMMYFUNCTION("""COMPUTED_VALUE"""),"")</f>
        <v/>
      </c>
      <c r="V128" s="514" t="str">
        <f>IFERROR(__xludf.DUMMYFUNCTION("""COMPUTED_VALUE"""),"")</f>
        <v/>
      </c>
      <c r="W128" s="514" t="str">
        <f>IFERROR(__xludf.DUMMYFUNCTION("""COMPUTED_VALUE"""),"")</f>
        <v/>
      </c>
      <c r="X128" s="514" t="str">
        <f>IFERROR(__xludf.DUMMYFUNCTION("""COMPUTED_VALUE"""),"")</f>
        <v/>
      </c>
      <c r="Y128" s="514" t="str">
        <f>IFERROR(__xludf.DUMMYFUNCTION("""COMPUTED_VALUE"""),"")</f>
        <v/>
      </c>
      <c r="Z128" s="514" t="str">
        <f>IFERROR(__xludf.DUMMYFUNCTION("""COMPUTED_VALUE"""),"")</f>
        <v/>
      </c>
      <c r="AA128" s="514" t="str">
        <f>IFERROR(__xludf.DUMMYFUNCTION("""COMPUTED_VALUE"""),"")</f>
        <v/>
      </c>
      <c r="AB128" s="514" t="str">
        <f>IFERROR(__xludf.DUMMYFUNCTION("""COMPUTED_VALUE"""),"")</f>
        <v/>
      </c>
      <c r="AC128" s="515" t="str">
        <f>IFERROR(__xludf.DUMMYFUNCTION("""COMPUTED_VALUE"""),"")</f>
        <v/>
      </c>
      <c r="AD128" s="10"/>
      <c r="AE128" s="390"/>
    </row>
    <row r="129" hidden="1">
      <c r="A129" s="421">
        <f>IFERROR(__xludf.DUMMYFUNCTION("""COMPUTED_VALUE"""),4.0)</f>
        <v>4</v>
      </c>
      <c r="B129" s="422" t="str">
        <f>IFERROR(__xludf.DUMMYFUNCTION("""COMPUTED_VALUE"""),"")</f>
        <v/>
      </c>
      <c r="C129" s="502" t="str">
        <f>IFERROR(__xludf.DUMMYFUNCTION("""COMPUTED_VALUE"""),"")</f>
        <v/>
      </c>
      <c r="D129" s="423" t="str">
        <f>IFERROR(__xludf.DUMMYFUNCTION("""COMPUTED_VALUE"""),"")</f>
        <v/>
      </c>
      <c r="E129" s="424" t="str">
        <f>IFERROR(__xludf.DUMMYFUNCTION("""COMPUTED_VALUE"""),"")</f>
        <v/>
      </c>
      <c r="F129" s="425" t="str">
        <f>IFERROR(__xludf.DUMMYFUNCTION("""COMPUTED_VALUE"""),"")</f>
        <v/>
      </c>
      <c r="G129" s="491" t="str">
        <f>IFERROR(__xludf.DUMMYFUNCTION("""COMPUTED_VALUE"""),"")</f>
        <v/>
      </c>
      <c r="H129" s="516" t="str">
        <f>IFERROR(__xludf.DUMMYFUNCTION("""COMPUTED_VALUE"""),"")</f>
        <v/>
      </c>
      <c r="I129" s="513" t="str">
        <f>IFERROR(__xludf.DUMMYFUNCTION("""COMPUTED_VALUE"""),"")</f>
        <v/>
      </c>
      <c r="J129" s="514" t="str">
        <f>IFERROR(__xludf.DUMMYFUNCTION("""COMPUTED_VALUE"""),"")</f>
        <v/>
      </c>
      <c r="K129" s="514" t="str">
        <f>IFERROR(__xludf.DUMMYFUNCTION("""COMPUTED_VALUE"""),"")</f>
        <v/>
      </c>
      <c r="L129" s="514" t="str">
        <f>IFERROR(__xludf.DUMMYFUNCTION("""COMPUTED_VALUE"""),"")</f>
        <v/>
      </c>
      <c r="M129" s="514" t="str">
        <f>IFERROR(__xludf.DUMMYFUNCTION("""COMPUTED_VALUE"""),"")</f>
        <v/>
      </c>
      <c r="N129" s="514" t="str">
        <f>IFERROR(__xludf.DUMMYFUNCTION("""COMPUTED_VALUE"""),"")</f>
        <v/>
      </c>
      <c r="O129" s="514" t="str">
        <f>IFERROR(__xludf.DUMMYFUNCTION("""COMPUTED_VALUE"""),"")</f>
        <v/>
      </c>
      <c r="P129" s="514" t="str">
        <f>IFERROR(__xludf.DUMMYFUNCTION("""COMPUTED_VALUE"""),"")</f>
        <v/>
      </c>
      <c r="Q129" s="514" t="str">
        <f>IFERROR(__xludf.DUMMYFUNCTION("""COMPUTED_VALUE"""),"")</f>
        <v/>
      </c>
      <c r="R129" s="514" t="str">
        <f>IFERROR(__xludf.DUMMYFUNCTION("""COMPUTED_VALUE"""),"")</f>
        <v/>
      </c>
      <c r="S129" s="514" t="str">
        <f>IFERROR(__xludf.DUMMYFUNCTION("""COMPUTED_VALUE"""),"")</f>
        <v/>
      </c>
      <c r="T129" s="514" t="str">
        <f>IFERROR(__xludf.DUMMYFUNCTION("""COMPUTED_VALUE"""),"")</f>
        <v/>
      </c>
      <c r="U129" s="514" t="str">
        <f>IFERROR(__xludf.DUMMYFUNCTION("""COMPUTED_VALUE"""),"")</f>
        <v/>
      </c>
      <c r="V129" s="514" t="str">
        <f>IFERROR(__xludf.DUMMYFUNCTION("""COMPUTED_VALUE"""),"")</f>
        <v/>
      </c>
      <c r="W129" s="514" t="str">
        <f>IFERROR(__xludf.DUMMYFUNCTION("""COMPUTED_VALUE"""),"")</f>
        <v/>
      </c>
      <c r="X129" s="514" t="str">
        <f>IFERROR(__xludf.DUMMYFUNCTION("""COMPUTED_VALUE"""),"")</f>
        <v/>
      </c>
      <c r="Y129" s="514" t="str">
        <f>IFERROR(__xludf.DUMMYFUNCTION("""COMPUTED_VALUE"""),"")</f>
        <v/>
      </c>
      <c r="Z129" s="514" t="str">
        <f>IFERROR(__xludf.DUMMYFUNCTION("""COMPUTED_VALUE"""),"")</f>
        <v/>
      </c>
      <c r="AA129" s="514" t="str">
        <f>IFERROR(__xludf.DUMMYFUNCTION("""COMPUTED_VALUE"""),"")</f>
        <v/>
      </c>
      <c r="AB129" s="514" t="str">
        <f>IFERROR(__xludf.DUMMYFUNCTION("""COMPUTED_VALUE"""),"")</f>
        <v/>
      </c>
      <c r="AC129" s="515" t="str">
        <f>IFERROR(__xludf.DUMMYFUNCTION("""COMPUTED_VALUE"""),"")</f>
        <v/>
      </c>
      <c r="AD129" s="10"/>
      <c r="AE129" s="390"/>
    </row>
    <row r="130" hidden="1">
      <c r="A130" s="421">
        <f>IFERROR(__xludf.DUMMYFUNCTION("""COMPUTED_VALUE"""),5.0)</f>
        <v>5</v>
      </c>
      <c r="B130" s="422" t="str">
        <f>IFERROR(__xludf.DUMMYFUNCTION("""COMPUTED_VALUE"""),"")</f>
        <v/>
      </c>
      <c r="C130" s="503" t="str">
        <f>IFERROR(__xludf.DUMMYFUNCTION("""COMPUTED_VALUE"""),"")</f>
        <v/>
      </c>
      <c r="D130" s="423" t="str">
        <f>IFERROR(__xludf.DUMMYFUNCTION("""COMPUTED_VALUE"""),"")</f>
        <v/>
      </c>
      <c r="E130" s="424" t="str">
        <f>IFERROR(__xludf.DUMMYFUNCTION("""COMPUTED_VALUE"""),"")</f>
        <v/>
      </c>
      <c r="F130" s="425" t="str">
        <f>IFERROR(__xludf.DUMMYFUNCTION("""COMPUTED_VALUE"""),"")</f>
        <v/>
      </c>
      <c r="G130" s="426" t="str">
        <f>IFERROR(__xludf.DUMMYFUNCTION("""COMPUTED_VALUE"""),"")</f>
        <v/>
      </c>
      <c r="H130" s="516" t="str">
        <f>IFERROR(__xludf.DUMMYFUNCTION("""COMPUTED_VALUE"""),"")</f>
        <v/>
      </c>
      <c r="I130" s="513" t="str">
        <f>IFERROR(__xludf.DUMMYFUNCTION("""COMPUTED_VALUE"""),"")</f>
        <v/>
      </c>
      <c r="J130" s="514" t="str">
        <f>IFERROR(__xludf.DUMMYFUNCTION("""COMPUTED_VALUE"""),"")</f>
        <v/>
      </c>
      <c r="K130" s="514" t="str">
        <f>IFERROR(__xludf.DUMMYFUNCTION("""COMPUTED_VALUE"""),"")</f>
        <v/>
      </c>
      <c r="L130" s="514" t="str">
        <f>IFERROR(__xludf.DUMMYFUNCTION("""COMPUTED_VALUE"""),"")</f>
        <v/>
      </c>
      <c r="M130" s="514" t="str">
        <f>IFERROR(__xludf.DUMMYFUNCTION("""COMPUTED_VALUE"""),"")</f>
        <v/>
      </c>
      <c r="N130" s="514" t="str">
        <f>IFERROR(__xludf.DUMMYFUNCTION("""COMPUTED_VALUE"""),"")</f>
        <v/>
      </c>
      <c r="O130" s="514" t="str">
        <f>IFERROR(__xludf.DUMMYFUNCTION("""COMPUTED_VALUE"""),"")</f>
        <v/>
      </c>
      <c r="P130" s="514" t="str">
        <f>IFERROR(__xludf.DUMMYFUNCTION("""COMPUTED_VALUE"""),"")</f>
        <v/>
      </c>
      <c r="Q130" s="514" t="str">
        <f>IFERROR(__xludf.DUMMYFUNCTION("""COMPUTED_VALUE"""),"")</f>
        <v/>
      </c>
      <c r="R130" s="514" t="str">
        <f>IFERROR(__xludf.DUMMYFUNCTION("""COMPUTED_VALUE"""),"")</f>
        <v/>
      </c>
      <c r="S130" s="514" t="str">
        <f>IFERROR(__xludf.DUMMYFUNCTION("""COMPUTED_VALUE"""),"")</f>
        <v/>
      </c>
      <c r="T130" s="514" t="str">
        <f>IFERROR(__xludf.DUMMYFUNCTION("""COMPUTED_VALUE"""),"")</f>
        <v/>
      </c>
      <c r="U130" s="514" t="str">
        <f>IFERROR(__xludf.DUMMYFUNCTION("""COMPUTED_VALUE"""),"")</f>
        <v/>
      </c>
      <c r="V130" s="514" t="str">
        <f>IFERROR(__xludf.DUMMYFUNCTION("""COMPUTED_VALUE"""),"")</f>
        <v/>
      </c>
      <c r="W130" s="514" t="str">
        <f>IFERROR(__xludf.DUMMYFUNCTION("""COMPUTED_VALUE"""),"")</f>
        <v/>
      </c>
      <c r="X130" s="514" t="str">
        <f>IFERROR(__xludf.DUMMYFUNCTION("""COMPUTED_VALUE"""),"")</f>
        <v/>
      </c>
      <c r="Y130" s="514" t="str">
        <f>IFERROR(__xludf.DUMMYFUNCTION("""COMPUTED_VALUE"""),"")</f>
        <v/>
      </c>
      <c r="Z130" s="514" t="str">
        <f>IFERROR(__xludf.DUMMYFUNCTION("""COMPUTED_VALUE"""),"")</f>
        <v/>
      </c>
      <c r="AA130" s="514" t="str">
        <f>IFERROR(__xludf.DUMMYFUNCTION("""COMPUTED_VALUE"""),"")</f>
        <v/>
      </c>
      <c r="AB130" s="514" t="str">
        <f>IFERROR(__xludf.DUMMYFUNCTION("""COMPUTED_VALUE"""),"")</f>
        <v/>
      </c>
      <c r="AC130" s="515" t="str">
        <f>IFERROR(__xludf.DUMMYFUNCTION("""COMPUTED_VALUE"""),"")</f>
        <v/>
      </c>
      <c r="AD130" s="10"/>
      <c r="AE130" s="390"/>
    </row>
    <row r="131" hidden="1">
      <c r="A131" s="421">
        <f>IFERROR(__xludf.DUMMYFUNCTION("""COMPUTED_VALUE"""),6.0)</f>
        <v>6</v>
      </c>
      <c r="B131" s="422" t="str">
        <f>IFERROR(__xludf.DUMMYFUNCTION("""COMPUTED_VALUE"""),"")</f>
        <v/>
      </c>
      <c r="C131" s="503" t="str">
        <f>IFERROR(__xludf.DUMMYFUNCTION("""COMPUTED_VALUE"""),"")</f>
        <v/>
      </c>
      <c r="D131" s="423" t="str">
        <f>IFERROR(__xludf.DUMMYFUNCTION("""COMPUTED_VALUE"""),"")</f>
        <v/>
      </c>
      <c r="E131" s="424" t="str">
        <f>IFERROR(__xludf.DUMMYFUNCTION("""COMPUTED_VALUE"""),"")</f>
        <v/>
      </c>
      <c r="F131" s="425" t="str">
        <f>IFERROR(__xludf.DUMMYFUNCTION("""COMPUTED_VALUE"""),"")</f>
        <v/>
      </c>
      <c r="G131" s="426" t="str">
        <f>IFERROR(__xludf.DUMMYFUNCTION("""COMPUTED_VALUE"""),"")</f>
        <v/>
      </c>
      <c r="H131" s="516" t="str">
        <f>IFERROR(__xludf.DUMMYFUNCTION("""COMPUTED_VALUE"""),"")</f>
        <v/>
      </c>
      <c r="I131" s="513" t="str">
        <f>IFERROR(__xludf.DUMMYFUNCTION("""COMPUTED_VALUE"""),"")</f>
        <v/>
      </c>
      <c r="J131" s="514" t="str">
        <f>IFERROR(__xludf.DUMMYFUNCTION("""COMPUTED_VALUE"""),"")</f>
        <v/>
      </c>
      <c r="K131" s="514" t="str">
        <f>IFERROR(__xludf.DUMMYFUNCTION("""COMPUTED_VALUE"""),"")</f>
        <v/>
      </c>
      <c r="L131" s="514" t="str">
        <f>IFERROR(__xludf.DUMMYFUNCTION("""COMPUTED_VALUE"""),"")</f>
        <v/>
      </c>
      <c r="M131" s="514" t="str">
        <f>IFERROR(__xludf.DUMMYFUNCTION("""COMPUTED_VALUE"""),"")</f>
        <v/>
      </c>
      <c r="N131" s="514" t="str">
        <f>IFERROR(__xludf.DUMMYFUNCTION("""COMPUTED_VALUE"""),"")</f>
        <v/>
      </c>
      <c r="O131" s="514" t="str">
        <f>IFERROR(__xludf.DUMMYFUNCTION("""COMPUTED_VALUE"""),"")</f>
        <v/>
      </c>
      <c r="P131" s="514" t="str">
        <f>IFERROR(__xludf.DUMMYFUNCTION("""COMPUTED_VALUE"""),"")</f>
        <v/>
      </c>
      <c r="Q131" s="514" t="str">
        <f>IFERROR(__xludf.DUMMYFUNCTION("""COMPUTED_VALUE"""),"")</f>
        <v/>
      </c>
      <c r="R131" s="514" t="str">
        <f>IFERROR(__xludf.DUMMYFUNCTION("""COMPUTED_VALUE"""),"")</f>
        <v/>
      </c>
      <c r="S131" s="514" t="str">
        <f>IFERROR(__xludf.DUMMYFUNCTION("""COMPUTED_VALUE"""),"")</f>
        <v/>
      </c>
      <c r="T131" s="514" t="str">
        <f>IFERROR(__xludf.DUMMYFUNCTION("""COMPUTED_VALUE"""),"")</f>
        <v/>
      </c>
      <c r="U131" s="514" t="str">
        <f>IFERROR(__xludf.DUMMYFUNCTION("""COMPUTED_VALUE"""),"")</f>
        <v/>
      </c>
      <c r="V131" s="514" t="str">
        <f>IFERROR(__xludf.DUMMYFUNCTION("""COMPUTED_VALUE"""),"")</f>
        <v/>
      </c>
      <c r="W131" s="514" t="str">
        <f>IFERROR(__xludf.DUMMYFUNCTION("""COMPUTED_VALUE"""),"")</f>
        <v/>
      </c>
      <c r="X131" s="514" t="str">
        <f>IFERROR(__xludf.DUMMYFUNCTION("""COMPUTED_VALUE"""),"")</f>
        <v/>
      </c>
      <c r="Y131" s="514" t="str">
        <f>IFERROR(__xludf.DUMMYFUNCTION("""COMPUTED_VALUE"""),"")</f>
        <v/>
      </c>
      <c r="Z131" s="514" t="str">
        <f>IFERROR(__xludf.DUMMYFUNCTION("""COMPUTED_VALUE"""),"")</f>
        <v/>
      </c>
      <c r="AA131" s="514" t="str">
        <f>IFERROR(__xludf.DUMMYFUNCTION("""COMPUTED_VALUE"""),"")</f>
        <v/>
      </c>
      <c r="AB131" s="514" t="str">
        <f>IFERROR(__xludf.DUMMYFUNCTION("""COMPUTED_VALUE"""),"")</f>
        <v/>
      </c>
      <c r="AC131" s="515" t="str">
        <f>IFERROR(__xludf.DUMMYFUNCTION("""COMPUTED_VALUE"""),"")</f>
        <v/>
      </c>
      <c r="AD131" s="10"/>
      <c r="AE131" s="390"/>
    </row>
    <row r="132" hidden="1">
      <c r="A132" s="421"/>
      <c r="B132" s="422"/>
      <c r="C132" s="503"/>
      <c r="D132" s="423"/>
      <c r="E132" s="424"/>
      <c r="F132" s="425"/>
      <c r="G132" s="426"/>
      <c r="H132" s="516"/>
      <c r="I132" s="513"/>
      <c r="J132" s="514"/>
      <c r="K132" s="514"/>
      <c r="L132" s="514"/>
      <c r="M132" s="514"/>
      <c r="N132" s="514"/>
      <c r="O132" s="514"/>
      <c r="P132" s="514"/>
      <c r="Q132" s="514"/>
      <c r="R132" s="514"/>
      <c r="S132" s="514"/>
      <c r="T132" s="514"/>
      <c r="U132" s="514"/>
      <c r="V132" s="514"/>
      <c r="W132" s="514"/>
      <c r="X132" s="514"/>
      <c r="Y132" s="514"/>
      <c r="Z132" s="514"/>
      <c r="AA132" s="514"/>
      <c r="AB132" s="514"/>
      <c r="AC132" s="515"/>
      <c r="AD132" s="10"/>
      <c r="AE132" s="390"/>
    </row>
    <row r="133" hidden="1">
      <c r="A133" s="431"/>
      <c r="B133" s="432"/>
      <c r="C133" s="504"/>
      <c r="D133" s="433"/>
      <c r="E133" s="434"/>
      <c r="F133" s="435"/>
      <c r="G133" s="476"/>
      <c r="H133" s="517"/>
      <c r="I133" s="518"/>
      <c r="J133" s="519"/>
      <c r="K133" s="519"/>
      <c r="L133" s="519"/>
      <c r="M133" s="519"/>
      <c r="N133" s="519"/>
      <c r="O133" s="519"/>
      <c r="P133" s="519"/>
      <c r="Q133" s="519"/>
      <c r="R133" s="519"/>
      <c r="S133" s="519"/>
      <c r="T133" s="519"/>
      <c r="U133" s="519"/>
      <c r="V133" s="519"/>
      <c r="W133" s="519"/>
      <c r="X133" s="519"/>
      <c r="Y133" s="519"/>
      <c r="Z133" s="519"/>
      <c r="AA133" s="519"/>
      <c r="AB133" s="519"/>
      <c r="AC133" s="520"/>
      <c r="AD133" s="10"/>
      <c r="AE133" s="390"/>
    </row>
    <row r="134" hidden="1">
      <c r="A134" s="493"/>
      <c r="B134" s="493"/>
      <c r="C134" s="493"/>
      <c r="D134" s="493"/>
      <c r="E134" s="495"/>
      <c r="F134" s="493"/>
      <c r="G134" s="493"/>
      <c r="H134" s="493"/>
      <c r="I134" s="499"/>
      <c r="J134" s="499"/>
      <c r="K134" s="499"/>
      <c r="L134" s="499"/>
      <c r="M134" s="499"/>
      <c r="N134" s="499"/>
      <c r="O134" s="499"/>
      <c r="P134" s="499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6"/>
      <c r="AE134" s="497"/>
    </row>
    <row r="135" ht="41.25" hidden="1" customHeight="1">
      <c r="A135" s="391"/>
      <c r="B135" s="440"/>
      <c r="C135" s="392"/>
      <c r="D135" s="392"/>
      <c r="E135" s="393"/>
      <c r="F135" s="394"/>
      <c r="G135" s="395"/>
      <c r="H135" s="396"/>
      <c r="I135" s="505"/>
      <c r="J135" s="506"/>
      <c r="K135" s="506"/>
      <c r="L135" s="506"/>
      <c r="M135" s="506"/>
      <c r="N135" s="506"/>
      <c r="O135" s="506"/>
      <c r="P135" s="506"/>
      <c r="Q135" s="506"/>
      <c r="R135" s="506"/>
      <c r="S135" s="506"/>
      <c r="T135" s="506"/>
      <c r="U135" s="506"/>
      <c r="V135" s="506"/>
      <c r="W135" s="506"/>
      <c r="X135" s="506"/>
      <c r="Y135" s="506"/>
      <c r="Z135" s="506"/>
      <c r="AA135" s="506"/>
      <c r="AB135" s="506"/>
      <c r="AC135" s="507"/>
      <c r="AD135" s="400"/>
      <c r="AE135" s="401"/>
    </row>
    <row r="136" hidden="1">
      <c r="A136" s="480"/>
      <c r="B136" s="481"/>
      <c r="C136" s="521"/>
      <c r="D136" s="482"/>
      <c r="E136" s="483"/>
      <c r="F136" s="484"/>
      <c r="G136" s="501"/>
      <c r="H136" s="487"/>
      <c r="I136" s="486"/>
      <c r="J136" s="486"/>
      <c r="K136" s="486"/>
      <c r="L136" s="486"/>
      <c r="M136" s="486"/>
      <c r="N136" s="486"/>
      <c r="O136" s="486"/>
      <c r="P136" s="486"/>
      <c r="Q136" s="486"/>
      <c r="R136" s="486"/>
      <c r="S136" s="486"/>
      <c r="T136" s="486"/>
      <c r="U136" s="486"/>
      <c r="V136" s="486"/>
      <c r="W136" s="486"/>
      <c r="X136" s="486"/>
      <c r="Y136" s="486"/>
      <c r="Z136" s="486"/>
      <c r="AA136" s="486"/>
      <c r="AB136" s="486"/>
      <c r="AC136" s="487"/>
      <c r="AD136" s="488"/>
      <c r="AE136" s="489"/>
    </row>
    <row r="137" hidden="1">
      <c r="A137" s="463"/>
      <c r="B137" s="464"/>
      <c r="C137" s="522"/>
      <c r="D137" s="465"/>
      <c r="E137" s="466"/>
      <c r="F137" s="467"/>
      <c r="G137" s="523"/>
      <c r="H137" s="508"/>
      <c r="I137" s="509"/>
      <c r="J137" s="510"/>
      <c r="K137" s="510"/>
      <c r="L137" s="510"/>
      <c r="M137" s="510"/>
      <c r="N137" s="510"/>
      <c r="O137" s="510"/>
      <c r="P137" s="510"/>
      <c r="Q137" s="510"/>
      <c r="R137" s="510"/>
      <c r="S137" s="510"/>
      <c r="T137" s="510"/>
      <c r="U137" s="510"/>
      <c r="V137" s="510"/>
      <c r="W137" s="510"/>
      <c r="X137" s="510"/>
      <c r="Y137" s="510"/>
      <c r="Z137" s="510"/>
      <c r="AA137" s="510"/>
      <c r="AB137" s="510"/>
      <c r="AC137" s="511"/>
      <c r="AD137" s="10"/>
      <c r="AE137" s="6"/>
    </row>
    <row r="138" hidden="1">
      <c r="A138" s="450"/>
      <c r="B138" s="451"/>
      <c r="C138" s="502"/>
      <c r="D138" s="452"/>
      <c r="E138" s="453"/>
      <c r="F138" s="454"/>
      <c r="G138" s="491"/>
      <c r="H138" s="516"/>
      <c r="I138" s="513"/>
      <c r="J138" s="514"/>
      <c r="K138" s="514"/>
      <c r="L138" s="514"/>
      <c r="M138" s="514"/>
      <c r="N138" s="514"/>
      <c r="O138" s="514"/>
      <c r="P138" s="514"/>
      <c r="Q138" s="514"/>
      <c r="R138" s="514"/>
      <c r="S138" s="514"/>
      <c r="T138" s="514"/>
      <c r="U138" s="514"/>
      <c r="V138" s="514"/>
      <c r="W138" s="514"/>
      <c r="X138" s="514"/>
      <c r="Y138" s="514"/>
      <c r="Z138" s="514"/>
      <c r="AA138" s="514"/>
      <c r="AB138" s="514"/>
      <c r="AC138" s="515"/>
      <c r="AD138" s="10"/>
      <c r="AE138" s="390"/>
    </row>
    <row r="139" hidden="1">
      <c r="A139" s="421"/>
      <c r="B139" s="422"/>
      <c r="C139" s="502"/>
      <c r="D139" s="423"/>
      <c r="E139" s="424"/>
      <c r="F139" s="425"/>
      <c r="G139" s="492"/>
      <c r="H139" s="516"/>
      <c r="I139" s="513"/>
      <c r="J139" s="514"/>
      <c r="K139" s="514"/>
      <c r="L139" s="514"/>
      <c r="M139" s="514"/>
      <c r="N139" s="514"/>
      <c r="O139" s="514"/>
      <c r="P139" s="514"/>
      <c r="Q139" s="514"/>
      <c r="R139" s="514"/>
      <c r="S139" s="514"/>
      <c r="T139" s="514"/>
      <c r="U139" s="514"/>
      <c r="V139" s="514"/>
      <c r="W139" s="514"/>
      <c r="X139" s="514"/>
      <c r="Y139" s="514"/>
      <c r="Z139" s="514"/>
      <c r="AA139" s="514"/>
      <c r="AB139" s="514"/>
      <c r="AC139" s="515"/>
      <c r="AD139" s="10"/>
      <c r="AE139" s="390"/>
    </row>
    <row r="140" hidden="1">
      <c r="A140" s="421"/>
      <c r="B140" s="422"/>
      <c r="C140" s="502"/>
      <c r="D140" s="423"/>
      <c r="E140" s="424"/>
      <c r="F140" s="425"/>
      <c r="G140" s="492"/>
      <c r="H140" s="516"/>
      <c r="I140" s="513"/>
      <c r="J140" s="514"/>
      <c r="K140" s="514"/>
      <c r="L140" s="514"/>
      <c r="M140" s="514"/>
      <c r="N140" s="514"/>
      <c r="O140" s="514"/>
      <c r="P140" s="514"/>
      <c r="Q140" s="514"/>
      <c r="R140" s="514"/>
      <c r="S140" s="514"/>
      <c r="T140" s="514"/>
      <c r="U140" s="514"/>
      <c r="V140" s="514"/>
      <c r="W140" s="514"/>
      <c r="X140" s="514"/>
      <c r="Y140" s="514"/>
      <c r="Z140" s="514"/>
      <c r="AA140" s="514"/>
      <c r="AB140" s="514"/>
      <c r="AC140" s="515"/>
      <c r="AD140" s="10"/>
      <c r="AE140" s="390"/>
    </row>
    <row r="141" hidden="1">
      <c r="A141" s="421"/>
      <c r="B141" s="422"/>
      <c r="C141" s="502"/>
      <c r="D141" s="423"/>
      <c r="E141" s="424"/>
      <c r="F141" s="425"/>
      <c r="G141" s="491"/>
      <c r="H141" s="516"/>
      <c r="I141" s="513"/>
      <c r="J141" s="514"/>
      <c r="K141" s="514"/>
      <c r="L141" s="514"/>
      <c r="M141" s="514"/>
      <c r="N141" s="514"/>
      <c r="O141" s="514"/>
      <c r="P141" s="514"/>
      <c r="Q141" s="514"/>
      <c r="R141" s="514"/>
      <c r="S141" s="514"/>
      <c r="T141" s="514"/>
      <c r="U141" s="514"/>
      <c r="V141" s="514"/>
      <c r="W141" s="514"/>
      <c r="X141" s="514"/>
      <c r="Y141" s="514"/>
      <c r="Z141" s="514"/>
      <c r="AA141" s="514"/>
      <c r="AB141" s="514"/>
      <c r="AC141" s="515"/>
      <c r="AD141" s="10"/>
      <c r="AE141" s="390"/>
    </row>
    <row r="142" hidden="1">
      <c r="A142" s="421"/>
      <c r="B142" s="422"/>
      <c r="C142" s="502"/>
      <c r="D142" s="423"/>
      <c r="E142" s="424"/>
      <c r="F142" s="425"/>
      <c r="G142" s="492"/>
      <c r="H142" s="516"/>
      <c r="I142" s="513"/>
      <c r="J142" s="514"/>
      <c r="K142" s="514"/>
      <c r="L142" s="514"/>
      <c r="M142" s="514"/>
      <c r="N142" s="514"/>
      <c r="O142" s="514"/>
      <c r="P142" s="514"/>
      <c r="Q142" s="514"/>
      <c r="R142" s="514"/>
      <c r="S142" s="514"/>
      <c r="T142" s="514"/>
      <c r="U142" s="514"/>
      <c r="V142" s="514"/>
      <c r="W142" s="514"/>
      <c r="X142" s="514"/>
      <c r="Y142" s="514"/>
      <c r="Z142" s="514"/>
      <c r="AA142" s="514"/>
      <c r="AB142" s="514"/>
      <c r="AC142" s="515"/>
      <c r="AD142" s="10"/>
      <c r="AE142" s="390"/>
    </row>
    <row r="143" hidden="1">
      <c r="A143" s="421"/>
      <c r="B143" s="422"/>
      <c r="C143" s="502"/>
      <c r="D143" s="423"/>
      <c r="E143" s="424"/>
      <c r="F143" s="425"/>
      <c r="G143" s="491"/>
      <c r="H143" s="516"/>
      <c r="I143" s="513"/>
      <c r="J143" s="514"/>
      <c r="K143" s="514"/>
      <c r="L143" s="514"/>
      <c r="M143" s="514"/>
      <c r="N143" s="514"/>
      <c r="O143" s="514"/>
      <c r="P143" s="514"/>
      <c r="Q143" s="514"/>
      <c r="R143" s="514"/>
      <c r="S143" s="514"/>
      <c r="T143" s="514"/>
      <c r="U143" s="514"/>
      <c r="V143" s="514"/>
      <c r="W143" s="514"/>
      <c r="X143" s="514"/>
      <c r="Y143" s="514"/>
      <c r="Z143" s="514"/>
      <c r="AA143" s="514"/>
      <c r="AB143" s="514"/>
      <c r="AC143" s="515"/>
      <c r="AD143" s="10"/>
      <c r="AE143" s="390"/>
    </row>
    <row r="144" hidden="1">
      <c r="A144" s="421"/>
      <c r="B144" s="422"/>
      <c r="C144" s="502"/>
      <c r="D144" s="423"/>
      <c r="E144" s="424"/>
      <c r="F144" s="425"/>
      <c r="G144" s="492"/>
      <c r="H144" s="516"/>
      <c r="I144" s="513"/>
      <c r="J144" s="514"/>
      <c r="K144" s="514"/>
      <c r="L144" s="514"/>
      <c r="M144" s="514"/>
      <c r="N144" s="514"/>
      <c r="O144" s="514"/>
      <c r="P144" s="514"/>
      <c r="Q144" s="514"/>
      <c r="R144" s="514"/>
      <c r="S144" s="514"/>
      <c r="T144" s="514"/>
      <c r="U144" s="514"/>
      <c r="V144" s="514"/>
      <c r="W144" s="514"/>
      <c r="X144" s="514"/>
      <c r="Y144" s="514"/>
      <c r="Z144" s="514"/>
      <c r="AA144" s="514"/>
      <c r="AB144" s="514"/>
      <c r="AC144" s="515"/>
      <c r="AD144" s="10"/>
      <c r="AE144" s="390"/>
    </row>
    <row r="145" hidden="1">
      <c r="A145" s="431"/>
      <c r="B145" s="432"/>
      <c r="C145" s="504"/>
      <c r="D145" s="433"/>
      <c r="E145" s="434"/>
      <c r="F145" s="435"/>
      <c r="G145" s="476"/>
      <c r="H145" s="517"/>
      <c r="I145" s="518"/>
      <c r="J145" s="519"/>
      <c r="K145" s="519"/>
      <c r="L145" s="519"/>
      <c r="M145" s="519"/>
      <c r="N145" s="519"/>
      <c r="O145" s="519"/>
      <c r="P145" s="519"/>
      <c r="Q145" s="519"/>
      <c r="R145" s="519"/>
      <c r="S145" s="519"/>
      <c r="T145" s="519"/>
      <c r="U145" s="519"/>
      <c r="V145" s="519"/>
      <c r="W145" s="519"/>
      <c r="X145" s="519"/>
      <c r="Y145" s="519"/>
      <c r="Z145" s="519"/>
      <c r="AA145" s="519"/>
      <c r="AB145" s="519"/>
      <c r="AC145" s="520"/>
      <c r="AD145" s="10"/>
      <c r="AE145" s="390"/>
    </row>
    <row r="146" hidden="1">
      <c r="A146" s="493"/>
      <c r="B146" s="493"/>
      <c r="C146" s="493"/>
      <c r="D146" s="493"/>
      <c r="E146" s="495"/>
      <c r="F146" s="493"/>
      <c r="G146" s="493"/>
      <c r="H146" s="493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6"/>
      <c r="AE146" s="497"/>
    </row>
    <row r="147" ht="41.25" hidden="1" customHeight="1">
      <c r="A147" s="391"/>
      <c r="B147" s="440"/>
      <c r="C147" s="392"/>
      <c r="D147" s="392"/>
      <c r="E147" s="393"/>
      <c r="F147" s="394"/>
      <c r="G147" s="395"/>
      <c r="H147" s="396"/>
      <c r="I147" s="505"/>
      <c r="J147" s="506"/>
      <c r="K147" s="506"/>
      <c r="L147" s="506"/>
      <c r="M147" s="506"/>
      <c r="N147" s="506"/>
      <c r="O147" s="506"/>
      <c r="P147" s="506"/>
      <c r="Q147" s="506"/>
      <c r="R147" s="506"/>
      <c r="S147" s="506"/>
      <c r="T147" s="506"/>
      <c r="U147" s="506"/>
      <c r="V147" s="506"/>
      <c r="W147" s="506"/>
      <c r="X147" s="506"/>
      <c r="Y147" s="506"/>
      <c r="Z147" s="506"/>
      <c r="AA147" s="506"/>
      <c r="AB147" s="506"/>
      <c r="AC147" s="507"/>
      <c r="AD147" s="400"/>
      <c r="AE147" s="401"/>
    </row>
    <row r="148" hidden="1">
      <c r="A148" s="480"/>
      <c r="B148" s="481"/>
      <c r="C148" s="521"/>
      <c r="D148" s="482"/>
      <c r="E148" s="483"/>
      <c r="F148" s="484"/>
      <c r="G148" s="501"/>
      <c r="H148" s="487"/>
      <c r="I148" s="486"/>
      <c r="J148" s="486"/>
      <c r="K148" s="486"/>
      <c r="L148" s="486"/>
      <c r="M148" s="486"/>
      <c r="N148" s="486"/>
      <c r="O148" s="486"/>
      <c r="P148" s="486"/>
      <c r="Q148" s="486"/>
      <c r="R148" s="486"/>
      <c r="S148" s="486"/>
      <c r="T148" s="486"/>
      <c r="U148" s="486"/>
      <c r="V148" s="486"/>
      <c r="W148" s="486"/>
      <c r="X148" s="486"/>
      <c r="Y148" s="486"/>
      <c r="Z148" s="486"/>
      <c r="AA148" s="486"/>
      <c r="AB148" s="486"/>
      <c r="AC148" s="487"/>
      <c r="AD148" s="488"/>
      <c r="AE148" s="489"/>
    </row>
    <row r="149" hidden="1">
      <c r="A149" s="524"/>
      <c r="B149" s="525"/>
      <c r="C149" s="525"/>
      <c r="D149" s="526"/>
      <c r="E149" s="527"/>
      <c r="F149" s="528"/>
      <c r="G149" s="490"/>
      <c r="H149" s="508"/>
      <c r="I149" s="509"/>
      <c r="J149" s="510"/>
      <c r="K149" s="510"/>
      <c r="L149" s="510"/>
      <c r="M149" s="510"/>
      <c r="N149" s="510"/>
      <c r="O149" s="510"/>
      <c r="P149" s="510"/>
      <c r="Q149" s="510"/>
      <c r="R149" s="510"/>
      <c r="S149" s="510"/>
      <c r="T149" s="510"/>
      <c r="U149" s="510"/>
      <c r="V149" s="510"/>
      <c r="W149" s="510"/>
      <c r="X149" s="510"/>
      <c r="Y149" s="510"/>
      <c r="Z149" s="510"/>
      <c r="AA149" s="510"/>
      <c r="AB149" s="510"/>
      <c r="AC149" s="511"/>
      <c r="AD149" s="10"/>
      <c r="AE149" s="6"/>
    </row>
    <row r="150" hidden="1">
      <c r="A150" s="450"/>
      <c r="B150" s="451"/>
      <c r="C150" s="502"/>
      <c r="D150" s="452"/>
      <c r="E150" s="453"/>
      <c r="F150" s="454"/>
      <c r="G150" s="491"/>
      <c r="H150" s="512"/>
      <c r="I150" s="513"/>
      <c r="J150" s="514"/>
      <c r="K150" s="514"/>
      <c r="L150" s="514"/>
      <c r="M150" s="514"/>
      <c r="N150" s="514"/>
      <c r="O150" s="514"/>
      <c r="P150" s="514"/>
      <c r="Q150" s="514"/>
      <c r="R150" s="514"/>
      <c r="S150" s="514"/>
      <c r="T150" s="514"/>
      <c r="U150" s="514"/>
      <c r="V150" s="514"/>
      <c r="W150" s="514"/>
      <c r="X150" s="514"/>
      <c r="Y150" s="514"/>
      <c r="Z150" s="514"/>
      <c r="AA150" s="514"/>
      <c r="AB150" s="514"/>
      <c r="AC150" s="515"/>
      <c r="AD150" s="10"/>
      <c r="AE150" s="390"/>
    </row>
    <row r="151" hidden="1">
      <c r="A151" s="421"/>
      <c r="B151" s="422"/>
      <c r="C151" s="502"/>
      <c r="D151" s="423"/>
      <c r="E151" s="424"/>
      <c r="F151" s="425"/>
      <c r="G151" s="492"/>
      <c r="H151" s="516"/>
      <c r="I151" s="513"/>
      <c r="J151" s="514"/>
      <c r="K151" s="514"/>
      <c r="L151" s="514"/>
      <c r="M151" s="514"/>
      <c r="N151" s="514"/>
      <c r="O151" s="514"/>
      <c r="P151" s="514"/>
      <c r="Q151" s="514"/>
      <c r="R151" s="514"/>
      <c r="S151" s="514"/>
      <c r="T151" s="514"/>
      <c r="U151" s="514"/>
      <c r="V151" s="514"/>
      <c r="W151" s="514"/>
      <c r="X151" s="514"/>
      <c r="Y151" s="514"/>
      <c r="Z151" s="514"/>
      <c r="AA151" s="514"/>
      <c r="AB151" s="514"/>
      <c r="AC151" s="515"/>
      <c r="AD151" s="10"/>
      <c r="AE151" s="390"/>
    </row>
    <row r="152" hidden="1">
      <c r="A152" s="421"/>
      <c r="B152" s="422"/>
      <c r="C152" s="502"/>
      <c r="D152" s="423"/>
      <c r="E152" s="424"/>
      <c r="F152" s="425"/>
      <c r="G152" s="492"/>
      <c r="H152" s="516"/>
      <c r="I152" s="513"/>
      <c r="J152" s="514"/>
      <c r="K152" s="514"/>
      <c r="L152" s="514"/>
      <c r="M152" s="514"/>
      <c r="N152" s="514"/>
      <c r="O152" s="514"/>
      <c r="P152" s="514"/>
      <c r="Q152" s="514"/>
      <c r="R152" s="514"/>
      <c r="S152" s="514"/>
      <c r="T152" s="514"/>
      <c r="U152" s="514"/>
      <c r="V152" s="514"/>
      <c r="W152" s="514"/>
      <c r="X152" s="514"/>
      <c r="Y152" s="514"/>
      <c r="Z152" s="514"/>
      <c r="AA152" s="514"/>
      <c r="AB152" s="514"/>
      <c r="AC152" s="515"/>
      <c r="AD152" s="10"/>
      <c r="AE152" s="390"/>
    </row>
    <row r="153" hidden="1">
      <c r="A153" s="421"/>
      <c r="B153" s="422"/>
      <c r="C153" s="502"/>
      <c r="D153" s="423"/>
      <c r="E153" s="424"/>
      <c r="F153" s="425"/>
      <c r="G153" s="491"/>
      <c r="H153" s="516"/>
      <c r="I153" s="513"/>
      <c r="J153" s="514"/>
      <c r="K153" s="514"/>
      <c r="L153" s="514"/>
      <c r="M153" s="514"/>
      <c r="N153" s="514"/>
      <c r="O153" s="514"/>
      <c r="P153" s="514"/>
      <c r="Q153" s="514"/>
      <c r="R153" s="514"/>
      <c r="S153" s="514"/>
      <c r="T153" s="514"/>
      <c r="U153" s="514"/>
      <c r="V153" s="514"/>
      <c r="W153" s="514"/>
      <c r="X153" s="514"/>
      <c r="Y153" s="514"/>
      <c r="Z153" s="514"/>
      <c r="AA153" s="514"/>
      <c r="AB153" s="514"/>
      <c r="AC153" s="515"/>
      <c r="AD153" s="10"/>
      <c r="AE153" s="390"/>
    </row>
    <row r="154" hidden="1">
      <c r="A154" s="421"/>
      <c r="B154" s="422"/>
      <c r="C154" s="502"/>
      <c r="D154" s="423"/>
      <c r="E154" s="424"/>
      <c r="F154" s="425"/>
      <c r="G154" s="492"/>
      <c r="H154" s="516"/>
      <c r="I154" s="513"/>
      <c r="J154" s="514"/>
      <c r="K154" s="514"/>
      <c r="L154" s="514"/>
      <c r="M154" s="514"/>
      <c r="N154" s="514"/>
      <c r="O154" s="514"/>
      <c r="P154" s="514"/>
      <c r="Q154" s="514"/>
      <c r="R154" s="514"/>
      <c r="S154" s="514"/>
      <c r="T154" s="514"/>
      <c r="U154" s="514"/>
      <c r="V154" s="514"/>
      <c r="W154" s="514"/>
      <c r="X154" s="514"/>
      <c r="Y154" s="514"/>
      <c r="Z154" s="514"/>
      <c r="AA154" s="514"/>
      <c r="AB154" s="514"/>
      <c r="AC154" s="515"/>
      <c r="AD154" s="10"/>
      <c r="AE154" s="390"/>
    </row>
    <row r="155" hidden="1">
      <c r="A155" s="421"/>
      <c r="B155" s="422"/>
      <c r="C155" s="502"/>
      <c r="D155" s="423"/>
      <c r="E155" s="424"/>
      <c r="F155" s="425"/>
      <c r="G155" s="491"/>
      <c r="H155" s="516"/>
      <c r="I155" s="513"/>
      <c r="J155" s="514"/>
      <c r="K155" s="514"/>
      <c r="L155" s="514"/>
      <c r="M155" s="514"/>
      <c r="N155" s="514"/>
      <c r="O155" s="514"/>
      <c r="P155" s="514"/>
      <c r="Q155" s="514"/>
      <c r="R155" s="514"/>
      <c r="S155" s="514"/>
      <c r="T155" s="514"/>
      <c r="U155" s="514"/>
      <c r="V155" s="514"/>
      <c r="W155" s="514"/>
      <c r="X155" s="514"/>
      <c r="Y155" s="514"/>
      <c r="Z155" s="514"/>
      <c r="AA155" s="514"/>
      <c r="AB155" s="514"/>
      <c r="AC155" s="515"/>
      <c r="AD155" s="10"/>
      <c r="AE155" s="390"/>
    </row>
    <row r="156" hidden="1">
      <c r="A156" s="421"/>
      <c r="B156" s="422"/>
      <c r="C156" s="502"/>
      <c r="D156" s="423"/>
      <c r="E156" s="424"/>
      <c r="F156" s="425"/>
      <c r="G156" s="492"/>
      <c r="H156" s="516"/>
      <c r="I156" s="513"/>
      <c r="J156" s="514"/>
      <c r="K156" s="514"/>
      <c r="L156" s="514"/>
      <c r="M156" s="514"/>
      <c r="N156" s="514"/>
      <c r="O156" s="514"/>
      <c r="P156" s="514"/>
      <c r="Q156" s="514"/>
      <c r="R156" s="514"/>
      <c r="S156" s="514"/>
      <c r="T156" s="514"/>
      <c r="U156" s="514"/>
      <c r="V156" s="514"/>
      <c r="W156" s="514"/>
      <c r="X156" s="514"/>
      <c r="Y156" s="514"/>
      <c r="Z156" s="514"/>
      <c r="AA156" s="514"/>
      <c r="AB156" s="514"/>
      <c r="AC156" s="515"/>
      <c r="AD156" s="10"/>
      <c r="AE156" s="390"/>
    </row>
    <row r="157" hidden="1">
      <c r="A157" s="431"/>
      <c r="B157" s="432"/>
      <c r="C157" s="504"/>
      <c r="D157" s="433"/>
      <c r="E157" s="434"/>
      <c r="F157" s="435"/>
      <c r="G157" s="476"/>
      <c r="H157" s="517"/>
      <c r="I157" s="518"/>
      <c r="J157" s="519"/>
      <c r="K157" s="519"/>
      <c r="L157" s="519"/>
      <c r="M157" s="519"/>
      <c r="N157" s="519"/>
      <c r="O157" s="519"/>
      <c r="P157" s="519"/>
      <c r="Q157" s="519"/>
      <c r="R157" s="519"/>
      <c r="S157" s="519"/>
      <c r="T157" s="519"/>
      <c r="U157" s="519"/>
      <c r="V157" s="519"/>
      <c r="W157" s="519"/>
      <c r="X157" s="519"/>
      <c r="Y157" s="519"/>
      <c r="Z157" s="519"/>
      <c r="AA157" s="519"/>
      <c r="AB157" s="519"/>
      <c r="AC157" s="520"/>
      <c r="AD157" s="10"/>
      <c r="AE157" s="390"/>
    </row>
    <row r="158" hidden="1">
      <c r="A158" s="529"/>
      <c r="B158" s="529"/>
      <c r="C158" s="529"/>
      <c r="D158" s="529"/>
      <c r="E158" s="530"/>
      <c r="F158" s="529"/>
      <c r="G158" s="529"/>
      <c r="H158" s="529"/>
      <c r="I158" s="531"/>
      <c r="J158" s="531"/>
      <c r="K158" s="531"/>
      <c r="L158" s="531"/>
      <c r="M158" s="531"/>
      <c r="N158" s="531"/>
      <c r="O158" s="531"/>
      <c r="P158" s="531"/>
      <c r="Q158" s="531"/>
      <c r="R158" s="531"/>
      <c r="S158" s="531"/>
      <c r="T158" s="531"/>
      <c r="U158" s="531"/>
      <c r="V158" s="531"/>
      <c r="W158" s="531"/>
      <c r="X158" s="531"/>
      <c r="Y158" s="531"/>
      <c r="Z158" s="531"/>
      <c r="AA158" s="531"/>
      <c r="AB158" s="531"/>
      <c r="AC158" s="531"/>
      <c r="AD158" s="496"/>
      <c r="AE158" s="497"/>
    </row>
    <row r="159" hidden="1">
      <c r="A159" s="496"/>
      <c r="B159" s="496"/>
      <c r="C159" s="496"/>
      <c r="D159" s="496"/>
      <c r="E159" s="532"/>
      <c r="F159" s="496"/>
      <c r="G159" s="496"/>
      <c r="H159" s="496"/>
      <c r="I159" s="496"/>
      <c r="J159" s="496"/>
      <c r="K159" s="496"/>
      <c r="L159" s="496"/>
      <c r="M159" s="496"/>
      <c r="N159" s="496"/>
      <c r="O159" s="496"/>
      <c r="P159" s="496"/>
      <c r="Q159" s="496"/>
      <c r="R159" s="496"/>
      <c r="S159" s="496"/>
      <c r="T159" s="496"/>
      <c r="U159" s="496"/>
      <c r="V159" s="496"/>
      <c r="W159" s="496"/>
      <c r="X159" s="496"/>
      <c r="Y159" s="496"/>
      <c r="Z159" s="496"/>
      <c r="AA159" s="496"/>
      <c r="AB159" s="496"/>
      <c r="AC159" s="496"/>
      <c r="AD159" s="496"/>
      <c r="AE159" s="497"/>
    </row>
    <row r="160">
      <c r="A160" s="496"/>
      <c r="B160" s="496"/>
      <c r="C160" s="496"/>
      <c r="D160" s="496"/>
      <c r="E160" s="532"/>
      <c r="F160" s="496"/>
      <c r="G160" s="496"/>
      <c r="H160" s="496"/>
      <c r="I160" s="496"/>
      <c r="J160" s="496"/>
      <c r="K160" s="496"/>
      <c r="L160" s="496"/>
      <c r="M160" s="496"/>
      <c r="N160" s="496"/>
      <c r="O160" s="496"/>
      <c r="P160" s="496"/>
      <c r="Q160" s="496"/>
      <c r="R160" s="496"/>
      <c r="S160" s="496"/>
      <c r="T160" s="496"/>
      <c r="U160" s="496"/>
      <c r="V160" s="496"/>
      <c r="W160" s="496"/>
      <c r="X160" s="496"/>
      <c r="Y160" s="496"/>
      <c r="Z160" s="496"/>
      <c r="AA160" s="496"/>
      <c r="AB160" s="496"/>
      <c r="AC160" s="496"/>
      <c r="AD160" s="496"/>
      <c r="AE160" s="497"/>
    </row>
    <row r="161">
      <c r="A161" s="496"/>
      <c r="B161" s="496"/>
      <c r="C161" s="496"/>
      <c r="D161" s="496"/>
      <c r="E161" s="532"/>
      <c r="F161" s="496"/>
      <c r="G161" s="496"/>
      <c r="H161" s="496"/>
      <c r="I161" s="496"/>
      <c r="J161" s="496"/>
      <c r="K161" s="496"/>
      <c r="L161" s="496"/>
      <c r="M161" s="496"/>
      <c r="N161" s="496"/>
      <c r="O161" s="496"/>
      <c r="P161" s="496"/>
      <c r="Q161" s="496"/>
      <c r="R161" s="496"/>
      <c r="S161" s="496"/>
      <c r="T161" s="496"/>
      <c r="U161" s="496"/>
      <c r="V161" s="496"/>
      <c r="W161" s="496"/>
      <c r="X161" s="496"/>
      <c r="Y161" s="496"/>
      <c r="Z161" s="496"/>
      <c r="AA161" s="496"/>
      <c r="AB161" s="496"/>
      <c r="AC161" s="496"/>
      <c r="AD161" s="496"/>
      <c r="AE161" s="497"/>
    </row>
  </sheetData>
  <mergeCells count="2">
    <mergeCell ref="I1:K1"/>
    <mergeCell ref="A1:E1"/>
  </mergeCells>
  <conditionalFormatting sqref="H5:H13">
    <cfRule type="colorScale" priority="1">
      <colorScale>
        <cfvo type="min"/>
        <cfvo type="max"/>
        <color rgb="FFFFFFFF"/>
        <color rgb="FF57BB8A"/>
      </colorScale>
    </cfRule>
  </conditionalFormatting>
  <conditionalFormatting sqref="I5:I13">
    <cfRule type="colorScale" priority="2">
      <colorScale>
        <cfvo type="min"/>
        <cfvo type="max"/>
        <color rgb="FFFFFFFF"/>
        <color rgb="FF57BB8A"/>
      </colorScale>
    </cfRule>
  </conditionalFormatting>
  <conditionalFormatting sqref="J5:J13">
    <cfRule type="colorScale" priority="3">
      <colorScale>
        <cfvo type="min"/>
        <cfvo type="max"/>
        <color rgb="FFFFFFFF"/>
        <color rgb="FF57BB8A"/>
      </colorScale>
    </cfRule>
  </conditionalFormatting>
  <conditionalFormatting sqref="K5:K13">
    <cfRule type="colorScale" priority="4">
      <colorScale>
        <cfvo type="min"/>
        <cfvo type="max"/>
        <color rgb="FFFFFFFF"/>
        <color rgb="FF57BB8A"/>
      </colorScale>
    </cfRule>
  </conditionalFormatting>
  <conditionalFormatting sqref="L5:L13">
    <cfRule type="colorScale" priority="5">
      <colorScale>
        <cfvo type="min"/>
        <cfvo type="max"/>
        <color rgb="FFFFFFFF"/>
        <color rgb="FF57BB8A"/>
      </colorScale>
    </cfRule>
  </conditionalFormatting>
  <conditionalFormatting sqref="M5:M13">
    <cfRule type="colorScale" priority="6">
      <colorScale>
        <cfvo type="min"/>
        <cfvo type="max"/>
        <color rgb="FFFFFFFF"/>
        <color rgb="FF57BB8A"/>
      </colorScale>
    </cfRule>
  </conditionalFormatting>
  <conditionalFormatting sqref="N5:N13">
    <cfRule type="colorScale" priority="7">
      <colorScale>
        <cfvo type="min"/>
        <cfvo type="max"/>
        <color rgb="FFFFFFFF"/>
        <color rgb="FF57BB8A"/>
      </colorScale>
    </cfRule>
  </conditionalFormatting>
  <conditionalFormatting sqref="O5:O13">
    <cfRule type="colorScale" priority="8">
      <colorScale>
        <cfvo type="min"/>
        <cfvo type="max"/>
        <color rgb="FFFFFFFF"/>
        <color rgb="FF57BB8A"/>
      </colorScale>
    </cfRule>
  </conditionalFormatting>
  <conditionalFormatting sqref="P5:P13">
    <cfRule type="colorScale" priority="9">
      <colorScale>
        <cfvo type="min"/>
        <cfvo type="max"/>
        <color rgb="FFFFFFFF"/>
        <color rgb="FF57BB8A"/>
      </colorScale>
    </cfRule>
  </conditionalFormatting>
  <conditionalFormatting sqref="Q5:Q13">
    <cfRule type="colorScale" priority="10">
      <colorScale>
        <cfvo type="min"/>
        <cfvo type="max"/>
        <color rgb="FFFFFFFF"/>
        <color rgb="FF57BB8A"/>
      </colorScale>
    </cfRule>
  </conditionalFormatting>
  <conditionalFormatting sqref="R5:R13">
    <cfRule type="colorScale" priority="11">
      <colorScale>
        <cfvo type="min"/>
        <cfvo type="max"/>
        <color rgb="FFFFFFFF"/>
        <color rgb="FF57BB8A"/>
      </colorScale>
    </cfRule>
  </conditionalFormatting>
  <conditionalFormatting sqref="S5:S13">
    <cfRule type="colorScale" priority="12">
      <colorScale>
        <cfvo type="min"/>
        <cfvo type="max"/>
        <color rgb="FFFFFFFF"/>
        <color rgb="FF57BB8A"/>
      </colorScale>
    </cfRule>
  </conditionalFormatting>
  <conditionalFormatting sqref="T5:T13">
    <cfRule type="colorScale" priority="13">
      <colorScale>
        <cfvo type="min"/>
        <cfvo type="max"/>
        <color rgb="FFFFFFFF"/>
        <color rgb="FF57BB8A"/>
      </colorScale>
    </cfRule>
  </conditionalFormatting>
  <conditionalFormatting sqref="U5:U13">
    <cfRule type="colorScale" priority="14">
      <colorScale>
        <cfvo type="min"/>
        <cfvo type="max"/>
        <color rgb="FFFFFFFF"/>
        <color rgb="FF57BB8A"/>
      </colorScale>
    </cfRule>
  </conditionalFormatting>
  <conditionalFormatting sqref="V5:V13">
    <cfRule type="colorScale" priority="15">
      <colorScale>
        <cfvo type="min"/>
        <cfvo type="max"/>
        <color rgb="FFFFFFFF"/>
        <color rgb="FF57BB8A"/>
      </colorScale>
    </cfRule>
  </conditionalFormatting>
  <conditionalFormatting sqref="W5:W13">
    <cfRule type="colorScale" priority="16">
      <colorScale>
        <cfvo type="min"/>
        <cfvo type="max"/>
        <color rgb="FFFFFFFF"/>
        <color rgb="FF57BB8A"/>
      </colorScale>
    </cfRule>
  </conditionalFormatting>
  <conditionalFormatting sqref="X5:X13">
    <cfRule type="colorScale" priority="17">
      <colorScale>
        <cfvo type="min"/>
        <cfvo type="max"/>
        <color rgb="FFFFFFFF"/>
        <color rgb="FF57BB8A"/>
      </colorScale>
    </cfRule>
  </conditionalFormatting>
  <conditionalFormatting sqref="Y5:Y13">
    <cfRule type="colorScale" priority="18">
      <colorScale>
        <cfvo type="min"/>
        <cfvo type="max"/>
        <color rgb="FFFFFFFF"/>
        <color rgb="FF57BB8A"/>
      </colorScale>
    </cfRule>
  </conditionalFormatting>
  <conditionalFormatting sqref="Z5:Z13">
    <cfRule type="colorScale" priority="19">
      <colorScale>
        <cfvo type="min"/>
        <cfvo type="max"/>
        <color rgb="FFFFFFFF"/>
        <color rgb="FF57BB8A"/>
      </colorScale>
    </cfRule>
  </conditionalFormatting>
  <conditionalFormatting sqref="AA5:AA13">
    <cfRule type="colorScale" priority="20">
      <colorScale>
        <cfvo type="min"/>
        <cfvo type="max"/>
        <color rgb="FFFFFFFF"/>
        <color rgb="FF57BB8A"/>
      </colorScale>
    </cfRule>
  </conditionalFormatting>
  <conditionalFormatting sqref="AB5:AB13">
    <cfRule type="colorScale" priority="21">
      <colorScale>
        <cfvo type="min"/>
        <cfvo type="max"/>
        <color rgb="FFFFFFFF"/>
        <color rgb="FF57BB8A"/>
      </colorScale>
    </cfRule>
  </conditionalFormatting>
  <conditionalFormatting sqref="AC5:AC13">
    <cfRule type="colorScale" priority="22">
      <colorScale>
        <cfvo type="min"/>
        <cfvo type="max"/>
        <color rgb="FFFFFFFF"/>
        <color rgb="FF57BB8A"/>
      </colorScale>
    </cfRule>
  </conditionalFormatting>
  <conditionalFormatting sqref="H17:H25">
    <cfRule type="colorScale" priority="23">
      <colorScale>
        <cfvo type="min"/>
        <cfvo type="max"/>
        <color rgb="FFFFFFFF"/>
        <color rgb="FFFFD666"/>
      </colorScale>
    </cfRule>
  </conditionalFormatting>
  <conditionalFormatting sqref="I17:I25">
    <cfRule type="colorScale" priority="24">
      <colorScale>
        <cfvo type="min"/>
        <cfvo type="max"/>
        <color rgb="FFFFFFFF"/>
        <color rgb="FFFFD666"/>
      </colorScale>
    </cfRule>
  </conditionalFormatting>
  <conditionalFormatting sqref="J17:J25">
    <cfRule type="colorScale" priority="25">
      <colorScale>
        <cfvo type="min"/>
        <cfvo type="max"/>
        <color rgb="FFFFFFFF"/>
        <color rgb="FFFFD666"/>
      </colorScale>
    </cfRule>
  </conditionalFormatting>
  <conditionalFormatting sqref="K17:K25">
    <cfRule type="colorScale" priority="26">
      <colorScale>
        <cfvo type="min"/>
        <cfvo type="max"/>
        <color rgb="FFFFFFFF"/>
        <color rgb="FFFFD666"/>
      </colorScale>
    </cfRule>
  </conditionalFormatting>
  <conditionalFormatting sqref="L17:L25">
    <cfRule type="colorScale" priority="27">
      <colorScale>
        <cfvo type="min"/>
        <cfvo type="max"/>
        <color rgb="FFFFFFFF"/>
        <color rgb="FFFFD666"/>
      </colorScale>
    </cfRule>
  </conditionalFormatting>
  <conditionalFormatting sqref="M17:M25">
    <cfRule type="colorScale" priority="28">
      <colorScale>
        <cfvo type="min"/>
        <cfvo type="max"/>
        <color rgb="FFFFFFFF"/>
        <color rgb="FFFFD666"/>
      </colorScale>
    </cfRule>
  </conditionalFormatting>
  <conditionalFormatting sqref="N17:N25">
    <cfRule type="colorScale" priority="29">
      <colorScale>
        <cfvo type="min"/>
        <cfvo type="max"/>
        <color rgb="FFFFFFFF"/>
        <color rgb="FFFFD666"/>
      </colorScale>
    </cfRule>
  </conditionalFormatting>
  <conditionalFormatting sqref="O17:O25">
    <cfRule type="colorScale" priority="30">
      <colorScale>
        <cfvo type="min"/>
        <cfvo type="max"/>
        <color rgb="FFFFFFFF"/>
        <color rgb="FFFFD666"/>
      </colorScale>
    </cfRule>
  </conditionalFormatting>
  <conditionalFormatting sqref="P17:P25">
    <cfRule type="colorScale" priority="31">
      <colorScale>
        <cfvo type="min"/>
        <cfvo type="max"/>
        <color rgb="FFFFFFFF"/>
        <color rgb="FFFFD666"/>
      </colorScale>
    </cfRule>
  </conditionalFormatting>
  <conditionalFormatting sqref="Q17:Q25">
    <cfRule type="colorScale" priority="32">
      <colorScale>
        <cfvo type="min"/>
        <cfvo type="max"/>
        <color rgb="FFFFFFFF"/>
        <color rgb="FFFFD666"/>
      </colorScale>
    </cfRule>
  </conditionalFormatting>
  <conditionalFormatting sqref="R17:R25">
    <cfRule type="colorScale" priority="33">
      <colorScale>
        <cfvo type="min"/>
        <cfvo type="max"/>
        <color rgb="FFFFFFFF"/>
        <color rgb="FFFFD666"/>
      </colorScale>
    </cfRule>
  </conditionalFormatting>
  <conditionalFormatting sqref="S17:S25">
    <cfRule type="colorScale" priority="34">
      <colorScale>
        <cfvo type="min"/>
        <cfvo type="max"/>
        <color rgb="FFFFFFFF"/>
        <color rgb="FFFFD666"/>
      </colorScale>
    </cfRule>
  </conditionalFormatting>
  <conditionalFormatting sqref="T17:T25">
    <cfRule type="colorScale" priority="35">
      <colorScale>
        <cfvo type="min"/>
        <cfvo type="max"/>
        <color rgb="FFFFFFFF"/>
        <color rgb="FFFFD666"/>
      </colorScale>
    </cfRule>
  </conditionalFormatting>
  <conditionalFormatting sqref="U17:U25">
    <cfRule type="colorScale" priority="36">
      <colorScale>
        <cfvo type="min"/>
        <cfvo type="max"/>
        <color rgb="FFFFFFFF"/>
        <color rgb="FFFFD666"/>
      </colorScale>
    </cfRule>
  </conditionalFormatting>
  <conditionalFormatting sqref="V17:V25">
    <cfRule type="colorScale" priority="37">
      <colorScale>
        <cfvo type="min"/>
        <cfvo type="max"/>
        <color rgb="FFFFFFFF"/>
        <color rgb="FFFFD666"/>
      </colorScale>
    </cfRule>
  </conditionalFormatting>
  <conditionalFormatting sqref="W17:W25">
    <cfRule type="colorScale" priority="38">
      <colorScale>
        <cfvo type="min"/>
        <cfvo type="max"/>
        <color rgb="FFFFFFFF"/>
        <color rgb="FFFFD666"/>
      </colorScale>
    </cfRule>
  </conditionalFormatting>
  <conditionalFormatting sqref="X17:X25">
    <cfRule type="colorScale" priority="39">
      <colorScale>
        <cfvo type="min"/>
        <cfvo type="max"/>
        <color rgb="FFFFFFFF"/>
        <color rgb="FFFFD666"/>
      </colorScale>
    </cfRule>
  </conditionalFormatting>
  <conditionalFormatting sqref="Y17:Y25">
    <cfRule type="colorScale" priority="40">
      <colorScale>
        <cfvo type="min"/>
        <cfvo type="max"/>
        <color rgb="FFFFFFFF"/>
        <color rgb="FFFFD666"/>
      </colorScale>
    </cfRule>
  </conditionalFormatting>
  <conditionalFormatting sqref="Z17:Z25">
    <cfRule type="colorScale" priority="41">
      <colorScale>
        <cfvo type="min"/>
        <cfvo type="max"/>
        <color rgb="FFFFFFFF"/>
        <color rgb="FFFFD666"/>
      </colorScale>
    </cfRule>
  </conditionalFormatting>
  <conditionalFormatting sqref="AA17:AA25">
    <cfRule type="colorScale" priority="42">
      <colorScale>
        <cfvo type="min"/>
        <cfvo type="max"/>
        <color rgb="FFFFFFFF"/>
        <color rgb="FFFFD666"/>
      </colorScale>
    </cfRule>
  </conditionalFormatting>
  <conditionalFormatting sqref="AB17:AB25">
    <cfRule type="colorScale" priority="43">
      <colorScale>
        <cfvo type="min"/>
        <cfvo type="max"/>
        <color rgb="FFFFFFFF"/>
        <color rgb="FFFFD666"/>
      </colorScale>
    </cfRule>
  </conditionalFormatting>
  <conditionalFormatting sqref="AC17:AC25">
    <cfRule type="colorScale" priority="44">
      <colorScale>
        <cfvo type="min"/>
        <cfvo type="max"/>
        <color rgb="FFFFFFFF"/>
        <color rgb="FFFFD666"/>
      </colorScale>
    </cfRule>
  </conditionalFormatting>
  <conditionalFormatting sqref="H29:H37">
    <cfRule type="colorScale" priority="45">
      <colorScale>
        <cfvo type="min"/>
        <cfvo type="max"/>
        <color rgb="FFFFFFFF"/>
        <color rgb="FF57BB8A"/>
      </colorScale>
    </cfRule>
  </conditionalFormatting>
  <conditionalFormatting sqref="I29:I37">
    <cfRule type="colorScale" priority="46">
      <colorScale>
        <cfvo type="min"/>
        <cfvo type="max"/>
        <color rgb="FFFFFFFF"/>
        <color rgb="FF57BB8A"/>
      </colorScale>
    </cfRule>
  </conditionalFormatting>
  <conditionalFormatting sqref="J29:J37">
    <cfRule type="colorScale" priority="47">
      <colorScale>
        <cfvo type="min"/>
        <cfvo type="max"/>
        <color rgb="FFFFFFFF"/>
        <color rgb="FF57BB8A"/>
      </colorScale>
    </cfRule>
  </conditionalFormatting>
  <conditionalFormatting sqref="K29:K37">
    <cfRule type="colorScale" priority="48">
      <colorScale>
        <cfvo type="min"/>
        <cfvo type="max"/>
        <color rgb="FFFFFFFF"/>
        <color rgb="FF57BB8A"/>
      </colorScale>
    </cfRule>
  </conditionalFormatting>
  <conditionalFormatting sqref="L29:L37">
    <cfRule type="colorScale" priority="49">
      <colorScale>
        <cfvo type="min"/>
        <cfvo type="max"/>
        <color rgb="FFFFFFFF"/>
        <color rgb="FF57BB8A"/>
      </colorScale>
    </cfRule>
  </conditionalFormatting>
  <conditionalFormatting sqref="M29:M37">
    <cfRule type="colorScale" priority="50">
      <colorScale>
        <cfvo type="min"/>
        <cfvo type="max"/>
        <color rgb="FFFFFFFF"/>
        <color rgb="FF57BB8A"/>
      </colorScale>
    </cfRule>
  </conditionalFormatting>
  <conditionalFormatting sqref="N29:N37">
    <cfRule type="colorScale" priority="51">
      <colorScale>
        <cfvo type="min"/>
        <cfvo type="max"/>
        <color rgb="FFFFFFFF"/>
        <color rgb="FF57BB8A"/>
      </colorScale>
    </cfRule>
  </conditionalFormatting>
  <conditionalFormatting sqref="O29:O37">
    <cfRule type="colorScale" priority="52">
      <colorScale>
        <cfvo type="min"/>
        <cfvo type="max"/>
        <color rgb="FFFFFFFF"/>
        <color rgb="FF57BB8A"/>
      </colorScale>
    </cfRule>
  </conditionalFormatting>
  <conditionalFormatting sqref="P29:P37">
    <cfRule type="colorScale" priority="53">
      <colorScale>
        <cfvo type="min"/>
        <cfvo type="max"/>
        <color rgb="FFFFFFFF"/>
        <color rgb="FF57BB8A"/>
      </colorScale>
    </cfRule>
  </conditionalFormatting>
  <conditionalFormatting sqref="Q29:Q37">
    <cfRule type="colorScale" priority="54">
      <colorScale>
        <cfvo type="min"/>
        <cfvo type="max"/>
        <color rgb="FFFFFFFF"/>
        <color rgb="FF57BB8A"/>
      </colorScale>
    </cfRule>
  </conditionalFormatting>
  <conditionalFormatting sqref="R29:R37">
    <cfRule type="colorScale" priority="55">
      <colorScale>
        <cfvo type="min"/>
        <cfvo type="max"/>
        <color rgb="FFFFFFFF"/>
        <color rgb="FF57BB8A"/>
      </colorScale>
    </cfRule>
  </conditionalFormatting>
  <conditionalFormatting sqref="S29:S37">
    <cfRule type="colorScale" priority="56">
      <colorScale>
        <cfvo type="min"/>
        <cfvo type="max"/>
        <color rgb="FFFFFFFF"/>
        <color rgb="FF57BB8A"/>
      </colorScale>
    </cfRule>
  </conditionalFormatting>
  <conditionalFormatting sqref="T29:T37">
    <cfRule type="colorScale" priority="57">
      <colorScale>
        <cfvo type="min"/>
        <cfvo type="max"/>
        <color rgb="FFFFFFFF"/>
        <color rgb="FF57BB8A"/>
      </colorScale>
    </cfRule>
  </conditionalFormatting>
  <conditionalFormatting sqref="U29:U37">
    <cfRule type="colorScale" priority="58">
      <colorScale>
        <cfvo type="min"/>
        <cfvo type="max"/>
        <color rgb="FFFFFFFF"/>
        <color rgb="FF57BB8A"/>
      </colorScale>
    </cfRule>
  </conditionalFormatting>
  <conditionalFormatting sqref="V29:V37">
    <cfRule type="colorScale" priority="59">
      <colorScale>
        <cfvo type="min"/>
        <cfvo type="max"/>
        <color rgb="FFFFFFFF"/>
        <color rgb="FF57BB8A"/>
      </colorScale>
    </cfRule>
  </conditionalFormatting>
  <conditionalFormatting sqref="W29:W37">
    <cfRule type="colorScale" priority="60">
      <colorScale>
        <cfvo type="min"/>
        <cfvo type="max"/>
        <color rgb="FFFFFFFF"/>
        <color rgb="FF57BB8A"/>
      </colorScale>
    </cfRule>
  </conditionalFormatting>
  <conditionalFormatting sqref="X29:X37">
    <cfRule type="colorScale" priority="61">
      <colorScale>
        <cfvo type="min"/>
        <cfvo type="max"/>
        <color rgb="FFFFFFFF"/>
        <color rgb="FF57BB8A"/>
      </colorScale>
    </cfRule>
  </conditionalFormatting>
  <conditionalFormatting sqref="Y29:Y37">
    <cfRule type="colorScale" priority="62">
      <colorScale>
        <cfvo type="min"/>
        <cfvo type="max"/>
        <color rgb="FFFFFFFF"/>
        <color rgb="FF57BB8A"/>
      </colorScale>
    </cfRule>
  </conditionalFormatting>
  <conditionalFormatting sqref="Z29:Z37">
    <cfRule type="colorScale" priority="63">
      <colorScale>
        <cfvo type="min"/>
        <cfvo type="max"/>
        <color rgb="FFFFFFFF"/>
        <color rgb="FF57BB8A"/>
      </colorScale>
    </cfRule>
  </conditionalFormatting>
  <conditionalFormatting sqref="AA29:AA37">
    <cfRule type="colorScale" priority="64">
      <colorScale>
        <cfvo type="min"/>
        <cfvo type="max"/>
        <color rgb="FFFFFFFF"/>
        <color rgb="FF57BB8A"/>
      </colorScale>
    </cfRule>
  </conditionalFormatting>
  <conditionalFormatting sqref="AB29:AB37">
    <cfRule type="colorScale" priority="65">
      <colorScale>
        <cfvo type="min"/>
        <cfvo type="max"/>
        <color rgb="FFFFFFFF"/>
        <color rgb="FF57BB8A"/>
      </colorScale>
    </cfRule>
  </conditionalFormatting>
  <conditionalFormatting sqref="AC29:AC37">
    <cfRule type="colorScale" priority="66">
      <colorScale>
        <cfvo type="min"/>
        <cfvo type="max"/>
        <color rgb="FFFFFFFF"/>
        <color rgb="FF57BB8A"/>
      </colorScale>
    </cfRule>
  </conditionalFormatting>
  <conditionalFormatting sqref="H41:H49">
    <cfRule type="colorScale" priority="67">
      <colorScale>
        <cfvo type="min"/>
        <cfvo type="max"/>
        <color rgb="FFFFFFFF"/>
        <color rgb="FFFFD666"/>
      </colorScale>
    </cfRule>
  </conditionalFormatting>
  <conditionalFormatting sqref="I41:I49">
    <cfRule type="colorScale" priority="68">
      <colorScale>
        <cfvo type="min"/>
        <cfvo type="max"/>
        <color rgb="FFFFFFFF"/>
        <color rgb="FFFFD666"/>
      </colorScale>
    </cfRule>
  </conditionalFormatting>
  <conditionalFormatting sqref="J41:J49">
    <cfRule type="colorScale" priority="69">
      <colorScale>
        <cfvo type="min"/>
        <cfvo type="max"/>
        <color rgb="FFFFFFFF"/>
        <color rgb="FFFFD666"/>
      </colorScale>
    </cfRule>
  </conditionalFormatting>
  <conditionalFormatting sqref="K41:K49">
    <cfRule type="colorScale" priority="70">
      <colorScale>
        <cfvo type="min"/>
        <cfvo type="max"/>
        <color rgb="FFFFFFFF"/>
        <color rgb="FFFFD666"/>
      </colorScale>
    </cfRule>
  </conditionalFormatting>
  <conditionalFormatting sqref="L41:L49">
    <cfRule type="colorScale" priority="71">
      <colorScale>
        <cfvo type="min"/>
        <cfvo type="max"/>
        <color rgb="FFFFFFFF"/>
        <color rgb="FFFFD666"/>
      </colorScale>
    </cfRule>
  </conditionalFormatting>
  <conditionalFormatting sqref="M41:M49">
    <cfRule type="colorScale" priority="72">
      <colorScale>
        <cfvo type="min"/>
        <cfvo type="max"/>
        <color rgb="FFFFFFFF"/>
        <color rgb="FFFFD666"/>
      </colorScale>
    </cfRule>
  </conditionalFormatting>
  <conditionalFormatting sqref="N41:N49">
    <cfRule type="colorScale" priority="73">
      <colorScale>
        <cfvo type="min"/>
        <cfvo type="max"/>
        <color rgb="FFFFFFFF"/>
        <color rgb="FFFFD666"/>
      </colorScale>
    </cfRule>
  </conditionalFormatting>
  <conditionalFormatting sqref="O41:O49">
    <cfRule type="colorScale" priority="74">
      <colorScale>
        <cfvo type="min"/>
        <cfvo type="max"/>
        <color rgb="FFFFFFFF"/>
        <color rgb="FFFFD666"/>
      </colorScale>
    </cfRule>
  </conditionalFormatting>
  <conditionalFormatting sqref="P41:P49">
    <cfRule type="colorScale" priority="75">
      <colorScale>
        <cfvo type="min"/>
        <cfvo type="max"/>
        <color rgb="FFFFFFFF"/>
        <color rgb="FFFFD666"/>
      </colorScale>
    </cfRule>
  </conditionalFormatting>
  <conditionalFormatting sqref="Q41:Q49">
    <cfRule type="colorScale" priority="76">
      <colorScale>
        <cfvo type="min"/>
        <cfvo type="max"/>
        <color rgb="FFFFFFFF"/>
        <color rgb="FFFFD666"/>
      </colorScale>
    </cfRule>
  </conditionalFormatting>
  <conditionalFormatting sqref="R41:R49">
    <cfRule type="colorScale" priority="77">
      <colorScale>
        <cfvo type="min"/>
        <cfvo type="max"/>
        <color rgb="FFFFFFFF"/>
        <color rgb="FFFFD666"/>
      </colorScale>
    </cfRule>
  </conditionalFormatting>
  <conditionalFormatting sqref="S41:S49">
    <cfRule type="colorScale" priority="78">
      <colorScale>
        <cfvo type="min"/>
        <cfvo type="max"/>
        <color rgb="FFFFFFFF"/>
        <color rgb="FFFFD666"/>
      </colorScale>
    </cfRule>
  </conditionalFormatting>
  <conditionalFormatting sqref="T41:T49">
    <cfRule type="colorScale" priority="79">
      <colorScale>
        <cfvo type="min"/>
        <cfvo type="max"/>
        <color rgb="FFFFFFFF"/>
        <color rgb="FFFFD666"/>
      </colorScale>
    </cfRule>
  </conditionalFormatting>
  <conditionalFormatting sqref="U41:U49">
    <cfRule type="colorScale" priority="80">
      <colorScale>
        <cfvo type="min"/>
        <cfvo type="max"/>
        <color rgb="FFFFFFFF"/>
        <color rgb="FFFFD666"/>
      </colorScale>
    </cfRule>
  </conditionalFormatting>
  <conditionalFormatting sqref="V41:V49">
    <cfRule type="colorScale" priority="81">
      <colorScale>
        <cfvo type="min"/>
        <cfvo type="max"/>
        <color rgb="FFFFFFFF"/>
        <color rgb="FFFFD666"/>
      </colorScale>
    </cfRule>
  </conditionalFormatting>
  <conditionalFormatting sqref="W41:W49">
    <cfRule type="colorScale" priority="82">
      <colorScale>
        <cfvo type="min"/>
        <cfvo type="max"/>
        <color rgb="FFFFFFFF"/>
        <color rgb="FFFFD666"/>
      </colorScale>
    </cfRule>
  </conditionalFormatting>
  <conditionalFormatting sqref="X41:X49">
    <cfRule type="colorScale" priority="83">
      <colorScale>
        <cfvo type="min"/>
        <cfvo type="max"/>
        <color rgb="FFFFFFFF"/>
        <color rgb="FFFFD666"/>
      </colorScale>
    </cfRule>
  </conditionalFormatting>
  <conditionalFormatting sqref="Y41:Y49">
    <cfRule type="colorScale" priority="84">
      <colorScale>
        <cfvo type="min"/>
        <cfvo type="max"/>
        <color rgb="FFFFFFFF"/>
        <color rgb="FFFFD666"/>
      </colorScale>
    </cfRule>
  </conditionalFormatting>
  <conditionalFormatting sqref="Z41:Z49">
    <cfRule type="colorScale" priority="85">
      <colorScale>
        <cfvo type="min"/>
        <cfvo type="max"/>
        <color rgb="FFFFFFFF"/>
        <color rgb="FFFFD666"/>
      </colorScale>
    </cfRule>
  </conditionalFormatting>
  <conditionalFormatting sqref="AA41:AA49">
    <cfRule type="colorScale" priority="86">
      <colorScale>
        <cfvo type="min"/>
        <cfvo type="max"/>
        <color rgb="FFFFFFFF"/>
        <color rgb="FFFFD666"/>
      </colorScale>
    </cfRule>
  </conditionalFormatting>
  <conditionalFormatting sqref="AB41:AB49">
    <cfRule type="colorScale" priority="87">
      <colorScale>
        <cfvo type="min"/>
        <cfvo type="max"/>
        <color rgb="FFFFFFFF"/>
        <color rgb="FFFFD666"/>
      </colorScale>
    </cfRule>
  </conditionalFormatting>
  <conditionalFormatting sqref="AC41:AC49">
    <cfRule type="colorScale" priority="88">
      <colorScale>
        <cfvo type="min"/>
        <cfvo type="max"/>
        <color rgb="FFFFFFFF"/>
        <color rgb="FFFFD666"/>
      </colorScale>
    </cfRule>
  </conditionalFormatting>
  <conditionalFormatting sqref="H53:H61">
    <cfRule type="colorScale" priority="89">
      <colorScale>
        <cfvo type="min"/>
        <cfvo type="max"/>
        <color rgb="FFFFFFFF"/>
        <color rgb="FF57BB8A"/>
      </colorScale>
    </cfRule>
  </conditionalFormatting>
  <conditionalFormatting sqref="I53:I61">
    <cfRule type="colorScale" priority="90">
      <colorScale>
        <cfvo type="min"/>
        <cfvo type="max"/>
        <color rgb="FFFFFFFF"/>
        <color rgb="FF57BB8A"/>
      </colorScale>
    </cfRule>
  </conditionalFormatting>
  <conditionalFormatting sqref="J53:J61">
    <cfRule type="colorScale" priority="91">
      <colorScale>
        <cfvo type="min"/>
        <cfvo type="max"/>
        <color rgb="FFFFFFFF"/>
        <color rgb="FF57BB8A"/>
      </colorScale>
    </cfRule>
  </conditionalFormatting>
  <conditionalFormatting sqref="K53:K61">
    <cfRule type="colorScale" priority="92">
      <colorScale>
        <cfvo type="min"/>
        <cfvo type="max"/>
        <color rgb="FFFFFFFF"/>
        <color rgb="FF57BB8A"/>
      </colorScale>
    </cfRule>
  </conditionalFormatting>
  <conditionalFormatting sqref="L53:L61">
    <cfRule type="colorScale" priority="93">
      <colorScale>
        <cfvo type="min"/>
        <cfvo type="max"/>
        <color rgb="FFFFFFFF"/>
        <color rgb="FF57BB8A"/>
      </colorScale>
    </cfRule>
  </conditionalFormatting>
  <conditionalFormatting sqref="M53:M61">
    <cfRule type="colorScale" priority="94">
      <colorScale>
        <cfvo type="min"/>
        <cfvo type="max"/>
        <color rgb="FFFFFFFF"/>
        <color rgb="FF57BB8A"/>
      </colorScale>
    </cfRule>
  </conditionalFormatting>
  <conditionalFormatting sqref="N53:N61">
    <cfRule type="colorScale" priority="95">
      <colorScale>
        <cfvo type="min"/>
        <cfvo type="max"/>
        <color rgb="FFFFFFFF"/>
        <color rgb="FF57BB8A"/>
      </colorScale>
    </cfRule>
  </conditionalFormatting>
  <conditionalFormatting sqref="O53:O61">
    <cfRule type="colorScale" priority="96">
      <colorScale>
        <cfvo type="min"/>
        <cfvo type="max"/>
        <color rgb="FFFFFFFF"/>
        <color rgb="FF57BB8A"/>
      </colorScale>
    </cfRule>
  </conditionalFormatting>
  <conditionalFormatting sqref="P53:P61">
    <cfRule type="colorScale" priority="97">
      <colorScale>
        <cfvo type="min"/>
        <cfvo type="max"/>
        <color rgb="FFFFFFFF"/>
        <color rgb="FF57BB8A"/>
      </colorScale>
    </cfRule>
  </conditionalFormatting>
  <conditionalFormatting sqref="Q53:Q61">
    <cfRule type="colorScale" priority="98">
      <colorScale>
        <cfvo type="min"/>
        <cfvo type="max"/>
        <color rgb="FFFFFFFF"/>
        <color rgb="FF57BB8A"/>
      </colorScale>
    </cfRule>
  </conditionalFormatting>
  <conditionalFormatting sqref="R53:R61">
    <cfRule type="colorScale" priority="99">
      <colorScale>
        <cfvo type="min"/>
        <cfvo type="max"/>
        <color rgb="FFFFFFFF"/>
        <color rgb="FF57BB8A"/>
      </colorScale>
    </cfRule>
  </conditionalFormatting>
  <conditionalFormatting sqref="S53:S61">
    <cfRule type="colorScale" priority="100">
      <colorScale>
        <cfvo type="min"/>
        <cfvo type="max"/>
        <color rgb="FFFFFFFF"/>
        <color rgb="FF57BB8A"/>
      </colorScale>
    </cfRule>
  </conditionalFormatting>
  <conditionalFormatting sqref="T53:T61">
    <cfRule type="colorScale" priority="101">
      <colorScale>
        <cfvo type="min"/>
        <cfvo type="max"/>
        <color rgb="FFFFFFFF"/>
        <color rgb="FF57BB8A"/>
      </colorScale>
    </cfRule>
  </conditionalFormatting>
  <conditionalFormatting sqref="U53:U61">
    <cfRule type="colorScale" priority="102">
      <colorScale>
        <cfvo type="min"/>
        <cfvo type="max"/>
        <color rgb="FFFFFFFF"/>
        <color rgb="FF57BB8A"/>
      </colorScale>
    </cfRule>
  </conditionalFormatting>
  <conditionalFormatting sqref="V53:V61">
    <cfRule type="colorScale" priority="103">
      <colorScale>
        <cfvo type="min"/>
        <cfvo type="max"/>
        <color rgb="FFFFFFFF"/>
        <color rgb="FF57BB8A"/>
      </colorScale>
    </cfRule>
  </conditionalFormatting>
  <conditionalFormatting sqref="W53:W61">
    <cfRule type="colorScale" priority="104">
      <colorScale>
        <cfvo type="min"/>
        <cfvo type="max"/>
        <color rgb="FFFFFFFF"/>
        <color rgb="FF57BB8A"/>
      </colorScale>
    </cfRule>
  </conditionalFormatting>
  <conditionalFormatting sqref="X53:X61">
    <cfRule type="colorScale" priority="105">
      <colorScale>
        <cfvo type="min"/>
        <cfvo type="max"/>
        <color rgb="FFFFFFFF"/>
        <color rgb="FF57BB8A"/>
      </colorScale>
    </cfRule>
  </conditionalFormatting>
  <conditionalFormatting sqref="Y53:Y61">
    <cfRule type="colorScale" priority="106">
      <colorScale>
        <cfvo type="min"/>
        <cfvo type="max"/>
        <color rgb="FFFFFFFF"/>
        <color rgb="FF57BB8A"/>
      </colorScale>
    </cfRule>
  </conditionalFormatting>
  <conditionalFormatting sqref="Z53:Z61">
    <cfRule type="colorScale" priority="107">
      <colorScale>
        <cfvo type="min"/>
        <cfvo type="max"/>
        <color rgb="FFFFFFFF"/>
        <color rgb="FF57BB8A"/>
      </colorScale>
    </cfRule>
  </conditionalFormatting>
  <conditionalFormatting sqref="AA53:AA61">
    <cfRule type="colorScale" priority="108">
      <colorScale>
        <cfvo type="min"/>
        <cfvo type="max"/>
        <color rgb="FFFFFFFF"/>
        <color rgb="FF57BB8A"/>
      </colorScale>
    </cfRule>
  </conditionalFormatting>
  <conditionalFormatting sqref="AB53:AB61">
    <cfRule type="colorScale" priority="109">
      <colorScale>
        <cfvo type="min"/>
        <cfvo type="max"/>
        <color rgb="FFFFFFFF"/>
        <color rgb="FF57BB8A"/>
      </colorScale>
    </cfRule>
  </conditionalFormatting>
  <conditionalFormatting sqref="AC53:AC61">
    <cfRule type="colorScale" priority="110">
      <colorScale>
        <cfvo type="min"/>
        <cfvo type="max"/>
        <color rgb="FFFFFFFF"/>
        <color rgb="FF57BB8A"/>
      </colorScale>
    </cfRule>
  </conditionalFormatting>
  <conditionalFormatting sqref="H65:H73">
    <cfRule type="colorScale" priority="111">
      <colorScale>
        <cfvo type="min"/>
        <cfvo type="max"/>
        <color rgb="FFFFFFFF"/>
        <color rgb="FFFFD666"/>
      </colorScale>
    </cfRule>
  </conditionalFormatting>
  <conditionalFormatting sqref="I65:I73">
    <cfRule type="colorScale" priority="112">
      <colorScale>
        <cfvo type="min"/>
        <cfvo type="max"/>
        <color rgb="FFFFFFFF"/>
        <color rgb="FFFFD666"/>
      </colorScale>
    </cfRule>
  </conditionalFormatting>
  <conditionalFormatting sqref="J65:J73">
    <cfRule type="colorScale" priority="113">
      <colorScale>
        <cfvo type="min"/>
        <cfvo type="max"/>
        <color rgb="FFFFFFFF"/>
        <color rgb="FFFFD666"/>
      </colorScale>
    </cfRule>
  </conditionalFormatting>
  <conditionalFormatting sqref="K65:K73">
    <cfRule type="colorScale" priority="114">
      <colorScale>
        <cfvo type="min"/>
        <cfvo type="max"/>
        <color rgb="FFFFFFFF"/>
        <color rgb="FFFFD666"/>
      </colorScale>
    </cfRule>
  </conditionalFormatting>
  <conditionalFormatting sqref="L65:L73">
    <cfRule type="colorScale" priority="115">
      <colorScale>
        <cfvo type="min"/>
        <cfvo type="max"/>
        <color rgb="FFFFFFFF"/>
        <color rgb="FFFFD666"/>
      </colorScale>
    </cfRule>
  </conditionalFormatting>
  <conditionalFormatting sqref="M65:M73">
    <cfRule type="colorScale" priority="116">
      <colorScale>
        <cfvo type="min"/>
        <cfvo type="max"/>
        <color rgb="FFFFFFFF"/>
        <color rgb="FFFFD666"/>
      </colorScale>
    </cfRule>
  </conditionalFormatting>
  <conditionalFormatting sqref="N65:N73">
    <cfRule type="colorScale" priority="117">
      <colorScale>
        <cfvo type="min"/>
        <cfvo type="max"/>
        <color rgb="FFFFFFFF"/>
        <color rgb="FFFFD666"/>
      </colorScale>
    </cfRule>
  </conditionalFormatting>
  <conditionalFormatting sqref="O65:O73">
    <cfRule type="colorScale" priority="118">
      <colorScale>
        <cfvo type="min"/>
        <cfvo type="max"/>
        <color rgb="FFFFFFFF"/>
        <color rgb="FFFFD666"/>
      </colorScale>
    </cfRule>
  </conditionalFormatting>
  <conditionalFormatting sqref="P65:P73">
    <cfRule type="colorScale" priority="119">
      <colorScale>
        <cfvo type="min"/>
        <cfvo type="max"/>
        <color rgb="FFFFFFFF"/>
        <color rgb="FFFFD666"/>
      </colorScale>
    </cfRule>
  </conditionalFormatting>
  <conditionalFormatting sqref="Q65:Q73">
    <cfRule type="colorScale" priority="120">
      <colorScale>
        <cfvo type="min"/>
        <cfvo type="max"/>
        <color rgb="FFFFFFFF"/>
        <color rgb="FFFFD666"/>
      </colorScale>
    </cfRule>
  </conditionalFormatting>
  <conditionalFormatting sqref="R65:R73">
    <cfRule type="colorScale" priority="121">
      <colorScale>
        <cfvo type="min"/>
        <cfvo type="max"/>
        <color rgb="FFFFFFFF"/>
        <color rgb="FFFFD666"/>
      </colorScale>
    </cfRule>
  </conditionalFormatting>
  <conditionalFormatting sqref="S65:S73">
    <cfRule type="colorScale" priority="122">
      <colorScale>
        <cfvo type="min"/>
        <cfvo type="max"/>
        <color rgb="FFFFFFFF"/>
        <color rgb="FFFFD666"/>
      </colorScale>
    </cfRule>
  </conditionalFormatting>
  <conditionalFormatting sqref="T65:T73">
    <cfRule type="colorScale" priority="123">
      <colorScale>
        <cfvo type="min"/>
        <cfvo type="max"/>
        <color rgb="FFFFFFFF"/>
        <color rgb="FFFFD666"/>
      </colorScale>
    </cfRule>
  </conditionalFormatting>
  <conditionalFormatting sqref="U65:U73">
    <cfRule type="colorScale" priority="124">
      <colorScale>
        <cfvo type="min"/>
        <cfvo type="max"/>
        <color rgb="FFFFFFFF"/>
        <color rgb="FFFFD666"/>
      </colorScale>
    </cfRule>
  </conditionalFormatting>
  <conditionalFormatting sqref="V65:V73">
    <cfRule type="colorScale" priority="125">
      <colorScale>
        <cfvo type="min"/>
        <cfvo type="max"/>
        <color rgb="FFFFFFFF"/>
        <color rgb="FFFFD666"/>
      </colorScale>
    </cfRule>
  </conditionalFormatting>
  <conditionalFormatting sqref="W65:W73">
    <cfRule type="colorScale" priority="126">
      <colorScale>
        <cfvo type="min"/>
        <cfvo type="max"/>
        <color rgb="FFFFFFFF"/>
        <color rgb="FFFFD666"/>
      </colorScale>
    </cfRule>
  </conditionalFormatting>
  <conditionalFormatting sqref="X65:X73">
    <cfRule type="colorScale" priority="127">
      <colorScale>
        <cfvo type="min"/>
        <cfvo type="max"/>
        <color rgb="FFFFFFFF"/>
        <color rgb="FFFFD666"/>
      </colorScale>
    </cfRule>
  </conditionalFormatting>
  <conditionalFormatting sqref="Y65:Y73">
    <cfRule type="colorScale" priority="128">
      <colorScale>
        <cfvo type="min"/>
        <cfvo type="max"/>
        <color rgb="FFFFFFFF"/>
        <color rgb="FFFFD666"/>
      </colorScale>
    </cfRule>
  </conditionalFormatting>
  <conditionalFormatting sqref="Z65:Z73">
    <cfRule type="colorScale" priority="129">
      <colorScale>
        <cfvo type="min"/>
        <cfvo type="max"/>
        <color rgb="FFFFFFFF"/>
        <color rgb="FFFFD666"/>
      </colorScale>
    </cfRule>
  </conditionalFormatting>
  <conditionalFormatting sqref="AA65:AA73">
    <cfRule type="colorScale" priority="130">
      <colorScale>
        <cfvo type="min"/>
        <cfvo type="max"/>
        <color rgb="FFFFFFFF"/>
        <color rgb="FFFFD666"/>
      </colorScale>
    </cfRule>
  </conditionalFormatting>
  <conditionalFormatting sqref="AB65:AB73">
    <cfRule type="colorScale" priority="131">
      <colorScale>
        <cfvo type="min"/>
        <cfvo type="max"/>
        <color rgb="FFFFFFFF"/>
        <color rgb="FFFFD666"/>
      </colorScale>
    </cfRule>
  </conditionalFormatting>
  <conditionalFormatting sqref="AC65:AC73">
    <cfRule type="colorScale" priority="132">
      <colorScale>
        <cfvo type="min"/>
        <cfvo type="max"/>
        <color rgb="FFFFFFFF"/>
        <color rgb="FFFFD666"/>
      </colorScale>
    </cfRule>
  </conditionalFormatting>
  <conditionalFormatting sqref="H77:H85">
    <cfRule type="colorScale" priority="133">
      <colorScale>
        <cfvo type="min"/>
        <cfvo type="max"/>
        <color rgb="FFFFFFFF"/>
        <color rgb="FF57BB8A"/>
      </colorScale>
    </cfRule>
  </conditionalFormatting>
  <conditionalFormatting sqref="I77:I85">
    <cfRule type="colorScale" priority="134">
      <colorScale>
        <cfvo type="min"/>
        <cfvo type="max"/>
        <color rgb="FFFFFFFF"/>
        <color rgb="FF57BB8A"/>
      </colorScale>
    </cfRule>
  </conditionalFormatting>
  <conditionalFormatting sqref="J77:J85">
    <cfRule type="colorScale" priority="135">
      <colorScale>
        <cfvo type="min"/>
        <cfvo type="max"/>
        <color rgb="FFFFFFFF"/>
        <color rgb="FF57BB8A"/>
      </colorScale>
    </cfRule>
  </conditionalFormatting>
  <conditionalFormatting sqref="K77:K85">
    <cfRule type="colorScale" priority="136">
      <colorScale>
        <cfvo type="min"/>
        <cfvo type="max"/>
        <color rgb="FFFFFFFF"/>
        <color rgb="FF57BB8A"/>
      </colorScale>
    </cfRule>
  </conditionalFormatting>
  <conditionalFormatting sqref="L77:L85">
    <cfRule type="colorScale" priority="137">
      <colorScale>
        <cfvo type="min"/>
        <cfvo type="max"/>
        <color rgb="FFFFFFFF"/>
        <color rgb="FF57BB8A"/>
      </colorScale>
    </cfRule>
  </conditionalFormatting>
  <conditionalFormatting sqref="M77:M85">
    <cfRule type="colorScale" priority="138">
      <colorScale>
        <cfvo type="min"/>
        <cfvo type="max"/>
        <color rgb="FFFFFFFF"/>
        <color rgb="FF57BB8A"/>
      </colorScale>
    </cfRule>
  </conditionalFormatting>
  <conditionalFormatting sqref="N77:N85">
    <cfRule type="colorScale" priority="139">
      <colorScale>
        <cfvo type="min"/>
        <cfvo type="max"/>
        <color rgb="FFFFFFFF"/>
        <color rgb="FF57BB8A"/>
      </colorScale>
    </cfRule>
  </conditionalFormatting>
  <conditionalFormatting sqref="O77:O85">
    <cfRule type="colorScale" priority="140">
      <colorScale>
        <cfvo type="min"/>
        <cfvo type="max"/>
        <color rgb="FFFFFFFF"/>
        <color rgb="FF57BB8A"/>
      </colorScale>
    </cfRule>
  </conditionalFormatting>
  <conditionalFormatting sqref="P77:P85">
    <cfRule type="colorScale" priority="141">
      <colorScale>
        <cfvo type="min"/>
        <cfvo type="max"/>
        <color rgb="FFFFFFFF"/>
        <color rgb="FF57BB8A"/>
      </colorScale>
    </cfRule>
  </conditionalFormatting>
  <conditionalFormatting sqref="Q77:Q85">
    <cfRule type="colorScale" priority="142">
      <colorScale>
        <cfvo type="min"/>
        <cfvo type="max"/>
        <color rgb="FFFFFFFF"/>
        <color rgb="FF57BB8A"/>
      </colorScale>
    </cfRule>
  </conditionalFormatting>
  <conditionalFormatting sqref="R77:R85">
    <cfRule type="colorScale" priority="143">
      <colorScale>
        <cfvo type="min"/>
        <cfvo type="max"/>
        <color rgb="FFFFFFFF"/>
        <color rgb="FF57BB8A"/>
      </colorScale>
    </cfRule>
  </conditionalFormatting>
  <conditionalFormatting sqref="S77:S85">
    <cfRule type="colorScale" priority="144">
      <colorScale>
        <cfvo type="min"/>
        <cfvo type="max"/>
        <color rgb="FFFFFFFF"/>
        <color rgb="FF57BB8A"/>
      </colorScale>
    </cfRule>
  </conditionalFormatting>
  <conditionalFormatting sqref="T77:T85">
    <cfRule type="colorScale" priority="145">
      <colorScale>
        <cfvo type="min"/>
        <cfvo type="max"/>
        <color rgb="FFFFFFFF"/>
        <color rgb="FF57BB8A"/>
      </colorScale>
    </cfRule>
  </conditionalFormatting>
  <conditionalFormatting sqref="U77:U85">
    <cfRule type="colorScale" priority="146">
      <colorScale>
        <cfvo type="min"/>
        <cfvo type="max"/>
        <color rgb="FFFFFFFF"/>
        <color rgb="FF57BB8A"/>
      </colorScale>
    </cfRule>
  </conditionalFormatting>
  <conditionalFormatting sqref="V77:V85">
    <cfRule type="colorScale" priority="147">
      <colorScale>
        <cfvo type="min"/>
        <cfvo type="max"/>
        <color rgb="FFFFFFFF"/>
        <color rgb="FF57BB8A"/>
      </colorScale>
    </cfRule>
  </conditionalFormatting>
  <conditionalFormatting sqref="W77:W85">
    <cfRule type="colorScale" priority="148">
      <colorScale>
        <cfvo type="min"/>
        <cfvo type="max"/>
        <color rgb="FFFFFFFF"/>
        <color rgb="FF57BB8A"/>
      </colorScale>
    </cfRule>
  </conditionalFormatting>
  <conditionalFormatting sqref="X77:X85">
    <cfRule type="colorScale" priority="149">
      <colorScale>
        <cfvo type="min"/>
        <cfvo type="max"/>
        <color rgb="FFFFFFFF"/>
        <color rgb="FF57BB8A"/>
      </colorScale>
    </cfRule>
  </conditionalFormatting>
  <conditionalFormatting sqref="Y77:Y85">
    <cfRule type="colorScale" priority="150">
      <colorScale>
        <cfvo type="min"/>
        <cfvo type="max"/>
        <color rgb="FFFFFFFF"/>
        <color rgb="FF57BB8A"/>
      </colorScale>
    </cfRule>
  </conditionalFormatting>
  <conditionalFormatting sqref="Z77:Z85">
    <cfRule type="colorScale" priority="151">
      <colorScale>
        <cfvo type="min"/>
        <cfvo type="max"/>
        <color rgb="FFFFFFFF"/>
        <color rgb="FF57BB8A"/>
      </colorScale>
    </cfRule>
  </conditionalFormatting>
  <conditionalFormatting sqref="AA77:AA85">
    <cfRule type="colorScale" priority="152">
      <colorScale>
        <cfvo type="min"/>
        <cfvo type="max"/>
        <color rgb="FFFFFFFF"/>
        <color rgb="FF57BB8A"/>
      </colorScale>
    </cfRule>
  </conditionalFormatting>
  <conditionalFormatting sqref="AB77:AB85">
    <cfRule type="colorScale" priority="153">
      <colorScale>
        <cfvo type="min"/>
        <cfvo type="max"/>
        <color rgb="FFFFFFFF"/>
        <color rgb="FF57BB8A"/>
      </colorScale>
    </cfRule>
  </conditionalFormatting>
  <conditionalFormatting sqref="AC77:AC85">
    <cfRule type="colorScale" priority="154">
      <colorScale>
        <cfvo type="min"/>
        <cfvo type="max"/>
        <color rgb="FFFFFFFF"/>
        <color rgb="FF57BB8A"/>
      </colorScale>
    </cfRule>
  </conditionalFormatting>
  <conditionalFormatting sqref="I125:I133">
    <cfRule type="colorScale" priority="155">
      <colorScale>
        <cfvo type="min"/>
        <cfvo type="max"/>
        <color rgb="FFFFFFFF"/>
        <color rgb="FF57BB8A"/>
      </colorScale>
    </cfRule>
  </conditionalFormatting>
  <conditionalFormatting sqref="H125:H133">
    <cfRule type="colorScale" priority="156">
      <colorScale>
        <cfvo type="min"/>
        <cfvo type="max"/>
        <color rgb="FFFFFFFF"/>
        <color rgb="FF57BB8A"/>
      </colorScale>
    </cfRule>
  </conditionalFormatting>
  <conditionalFormatting sqref="J125:J133">
    <cfRule type="colorScale" priority="157">
      <colorScale>
        <cfvo type="min"/>
        <cfvo type="max"/>
        <color rgb="FFFFFFFF"/>
        <color rgb="FF57BB8A"/>
      </colorScale>
    </cfRule>
  </conditionalFormatting>
  <conditionalFormatting sqref="K125:K133">
    <cfRule type="colorScale" priority="158">
      <colorScale>
        <cfvo type="min"/>
        <cfvo type="max"/>
        <color rgb="FFFFFFFF"/>
        <color rgb="FF57BB8A"/>
      </colorScale>
    </cfRule>
  </conditionalFormatting>
  <conditionalFormatting sqref="L125:L133">
    <cfRule type="colorScale" priority="159">
      <colorScale>
        <cfvo type="min"/>
        <cfvo type="max"/>
        <color rgb="FFFFFFFF"/>
        <color rgb="FF57BB8A"/>
      </colorScale>
    </cfRule>
  </conditionalFormatting>
  <conditionalFormatting sqref="M125:M133">
    <cfRule type="colorScale" priority="160">
      <colorScale>
        <cfvo type="min"/>
        <cfvo type="max"/>
        <color rgb="FFFFFFFF"/>
        <color rgb="FF57BB8A"/>
      </colorScale>
    </cfRule>
  </conditionalFormatting>
  <conditionalFormatting sqref="N125:N133">
    <cfRule type="colorScale" priority="161">
      <colorScale>
        <cfvo type="min"/>
        <cfvo type="max"/>
        <color rgb="FFFFFFFF"/>
        <color rgb="FF57BB8A"/>
      </colorScale>
    </cfRule>
  </conditionalFormatting>
  <conditionalFormatting sqref="O125:O133">
    <cfRule type="colorScale" priority="162">
      <colorScale>
        <cfvo type="min"/>
        <cfvo type="max"/>
        <color rgb="FFFFFFFF"/>
        <color rgb="FF57BB8A"/>
      </colorScale>
    </cfRule>
  </conditionalFormatting>
  <conditionalFormatting sqref="P125:P133">
    <cfRule type="colorScale" priority="163">
      <colorScale>
        <cfvo type="min"/>
        <cfvo type="max"/>
        <color rgb="FFFFFFFF"/>
        <color rgb="FF57BB8A"/>
      </colorScale>
    </cfRule>
  </conditionalFormatting>
  <conditionalFormatting sqref="Q125:Q133">
    <cfRule type="colorScale" priority="164">
      <colorScale>
        <cfvo type="min"/>
        <cfvo type="max"/>
        <color rgb="FFFFFFFF"/>
        <color rgb="FF57BB8A"/>
      </colorScale>
    </cfRule>
  </conditionalFormatting>
  <conditionalFormatting sqref="R125:R133">
    <cfRule type="colorScale" priority="165">
      <colorScale>
        <cfvo type="min"/>
        <cfvo type="max"/>
        <color rgb="FFFFFFFF"/>
        <color rgb="FF57BB8A"/>
      </colorScale>
    </cfRule>
  </conditionalFormatting>
  <conditionalFormatting sqref="S125:S133">
    <cfRule type="colorScale" priority="166">
      <colorScale>
        <cfvo type="min"/>
        <cfvo type="max"/>
        <color rgb="FFFFFFFF"/>
        <color rgb="FF57BB8A"/>
      </colorScale>
    </cfRule>
  </conditionalFormatting>
  <conditionalFormatting sqref="T125:T133">
    <cfRule type="colorScale" priority="167">
      <colorScale>
        <cfvo type="min"/>
        <cfvo type="max"/>
        <color rgb="FFFFFFFF"/>
        <color rgb="FF57BB8A"/>
      </colorScale>
    </cfRule>
  </conditionalFormatting>
  <conditionalFormatting sqref="U125:U133">
    <cfRule type="colorScale" priority="168">
      <colorScale>
        <cfvo type="min"/>
        <cfvo type="max"/>
        <color rgb="FFFFFFFF"/>
        <color rgb="FF57BB8A"/>
      </colorScale>
    </cfRule>
  </conditionalFormatting>
  <conditionalFormatting sqref="V125:V133">
    <cfRule type="colorScale" priority="169">
      <colorScale>
        <cfvo type="min"/>
        <cfvo type="max"/>
        <color rgb="FFFFFFFF"/>
        <color rgb="FF57BB8A"/>
      </colorScale>
    </cfRule>
  </conditionalFormatting>
  <conditionalFormatting sqref="W125:W133">
    <cfRule type="colorScale" priority="170">
      <colorScale>
        <cfvo type="min"/>
        <cfvo type="max"/>
        <color rgb="FFFFFFFF"/>
        <color rgb="FF57BB8A"/>
      </colorScale>
    </cfRule>
  </conditionalFormatting>
  <conditionalFormatting sqref="X125:X133">
    <cfRule type="colorScale" priority="171">
      <colorScale>
        <cfvo type="min"/>
        <cfvo type="max"/>
        <color rgb="FFFFFFFF"/>
        <color rgb="FF57BB8A"/>
      </colorScale>
    </cfRule>
  </conditionalFormatting>
  <conditionalFormatting sqref="Y125:Y133">
    <cfRule type="colorScale" priority="172">
      <colorScale>
        <cfvo type="min"/>
        <cfvo type="max"/>
        <color rgb="FFFFFFFF"/>
        <color rgb="FF57BB8A"/>
      </colorScale>
    </cfRule>
  </conditionalFormatting>
  <conditionalFormatting sqref="Z125:Z133">
    <cfRule type="colorScale" priority="173">
      <colorScale>
        <cfvo type="min"/>
        <cfvo type="max"/>
        <color rgb="FFFFFFFF"/>
        <color rgb="FF57BB8A"/>
      </colorScale>
    </cfRule>
  </conditionalFormatting>
  <conditionalFormatting sqref="AA125:AA133">
    <cfRule type="colorScale" priority="174">
      <colorScale>
        <cfvo type="min"/>
        <cfvo type="max"/>
        <color rgb="FFFFFFFF"/>
        <color rgb="FF57BB8A"/>
      </colorScale>
    </cfRule>
  </conditionalFormatting>
  <conditionalFormatting sqref="AB125:AB133">
    <cfRule type="colorScale" priority="175">
      <colorScale>
        <cfvo type="min"/>
        <cfvo type="max"/>
        <color rgb="FFFFFFFF"/>
        <color rgb="FF57BB8A"/>
      </colorScale>
    </cfRule>
  </conditionalFormatting>
  <conditionalFormatting sqref="AC125:AC133">
    <cfRule type="colorScale" priority="176">
      <colorScale>
        <cfvo type="min"/>
        <cfvo type="max"/>
        <color rgb="FFFFFFFF"/>
        <color rgb="FF57BB8A"/>
      </colorScale>
    </cfRule>
  </conditionalFormatting>
  <conditionalFormatting sqref="H137:H145">
    <cfRule type="colorScale" priority="177">
      <colorScale>
        <cfvo type="min"/>
        <cfvo type="max"/>
        <color rgb="FFFFFFFF"/>
        <color rgb="FFFFD666"/>
      </colorScale>
    </cfRule>
  </conditionalFormatting>
  <conditionalFormatting sqref="I137:I145">
    <cfRule type="colorScale" priority="178">
      <colorScale>
        <cfvo type="min"/>
        <cfvo type="max"/>
        <color rgb="FFFFFFFF"/>
        <color rgb="FFFFD666"/>
      </colorScale>
    </cfRule>
  </conditionalFormatting>
  <conditionalFormatting sqref="J137:J145">
    <cfRule type="colorScale" priority="179">
      <colorScale>
        <cfvo type="min"/>
        <cfvo type="max"/>
        <color rgb="FFFFFFFF"/>
        <color rgb="FFFFD666"/>
      </colorScale>
    </cfRule>
  </conditionalFormatting>
  <conditionalFormatting sqref="K137:K145">
    <cfRule type="colorScale" priority="180">
      <colorScale>
        <cfvo type="min"/>
        <cfvo type="max"/>
        <color rgb="FFFFFFFF"/>
        <color rgb="FFFFD666"/>
      </colorScale>
    </cfRule>
  </conditionalFormatting>
  <conditionalFormatting sqref="L137:L145">
    <cfRule type="colorScale" priority="181">
      <colorScale>
        <cfvo type="min"/>
        <cfvo type="max"/>
        <color rgb="FFFFFFFF"/>
        <color rgb="FFFFD666"/>
      </colorScale>
    </cfRule>
  </conditionalFormatting>
  <conditionalFormatting sqref="M137:M145">
    <cfRule type="colorScale" priority="182">
      <colorScale>
        <cfvo type="min"/>
        <cfvo type="max"/>
        <color rgb="FFFFFFFF"/>
        <color rgb="FFFFD666"/>
      </colorScale>
    </cfRule>
  </conditionalFormatting>
  <conditionalFormatting sqref="N137:N145">
    <cfRule type="colorScale" priority="183">
      <colorScale>
        <cfvo type="min"/>
        <cfvo type="max"/>
        <color rgb="FFFFFFFF"/>
        <color rgb="FFFFD666"/>
      </colorScale>
    </cfRule>
  </conditionalFormatting>
  <conditionalFormatting sqref="O137:O145">
    <cfRule type="colorScale" priority="184">
      <colorScale>
        <cfvo type="min"/>
        <cfvo type="max"/>
        <color rgb="FFFFFFFF"/>
        <color rgb="FFFFD666"/>
      </colorScale>
    </cfRule>
  </conditionalFormatting>
  <conditionalFormatting sqref="P137:P145">
    <cfRule type="colorScale" priority="185">
      <colorScale>
        <cfvo type="min"/>
        <cfvo type="max"/>
        <color rgb="FFFFFFFF"/>
        <color rgb="FFFFD666"/>
      </colorScale>
    </cfRule>
  </conditionalFormatting>
  <conditionalFormatting sqref="Q137:Q145">
    <cfRule type="colorScale" priority="186">
      <colorScale>
        <cfvo type="min"/>
        <cfvo type="max"/>
        <color rgb="FFFFFFFF"/>
        <color rgb="FFFFD666"/>
      </colorScale>
    </cfRule>
  </conditionalFormatting>
  <conditionalFormatting sqref="R137:R145">
    <cfRule type="colorScale" priority="187">
      <colorScale>
        <cfvo type="min"/>
        <cfvo type="max"/>
        <color rgb="FFFFFFFF"/>
        <color rgb="FFFFD666"/>
      </colorScale>
    </cfRule>
  </conditionalFormatting>
  <conditionalFormatting sqref="S137:S145">
    <cfRule type="colorScale" priority="188">
      <colorScale>
        <cfvo type="min"/>
        <cfvo type="max"/>
        <color rgb="FFFFFFFF"/>
        <color rgb="FFFFD666"/>
      </colorScale>
    </cfRule>
  </conditionalFormatting>
  <conditionalFormatting sqref="T137:T145">
    <cfRule type="colorScale" priority="189">
      <colorScale>
        <cfvo type="min"/>
        <cfvo type="max"/>
        <color rgb="FFFFFFFF"/>
        <color rgb="FFFFD666"/>
      </colorScale>
    </cfRule>
  </conditionalFormatting>
  <conditionalFormatting sqref="U137:U145">
    <cfRule type="colorScale" priority="190">
      <colorScale>
        <cfvo type="min"/>
        <cfvo type="max"/>
        <color rgb="FFFFFFFF"/>
        <color rgb="FFFFD666"/>
      </colorScale>
    </cfRule>
  </conditionalFormatting>
  <conditionalFormatting sqref="V137:V145">
    <cfRule type="colorScale" priority="191">
      <colorScale>
        <cfvo type="min"/>
        <cfvo type="max"/>
        <color rgb="FFFFFFFF"/>
        <color rgb="FFFFD666"/>
      </colorScale>
    </cfRule>
  </conditionalFormatting>
  <conditionalFormatting sqref="W137:W145">
    <cfRule type="colorScale" priority="192">
      <colorScale>
        <cfvo type="min"/>
        <cfvo type="max"/>
        <color rgb="FFFFFFFF"/>
        <color rgb="FFFFD666"/>
      </colorScale>
    </cfRule>
  </conditionalFormatting>
  <conditionalFormatting sqref="X137:X145">
    <cfRule type="colorScale" priority="193">
      <colorScale>
        <cfvo type="min"/>
        <cfvo type="max"/>
        <color rgb="FFFFFFFF"/>
        <color rgb="FFFFD666"/>
      </colorScale>
    </cfRule>
  </conditionalFormatting>
  <conditionalFormatting sqref="Y137:Y145">
    <cfRule type="colorScale" priority="194">
      <colorScale>
        <cfvo type="min"/>
        <cfvo type="max"/>
        <color rgb="FFFFFFFF"/>
        <color rgb="FFFFD666"/>
      </colorScale>
    </cfRule>
  </conditionalFormatting>
  <conditionalFormatting sqref="Z137:Z145">
    <cfRule type="colorScale" priority="195">
      <colorScale>
        <cfvo type="min"/>
        <cfvo type="max"/>
        <color rgb="FFFFFFFF"/>
        <color rgb="FFFFD666"/>
      </colorScale>
    </cfRule>
  </conditionalFormatting>
  <conditionalFormatting sqref="AA137:AA145">
    <cfRule type="colorScale" priority="196">
      <colorScale>
        <cfvo type="min"/>
        <cfvo type="max"/>
        <color rgb="FFFFFFFF"/>
        <color rgb="FFFFD666"/>
      </colorScale>
    </cfRule>
  </conditionalFormatting>
  <conditionalFormatting sqref="AB137:AB145">
    <cfRule type="colorScale" priority="197">
      <colorScale>
        <cfvo type="min"/>
        <cfvo type="max"/>
        <color rgb="FFFFFFFF"/>
        <color rgb="FFFFD666"/>
      </colorScale>
    </cfRule>
  </conditionalFormatting>
  <conditionalFormatting sqref="AC137:AC145">
    <cfRule type="colorScale" priority="198">
      <colorScale>
        <cfvo type="min"/>
        <cfvo type="max"/>
        <color rgb="FFFFFFFF"/>
        <color rgb="FFFFD666"/>
      </colorScale>
    </cfRule>
  </conditionalFormatting>
  <conditionalFormatting sqref="H149:H157">
    <cfRule type="colorScale" priority="199">
      <colorScale>
        <cfvo type="min"/>
        <cfvo type="max"/>
        <color rgb="FFFFFFFF"/>
        <color rgb="FF57BB8A"/>
      </colorScale>
    </cfRule>
  </conditionalFormatting>
  <conditionalFormatting sqref="I149:I157">
    <cfRule type="colorScale" priority="200">
      <colorScale>
        <cfvo type="min"/>
        <cfvo type="max"/>
        <color rgb="FFFFFFFF"/>
        <color rgb="FF57BB8A"/>
      </colorScale>
    </cfRule>
  </conditionalFormatting>
  <conditionalFormatting sqref="J149:J157">
    <cfRule type="colorScale" priority="201">
      <colorScale>
        <cfvo type="min"/>
        <cfvo type="max"/>
        <color rgb="FFFFFFFF"/>
        <color rgb="FF57BB8A"/>
      </colorScale>
    </cfRule>
  </conditionalFormatting>
  <conditionalFormatting sqref="K149:K157">
    <cfRule type="colorScale" priority="202">
      <colorScale>
        <cfvo type="min"/>
        <cfvo type="max"/>
        <color rgb="FFFFFFFF"/>
        <color rgb="FF57BB8A"/>
      </colorScale>
    </cfRule>
  </conditionalFormatting>
  <conditionalFormatting sqref="L149:L157">
    <cfRule type="colorScale" priority="203">
      <colorScale>
        <cfvo type="min"/>
        <cfvo type="max"/>
        <color rgb="FFFFFFFF"/>
        <color rgb="FF57BB8A"/>
      </colorScale>
    </cfRule>
  </conditionalFormatting>
  <conditionalFormatting sqref="M149:M157">
    <cfRule type="colorScale" priority="204">
      <colorScale>
        <cfvo type="min"/>
        <cfvo type="max"/>
        <color rgb="FFFFFFFF"/>
        <color rgb="FF57BB8A"/>
      </colorScale>
    </cfRule>
  </conditionalFormatting>
  <conditionalFormatting sqref="N149:N157">
    <cfRule type="colorScale" priority="205">
      <colorScale>
        <cfvo type="min"/>
        <cfvo type="max"/>
        <color rgb="FFFFFFFF"/>
        <color rgb="FF57BB8A"/>
      </colorScale>
    </cfRule>
  </conditionalFormatting>
  <conditionalFormatting sqref="O149:O157">
    <cfRule type="colorScale" priority="206">
      <colorScale>
        <cfvo type="min"/>
        <cfvo type="max"/>
        <color rgb="FFFFFFFF"/>
        <color rgb="FF57BB8A"/>
      </colorScale>
    </cfRule>
  </conditionalFormatting>
  <conditionalFormatting sqref="P149:P157">
    <cfRule type="colorScale" priority="207">
      <colorScale>
        <cfvo type="min"/>
        <cfvo type="max"/>
        <color rgb="FFFFFFFF"/>
        <color rgb="FF57BB8A"/>
      </colorScale>
    </cfRule>
  </conditionalFormatting>
  <conditionalFormatting sqref="Q149:Q157">
    <cfRule type="colorScale" priority="208">
      <colorScale>
        <cfvo type="min"/>
        <cfvo type="max"/>
        <color rgb="FFFFFFFF"/>
        <color rgb="FF57BB8A"/>
      </colorScale>
    </cfRule>
  </conditionalFormatting>
  <conditionalFormatting sqref="R149:R157">
    <cfRule type="colorScale" priority="209">
      <colorScale>
        <cfvo type="min"/>
        <cfvo type="max"/>
        <color rgb="FFFFFFFF"/>
        <color rgb="FF57BB8A"/>
      </colorScale>
    </cfRule>
  </conditionalFormatting>
  <conditionalFormatting sqref="S149:S157">
    <cfRule type="colorScale" priority="210">
      <colorScale>
        <cfvo type="min"/>
        <cfvo type="max"/>
        <color rgb="FFFFFFFF"/>
        <color rgb="FF57BB8A"/>
      </colorScale>
    </cfRule>
  </conditionalFormatting>
  <conditionalFormatting sqref="T149:T157">
    <cfRule type="colorScale" priority="211">
      <colorScale>
        <cfvo type="min"/>
        <cfvo type="max"/>
        <color rgb="FFFFFFFF"/>
        <color rgb="FF57BB8A"/>
      </colorScale>
    </cfRule>
  </conditionalFormatting>
  <conditionalFormatting sqref="U149:U157">
    <cfRule type="colorScale" priority="212">
      <colorScale>
        <cfvo type="min"/>
        <cfvo type="max"/>
        <color rgb="FFFFFFFF"/>
        <color rgb="FF57BB8A"/>
      </colorScale>
    </cfRule>
  </conditionalFormatting>
  <conditionalFormatting sqref="V149:V157">
    <cfRule type="colorScale" priority="213">
      <colorScale>
        <cfvo type="min"/>
        <cfvo type="max"/>
        <color rgb="FFFFFFFF"/>
        <color rgb="FF57BB8A"/>
      </colorScale>
    </cfRule>
  </conditionalFormatting>
  <conditionalFormatting sqref="W149:W157">
    <cfRule type="colorScale" priority="214">
      <colorScale>
        <cfvo type="min"/>
        <cfvo type="max"/>
        <color rgb="FFFFFFFF"/>
        <color rgb="FF57BB8A"/>
      </colorScale>
    </cfRule>
  </conditionalFormatting>
  <conditionalFormatting sqref="X149:X157">
    <cfRule type="colorScale" priority="215">
      <colorScale>
        <cfvo type="min"/>
        <cfvo type="max"/>
        <color rgb="FFFFFFFF"/>
        <color rgb="FF57BB8A"/>
      </colorScale>
    </cfRule>
  </conditionalFormatting>
  <conditionalFormatting sqref="Y149:Y157">
    <cfRule type="colorScale" priority="216">
      <colorScale>
        <cfvo type="min"/>
        <cfvo type="max"/>
        <color rgb="FFFFFFFF"/>
        <color rgb="FF57BB8A"/>
      </colorScale>
    </cfRule>
  </conditionalFormatting>
  <conditionalFormatting sqref="Z149:Z157">
    <cfRule type="colorScale" priority="217">
      <colorScale>
        <cfvo type="min"/>
        <cfvo type="max"/>
        <color rgb="FFFFFFFF"/>
        <color rgb="FF57BB8A"/>
      </colorScale>
    </cfRule>
  </conditionalFormatting>
  <conditionalFormatting sqref="AA149:AA157">
    <cfRule type="colorScale" priority="218">
      <colorScale>
        <cfvo type="min"/>
        <cfvo type="max"/>
        <color rgb="FFFFFFFF"/>
        <color rgb="FF57BB8A"/>
      </colorScale>
    </cfRule>
  </conditionalFormatting>
  <conditionalFormatting sqref="AB149:AB157">
    <cfRule type="colorScale" priority="219">
      <colorScale>
        <cfvo type="min"/>
        <cfvo type="max"/>
        <color rgb="FFFFFFFF"/>
        <color rgb="FF57BB8A"/>
      </colorScale>
    </cfRule>
  </conditionalFormatting>
  <conditionalFormatting sqref="AC149:AC157">
    <cfRule type="colorScale" priority="220">
      <colorScale>
        <cfvo type="min"/>
        <cfvo type="max"/>
        <color rgb="FFFFFFFF"/>
        <color rgb="FF57BB8A"/>
      </colorScale>
    </cfRule>
  </conditionalFormatting>
  <conditionalFormatting sqref="I89:I97">
    <cfRule type="colorScale" priority="221">
      <colorScale>
        <cfvo type="min"/>
        <cfvo type="max"/>
        <color rgb="FFFFFFFF"/>
        <color rgb="FFFFD666"/>
      </colorScale>
    </cfRule>
  </conditionalFormatting>
  <conditionalFormatting sqref="J89:J97">
    <cfRule type="colorScale" priority="222">
      <colorScale>
        <cfvo type="min"/>
        <cfvo type="max"/>
        <color rgb="FFFFFFFF"/>
        <color rgb="FFFFD666"/>
      </colorScale>
    </cfRule>
  </conditionalFormatting>
  <conditionalFormatting sqref="K89:K97">
    <cfRule type="colorScale" priority="223">
      <colorScale>
        <cfvo type="min"/>
        <cfvo type="max"/>
        <color rgb="FFFFFFFF"/>
        <color rgb="FFFFD666"/>
      </colorScale>
    </cfRule>
  </conditionalFormatting>
  <conditionalFormatting sqref="L89:L97">
    <cfRule type="colorScale" priority="224">
      <colorScale>
        <cfvo type="min"/>
        <cfvo type="max"/>
        <color rgb="FFFFFFFF"/>
        <color rgb="FFFFD666"/>
      </colorScale>
    </cfRule>
  </conditionalFormatting>
  <conditionalFormatting sqref="M89:M97">
    <cfRule type="colorScale" priority="225">
      <colorScale>
        <cfvo type="min"/>
        <cfvo type="max"/>
        <color rgb="FFFFFFFF"/>
        <color rgb="FFFFD666"/>
      </colorScale>
    </cfRule>
  </conditionalFormatting>
  <conditionalFormatting sqref="N89:N97">
    <cfRule type="colorScale" priority="226">
      <colorScale>
        <cfvo type="min"/>
        <cfvo type="max"/>
        <color rgb="FFFFFFFF"/>
        <color rgb="FFFFD666"/>
      </colorScale>
    </cfRule>
  </conditionalFormatting>
  <conditionalFormatting sqref="O89:O97">
    <cfRule type="colorScale" priority="227">
      <colorScale>
        <cfvo type="min"/>
        <cfvo type="max"/>
        <color rgb="FFFFFFFF"/>
        <color rgb="FFFFD666"/>
      </colorScale>
    </cfRule>
  </conditionalFormatting>
  <conditionalFormatting sqref="P89:P97">
    <cfRule type="colorScale" priority="228">
      <colorScale>
        <cfvo type="min"/>
        <cfvo type="max"/>
        <color rgb="FFFFFFFF"/>
        <color rgb="FFFFD666"/>
      </colorScale>
    </cfRule>
  </conditionalFormatting>
  <conditionalFormatting sqref="Q89:Q97">
    <cfRule type="colorScale" priority="229">
      <colorScale>
        <cfvo type="min"/>
        <cfvo type="max"/>
        <color rgb="FFFFFFFF"/>
        <color rgb="FFFFD666"/>
      </colorScale>
    </cfRule>
  </conditionalFormatting>
  <conditionalFormatting sqref="R89:R97">
    <cfRule type="colorScale" priority="230">
      <colorScale>
        <cfvo type="min"/>
        <cfvo type="max"/>
        <color rgb="FFFFFFFF"/>
        <color rgb="FFFFD666"/>
      </colorScale>
    </cfRule>
  </conditionalFormatting>
  <conditionalFormatting sqref="S89:S97">
    <cfRule type="colorScale" priority="231">
      <colorScale>
        <cfvo type="min"/>
        <cfvo type="max"/>
        <color rgb="FFFFFFFF"/>
        <color rgb="FFFFD666"/>
      </colorScale>
    </cfRule>
  </conditionalFormatting>
  <conditionalFormatting sqref="T89:T97">
    <cfRule type="colorScale" priority="232">
      <colorScale>
        <cfvo type="min"/>
        <cfvo type="max"/>
        <color rgb="FFFFFFFF"/>
        <color rgb="FFFFD666"/>
      </colorScale>
    </cfRule>
  </conditionalFormatting>
  <conditionalFormatting sqref="U89:U97">
    <cfRule type="colorScale" priority="233">
      <colorScale>
        <cfvo type="min"/>
        <cfvo type="max"/>
        <color rgb="FFFFFFFF"/>
        <color rgb="FFFFD666"/>
      </colorScale>
    </cfRule>
  </conditionalFormatting>
  <conditionalFormatting sqref="V89:V97">
    <cfRule type="colorScale" priority="234">
      <colorScale>
        <cfvo type="min"/>
        <cfvo type="max"/>
        <color rgb="FFFFFFFF"/>
        <color rgb="FFFFD666"/>
      </colorScale>
    </cfRule>
  </conditionalFormatting>
  <conditionalFormatting sqref="W89:W97">
    <cfRule type="colorScale" priority="235">
      <colorScale>
        <cfvo type="min"/>
        <cfvo type="max"/>
        <color rgb="FFFFFFFF"/>
        <color rgb="FFFFD666"/>
      </colorScale>
    </cfRule>
  </conditionalFormatting>
  <conditionalFormatting sqref="X89:X97">
    <cfRule type="colorScale" priority="236">
      <colorScale>
        <cfvo type="min"/>
        <cfvo type="max"/>
        <color rgb="FFFFFFFF"/>
        <color rgb="FFFFD666"/>
      </colorScale>
    </cfRule>
  </conditionalFormatting>
  <conditionalFormatting sqref="Y89:Y97">
    <cfRule type="colorScale" priority="237">
      <colorScale>
        <cfvo type="min"/>
        <cfvo type="max"/>
        <color rgb="FFFFFFFF"/>
        <color rgb="FFFFD666"/>
      </colorScale>
    </cfRule>
  </conditionalFormatting>
  <conditionalFormatting sqref="Z89:Z97">
    <cfRule type="colorScale" priority="238">
      <colorScale>
        <cfvo type="min"/>
        <cfvo type="max"/>
        <color rgb="FFFFFFFF"/>
        <color rgb="FFFFD666"/>
      </colorScale>
    </cfRule>
  </conditionalFormatting>
  <conditionalFormatting sqref="AA89:AA97">
    <cfRule type="colorScale" priority="239">
      <colorScale>
        <cfvo type="min"/>
        <cfvo type="max"/>
        <color rgb="FFFFFFFF"/>
        <color rgb="FFFFD666"/>
      </colorScale>
    </cfRule>
  </conditionalFormatting>
  <conditionalFormatting sqref="AB89:AB97">
    <cfRule type="colorScale" priority="240">
      <colorScale>
        <cfvo type="min"/>
        <cfvo type="max"/>
        <color rgb="FFFFFFFF"/>
        <color rgb="FFFFD666"/>
      </colorScale>
    </cfRule>
  </conditionalFormatting>
  <conditionalFormatting sqref="AC89:AC97">
    <cfRule type="colorScale" priority="241">
      <colorScale>
        <cfvo type="min"/>
        <cfvo type="max"/>
        <color rgb="FFFFFFFF"/>
        <color rgb="FFFFD666"/>
      </colorScale>
    </cfRule>
  </conditionalFormatting>
  <conditionalFormatting sqref="I101:I109">
    <cfRule type="colorScale" priority="242">
      <colorScale>
        <cfvo type="min"/>
        <cfvo type="max"/>
        <color rgb="FFFFFFFF"/>
        <color rgb="FF57BB8A"/>
      </colorScale>
    </cfRule>
  </conditionalFormatting>
  <conditionalFormatting sqref="J101:J109">
    <cfRule type="colorScale" priority="243">
      <colorScale>
        <cfvo type="min"/>
        <cfvo type="max"/>
        <color rgb="FFFFFFFF"/>
        <color rgb="FF57BB8A"/>
      </colorScale>
    </cfRule>
  </conditionalFormatting>
  <conditionalFormatting sqref="K101:K109">
    <cfRule type="colorScale" priority="244">
      <colorScale>
        <cfvo type="min"/>
        <cfvo type="max"/>
        <color rgb="FFFFFFFF"/>
        <color rgb="FF57BB8A"/>
      </colorScale>
    </cfRule>
  </conditionalFormatting>
  <conditionalFormatting sqref="L101:L109">
    <cfRule type="colorScale" priority="245">
      <colorScale>
        <cfvo type="min"/>
        <cfvo type="max"/>
        <color rgb="FFFFFFFF"/>
        <color rgb="FF57BB8A"/>
      </colorScale>
    </cfRule>
  </conditionalFormatting>
  <conditionalFormatting sqref="M101:M109">
    <cfRule type="colorScale" priority="246">
      <colorScale>
        <cfvo type="min"/>
        <cfvo type="max"/>
        <color rgb="FFFFFFFF"/>
        <color rgb="FF57BB8A"/>
      </colorScale>
    </cfRule>
  </conditionalFormatting>
  <conditionalFormatting sqref="N101:N109">
    <cfRule type="colorScale" priority="247">
      <colorScale>
        <cfvo type="min"/>
        <cfvo type="max"/>
        <color rgb="FFFFFFFF"/>
        <color rgb="FF57BB8A"/>
      </colorScale>
    </cfRule>
  </conditionalFormatting>
  <conditionalFormatting sqref="O101:O109">
    <cfRule type="colorScale" priority="248">
      <colorScale>
        <cfvo type="min"/>
        <cfvo type="max"/>
        <color rgb="FFFFFFFF"/>
        <color rgb="FF57BB8A"/>
      </colorScale>
    </cfRule>
  </conditionalFormatting>
  <conditionalFormatting sqref="P101:P109">
    <cfRule type="colorScale" priority="249">
      <colorScale>
        <cfvo type="min"/>
        <cfvo type="max"/>
        <color rgb="FFFFFFFF"/>
        <color rgb="FF57BB8A"/>
      </colorScale>
    </cfRule>
  </conditionalFormatting>
  <conditionalFormatting sqref="Q101:Q109">
    <cfRule type="colorScale" priority="250">
      <colorScale>
        <cfvo type="min"/>
        <cfvo type="max"/>
        <color rgb="FFFFFFFF"/>
        <color rgb="FF57BB8A"/>
      </colorScale>
    </cfRule>
  </conditionalFormatting>
  <conditionalFormatting sqref="R101:R109">
    <cfRule type="colorScale" priority="251">
      <colorScale>
        <cfvo type="min"/>
        <cfvo type="max"/>
        <color rgb="FFFFFFFF"/>
        <color rgb="FF57BB8A"/>
      </colorScale>
    </cfRule>
  </conditionalFormatting>
  <conditionalFormatting sqref="S101:S109">
    <cfRule type="colorScale" priority="252">
      <colorScale>
        <cfvo type="min"/>
        <cfvo type="max"/>
        <color rgb="FFFFFFFF"/>
        <color rgb="FF57BB8A"/>
      </colorScale>
    </cfRule>
  </conditionalFormatting>
  <conditionalFormatting sqref="T101:T109">
    <cfRule type="colorScale" priority="253">
      <colorScale>
        <cfvo type="min"/>
        <cfvo type="max"/>
        <color rgb="FFFFFFFF"/>
        <color rgb="FF57BB8A"/>
      </colorScale>
    </cfRule>
  </conditionalFormatting>
  <conditionalFormatting sqref="U101:U109">
    <cfRule type="colorScale" priority="254">
      <colorScale>
        <cfvo type="min"/>
        <cfvo type="max"/>
        <color rgb="FFFFFFFF"/>
        <color rgb="FF57BB8A"/>
      </colorScale>
    </cfRule>
  </conditionalFormatting>
  <conditionalFormatting sqref="V101:V109">
    <cfRule type="colorScale" priority="255">
      <colorScale>
        <cfvo type="min"/>
        <cfvo type="max"/>
        <color rgb="FFFFFFFF"/>
        <color rgb="FF57BB8A"/>
      </colorScale>
    </cfRule>
  </conditionalFormatting>
  <conditionalFormatting sqref="W101:W109">
    <cfRule type="colorScale" priority="256">
      <colorScale>
        <cfvo type="min"/>
        <cfvo type="max"/>
        <color rgb="FFFFFFFF"/>
        <color rgb="FF57BB8A"/>
      </colorScale>
    </cfRule>
  </conditionalFormatting>
  <conditionalFormatting sqref="X101:X109">
    <cfRule type="colorScale" priority="257">
      <colorScale>
        <cfvo type="min"/>
        <cfvo type="max"/>
        <color rgb="FFFFFFFF"/>
        <color rgb="FF57BB8A"/>
      </colorScale>
    </cfRule>
  </conditionalFormatting>
  <conditionalFormatting sqref="Y101:Y109">
    <cfRule type="colorScale" priority="258">
      <colorScale>
        <cfvo type="min"/>
        <cfvo type="max"/>
        <color rgb="FFFFFFFF"/>
        <color rgb="FF57BB8A"/>
      </colorScale>
    </cfRule>
  </conditionalFormatting>
  <conditionalFormatting sqref="Z101:Z109">
    <cfRule type="colorScale" priority="259">
      <colorScale>
        <cfvo type="min"/>
        <cfvo type="max"/>
        <color rgb="FFFFFFFF"/>
        <color rgb="FF57BB8A"/>
      </colorScale>
    </cfRule>
  </conditionalFormatting>
  <conditionalFormatting sqref="AA101:AA109">
    <cfRule type="colorScale" priority="260">
      <colorScale>
        <cfvo type="min"/>
        <cfvo type="max"/>
        <color rgb="FFFFFFFF"/>
        <color rgb="FF57BB8A"/>
      </colorScale>
    </cfRule>
  </conditionalFormatting>
  <conditionalFormatting sqref="AB101:AB109">
    <cfRule type="colorScale" priority="261">
      <colorScale>
        <cfvo type="min"/>
        <cfvo type="max"/>
        <color rgb="FFFFFFFF"/>
        <color rgb="FF57BB8A"/>
      </colorScale>
    </cfRule>
  </conditionalFormatting>
  <conditionalFormatting sqref="AC101:AC109">
    <cfRule type="colorScale" priority="262">
      <colorScale>
        <cfvo type="min"/>
        <cfvo type="max"/>
        <color rgb="FFFFFFFF"/>
        <color rgb="FF57BB8A"/>
      </colorScale>
    </cfRule>
  </conditionalFormatting>
  <conditionalFormatting sqref="I113:I121">
    <cfRule type="colorScale" priority="263">
      <colorScale>
        <cfvo type="min"/>
        <cfvo type="max"/>
        <color rgb="FFFFFFFF"/>
        <color rgb="FFFFD666"/>
      </colorScale>
    </cfRule>
  </conditionalFormatting>
  <conditionalFormatting sqref="J113:J121">
    <cfRule type="colorScale" priority="264">
      <colorScale>
        <cfvo type="min"/>
        <cfvo type="max"/>
        <color rgb="FFFFFFFF"/>
        <color rgb="FFFFD666"/>
      </colorScale>
    </cfRule>
  </conditionalFormatting>
  <conditionalFormatting sqref="K113:K121">
    <cfRule type="colorScale" priority="265">
      <colorScale>
        <cfvo type="min"/>
        <cfvo type="max"/>
        <color rgb="FFFFFFFF"/>
        <color rgb="FFFFD666"/>
      </colorScale>
    </cfRule>
  </conditionalFormatting>
  <conditionalFormatting sqref="L113:L121">
    <cfRule type="colorScale" priority="266">
      <colorScale>
        <cfvo type="min"/>
        <cfvo type="max"/>
        <color rgb="FFFFFFFF"/>
        <color rgb="FFFFD666"/>
      </colorScale>
    </cfRule>
  </conditionalFormatting>
  <conditionalFormatting sqref="S113:S121">
    <cfRule type="colorScale" priority="267">
      <colorScale>
        <cfvo type="min"/>
        <cfvo type="max"/>
        <color rgb="FFFFFFFF"/>
        <color rgb="FFFFD666"/>
      </colorScale>
    </cfRule>
  </conditionalFormatting>
  <conditionalFormatting sqref="Y113:Y121">
    <cfRule type="colorScale" priority="268">
      <colorScale>
        <cfvo type="min"/>
        <cfvo type="max"/>
        <color rgb="FFFFFFFF"/>
        <color rgb="FFFFD666"/>
      </colorScale>
    </cfRule>
  </conditionalFormatting>
  <conditionalFormatting sqref="T113:T121">
    <cfRule type="colorScale" priority="269">
      <colorScale>
        <cfvo type="min"/>
        <cfvo type="max"/>
        <color rgb="FFFFFFFF"/>
        <color rgb="FFFFD666"/>
      </colorScale>
    </cfRule>
  </conditionalFormatting>
  <conditionalFormatting sqref="V113:V121">
    <cfRule type="colorScale" priority="270">
      <colorScale>
        <cfvo type="min"/>
        <cfvo type="max"/>
        <color rgb="FFFFFFFF"/>
        <color rgb="FFFFD666"/>
      </colorScale>
    </cfRule>
  </conditionalFormatting>
  <conditionalFormatting sqref="AA113:AA121">
    <cfRule type="colorScale" priority="271">
      <colorScale>
        <cfvo type="min"/>
        <cfvo type="max"/>
        <color rgb="FFFFFFFF"/>
        <color rgb="FFFFD666"/>
      </colorScale>
    </cfRule>
  </conditionalFormatting>
  <conditionalFormatting sqref="W113:W121">
    <cfRule type="colorScale" priority="272">
      <colorScale>
        <cfvo type="min"/>
        <cfvo type="max"/>
        <color rgb="FFFFFFFF"/>
        <color rgb="FFFFD666"/>
      </colorScale>
    </cfRule>
  </conditionalFormatting>
  <conditionalFormatting sqref="Q113:Q121">
    <cfRule type="colorScale" priority="273">
      <colorScale>
        <cfvo type="min"/>
        <cfvo type="max"/>
        <color rgb="FFFFFFFF"/>
        <color rgb="FFFFD666"/>
      </colorScale>
    </cfRule>
  </conditionalFormatting>
  <conditionalFormatting sqref="R113:R121">
    <cfRule type="colorScale" priority="274">
      <colorScale>
        <cfvo type="min"/>
        <cfvo type="max"/>
        <color rgb="FFFFFFFF"/>
        <color rgb="FFFFD666"/>
      </colorScale>
    </cfRule>
  </conditionalFormatting>
  <conditionalFormatting sqref="AC113:AC121">
    <cfRule type="colorScale" priority="275">
      <colorScale>
        <cfvo type="min"/>
        <cfvo type="max"/>
        <color rgb="FFFFFFFF"/>
        <color rgb="FFFFD666"/>
      </colorScale>
    </cfRule>
  </conditionalFormatting>
  <conditionalFormatting sqref="U113:U121">
    <cfRule type="colorScale" priority="276">
      <colorScale>
        <cfvo type="min"/>
        <cfvo type="max"/>
        <color rgb="FFFFFFFF"/>
        <color rgb="FFFFD666"/>
      </colorScale>
    </cfRule>
  </conditionalFormatting>
  <conditionalFormatting sqref="M113:M121">
    <cfRule type="colorScale" priority="277">
      <colorScale>
        <cfvo type="min"/>
        <cfvo type="max"/>
        <color rgb="FFFFFFFF"/>
        <color rgb="FFFFD666"/>
      </colorScale>
    </cfRule>
  </conditionalFormatting>
  <conditionalFormatting sqref="N113:N121">
    <cfRule type="colorScale" priority="278">
      <colorScale>
        <cfvo type="min"/>
        <cfvo type="max"/>
        <color rgb="FFFFFFFF"/>
        <color rgb="FFFFD666"/>
      </colorScale>
    </cfRule>
  </conditionalFormatting>
  <conditionalFormatting sqref="AB113:AB121">
    <cfRule type="colorScale" priority="279">
      <colorScale>
        <cfvo type="min"/>
        <cfvo type="max"/>
        <color rgb="FFFFFFFF"/>
        <color rgb="FFFFD666"/>
      </colorScale>
    </cfRule>
  </conditionalFormatting>
  <conditionalFormatting sqref="Z113:Z121">
    <cfRule type="colorScale" priority="280">
      <colorScale>
        <cfvo type="min"/>
        <cfvo type="max"/>
        <color rgb="FFFFFFFF"/>
        <color rgb="FFFFD666"/>
      </colorScale>
    </cfRule>
  </conditionalFormatting>
  <conditionalFormatting sqref="X113:X121">
    <cfRule type="colorScale" priority="281">
      <colorScale>
        <cfvo type="min"/>
        <cfvo type="max"/>
        <color rgb="FFFFFFFF"/>
        <color rgb="FFFFD666"/>
      </colorScale>
    </cfRule>
  </conditionalFormatting>
  <conditionalFormatting sqref="P113:P121">
    <cfRule type="colorScale" priority="282">
      <colorScale>
        <cfvo type="min"/>
        <cfvo type="max"/>
        <color rgb="FFFFFFFF"/>
        <color rgb="FFFFD666"/>
      </colorScale>
    </cfRule>
  </conditionalFormatting>
  <conditionalFormatting sqref="O113:O121">
    <cfRule type="colorScale" priority="283">
      <colorScale>
        <cfvo type="min"/>
        <cfvo type="max"/>
        <color rgb="FFFFFFFF"/>
        <color rgb="FFFFD666"/>
      </colorScale>
    </cfRule>
  </conditionalFormatting>
  <conditionalFormatting sqref="H101:H109">
    <cfRule type="colorScale" priority="284">
      <colorScale>
        <cfvo type="min"/>
        <cfvo type="max"/>
        <color rgb="FFFFFFFF"/>
        <color rgb="FF57BB8A"/>
      </colorScale>
    </cfRule>
  </conditionalFormatting>
  <conditionalFormatting sqref="H113:H121">
    <cfRule type="colorScale" priority="285">
      <colorScale>
        <cfvo type="min"/>
        <cfvo type="max"/>
        <color rgb="FFFFFFFF"/>
        <color rgb="FFFFD666"/>
      </colorScale>
    </cfRule>
  </conditionalFormatting>
  <conditionalFormatting sqref="G1:G161">
    <cfRule type="cellIs" dxfId="5" priority="286" operator="equal">
      <formula>"Open"</formula>
    </cfRule>
  </conditionalFormatting>
  <conditionalFormatting sqref="G1:G161">
    <cfRule type="cellIs" dxfId="6" priority="287" operator="equal">
      <formula>"Closed"</formula>
    </cfRule>
  </conditionalFormatting>
  <conditionalFormatting sqref="H89:H97">
    <cfRule type="colorScale" priority="288">
      <colorScale>
        <cfvo type="min"/>
        <cfvo type="max"/>
        <color rgb="FFFFFFFF"/>
        <color rgb="FFFFD666"/>
      </colorScale>
    </cfRule>
  </conditionalFormatting>
  <drawing r:id="rId1"/>
  <tableParts count="18"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4.57"/>
    <col customWidth="1" hidden="1" min="2" max="2" width="2.86"/>
    <col customWidth="1" min="3" max="3" width="12.14"/>
    <col customWidth="1" min="4" max="4" width="3.86"/>
    <col customWidth="1" hidden="1" min="5" max="5" width="9.57"/>
    <col customWidth="1" min="6" max="6" width="18.71"/>
    <col customWidth="1" min="7" max="7" width="34.43"/>
    <col customWidth="1" min="8" max="8" width="3.29"/>
    <col customWidth="1" min="9" max="10" width="7.86"/>
    <col customWidth="1" min="11" max="11" width="3.0"/>
    <col customWidth="1" min="12" max="12" width="9.86"/>
    <col customWidth="1" min="13" max="13" width="2.71"/>
    <col customWidth="1" min="14" max="14" width="8.0"/>
    <col customWidth="1" min="15" max="15" width="12.14"/>
    <col customWidth="1" min="16" max="16" width="0.86"/>
    <col customWidth="1" min="17" max="17" width="14.57"/>
    <col customWidth="1" hidden="1" min="18" max="18" width="2.86"/>
    <col customWidth="1" min="19" max="19" width="10.86"/>
    <col customWidth="1" min="20" max="20" width="3.86"/>
    <col customWidth="1" hidden="1" min="21" max="21" width="9.57"/>
    <col customWidth="1" min="22" max="22" width="18.71"/>
    <col customWidth="1" min="23" max="23" width="34.43"/>
    <col customWidth="1" min="24" max="24" width="3.29"/>
    <col customWidth="1" min="25" max="26" width="7.86"/>
    <col customWidth="1" min="27" max="27" width="3.0"/>
    <col customWidth="1" min="28" max="28" width="9.86"/>
    <col customWidth="1" min="29" max="29" width="2.71"/>
    <col customWidth="1" min="30" max="30" width="8.0"/>
    <col customWidth="1" min="31" max="31" width="11.71"/>
    <col customWidth="1" min="32" max="32" width="5.71"/>
  </cols>
  <sheetData>
    <row r="1" hidden="1">
      <c r="A1" s="5" t="str">
        <f>IFERROR(__xludf.DUMMYFUNCTION("IMPORTRANGE(Setup!C5,Setup!C6&amp;""!""&amp;Setup!F6) "),"")</f>
        <v/>
      </c>
      <c r="B1" s="5" t="str">
        <f>IFERROR(__xludf.DUMMYFUNCTION("""COMPUTED_VALUE"""),"")</f>
        <v/>
      </c>
      <c r="C1" s="5" t="str">
        <f>IFERROR(__xludf.DUMMYFUNCTION("""COMPUTED_VALUE"""),"")</f>
        <v/>
      </c>
      <c r="D1" s="498" t="str">
        <f>IFERROR(__xludf.DUMMYFUNCTION("""COMPUTED_VALUE"""),"")</f>
        <v/>
      </c>
      <c r="E1" s="5">
        <f>IFERROR(__xludf.DUMMYFUNCTION("""COMPUTED_VALUE"""),2.0)</f>
        <v>2</v>
      </c>
      <c r="F1" s="5" t="str">
        <f>IFERROR(__xludf.DUMMYFUNCTION("""COMPUTED_VALUE"""),"")</f>
        <v/>
      </c>
      <c r="G1" s="7" t="str">
        <f>IFERROR(__xludf.DUMMYFUNCTION("""COMPUTED_VALUE"""),"")</f>
        <v/>
      </c>
      <c r="H1" s="8" t="str">
        <f>IFERROR(__xludf.DUMMYFUNCTION("""COMPUTED_VALUE"""),"")</f>
        <v/>
      </c>
      <c r="I1" s="8">
        <f>IFERROR(__xludf.DUMMYFUNCTION("""COMPUTED_VALUE"""),25.0)</f>
        <v>25</v>
      </c>
      <c r="J1" s="8" t="str">
        <f>IFERROR(__xludf.DUMMYFUNCTION("""COMPUTED_VALUE"""),"")</f>
        <v/>
      </c>
      <c r="K1" s="8" t="str">
        <f>IFERROR(__xludf.DUMMYFUNCTION("""COMPUTED_VALUE"""),"")</f>
        <v/>
      </c>
      <c r="L1" s="8" t="str">
        <f>IFERROR(__xludf.DUMMYFUNCTION("""COMPUTED_VALUE"""),"")</f>
        <v/>
      </c>
      <c r="M1" s="8" t="str">
        <f>IFERROR(__xludf.DUMMYFUNCTION("""COMPUTED_VALUE"""),"")</f>
        <v/>
      </c>
      <c r="N1" s="8" t="str">
        <f>IFERROR(__xludf.DUMMYFUNCTION("""COMPUTED_VALUE"""),"")</f>
        <v/>
      </c>
      <c r="O1" s="8" t="str">
        <f>IFERROR(__xludf.DUMMYFUNCTION("""COMPUTED_VALUE"""),"")</f>
        <v/>
      </c>
      <c r="P1" s="9" t="str">
        <f>IFERROR(__xludf.DUMMYFUNCTION("""COMPUTED_VALUE"""),"")</f>
        <v/>
      </c>
      <c r="Q1" s="11" t="str">
        <f>IFERROR(__xludf.DUMMYFUNCTION("""COMPUTED_VALUE"""),"")</f>
        <v/>
      </c>
      <c r="R1" s="11" t="str">
        <f>IFERROR(__xludf.DUMMYFUNCTION("""COMPUTED_VALUE"""),"")</f>
        <v/>
      </c>
      <c r="S1" s="11" t="str">
        <f>IFERROR(__xludf.DUMMYFUNCTION("""COMPUTED_VALUE"""),"")</f>
        <v/>
      </c>
      <c r="T1" s="11" t="str">
        <f>IFERROR(__xludf.DUMMYFUNCTION("""COMPUTED_VALUE"""),"")</f>
        <v/>
      </c>
      <c r="U1" s="11" t="str">
        <f>IFERROR(__xludf.DUMMYFUNCTION("""COMPUTED_VALUE"""),"")</f>
        <v/>
      </c>
      <c r="V1" s="11" t="str">
        <f>IFERROR(__xludf.DUMMYFUNCTION("""COMPUTED_VALUE"""),"")</f>
        <v/>
      </c>
      <c r="W1" s="11" t="str">
        <f>IFERROR(__xludf.DUMMYFUNCTION("""COMPUTED_VALUE"""),"")</f>
        <v/>
      </c>
      <c r="X1" s="11" t="str">
        <f>IFERROR(__xludf.DUMMYFUNCTION("""COMPUTED_VALUE"""),"")</f>
        <v/>
      </c>
      <c r="Y1" t="str">
        <f>IFERROR(__xludf.DUMMYFUNCTION("""COMPUTED_VALUE"""),"")</f>
        <v/>
      </c>
      <c r="Z1" s="12" t="str">
        <f>IFERROR(__xludf.DUMMYFUNCTION("""COMPUTED_VALUE"""),"")</f>
        <v/>
      </c>
      <c r="AA1" s="12" t="str">
        <f>IFERROR(__xludf.DUMMYFUNCTION("""COMPUTED_VALUE"""),"")</f>
        <v/>
      </c>
      <c r="AB1" t="str">
        <f>IFERROR(__xludf.DUMMYFUNCTION("""COMPUTED_VALUE"""),"")</f>
        <v/>
      </c>
      <c r="AC1" s="12" t="str">
        <f>IFERROR(__xludf.DUMMYFUNCTION("""COMPUTED_VALUE"""),"")</f>
        <v/>
      </c>
      <c r="AD1" s="12" t="str">
        <f>IFERROR(__xludf.DUMMYFUNCTION("""COMPUTED_VALUE"""),"")</f>
        <v/>
      </c>
      <c r="AE1" s="14" t="str">
        <f>IFERROR(__xludf.DUMMYFUNCTION("""COMPUTED_VALUE"""),"")</f>
        <v/>
      </c>
      <c r="AF1" s="12" t="str">
        <f>IFERROR(__xludf.DUMMYFUNCTION("""COMPUTED_VALUE"""),"")</f>
        <v/>
      </c>
    </row>
    <row r="2" ht="16.5" customHeight="1">
      <c r="A2" s="5" t="str">
        <f>IFERROR(__xludf.DUMMYFUNCTION("""COMPUTED_VALUE"""),"Best 5 AP/Drop Locations (NA)")</f>
        <v>Best 5 AP/Drop Locations (NA)</v>
      </c>
      <c r="G2" s="21" t="str">
        <f>IFERROR(__xludf.DUMMYFUNCTION("""COMPUTED_VALUE"""),"Advanced Sheet")</f>
        <v>Advanced Sheet</v>
      </c>
      <c r="H2" s="8" t="str">
        <f>IFERROR(__xludf.DUMMYFUNCTION("""COMPUTED_VALUE"""),"")</f>
        <v/>
      </c>
      <c r="I2" s="8" t="str">
        <f>IFERROR(__xludf.DUMMYFUNCTION("""COMPUTED_VALUE"""),"")</f>
        <v/>
      </c>
      <c r="J2" s="8" t="str">
        <f>IFERROR(__xludf.DUMMYFUNCTION("""COMPUTED_VALUE"""),"")</f>
        <v/>
      </c>
      <c r="K2" s="8" t="str">
        <f>IFERROR(__xludf.DUMMYFUNCTION("""COMPUTED_VALUE"""),"")</f>
        <v/>
      </c>
      <c r="L2" s="8" t="str">
        <f>IFERROR(__xludf.DUMMYFUNCTION("""COMPUTED_VALUE"""),"")</f>
        <v/>
      </c>
      <c r="M2" s="8" t="str">
        <f>IFERROR(__xludf.DUMMYFUNCTION("""COMPUTED_VALUE"""),"")</f>
        <v/>
      </c>
      <c r="N2" s="8" t="str">
        <f>IFERROR(__xludf.DUMMYFUNCTION("""COMPUTED_VALUE"""),"")</f>
        <v/>
      </c>
      <c r="O2" s="8" t="str">
        <f>IFERROR(__xludf.DUMMYFUNCTION("""COMPUTED_VALUE"""),"")</f>
        <v/>
      </c>
      <c r="P2" s="9" t="str">
        <f>IFERROR(__xludf.DUMMYFUNCTION("""COMPUTED_VALUE"""),"")</f>
        <v/>
      </c>
      <c r="Q2" s="21" t="str">
        <f>IFERROR(__xludf.DUMMYFUNCTION("""COMPUTED_VALUE"""),"Submissions")</f>
        <v>Submissions</v>
      </c>
      <c r="R2" s="11" t="str">
        <f>IFERROR(__xludf.DUMMYFUNCTION("""COMPUTED_VALUE"""),"")</f>
        <v/>
      </c>
      <c r="S2" s="11" t="str">
        <f>IFERROR(__xludf.DUMMYFUNCTION("""COMPUTED_VALUE"""),"")</f>
        <v/>
      </c>
      <c r="T2" s="11" t="str">
        <f>IFERROR(__xludf.DUMMYFUNCTION("""COMPUTED_VALUE"""),"")</f>
        <v/>
      </c>
      <c r="U2" s="11" t="str">
        <f>IFERROR(__xludf.DUMMYFUNCTION("""COMPUTED_VALUE"""),"")</f>
        <v/>
      </c>
      <c r="V2" s="11" t="str">
        <f>IFERROR(__xludf.DUMMYFUNCTION("""COMPUTED_VALUE"""),"")</f>
        <v/>
      </c>
      <c r="W2" s="11" t="str">
        <f>IFERROR(__xludf.DUMMYFUNCTION("""COMPUTED_VALUE"""),"")</f>
        <v/>
      </c>
      <c r="X2" s="11" t="str">
        <f>IFERROR(__xludf.DUMMYFUNCTION("""COMPUTED_VALUE"""),"")</f>
        <v/>
      </c>
      <c r="Y2" t="str">
        <f>IFERROR(__xludf.DUMMYFUNCTION("""COMPUTED_VALUE"""),"")</f>
        <v/>
      </c>
      <c r="Z2" s="12" t="str">
        <f>IFERROR(__xludf.DUMMYFUNCTION("""COMPUTED_VALUE"""),"")</f>
        <v/>
      </c>
      <c r="AA2" s="12" t="str">
        <f>IFERROR(__xludf.DUMMYFUNCTION("""COMPUTED_VALUE"""),"")</f>
        <v/>
      </c>
      <c r="AB2" t="str">
        <f>IFERROR(__xludf.DUMMYFUNCTION("""COMPUTED_VALUE"""),"")</f>
        <v/>
      </c>
      <c r="AC2" s="12" t="str">
        <f>IFERROR(__xludf.DUMMYFUNCTION("""COMPUTED_VALUE"""),"")</f>
        <v/>
      </c>
      <c r="AD2" s="12" t="str">
        <f>IFERROR(__xludf.DUMMYFUNCTION("""COMPUTED_VALUE"""),"")</f>
        <v/>
      </c>
      <c r="AE2" s="14" t="str">
        <f>IFERROR(__xludf.DUMMYFUNCTION("""COMPUTED_VALUE"""),"")</f>
        <v/>
      </c>
      <c r="AF2" s="12" t="str">
        <f>IFERROR(__xludf.DUMMYFUNCTION("""COMPUTED_VALUE"""),"")</f>
        <v/>
      </c>
    </row>
    <row r="3" ht="16.5" customHeight="1">
      <c r="A3" s="25" t="str">
        <f>IFERROR(__xludf.DUMMYFUNCTION("""COMPUTED_VALUE"""),"Item")</f>
        <v>Item</v>
      </c>
      <c r="B3" s="27"/>
      <c r="C3" s="28"/>
      <c r="D3" s="30" t="str">
        <f>IFERROR(__xludf.DUMMYFUNCTION("""COMPUTED_VALUE"""),"No.")</f>
        <v>No.</v>
      </c>
      <c r="E3" s="31" t="str">
        <f>IFERROR(__xludf.DUMMYFUNCTION("""COMPUTED_VALUE"""),"Node Code")</f>
        <v>Node Code</v>
      </c>
      <c r="F3" s="31" t="str">
        <f>IFERROR(__xludf.DUMMYFUNCTION("""COMPUTED_VALUE"""),"Area")</f>
        <v>Area</v>
      </c>
      <c r="G3" s="31" t="str">
        <f>IFERROR(__xludf.DUMMYFUNCTION("""COMPUTED_VALUE"""),"Quest")</f>
        <v>Quest</v>
      </c>
      <c r="H3" s="30" t="str">
        <f>IFERROR(__xludf.DUMMYFUNCTION("""COMPUTED_VALUE"""),"AP")</f>
        <v>AP</v>
      </c>
      <c r="I3" s="34" t="str">
        <f>IFERROR(__xludf.DUMMYFUNCTION("""COMPUTED_VALUE"""),"BP/AP")</f>
        <v>BP/AP</v>
      </c>
      <c r="J3" s="36" t="str">
        <f>IFERROR(__xludf.DUMMYFUNCTION("""COMPUTED_VALUE"""),"AP/Drop")</f>
        <v>AP/Drop</v>
      </c>
      <c r="K3" s="28"/>
      <c r="L3" s="36" t="str">
        <f>IFERROR(__xludf.DUMMYFUNCTION("""COMPUTED_VALUE"""),"Drop Chance")</f>
        <v>Drop Chance</v>
      </c>
      <c r="M3" s="28"/>
      <c r="N3" s="38" t="str">
        <f>IFERROR(__xludf.DUMMYFUNCTION("""COMPUTED_VALUE"""),"Runs")</f>
        <v>Runs</v>
      </c>
      <c r="O3" s="40" t="str">
        <f>IFERROR(__xludf.DUMMYFUNCTION("""COMPUTED_VALUE"""),"")</f>
        <v/>
      </c>
      <c r="P3" s="42" t="str">
        <f>IFERROR(__xludf.DUMMYFUNCTION("""COMPUTED_VALUE"""),"")</f>
        <v/>
      </c>
      <c r="Q3" s="25" t="str">
        <f>IFERROR(__xludf.DUMMYFUNCTION("""COMPUTED_VALUE"""),"Item")</f>
        <v>Item</v>
      </c>
      <c r="R3" s="27"/>
      <c r="S3" s="28"/>
      <c r="T3" s="30" t="str">
        <f>IFERROR(__xludf.DUMMYFUNCTION("""COMPUTED_VALUE"""),"No.")</f>
        <v>No.</v>
      </c>
      <c r="U3" s="31" t="str">
        <f>IFERROR(__xludf.DUMMYFUNCTION("""COMPUTED_VALUE"""),"Node Code")</f>
        <v>Node Code</v>
      </c>
      <c r="V3" s="31" t="str">
        <f>IFERROR(__xludf.DUMMYFUNCTION("""COMPUTED_VALUE"""),"Area")</f>
        <v>Area</v>
      </c>
      <c r="W3" s="31" t="str">
        <f>IFERROR(__xludf.DUMMYFUNCTION("""COMPUTED_VALUE"""),"Quest")</f>
        <v>Quest</v>
      </c>
      <c r="X3" s="30" t="str">
        <f>IFERROR(__xludf.DUMMYFUNCTION("""COMPUTED_VALUE"""),"AP")</f>
        <v>AP</v>
      </c>
      <c r="Y3" s="34" t="str">
        <f>IFERROR(__xludf.DUMMYFUNCTION("""COMPUTED_VALUE"""),"BP/AP")</f>
        <v>BP/AP</v>
      </c>
      <c r="Z3" s="36" t="str">
        <f>IFERROR(__xludf.DUMMYFUNCTION("""COMPUTED_VALUE"""),"AP/Drop")</f>
        <v>AP/Drop</v>
      </c>
      <c r="AA3" s="28"/>
      <c r="AB3" s="36" t="str">
        <f>IFERROR(__xludf.DUMMYFUNCTION("""COMPUTED_VALUE"""),"Drop Chance")</f>
        <v>Drop Chance</v>
      </c>
      <c r="AC3" s="28"/>
      <c r="AD3" s="38" t="str">
        <f>IFERROR(__xludf.DUMMYFUNCTION("""COMPUTED_VALUE"""),"Runs")</f>
        <v>Runs</v>
      </c>
      <c r="AE3" s="40" t="str">
        <f>IFERROR(__xludf.DUMMYFUNCTION("""COMPUTED_VALUE"""),"")</f>
        <v/>
      </c>
      <c r="AF3" s="51" t="str">
        <f>IFERROR(__xludf.DUMMYFUNCTION("""COMPUTED_VALUE"""),"")</f>
        <v/>
      </c>
    </row>
    <row r="4" ht="16.5" customHeight="1">
      <c r="A4" s="54"/>
      <c r="B4" s="55"/>
      <c r="C4" s="57"/>
      <c r="D4" s="57"/>
      <c r="E4" s="57"/>
      <c r="F4" s="57"/>
      <c r="G4" s="57"/>
      <c r="H4" s="57"/>
      <c r="I4" s="58" t="str">
        <f>IFERROR(__xludf.DUMMYFUNCTION("""COMPUTED_VALUE"""),"1P+2L")</f>
        <v>1P+2L</v>
      </c>
      <c r="J4" s="55"/>
      <c r="K4" s="57"/>
      <c r="L4" s="55"/>
      <c r="M4" s="57"/>
      <c r="N4" s="57"/>
      <c r="O4" s="57"/>
      <c r="P4" s="42" t="str">
        <f>IFERROR(__xludf.DUMMYFUNCTION("""COMPUTED_VALUE"""),"")</f>
        <v/>
      </c>
      <c r="Q4" s="54"/>
      <c r="R4" s="55"/>
      <c r="S4" s="57"/>
      <c r="T4" s="57"/>
      <c r="U4" s="57"/>
      <c r="V4" s="57"/>
      <c r="W4" s="57"/>
      <c r="X4" s="57"/>
      <c r="Y4" s="58" t="str">
        <f>IFERROR(__xludf.DUMMYFUNCTION("""COMPUTED_VALUE"""),"1P+2L")</f>
        <v>1P+2L</v>
      </c>
      <c r="Z4" s="55"/>
      <c r="AA4" s="57"/>
      <c r="AB4" s="55"/>
      <c r="AC4" s="57"/>
      <c r="AD4" s="57"/>
      <c r="AE4" s="57"/>
      <c r="AF4" s="51" t="str">
        <f>IFERROR(__xludf.DUMMYFUNCTION("""COMPUTED_VALUE"""),"")</f>
        <v/>
      </c>
    </row>
    <row r="5" ht="16.5" customHeight="1">
      <c r="A5" s="61" t="str">
        <f>IFERROR(__xludf.DUMMYFUNCTION("""COMPUTED_VALUE"""),"")</f>
        <v/>
      </c>
      <c r="B5" s="63" t="str">
        <f>IFERROR(__xludf.DUMMYFUNCTION("""COMPUTED_VALUE"""),"A301")</f>
        <v>A301</v>
      </c>
      <c r="C5" s="65" t="str">
        <f>IFERROR(__xludf.DUMMYFUNCTION("""COMPUTED_VALUE"""),"Proof of Hero")</f>
        <v>Proof of Hero</v>
      </c>
      <c r="D5" s="67">
        <f>IFERROR(__xludf.DUMMYFUNCTION("""COMPUTED_VALUE"""),1.0)</f>
        <v>1</v>
      </c>
      <c r="E5" s="69" t="str">
        <f>IFERROR(__xludf.DUMMYFUNCTION("""COMPUTED_VALUE"""),"OKN1")</f>
        <v>OKN1</v>
      </c>
      <c r="F5" s="71" t="str">
        <f>IFERROR(__xludf.DUMMYFUNCTION("""COMPUTED_VALUE"""),"Okeanos")</f>
        <v>Okeanos</v>
      </c>
      <c r="G5" s="78" t="str">
        <f>IFERROR(__xludf.DUMMYFUNCTION("""COMPUTED_VALUE"""),"Pirate Ship")</f>
        <v>Pirate Ship</v>
      </c>
      <c r="H5" s="80">
        <f>IFERROR(__xludf.DUMMYFUNCTION("""COMPUTED_VALUE"""),12.0)</f>
        <v>12</v>
      </c>
      <c r="I5" s="82">
        <f>IFERROR(__xludf.DUMMYFUNCTION("""COMPUTED_VALUE"""),33.666666666666664)</f>
        <v>33.66666667</v>
      </c>
      <c r="J5" s="84">
        <f>IFERROR(__xludf.DUMMYFUNCTION("""COMPUTED_VALUE"""),20.414613739890303)</f>
        <v>20.41461374</v>
      </c>
      <c r="K5" s="86" t="str">
        <f>IFERROR(__xludf.DUMMYFUNCTION("""COMPUTED_VALUE"""),"AP")</f>
        <v>AP</v>
      </c>
      <c r="L5" s="88">
        <f>IFERROR(__xludf.DUMMYFUNCTION("""COMPUTED_VALUE"""),58.78142076502732)</f>
        <v>58.78142077</v>
      </c>
      <c r="M5" s="86" t="str">
        <f>IFERROR(__xludf.DUMMYFUNCTION("""COMPUTED_VALUE"""),"％")</f>
        <v>％</v>
      </c>
      <c r="N5" s="80">
        <f>IFERROR(__xludf.DUMMYFUNCTION("""COMPUTED_VALUE"""),6222.0)</f>
        <v>6222</v>
      </c>
      <c r="O5" s="91" t="str">
        <f>IFERROR(__xludf.DUMMYFUNCTION("""COMPUTED_VALUE"""),"Proof of Hero")</f>
        <v>Proof of Hero</v>
      </c>
      <c r="P5" s="93" t="str">
        <f>IFERROR(__xludf.DUMMYFUNCTION("""COMPUTED_VALUE"""),"")</f>
        <v/>
      </c>
      <c r="Q5" s="61" t="str">
        <f>IFERROR(__xludf.DUMMYFUNCTION("""COMPUTED_VALUE"""),"")</f>
        <v/>
      </c>
      <c r="R5" s="95" t="str">
        <f>IFERROR(__xludf.DUMMYFUNCTION("""COMPUTED_VALUE"""),"B101")</f>
        <v>B101</v>
      </c>
      <c r="S5" s="65" t="str">
        <f>IFERROR(__xludf.DUMMYFUNCTION("""COMPUTED_VALUE"""),"Secret Gem of Saber")</f>
        <v>Secret Gem of Saber</v>
      </c>
      <c r="T5" s="67">
        <f>IFERROR(__xludf.DUMMYFUNCTION("""COMPUTED_VALUE"""),1.0)</f>
        <v>1</v>
      </c>
      <c r="U5" s="69" t="str">
        <f>IFERROR(__xludf.DUMMYFUNCTION("""COMPUTED_VALUE"""),"TRF28")</f>
        <v>TRF28</v>
      </c>
      <c r="V5" s="71" t="str">
        <f>IFERROR(__xludf.DUMMYFUNCTION("""COMPUTED_VALUE"""),"Chaldea Gate (Sun)")</f>
        <v>Chaldea Gate (Sun)</v>
      </c>
      <c r="W5" s="71" t="str">
        <f>IFERROR(__xludf.DUMMYFUNCTION("""COMPUTED_VALUE"""),"SUN Saber Training Ground- Exp")</f>
        <v>SUN Saber Training Ground- Exp</v>
      </c>
      <c r="X5" s="80">
        <f>IFERROR(__xludf.DUMMYFUNCTION("""COMPUTED_VALUE"""),40.0)</f>
        <v>40</v>
      </c>
      <c r="Y5" s="82">
        <f>IFERROR(__xludf.DUMMYFUNCTION("""COMPUTED_VALUE"""),19.7)</f>
        <v>19.7</v>
      </c>
      <c r="Z5" s="84">
        <f>IFERROR(__xludf.DUMMYFUNCTION("""COMPUTED_VALUE"""),143.71063146000265)</f>
        <v>143.7106315</v>
      </c>
      <c r="AA5" s="86" t="str">
        <f>IFERROR(__xludf.DUMMYFUNCTION("""COMPUTED_VALUE"""),"AP")</f>
        <v>AP</v>
      </c>
      <c r="AB5" s="88">
        <f>IFERROR(__xludf.DUMMYFUNCTION("""COMPUTED_VALUE"""),27.833709721839718)</f>
        <v>27.83370972</v>
      </c>
      <c r="AC5" s="86" t="str">
        <f>IFERROR(__xludf.DUMMYFUNCTION("""COMPUTED_VALUE"""),"％")</f>
        <v>％</v>
      </c>
      <c r="AD5" s="80">
        <f>IFERROR(__xludf.DUMMYFUNCTION("""COMPUTED_VALUE"""),21786.0)</f>
        <v>21786</v>
      </c>
      <c r="AE5" s="91" t="str">
        <f>IFERROR(__xludf.DUMMYFUNCTION("""COMPUTED_VALUE"""),"Secret Gem of Saber")</f>
        <v>Secret Gem of Saber</v>
      </c>
      <c r="AF5" s="98" t="str">
        <f>IFERROR(__xludf.DUMMYFUNCTION("""COMPUTED_VALUE"""),"")</f>
        <v/>
      </c>
    </row>
    <row r="6" ht="16.5" customHeight="1">
      <c r="B6" s="99"/>
      <c r="C6" s="100"/>
      <c r="D6" s="102">
        <f>IFERROR(__xludf.DUMMYFUNCTION("""COMPUTED_VALUE"""),2.0)</f>
        <v>2</v>
      </c>
      <c r="E6" s="103" t="str">
        <f>IFERROR(__xludf.DUMMYFUNCTION("""COMPUTED_VALUE"""),"ORL6")</f>
        <v>ORL6</v>
      </c>
      <c r="F6" s="104" t="str">
        <f>IFERROR(__xludf.DUMMYFUNCTION("""COMPUTED_VALUE"""),"Orleans")</f>
        <v>Orleans</v>
      </c>
      <c r="G6" s="108" t="str">
        <f>IFERROR(__xludf.DUMMYFUNCTION("""COMPUTED_VALUE"""),"Marseille")</f>
        <v>Marseille</v>
      </c>
      <c r="H6" s="109">
        <f>IFERROR(__xludf.DUMMYFUNCTION("""COMPUTED_VALUE"""),7.0)</f>
        <v>7</v>
      </c>
      <c r="I6" s="110">
        <f>IFERROR(__xludf.DUMMYFUNCTION("""COMPUTED_VALUE"""),30.285714285714285)</f>
        <v>30.28571429</v>
      </c>
      <c r="J6" s="112">
        <f>IFERROR(__xludf.DUMMYFUNCTION("""COMPUTED_VALUE"""),23.898599611571093)</f>
        <v>23.89859961</v>
      </c>
      <c r="K6" s="121" t="str">
        <f>IFERROR(__xludf.DUMMYFUNCTION("""COMPUTED_VALUE"""),"AP")</f>
        <v>AP</v>
      </c>
      <c r="L6" s="123">
        <f>IFERROR(__xludf.DUMMYFUNCTION("""COMPUTED_VALUE"""),29.290419161676645)</f>
        <v>29.29041916</v>
      </c>
      <c r="M6" s="121" t="str">
        <f>IFERROR(__xludf.DUMMYFUNCTION("""COMPUTED_VALUE"""),"％")</f>
        <v>％</v>
      </c>
      <c r="N6" s="109">
        <f>IFERROR(__xludf.DUMMYFUNCTION("""COMPUTED_VALUE"""),1670.0)</f>
        <v>1670</v>
      </c>
      <c r="O6" s="100"/>
      <c r="P6" s="93" t="str">
        <f>IFERROR(__xludf.DUMMYFUNCTION("""COMPUTED_VALUE"""),"")</f>
        <v/>
      </c>
      <c r="S6" s="100"/>
      <c r="T6" s="102">
        <f>IFERROR(__xludf.DUMMYFUNCTION("""COMPUTED_VALUE"""),2.0)</f>
        <v>2</v>
      </c>
      <c r="U6" s="103" t="str">
        <f>IFERROR(__xludf.DUMMYFUNCTION("""COMPUTED_VALUE"""),"SJK8")</f>
        <v>SJK8</v>
      </c>
      <c r="V6" s="104" t="str">
        <f>IFERROR(__xludf.DUMMYFUNCTION("""COMPUTED_VALUE"""),"Shinjuku")</f>
        <v>Shinjuku</v>
      </c>
      <c r="W6" s="108" t="str">
        <f>IFERROR(__xludf.DUMMYFUNCTION("""COMPUTED_VALUE"""),"Tower - Top Floor")</f>
        <v>Tower - Top Floor</v>
      </c>
      <c r="X6" s="109">
        <f>IFERROR(__xludf.DUMMYFUNCTION("""COMPUTED_VALUE"""),21.0)</f>
        <v>21</v>
      </c>
      <c r="Y6" s="110">
        <f>IFERROR(__xludf.DUMMYFUNCTION("""COMPUTED_VALUE"""),47.80952380952381)</f>
        <v>47.80952381</v>
      </c>
      <c r="Z6" s="112">
        <f>IFERROR(__xludf.DUMMYFUNCTION("""COMPUTED_VALUE"""),457.4396782841824)</f>
        <v>457.4396783</v>
      </c>
      <c r="AA6" s="121" t="str">
        <f>IFERROR(__xludf.DUMMYFUNCTION("""COMPUTED_VALUE"""),"AP")</f>
        <v>AP</v>
      </c>
      <c r="AB6" s="123">
        <f>IFERROR(__xludf.DUMMYFUNCTION("""COMPUTED_VALUE"""),4.59076923076923)</f>
        <v>4.590769231</v>
      </c>
      <c r="AC6" s="121" t="str">
        <f>IFERROR(__xludf.DUMMYFUNCTION("""COMPUTED_VALUE"""),"％")</f>
        <v>％</v>
      </c>
      <c r="AD6" s="109">
        <f>IFERROR(__xludf.DUMMYFUNCTION("""COMPUTED_VALUE"""),3250.0)</f>
        <v>3250</v>
      </c>
      <c r="AE6" s="100"/>
      <c r="AF6" s="98" t="str">
        <f>IFERROR(__xludf.DUMMYFUNCTION("""COMPUTED_VALUE"""),"")</f>
        <v/>
      </c>
    </row>
    <row r="7" ht="16.5" customHeight="1">
      <c r="B7" s="99"/>
      <c r="C7" s="100"/>
      <c r="D7" s="130">
        <f>IFERROR(__xludf.DUMMYFUNCTION("""COMPUTED_VALUE"""),3.0)</f>
        <v>3</v>
      </c>
      <c r="E7" s="132" t="str">
        <f>IFERROR(__xludf.DUMMYFUNCTION("""COMPUTED_VALUE"""),"OKN2")</f>
        <v>OKN2</v>
      </c>
      <c r="F7" s="133" t="str">
        <f>IFERROR(__xludf.DUMMYFUNCTION("""COMPUTED_VALUE"""),"Okeanos")</f>
        <v>Okeanos</v>
      </c>
      <c r="G7" s="135" t="str">
        <f>IFERROR(__xludf.DUMMYFUNCTION("""COMPUTED_VALUE"""),"Pirate Island")</f>
        <v>Pirate Island</v>
      </c>
      <c r="H7" s="137">
        <f>IFERROR(__xludf.DUMMYFUNCTION("""COMPUTED_VALUE"""),13.0)</f>
        <v>13</v>
      </c>
      <c r="I7" s="139">
        <f>IFERROR(__xludf.DUMMYFUNCTION("""COMPUTED_VALUE"""),32.92307692307692)</f>
        <v>32.92307692</v>
      </c>
      <c r="J7" s="141">
        <f>IFERROR(__xludf.DUMMYFUNCTION("""COMPUTED_VALUE"""),25.373819122690893)</f>
        <v>25.37381912</v>
      </c>
      <c r="K7" s="143" t="str">
        <f>IFERROR(__xludf.DUMMYFUNCTION("""COMPUTED_VALUE"""),"AP")</f>
        <v>AP</v>
      </c>
      <c r="L7" s="145">
        <f>IFERROR(__xludf.DUMMYFUNCTION("""COMPUTED_VALUE"""),51.23391136801542)</f>
        <v>51.23391137</v>
      </c>
      <c r="M7" s="143" t="str">
        <f>IFERROR(__xludf.DUMMYFUNCTION("""COMPUTED_VALUE"""),"％")</f>
        <v>％</v>
      </c>
      <c r="N7" s="137">
        <f>IFERROR(__xludf.DUMMYFUNCTION("""COMPUTED_VALUE"""),519.0)</f>
        <v>519</v>
      </c>
      <c r="O7" s="100"/>
      <c r="P7" s="93" t="str">
        <f>IFERROR(__xludf.DUMMYFUNCTION("""COMPUTED_VALUE"""),"")</f>
        <v/>
      </c>
      <c r="S7" s="100"/>
      <c r="T7" s="130">
        <f>IFERROR(__xludf.DUMMYFUNCTION("""COMPUTED_VALUE"""),3.0)</f>
        <v>3</v>
      </c>
      <c r="U7" s="132" t="str">
        <f>IFERROR(__xludf.DUMMYFUNCTION("""COMPUTED_VALUE"""),"AGT3")</f>
        <v>AGT3</v>
      </c>
      <c r="V7" s="133" t="str">
        <f>IFERROR(__xludf.DUMMYFUNCTION("""COMPUTED_VALUE"""),"Agartha")</f>
        <v>Agartha</v>
      </c>
      <c r="W7" s="135" t="str">
        <f>IFERROR(__xludf.DUMMYFUNCTION("""COMPUTED_VALUE"""),"Riverside Town")</f>
        <v>Riverside Town</v>
      </c>
      <c r="X7" s="137">
        <f>IFERROR(__xludf.DUMMYFUNCTION("""COMPUTED_VALUE"""),20.0)</f>
        <v>20</v>
      </c>
      <c r="Y7" s="139">
        <f>IFERROR(__xludf.DUMMYFUNCTION("""COMPUTED_VALUE"""),46.6)</f>
        <v>46.6</v>
      </c>
      <c r="Z7" s="141">
        <f>IFERROR(__xludf.DUMMYFUNCTION("""COMPUTED_VALUE"""),536.6986000351787)</f>
        <v>536.6986</v>
      </c>
      <c r="AA7" s="143" t="str">
        <f>IFERROR(__xludf.DUMMYFUNCTION("""COMPUTED_VALUE"""),"AP")</f>
        <v>AP</v>
      </c>
      <c r="AB7" s="145">
        <f>IFERROR(__xludf.DUMMYFUNCTION("""COMPUTED_VALUE"""),3.7264863367799115)</f>
        <v>3.726486337</v>
      </c>
      <c r="AC7" s="143" t="str">
        <f>IFERROR(__xludf.DUMMYFUNCTION("""COMPUTED_VALUE"""),"％")</f>
        <v>％</v>
      </c>
      <c r="AD7" s="137">
        <f>IFERROR(__xludf.DUMMYFUNCTION("""COMPUTED_VALUE"""),10832.0)</f>
        <v>10832</v>
      </c>
      <c r="AE7" s="100"/>
      <c r="AF7" s="98" t="str">
        <f>IFERROR(__xludf.DUMMYFUNCTION("""COMPUTED_VALUE"""),"")</f>
        <v/>
      </c>
    </row>
    <row r="8" ht="16.5" customHeight="1">
      <c r="B8" s="99"/>
      <c r="C8" s="100"/>
      <c r="D8" s="146">
        <f>IFERROR(__xludf.DUMMYFUNCTION("""COMPUTED_VALUE"""),4.0)</f>
        <v>4</v>
      </c>
      <c r="E8" s="148" t="str">
        <f>IFERROR(__xludf.DUMMYFUNCTION("""COMPUTED_VALUE"""),"EPU5")</f>
        <v>EPU5</v>
      </c>
      <c r="F8" s="150" t="str">
        <f>IFERROR(__xludf.DUMMYFUNCTION("""COMPUTED_VALUE"""),"E Pluribus Unum")</f>
        <v>E Pluribus Unum</v>
      </c>
      <c r="G8" s="152" t="str">
        <f>IFERROR(__xludf.DUMMYFUNCTION("""COMPUTED_VALUE"""),"Dallas")</f>
        <v>Dallas</v>
      </c>
      <c r="H8" s="154">
        <f>IFERROR(__xludf.DUMMYFUNCTION("""COMPUTED_VALUE"""),17.0)</f>
        <v>17</v>
      </c>
      <c r="I8" s="156">
        <f>IFERROR(__xludf.DUMMYFUNCTION("""COMPUTED_VALUE"""),42.11764705882353)</f>
        <v>42.11764706</v>
      </c>
      <c r="J8" s="158">
        <f>IFERROR(__xludf.DUMMYFUNCTION("""COMPUTED_VALUE"""),25.426625289609163)</f>
        <v>25.42662529</v>
      </c>
      <c r="K8" s="160" t="str">
        <f>IFERROR(__xludf.DUMMYFUNCTION("""COMPUTED_VALUE"""),"AP")</f>
        <v>AP</v>
      </c>
      <c r="L8" s="162">
        <f>IFERROR(__xludf.DUMMYFUNCTION("""COMPUTED_VALUE"""),66.85904954499493)</f>
        <v>66.85904954</v>
      </c>
      <c r="M8" s="160" t="str">
        <f>IFERROR(__xludf.DUMMYFUNCTION("""COMPUTED_VALUE"""),"％")</f>
        <v>％</v>
      </c>
      <c r="N8" s="154">
        <f>IFERROR(__xludf.DUMMYFUNCTION("""COMPUTED_VALUE"""),6923.0)</f>
        <v>6923</v>
      </c>
      <c r="O8" s="100"/>
      <c r="P8" s="93" t="str">
        <f>IFERROR(__xludf.DUMMYFUNCTION("""COMPUTED_VALUE"""),"")</f>
        <v/>
      </c>
      <c r="S8" s="100"/>
      <c r="T8" s="146">
        <f>IFERROR(__xludf.DUMMYFUNCTION("""COMPUTED_VALUE"""),4.0)</f>
        <v>4</v>
      </c>
      <c r="U8" s="148" t="str">
        <f>IFERROR(__xludf.DUMMYFUNCTION("""COMPUTED_VALUE"""),"TRF27")</f>
        <v>TRF27</v>
      </c>
      <c r="V8" s="150" t="str">
        <f>IFERROR(__xludf.DUMMYFUNCTION("""COMPUTED_VALUE"""),"Chaldea Gate (Sun)")</f>
        <v>Chaldea Gate (Sun)</v>
      </c>
      <c r="W8" s="150" t="str">
        <f>IFERROR(__xludf.DUMMYFUNCTION("""COMPUTED_VALUE"""),"SUN Saber Training Ground- Adv")</f>
        <v>SUN Saber Training Ground- Adv</v>
      </c>
      <c r="X8" s="154">
        <f>IFERROR(__xludf.DUMMYFUNCTION("""COMPUTED_VALUE"""),30.0)</f>
        <v>30</v>
      </c>
      <c r="Y8" s="156">
        <f>IFERROR(__xludf.DUMMYFUNCTION("""COMPUTED_VALUE"""),18.266666666666666)</f>
        <v>18.26666667</v>
      </c>
      <c r="Z8" s="158">
        <f>IFERROR(__xludf.DUMMYFUNCTION("""COMPUTED_VALUE"""),601.0043041606887)</f>
        <v>601.0043042</v>
      </c>
      <c r="AA8" s="160" t="str">
        <f>IFERROR(__xludf.DUMMYFUNCTION("""COMPUTED_VALUE"""),"AP")</f>
        <v>AP</v>
      </c>
      <c r="AB8" s="162">
        <f>IFERROR(__xludf.DUMMYFUNCTION("""COMPUTED_VALUE"""),4.991644783957986)</f>
        <v>4.991644784</v>
      </c>
      <c r="AC8" s="160" t="str">
        <f>IFERROR(__xludf.DUMMYFUNCTION("""COMPUTED_VALUE"""),"％")</f>
        <v>％</v>
      </c>
      <c r="AD8" s="154">
        <f>IFERROR(__xludf.DUMMYFUNCTION("""COMPUTED_VALUE"""),4189.0)</f>
        <v>4189</v>
      </c>
      <c r="AE8" s="100"/>
      <c r="AF8" s="98" t="str">
        <f>IFERROR(__xludf.DUMMYFUNCTION("""COMPUTED_VALUE"""),"")</f>
        <v/>
      </c>
    </row>
    <row r="9" ht="16.5" customHeight="1">
      <c r="A9" s="166"/>
      <c r="B9" s="167"/>
      <c r="C9" s="168"/>
      <c r="D9" s="169">
        <f>IFERROR(__xludf.DUMMYFUNCTION("""COMPUTED_VALUE"""),5.0)</f>
        <v>5</v>
      </c>
      <c r="E9" s="170" t="str">
        <f>IFERROR(__xludf.DUMMYFUNCTION("""COMPUTED_VALUE"""),"SEP5")</f>
        <v>SEP5</v>
      </c>
      <c r="F9" s="51" t="str">
        <f>IFERROR(__xludf.DUMMYFUNCTION("""COMPUTED_VALUE"""),"Septem")</f>
        <v>Septem</v>
      </c>
      <c r="G9" s="171" t="str">
        <f>IFERROR(__xludf.DUMMYFUNCTION("""COMPUTED_VALUE"""),"Mediolanum")</f>
        <v>Mediolanum</v>
      </c>
      <c r="H9" s="172">
        <f>IFERROR(__xludf.DUMMYFUNCTION("""COMPUTED_VALUE"""),9.0)</f>
        <v>9</v>
      </c>
      <c r="I9" s="173">
        <f>IFERROR(__xludf.DUMMYFUNCTION("""COMPUTED_VALUE"""),28.88888888888889)</f>
        <v>28.88888889</v>
      </c>
      <c r="J9" s="174">
        <f>IFERROR(__xludf.DUMMYFUNCTION("""COMPUTED_VALUE"""),28.62435591126172)</f>
        <v>28.62435591</v>
      </c>
      <c r="K9" s="175" t="str">
        <f>IFERROR(__xludf.DUMMYFUNCTION("""COMPUTED_VALUE"""),"AP")</f>
        <v>AP</v>
      </c>
      <c r="L9" s="176">
        <f>IFERROR(__xludf.DUMMYFUNCTION("""COMPUTED_VALUE"""),31.441755503253496)</f>
        <v>31.4417555</v>
      </c>
      <c r="M9" s="175" t="str">
        <f>IFERROR(__xludf.DUMMYFUNCTION("""COMPUTED_VALUE"""),"％")</f>
        <v>％</v>
      </c>
      <c r="N9" s="172">
        <f>IFERROR(__xludf.DUMMYFUNCTION("""COMPUTED_VALUE"""),233.0)</f>
        <v>233</v>
      </c>
      <c r="O9" s="168"/>
      <c r="P9" s="177" t="str">
        <f>IFERROR(__xludf.DUMMYFUNCTION("""COMPUTED_VALUE"""),"")</f>
        <v/>
      </c>
      <c r="Q9" s="166"/>
      <c r="R9" s="178"/>
      <c r="S9" s="168"/>
      <c r="T9" s="169">
        <f>IFERROR(__xludf.DUMMYFUNCTION("""COMPUTED_VALUE"""),5.0)</f>
        <v>5</v>
      </c>
      <c r="U9" s="170" t="str">
        <f>IFERROR(__xludf.DUMMYFUNCTION("""COMPUTED_VALUE"""),"CML10")</f>
        <v>CML10</v>
      </c>
      <c r="V9" s="51" t="str">
        <f>IFERROR(__xludf.DUMMYFUNCTION("""COMPUTED_VALUE"""),"Camelot")</f>
        <v>Camelot</v>
      </c>
      <c r="W9" s="171" t="str">
        <f>IFERROR(__xludf.DUMMYFUNCTION("""COMPUTED_VALUE"""),"Holy City")</f>
        <v>Holy City</v>
      </c>
      <c r="X9" s="172">
        <f>IFERROR(__xludf.DUMMYFUNCTION("""COMPUTED_VALUE"""),20.0)</f>
        <v>20</v>
      </c>
      <c r="Y9" s="173">
        <f>IFERROR(__xludf.DUMMYFUNCTION("""COMPUTED_VALUE"""),45.4)</f>
        <v>45.4</v>
      </c>
      <c r="Z9" s="174">
        <f>IFERROR(__xludf.DUMMYFUNCTION("""COMPUTED_VALUE"""),610.5974794570805)</f>
        <v>610.5974795</v>
      </c>
      <c r="AA9" s="175" t="str">
        <f>IFERROR(__xludf.DUMMYFUNCTION("""COMPUTED_VALUE"""),"AP")</f>
        <v>AP</v>
      </c>
      <c r="AB9" s="176">
        <f>IFERROR(__xludf.DUMMYFUNCTION("""COMPUTED_VALUE"""),3.2754802751205627)</f>
        <v>3.275480275</v>
      </c>
      <c r="AC9" s="175" t="str">
        <f>IFERROR(__xludf.DUMMYFUNCTION("""COMPUTED_VALUE"""),"％")</f>
        <v>％</v>
      </c>
      <c r="AD9" s="172">
        <f>IFERROR(__xludf.DUMMYFUNCTION("""COMPUTED_VALUE"""),25298.0)</f>
        <v>25298</v>
      </c>
      <c r="AE9" s="168"/>
      <c r="AF9" s="98" t="str">
        <f>IFERROR(__xludf.DUMMYFUNCTION("""COMPUTED_VALUE"""),"")</f>
        <v/>
      </c>
    </row>
    <row r="10" ht="16.5" customHeight="1">
      <c r="A10" s="61" t="str">
        <f>IFERROR(__xludf.DUMMYFUNCTION("""COMPUTED_VALUE"""),"")</f>
        <v/>
      </c>
      <c r="B10" s="179" t="str">
        <f>IFERROR(__xludf.DUMMYFUNCTION("""COMPUTED_VALUE"""),"A302")</f>
        <v>A302</v>
      </c>
      <c r="C10" s="180" t="str">
        <f>IFERROR(__xludf.DUMMYFUNCTION("""COMPUTED_VALUE"""),"Evil Bone")</f>
        <v>Evil Bone</v>
      </c>
      <c r="D10" s="181">
        <f>IFERROR(__xludf.DUMMYFUNCTION("""COMPUTED_VALUE"""),1.0)</f>
        <v>1</v>
      </c>
      <c r="E10" s="182" t="str">
        <f>IFERROR(__xludf.DUMMYFUNCTION("""COMPUTED_VALUE"""),"FUY3")</f>
        <v>FUY3</v>
      </c>
      <c r="F10" s="184" t="str">
        <f>IFERROR(__xludf.DUMMYFUNCTION("""COMPUTED_VALUE"""),"Fuyuki")</f>
        <v>Fuyuki</v>
      </c>
      <c r="G10" s="189" t="str">
        <f>IFERROR(__xludf.DUMMYFUNCTION("""COMPUTED_VALUE"""),"Unknown Coordinates X-C")</f>
        <v>Unknown Coordinates X-C</v>
      </c>
      <c r="H10" s="190">
        <f>IFERROR(__xludf.DUMMYFUNCTION("""COMPUTED_VALUE"""),4.0)</f>
        <v>4</v>
      </c>
      <c r="I10" s="191">
        <f>IFERROR(__xludf.DUMMYFUNCTION("""COMPUTED_VALUE"""),23.0)</f>
        <v>23</v>
      </c>
      <c r="J10" s="192">
        <f>IFERROR(__xludf.DUMMYFUNCTION("""COMPUTED_VALUE"""),22.28852816644393)</f>
        <v>22.28852817</v>
      </c>
      <c r="K10" s="194" t="str">
        <f>IFERROR(__xludf.DUMMYFUNCTION("""COMPUTED_VALUE"""),"AP")</f>
        <v>AP</v>
      </c>
      <c r="L10" s="192">
        <f>IFERROR(__xludf.DUMMYFUNCTION("""COMPUTED_VALUE"""),17.94645196008108)</f>
        <v>17.94645196</v>
      </c>
      <c r="M10" s="194" t="str">
        <f>IFERROR(__xludf.DUMMYFUNCTION("""COMPUTED_VALUE"""),"％")</f>
        <v>％</v>
      </c>
      <c r="N10" s="190">
        <f>IFERROR(__xludf.DUMMYFUNCTION("""COMPUTED_VALUE"""),35891.0)</f>
        <v>35891</v>
      </c>
      <c r="O10" s="197" t="str">
        <f>IFERROR(__xludf.DUMMYFUNCTION("""COMPUTED_VALUE"""),"Evil Bone")</f>
        <v>Evil Bone</v>
      </c>
      <c r="P10" s="93" t="str">
        <f>IFERROR(__xludf.DUMMYFUNCTION("""COMPUTED_VALUE"""),"")</f>
        <v/>
      </c>
      <c r="Q10" s="61" t="str">
        <f>IFERROR(__xludf.DUMMYFUNCTION("""COMPUTED_VALUE"""),"")</f>
        <v/>
      </c>
      <c r="R10" s="199" t="str">
        <f>IFERROR(__xludf.DUMMYFUNCTION("""COMPUTED_VALUE"""),"B102")</f>
        <v>B102</v>
      </c>
      <c r="S10" s="180" t="str">
        <f>IFERROR(__xludf.DUMMYFUNCTION("""COMPUTED_VALUE"""),"Secret Gem of Archer")</f>
        <v>Secret Gem of Archer</v>
      </c>
      <c r="T10" s="181">
        <f>IFERROR(__xludf.DUMMYFUNCTION("""COMPUTED_VALUE"""),1.0)</f>
        <v>1</v>
      </c>
      <c r="U10" s="182" t="str">
        <f>IFERROR(__xludf.DUMMYFUNCTION("""COMPUTED_VALUE"""),"TRF4")</f>
        <v>TRF4</v>
      </c>
      <c r="V10" s="184" t="str">
        <f>IFERROR(__xludf.DUMMYFUNCTION("""COMPUTED_VALUE"""),"Chaldea Gate (Mon)")</f>
        <v>Chaldea Gate (Mon)</v>
      </c>
      <c r="W10" s="184" t="str">
        <f>IFERROR(__xludf.DUMMYFUNCTION("""COMPUTED_VALUE"""),"MON Archer Training Ground- Exp")</f>
        <v>MON Archer Training Ground- Exp</v>
      </c>
      <c r="X10" s="190">
        <f>IFERROR(__xludf.DUMMYFUNCTION("""COMPUTED_VALUE"""),40.0)</f>
        <v>40</v>
      </c>
      <c r="Y10" s="191">
        <f>IFERROR(__xludf.DUMMYFUNCTION("""COMPUTED_VALUE"""),19.7)</f>
        <v>19.7</v>
      </c>
      <c r="Z10" s="192">
        <f>IFERROR(__xludf.DUMMYFUNCTION("""COMPUTED_VALUE"""),136.00532764159905)</f>
        <v>136.0053276</v>
      </c>
      <c r="AA10" s="194" t="str">
        <f>IFERROR(__xludf.DUMMYFUNCTION("""COMPUTED_VALUE"""),"AP")</f>
        <v>AP</v>
      </c>
      <c r="AB10" s="192">
        <f>IFERROR(__xludf.DUMMYFUNCTION("""COMPUTED_VALUE"""),29.410612579389472)</f>
        <v>29.41061258</v>
      </c>
      <c r="AC10" s="194" t="str">
        <f>IFERROR(__xludf.DUMMYFUNCTION("""COMPUTED_VALUE"""),"％")</f>
        <v>％</v>
      </c>
      <c r="AD10" s="190">
        <f>IFERROR(__xludf.DUMMYFUNCTION("""COMPUTED_VALUE"""),9762.0)</f>
        <v>9762</v>
      </c>
      <c r="AE10" s="197" t="str">
        <f>IFERROR(__xludf.DUMMYFUNCTION("""COMPUTED_VALUE"""),"Secret Gem of Archer")</f>
        <v>Secret Gem of Archer</v>
      </c>
      <c r="AF10" s="98" t="str">
        <f>IFERROR(__xludf.DUMMYFUNCTION("""COMPUTED_VALUE"""),"")</f>
        <v/>
      </c>
    </row>
    <row r="11" ht="16.5" customHeight="1">
      <c r="B11" s="203"/>
      <c r="C11" s="204"/>
      <c r="D11" s="205">
        <f>IFERROR(__xludf.DUMMYFUNCTION("""COMPUTED_VALUE"""),2.0)</f>
        <v>2</v>
      </c>
      <c r="E11" s="206" t="str">
        <f>IFERROR(__xludf.DUMMYFUNCTION("""COMPUTED_VALUE"""),"FUY7")</f>
        <v>FUY7</v>
      </c>
      <c r="F11" s="207" t="str">
        <f>IFERROR(__xludf.DUMMYFUNCTION("""COMPUTED_VALUE"""),"Fuyuki")</f>
        <v>Fuyuki</v>
      </c>
      <c r="G11" s="209" t="str">
        <f>IFERROR(__xludf.DUMMYFUNCTION("""COMPUTED_VALUE"""),"Unknown Coordinates X-G")</f>
        <v>Unknown Coordinates X-G</v>
      </c>
      <c r="H11" s="211">
        <f>IFERROR(__xludf.DUMMYFUNCTION("""COMPUTED_VALUE"""),15.0)</f>
        <v>15</v>
      </c>
      <c r="I11" s="213">
        <f>IFERROR(__xludf.DUMMYFUNCTION("""COMPUTED_VALUE"""),36.53333333333333)</f>
        <v>36.53333333</v>
      </c>
      <c r="J11" s="214">
        <f>IFERROR(__xludf.DUMMYFUNCTION("""COMPUTED_VALUE"""),23.559001689141617)</f>
        <v>23.55900169</v>
      </c>
      <c r="K11" s="215" t="str">
        <f>IFERROR(__xludf.DUMMYFUNCTION("""COMPUTED_VALUE"""),"AP")</f>
        <v>AP</v>
      </c>
      <c r="L11" s="214">
        <f>IFERROR(__xludf.DUMMYFUNCTION("""COMPUTED_VALUE"""),63.66993049163678)</f>
        <v>63.66993049</v>
      </c>
      <c r="M11" s="215" t="str">
        <f>IFERROR(__xludf.DUMMYFUNCTION("""COMPUTED_VALUE"""),"％")</f>
        <v>％</v>
      </c>
      <c r="N11" s="211">
        <f>IFERROR(__xludf.DUMMYFUNCTION("""COMPUTED_VALUE"""),63014.0)</f>
        <v>63014</v>
      </c>
      <c r="O11" s="217"/>
      <c r="P11" s="93" t="str">
        <f>IFERROR(__xludf.DUMMYFUNCTION("""COMPUTED_VALUE"""),"")</f>
        <v/>
      </c>
      <c r="R11" s="203"/>
      <c r="S11" s="204"/>
      <c r="T11" s="205">
        <f>IFERROR(__xludf.DUMMYFUNCTION("""COMPUTED_VALUE"""),2.0)</f>
        <v>2</v>
      </c>
      <c r="U11" s="206" t="str">
        <f>IFERROR(__xludf.DUMMYFUNCTION("""COMPUTED_VALUE"""),"TRF3")</f>
        <v>TRF3</v>
      </c>
      <c r="V11" s="207" t="str">
        <f>IFERROR(__xludf.DUMMYFUNCTION("""COMPUTED_VALUE"""),"Chaldea Gate (Mon)")</f>
        <v>Chaldea Gate (Mon)</v>
      </c>
      <c r="W11" s="207" t="str">
        <f>IFERROR(__xludf.DUMMYFUNCTION("""COMPUTED_VALUE"""),"MON Archer Training Ground- Adv")</f>
        <v>MON Archer Training Ground- Adv</v>
      </c>
      <c r="X11" s="211">
        <f>IFERROR(__xludf.DUMMYFUNCTION("""COMPUTED_VALUE"""),30.0)</f>
        <v>30</v>
      </c>
      <c r="Y11" s="213">
        <f>IFERROR(__xludf.DUMMYFUNCTION("""COMPUTED_VALUE"""),18.266666666666666)</f>
        <v>18.26666667</v>
      </c>
      <c r="Z11" s="214">
        <f>IFERROR(__xludf.DUMMYFUNCTION("""COMPUTED_VALUE"""),179.5196883670507)</f>
        <v>179.5196884</v>
      </c>
      <c r="AA11" s="215" t="str">
        <f>IFERROR(__xludf.DUMMYFUNCTION("""COMPUTED_VALUE"""),"AP")</f>
        <v>AP</v>
      </c>
      <c r="AB11" s="214">
        <f>IFERROR(__xludf.DUMMYFUNCTION("""COMPUTED_VALUE"""),16.711258955987716)</f>
        <v>16.71125896</v>
      </c>
      <c r="AC11" s="215" t="str">
        <f>IFERROR(__xludf.DUMMYFUNCTION("""COMPUTED_VALUE"""),"％")</f>
        <v>％</v>
      </c>
      <c r="AD11" s="211">
        <f>IFERROR(__xludf.DUMMYFUNCTION("""COMPUTED_VALUE"""),977.0)</f>
        <v>977</v>
      </c>
      <c r="AE11" s="217"/>
      <c r="AF11" s="98" t="str">
        <f>IFERROR(__xludf.DUMMYFUNCTION("""COMPUTED_VALUE"""),"")</f>
        <v/>
      </c>
    </row>
    <row r="12" ht="16.5" customHeight="1">
      <c r="B12" s="203"/>
      <c r="C12" s="204"/>
      <c r="D12" s="222">
        <f>IFERROR(__xludf.DUMMYFUNCTION("""COMPUTED_VALUE"""),3.0)</f>
        <v>3</v>
      </c>
      <c r="E12" s="223" t="str">
        <f>IFERROR(__xludf.DUMMYFUNCTION("""COMPUTED_VALUE"""),"FUY4")</f>
        <v>FUY4</v>
      </c>
      <c r="F12" s="224" t="str">
        <f>IFERROR(__xludf.DUMMYFUNCTION("""COMPUTED_VALUE"""),"Fuyuki")</f>
        <v>Fuyuki</v>
      </c>
      <c r="G12" s="226" t="str">
        <f>IFERROR(__xludf.DUMMYFUNCTION("""COMPUTED_VALUE"""),"Unknown Coordinates X-D")</f>
        <v>Unknown Coordinates X-D</v>
      </c>
      <c r="H12" s="228">
        <f>IFERROR(__xludf.DUMMYFUNCTION("""COMPUTED_VALUE"""),5.0)</f>
        <v>5</v>
      </c>
      <c r="I12" s="230">
        <f>IFERROR(__xludf.DUMMYFUNCTION("""COMPUTED_VALUE"""),23.2)</f>
        <v>23.2</v>
      </c>
      <c r="J12" s="231">
        <f>IFERROR(__xludf.DUMMYFUNCTION("""COMPUTED_VALUE"""),24.817102137767222)</f>
        <v>24.81710214</v>
      </c>
      <c r="K12" s="232" t="str">
        <f>IFERROR(__xludf.DUMMYFUNCTION("""COMPUTED_VALUE"""),"AP")</f>
        <v>AP</v>
      </c>
      <c r="L12" s="231">
        <f>IFERROR(__xludf.DUMMYFUNCTION("""COMPUTED_VALUE"""),20.14739663093415)</f>
        <v>20.14739663</v>
      </c>
      <c r="M12" s="232" t="str">
        <f>IFERROR(__xludf.DUMMYFUNCTION("""COMPUTED_VALUE"""),"％")</f>
        <v>％</v>
      </c>
      <c r="N12" s="228">
        <f>IFERROR(__xludf.DUMMYFUNCTION("""COMPUTED_VALUE"""),2612.0)</f>
        <v>2612</v>
      </c>
      <c r="O12" s="217"/>
      <c r="P12" s="93" t="str">
        <f>IFERROR(__xludf.DUMMYFUNCTION("""COMPUTED_VALUE"""),"")</f>
        <v/>
      </c>
      <c r="R12" s="203"/>
      <c r="S12" s="204"/>
      <c r="T12" s="222">
        <f>IFERROR(__xludf.DUMMYFUNCTION("""COMPUTED_VALUE"""),3.0)</f>
        <v>3</v>
      </c>
      <c r="U12" s="223" t="str">
        <f>IFERROR(__xludf.DUMMYFUNCTION("""COMPUTED_VALUE"""),"AGT9")</f>
        <v>AGT9</v>
      </c>
      <c r="V12" s="224" t="str">
        <f>IFERROR(__xludf.DUMMYFUNCTION("""COMPUTED_VALUE"""),"Agartha")</f>
        <v>Agartha</v>
      </c>
      <c r="W12" s="226" t="str">
        <f>IFERROR(__xludf.DUMMYFUNCTION("""COMPUTED_VALUE"""),"Palace of Dragon King")</f>
        <v>Palace of Dragon King</v>
      </c>
      <c r="X12" s="228">
        <f>IFERROR(__xludf.DUMMYFUNCTION("""COMPUTED_VALUE"""),21.0)</f>
        <v>21</v>
      </c>
      <c r="Y12" s="230">
        <f>IFERROR(__xludf.DUMMYFUNCTION("""COMPUTED_VALUE"""),47.80952380952381)</f>
        <v>47.80952381</v>
      </c>
      <c r="Z12" s="231">
        <f>IFERROR(__xludf.DUMMYFUNCTION("""COMPUTED_VALUE"""),430.53971303355945)</f>
        <v>430.539713</v>
      </c>
      <c r="AA12" s="232" t="str">
        <f>IFERROR(__xludf.DUMMYFUNCTION("""COMPUTED_VALUE"""),"AP")</f>
        <v>AP</v>
      </c>
      <c r="AB12" s="231">
        <f>IFERROR(__xludf.DUMMYFUNCTION("""COMPUTED_VALUE"""),4.877598828696925)</f>
        <v>4.877598829</v>
      </c>
      <c r="AC12" s="232" t="str">
        <f>IFERROR(__xludf.DUMMYFUNCTION("""COMPUTED_VALUE"""),"％")</f>
        <v>％</v>
      </c>
      <c r="AD12" s="228">
        <f>IFERROR(__xludf.DUMMYFUNCTION("""COMPUTED_VALUE"""),2732.0)</f>
        <v>2732</v>
      </c>
      <c r="AE12" s="217"/>
      <c r="AF12" s="98" t="str">
        <f>IFERROR(__xludf.DUMMYFUNCTION("""COMPUTED_VALUE"""),"")</f>
        <v/>
      </c>
    </row>
    <row r="13" ht="16.5" customHeight="1">
      <c r="B13" s="203"/>
      <c r="C13" s="204"/>
      <c r="D13" s="238">
        <f>IFERROR(__xludf.DUMMYFUNCTION("""COMPUTED_VALUE"""),4.0)</f>
        <v>4</v>
      </c>
      <c r="E13" s="240" t="str">
        <f>IFERROR(__xludf.DUMMYFUNCTION("""COMPUTED_VALUE"""),"FUY2")</f>
        <v>FUY2</v>
      </c>
      <c r="F13" s="242" t="str">
        <f>IFERROR(__xludf.DUMMYFUNCTION("""COMPUTED_VALUE"""),"Fuyuki")</f>
        <v>Fuyuki</v>
      </c>
      <c r="G13" s="244" t="str">
        <f>IFERROR(__xludf.DUMMYFUNCTION("""COMPUTED_VALUE"""),"Unknown Coordinates X-B")</f>
        <v>Unknown Coordinates X-B</v>
      </c>
      <c r="H13" s="246">
        <f>IFERROR(__xludf.DUMMYFUNCTION("""COMPUTED_VALUE"""),4.0)</f>
        <v>4</v>
      </c>
      <c r="I13" s="248">
        <f>IFERROR(__xludf.DUMMYFUNCTION("""COMPUTED_VALUE"""),23.0)</f>
        <v>23</v>
      </c>
      <c r="J13" s="250">
        <f>IFERROR(__xludf.DUMMYFUNCTION("""COMPUTED_VALUE"""),25.895802711089335)</f>
        <v>25.89580271</v>
      </c>
      <c r="K13" s="252" t="str">
        <f>IFERROR(__xludf.DUMMYFUNCTION("""COMPUTED_VALUE"""),"AP")</f>
        <v>AP</v>
      </c>
      <c r="L13" s="250">
        <f>IFERROR(__xludf.DUMMYFUNCTION("""COMPUTED_VALUE"""),15.446518668012109)</f>
        <v>15.44651867</v>
      </c>
      <c r="M13" s="252" t="str">
        <f>IFERROR(__xludf.DUMMYFUNCTION("""COMPUTED_VALUE"""),"％")</f>
        <v>％</v>
      </c>
      <c r="N13" s="246">
        <f>IFERROR(__xludf.DUMMYFUNCTION("""COMPUTED_VALUE"""),991.0)</f>
        <v>991</v>
      </c>
      <c r="O13" s="217"/>
      <c r="P13" s="177" t="str">
        <f>IFERROR(__xludf.DUMMYFUNCTION("""COMPUTED_VALUE"""),"")</f>
        <v/>
      </c>
      <c r="R13" s="203"/>
      <c r="S13" s="204"/>
      <c r="T13" s="238">
        <f>IFERROR(__xludf.DUMMYFUNCTION("""COMPUTED_VALUE"""),4.0)</f>
        <v>4</v>
      </c>
      <c r="U13" s="240" t="str">
        <f>IFERROR(__xludf.DUMMYFUNCTION("""COMPUTED_VALUE"""),"EPU14")</f>
        <v>EPU14</v>
      </c>
      <c r="V13" s="242" t="str">
        <f>IFERROR(__xludf.DUMMYFUNCTION("""COMPUTED_VALUE"""),"E Pluribus Unum")</f>
        <v>E Pluribus Unum</v>
      </c>
      <c r="W13" s="244" t="str">
        <f>IFERROR(__xludf.DUMMYFUNCTION("""COMPUTED_VALUE"""),"Chicago")</f>
        <v>Chicago</v>
      </c>
      <c r="X13" s="246">
        <f>IFERROR(__xludf.DUMMYFUNCTION("""COMPUTED_VALUE"""),21.0)</f>
        <v>21</v>
      </c>
      <c r="Y13" s="248">
        <f>IFERROR(__xludf.DUMMYFUNCTION("""COMPUTED_VALUE"""),46.666666666666664)</f>
        <v>46.66666667</v>
      </c>
      <c r="Z13" s="250">
        <f>IFERROR(__xludf.DUMMYFUNCTION("""COMPUTED_VALUE"""),532.0943342214784)</f>
        <v>532.0943342</v>
      </c>
      <c r="AA13" s="252" t="str">
        <f>IFERROR(__xludf.DUMMYFUNCTION("""COMPUTED_VALUE"""),"AP")</f>
        <v>AP</v>
      </c>
      <c r="AB13" s="250">
        <f>IFERROR(__xludf.DUMMYFUNCTION("""COMPUTED_VALUE"""),3.9466685979142526)</f>
        <v>3.946668598</v>
      </c>
      <c r="AC13" s="252" t="str">
        <f>IFERROR(__xludf.DUMMYFUNCTION("""COMPUTED_VALUE"""),"％")</f>
        <v>％</v>
      </c>
      <c r="AD13" s="246">
        <f>IFERROR(__xludf.DUMMYFUNCTION("""COMPUTED_VALUE"""),3452.0)</f>
        <v>3452</v>
      </c>
      <c r="AE13" s="217"/>
      <c r="AF13" s="98" t="str">
        <f>IFERROR(__xludf.DUMMYFUNCTION("""COMPUTED_VALUE"""),"")</f>
        <v/>
      </c>
    </row>
    <row r="14" ht="16.5" customHeight="1">
      <c r="A14" s="166"/>
      <c r="B14" s="254"/>
      <c r="C14" s="255"/>
      <c r="D14" s="256">
        <f>IFERROR(__xludf.DUMMYFUNCTION("""COMPUTED_VALUE"""),5.0)</f>
        <v>5</v>
      </c>
      <c r="E14" s="257" t="str">
        <f>IFERROR(__xludf.DUMMYFUNCTION("""COMPUTED_VALUE"""),"FUY5")</f>
        <v>FUY5</v>
      </c>
      <c r="F14" s="42" t="str">
        <f>IFERROR(__xludf.DUMMYFUNCTION("""COMPUTED_VALUE"""),"Fuyuki")</f>
        <v>Fuyuki</v>
      </c>
      <c r="G14" s="258" t="str">
        <f>IFERROR(__xludf.DUMMYFUNCTION("""COMPUTED_VALUE"""),"Unknown Coordinates X-E")</f>
        <v>Unknown Coordinates X-E</v>
      </c>
      <c r="H14" s="259">
        <f>IFERROR(__xludf.DUMMYFUNCTION("""COMPUTED_VALUE"""),5.0)</f>
        <v>5</v>
      </c>
      <c r="I14" s="260">
        <f>IFERROR(__xludf.DUMMYFUNCTION("""COMPUTED_VALUE"""),28.0)</f>
        <v>28</v>
      </c>
      <c r="J14" s="261">
        <f>IFERROR(__xludf.DUMMYFUNCTION("""COMPUTED_VALUE"""),29.20799359466658)</f>
        <v>29.20799359</v>
      </c>
      <c r="K14" s="262" t="str">
        <f>IFERROR(__xludf.DUMMYFUNCTION("""COMPUTED_VALUE"""),"AP")</f>
        <v>AP</v>
      </c>
      <c r="L14" s="261">
        <f>IFERROR(__xludf.DUMMYFUNCTION("""COMPUTED_VALUE"""),17.1186013986014)</f>
        <v>17.1186014</v>
      </c>
      <c r="M14" s="262" t="str">
        <f>IFERROR(__xludf.DUMMYFUNCTION("""COMPUTED_VALUE"""),"％")</f>
        <v>％</v>
      </c>
      <c r="N14" s="259">
        <f>IFERROR(__xludf.DUMMYFUNCTION("""COMPUTED_VALUE"""),2860.0)</f>
        <v>2860</v>
      </c>
      <c r="O14" s="263"/>
      <c r="P14" s="93" t="str">
        <f>IFERROR(__xludf.DUMMYFUNCTION("""COMPUTED_VALUE"""),"")</f>
        <v/>
      </c>
      <c r="Q14" s="166"/>
      <c r="R14" s="254"/>
      <c r="S14" s="255"/>
      <c r="T14" s="256">
        <f>IFERROR(__xludf.DUMMYFUNCTION("""COMPUTED_VALUE"""),5.0)</f>
        <v>5</v>
      </c>
      <c r="U14" s="257" t="str">
        <f>IFERROR(__xludf.DUMMYFUNCTION("""COMPUTED_VALUE"""),"CML13")</f>
        <v>CML13</v>
      </c>
      <c r="V14" s="42" t="str">
        <f>IFERROR(__xludf.DUMMYFUNCTION("""COMPUTED_VALUE"""),"Camelot")</f>
        <v>Camelot</v>
      </c>
      <c r="W14" s="258" t="str">
        <f>IFERROR(__xludf.DUMMYFUNCTION("""COMPUTED_VALUE"""),"Land of the Void")</f>
        <v>Land of the Void</v>
      </c>
      <c r="X14" s="259">
        <f>IFERROR(__xludf.DUMMYFUNCTION("""COMPUTED_VALUE"""),22.0)</f>
        <v>22</v>
      </c>
      <c r="Y14" s="260">
        <f>IFERROR(__xludf.DUMMYFUNCTION("""COMPUTED_VALUE"""),47.81818181818182)</f>
        <v>47.81818182</v>
      </c>
      <c r="Z14" s="261">
        <f>IFERROR(__xludf.DUMMYFUNCTION("""COMPUTED_VALUE"""),671.8968102155818)</f>
        <v>671.8968102</v>
      </c>
      <c r="AA14" s="262" t="str">
        <f>IFERROR(__xludf.DUMMYFUNCTION("""COMPUTED_VALUE"""),"AP")</f>
        <v>AP</v>
      </c>
      <c r="AB14" s="261">
        <f>IFERROR(__xludf.DUMMYFUNCTION("""COMPUTED_VALUE"""),3.274312314853999)</f>
        <v>3.274312315</v>
      </c>
      <c r="AC14" s="262" t="str">
        <f>IFERROR(__xludf.DUMMYFUNCTION("""COMPUTED_VALUE"""),"％")</f>
        <v>％</v>
      </c>
      <c r="AD14" s="259">
        <f>IFERROR(__xludf.DUMMYFUNCTION("""COMPUTED_VALUE"""),4726.0)</f>
        <v>4726</v>
      </c>
      <c r="AE14" s="263"/>
      <c r="AF14" s="98" t="str">
        <f>IFERROR(__xludf.DUMMYFUNCTION("""COMPUTED_VALUE"""),"")</f>
        <v/>
      </c>
    </row>
    <row r="15" ht="16.5" customHeight="1">
      <c r="A15" s="61" t="str">
        <f>IFERROR(__xludf.DUMMYFUNCTION("""COMPUTED_VALUE"""),"")</f>
        <v/>
      </c>
      <c r="B15" s="265" t="str">
        <f>IFERROR(__xludf.DUMMYFUNCTION("""COMPUTED_VALUE"""),"A303")</f>
        <v>A303</v>
      </c>
      <c r="C15" s="65" t="str">
        <f>IFERROR(__xludf.DUMMYFUNCTION("""COMPUTED_VALUE"""),"Dragon Fang")</f>
        <v>Dragon Fang</v>
      </c>
      <c r="D15" s="67">
        <f>IFERROR(__xludf.DUMMYFUNCTION("""COMPUTED_VALUE"""),1.0)</f>
        <v>1</v>
      </c>
      <c r="E15" s="69" t="str">
        <f>IFERROR(__xludf.DUMMYFUNCTION("""COMPUTED_VALUE"""),"EPU4")</f>
        <v>EPU4</v>
      </c>
      <c r="F15" s="71" t="str">
        <f>IFERROR(__xludf.DUMMYFUNCTION("""COMPUTED_VALUE"""),"E Pluribus Unum")</f>
        <v>E Pluribus Unum</v>
      </c>
      <c r="G15" s="78" t="str">
        <f>IFERROR(__xludf.DUMMYFUNCTION("""COMPUTED_VALUE"""),"Deming")</f>
        <v>Deming</v>
      </c>
      <c r="H15" s="80">
        <f>IFERROR(__xludf.DUMMYFUNCTION("""COMPUTED_VALUE"""),17.0)</f>
        <v>17</v>
      </c>
      <c r="I15" s="82">
        <f>IFERROR(__xludf.DUMMYFUNCTION("""COMPUTED_VALUE"""),42.11764705882353)</f>
        <v>42.11764706</v>
      </c>
      <c r="J15" s="84">
        <f>IFERROR(__xludf.DUMMYFUNCTION("""COMPUTED_VALUE"""),27.1952556972115)</f>
        <v>27.1952557</v>
      </c>
      <c r="K15" s="86" t="str">
        <f>IFERROR(__xludf.DUMMYFUNCTION("""COMPUTED_VALUE"""),"AP")</f>
        <v>AP</v>
      </c>
      <c r="L15" s="88">
        <f>IFERROR(__xludf.DUMMYFUNCTION("""COMPUTED_VALUE"""),62.510903332830644)</f>
        <v>62.51090333</v>
      </c>
      <c r="M15" s="86" t="str">
        <f>IFERROR(__xludf.DUMMYFUNCTION("""COMPUTED_VALUE"""),"％")</f>
        <v>％</v>
      </c>
      <c r="N15" s="80">
        <f>IFERROR(__xludf.DUMMYFUNCTION("""COMPUTED_VALUE"""),6631.0)</f>
        <v>6631</v>
      </c>
      <c r="O15" s="91" t="str">
        <f>IFERROR(__xludf.DUMMYFUNCTION("""COMPUTED_VALUE"""),"Dragon Fang")</f>
        <v>Dragon Fang</v>
      </c>
      <c r="P15" s="93" t="str">
        <f>IFERROR(__xludf.DUMMYFUNCTION("""COMPUTED_VALUE"""),"")</f>
        <v/>
      </c>
      <c r="Q15" s="61" t="str">
        <f>IFERROR(__xludf.DUMMYFUNCTION("""COMPUTED_VALUE"""),"")</f>
        <v/>
      </c>
      <c r="R15" s="267" t="str">
        <f>IFERROR(__xludf.DUMMYFUNCTION("""COMPUTED_VALUE"""),"B103")</f>
        <v>B103</v>
      </c>
      <c r="S15" s="65" t="str">
        <f>IFERROR(__xludf.DUMMYFUNCTION("""COMPUTED_VALUE"""),"Secret Gem of Lancer")</f>
        <v>Secret Gem of Lancer</v>
      </c>
      <c r="T15" s="67">
        <f>IFERROR(__xludf.DUMMYFUNCTION("""COMPUTED_VALUE"""),1.0)</f>
        <v>1</v>
      </c>
      <c r="U15" s="69" t="str">
        <f>IFERROR(__xludf.DUMMYFUNCTION("""COMPUTED_VALUE"""),"TRF8")</f>
        <v>TRF8</v>
      </c>
      <c r="V15" s="71" t="str">
        <f>IFERROR(__xludf.DUMMYFUNCTION("""COMPUTED_VALUE"""),"Chaldea Gate (Tue)")</f>
        <v>Chaldea Gate (Tue)</v>
      </c>
      <c r="W15" s="71" t="str">
        <f>IFERROR(__xludf.DUMMYFUNCTION("""COMPUTED_VALUE"""),"TUE Lancer Training Ground- Exp")</f>
        <v>TUE Lancer Training Ground- Exp</v>
      </c>
      <c r="X15" s="80">
        <f>IFERROR(__xludf.DUMMYFUNCTION("""COMPUTED_VALUE"""),40.0)</f>
        <v>40</v>
      </c>
      <c r="Y15" s="82">
        <f>IFERROR(__xludf.DUMMYFUNCTION("""COMPUTED_VALUE"""),19.7)</f>
        <v>19.7</v>
      </c>
      <c r="Z15" s="84">
        <f>IFERROR(__xludf.DUMMYFUNCTION("""COMPUTED_VALUE"""),146.11168715745816)</f>
        <v>146.1116872</v>
      </c>
      <c r="AA15" s="86" t="str">
        <f>IFERROR(__xludf.DUMMYFUNCTION("""COMPUTED_VALUE"""),"AP")</f>
        <v>AP</v>
      </c>
      <c r="AB15" s="88">
        <f>IFERROR(__xludf.DUMMYFUNCTION("""COMPUTED_VALUE"""),27.376317923763178)</f>
        <v>27.37631792</v>
      </c>
      <c r="AC15" s="86" t="str">
        <f>IFERROR(__xludf.DUMMYFUNCTION("""COMPUTED_VALUE"""),"％")</f>
        <v>％</v>
      </c>
      <c r="AD15" s="80">
        <f>IFERROR(__xludf.DUMMYFUNCTION("""COMPUTED_VALUE"""),6165.0)</f>
        <v>6165</v>
      </c>
      <c r="AE15" s="91" t="str">
        <f>IFERROR(__xludf.DUMMYFUNCTION("""COMPUTED_VALUE"""),"Secret Gem of Lancer")</f>
        <v>Secret Gem of Lancer</v>
      </c>
      <c r="AF15" s="98" t="str">
        <f>IFERROR(__xludf.DUMMYFUNCTION("""COMPUTED_VALUE"""),"")</f>
        <v/>
      </c>
    </row>
    <row r="16" ht="16.5" customHeight="1">
      <c r="B16" s="268"/>
      <c r="C16" s="100"/>
      <c r="D16" s="102">
        <f>IFERROR(__xludf.DUMMYFUNCTION("""COMPUTED_VALUE"""),2.0)</f>
        <v>2</v>
      </c>
      <c r="E16" s="103" t="str">
        <f>IFERROR(__xludf.DUMMYFUNCTION("""COMPUTED_VALUE"""),"OKN7")</f>
        <v>OKN7</v>
      </c>
      <c r="F16" s="104" t="str">
        <f>IFERROR(__xludf.DUMMYFUNCTION("""COMPUTED_VALUE"""),"Okeanos")</f>
        <v>Okeanos</v>
      </c>
      <c r="G16" s="108" t="str">
        <f>IFERROR(__xludf.DUMMYFUNCTION("""COMPUTED_VALUE"""),"Island of Wyverns")</f>
        <v>Island of Wyverns</v>
      </c>
      <c r="H16" s="109">
        <f>IFERROR(__xludf.DUMMYFUNCTION("""COMPUTED_VALUE"""),14.0)</f>
        <v>14</v>
      </c>
      <c r="I16" s="110">
        <f>IFERROR(__xludf.DUMMYFUNCTION("""COMPUTED_VALUE"""),37.42857142857143)</f>
        <v>37.42857143</v>
      </c>
      <c r="J16" s="112">
        <f>IFERROR(__xludf.DUMMYFUNCTION("""COMPUTED_VALUE"""),27.554131390731524)</f>
        <v>27.55413139</v>
      </c>
      <c r="K16" s="121" t="str">
        <f>IFERROR(__xludf.DUMMYFUNCTION("""COMPUTED_VALUE"""),"AP")</f>
        <v>AP</v>
      </c>
      <c r="L16" s="123">
        <f>IFERROR(__xludf.DUMMYFUNCTION("""COMPUTED_VALUE"""),50.80907759882871)</f>
        <v>50.8090776</v>
      </c>
      <c r="M16" s="121" t="str">
        <f>IFERROR(__xludf.DUMMYFUNCTION("""COMPUTED_VALUE"""),"％")</f>
        <v>％</v>
      </c>
      <c r="N16" s="109">
        <f>IFERROR(__xludf.DUMMYFUNCTION("""COMPUTED_VALUE"""),2049.0)</f>
        <v>2049</v>
      </c>
      <c r="O16" s="100"/>
      <c r="P16" s="93" t="str">
        <f>IFERROR(__xludf.DUMMYFUNCTION("""COMPUTED_VALUE"""),"")</f>
        <v/>
      </c>
      <c r="R16" s="268"/>
      <c r="S16" s="100"/>
      <c r="T16" s="102">
        <f>IFERROR(__xludf.DUMMYFUNCTION("""COMPUTED_VALUE"""),2.0)</f>
        <v>2</v>
      </c>
      <c r="U16" s="103" t="str">
        <f>IFERROR(__xludf.DUMMYFUNCTION("""COMPUTED_VALUE"""),"TRF7")</f>
        <v>TRF7</v>
      </c>
      <c r="V16" s="104" t="str">
        <f>IFERROR(__xludf.DUMMYFUNCTION("""COMPUTED_VALUE"""),"Chaldea Gate (Tue)")</f>
        <v>Chaldea Gate (Tue)</v>
      </c>
      <c r="W16" s="104" t="str">
        <f>IFERROR(__xludf.DUMMYFUNCTION("""COMPUTED_VALUE"""),"TUE Lancer Training Ground- Adv")</f>
        <v>TUE Lancer Training Ground- Adv</v>
      </c>
      <c r="X16" s="109">
        <f>IFERROR(__xludf.DUMMYFUNCTION("""COMPUTED_VALUE"""),30.0)</f>
        <v>30</v>
      </c>
      <c r="Y16" s="110">
        <f>IFERROR(__xludf.DUMMYFUNCTION("""COMPUTED_VALUE"""),18.266666666666666)</f>
        <v>18.26666667</v>
      </c>
      <c r="Z16" s="112">
        <f>IFERROR(__xludf.DUMMYFUNCTION("""COMPUTED_VALUE"""),173.20417560301277)</f>
        <v>173.2041756</v>
      </c>
      <c r="AA16" s="121" t="str">
        <f>IFERROR(__xludf.DUMMYFUNCTION("""COMPUTED_VALUE"""),"AP")</f>
        <v>AP</v>
      </c>
      <c r="AB16" s="123">
        <f>IFERROR(__xludf.DUMMYFUNCTION("""COMPUTED_VALUE"""),17.320598591549295)</f>
        <v>17.32059859</v>
      </c>
      <c r="AC16" s="121" t="str">
        <f>IFERROR(__xludf.DUMMYFUNCTION("""COMPUTED_VALUE"""),"％")</f>
        <v>％</v>
      </c>
      <c r="AD16" s="109">
        <f>IFERROR(__xludf.DUMMYFUNCTION("""COMPUTED_VALUE"""),1136.0)</f>
        <v>1136</v>
      </c>
      <c r="AE16" s="100"/>
      <c r="AF16" s="98" t="str">
        <f>IFERROR(__xludf.DUMMYFUNCTION("""COMPUTED_VALUE"""),"")</f>
        <v/>
      </c>
    </row>
    <row r="17" ht="16.5" customHeight="1">
      <c r="B17" s="268"/>
      <c r="C17" s="100"/>
      <c r="D17" s="130">
        <f>IFERROR(__xludf.DUMMYFUNCTION("""COMPUTED_VALUE"""),3.0)</f>
        <v>3</v>
      </c>
      <c r="E17" s="132" t="str">
        <f>IFERROR(__xludf.DUMMYFUNCTION("""COMPUTED_VALUE"""),"BBL7")</f>
        <v>BBL7</v>
      </c>
      <c r="F17" s="133" t="str">
        <f>IFERROR(__xludf.DUMMYFUNCTION("""COMPUTED_VALUE"""),"Babylonia")</f>
        <v>Babylonia</v>
      </c>
      <c r="G17" s="135" t="str">
        <f>IFERROR(__xludf.DUMMYFUNCTION("""COMPUTED_VALUE"""),"Eridu")</f>
        <v>Eridu</v>
      </c>
      <c r="H17" s="137">
        <f>IFERROR(__xludf.DUMMYFUNCTION("""COMPUTED_VALUE"""),21.0)</f>
        <v>21</v>
      </c>
      <c r="I17" s="139">
        <f>IFERROR(__xludf.DUMMYFUNCTION("""COMPUTED_VALUE"""),45.523809523809526)</f>
        <v>45.52380952</v>
      </c>
      <c r="J17" s="141">
        <f>IFERROR(__xludf.DUMMYFUNCTION("""COMPUTED_VALUE"""),31.75223661940714)</f>
        <v>31.75223662</v>
      </c>
      <c r="K17" s="143" t="str">
        <f>IFERROR(__xludf.DUMMYFUNCTION("""COMPUTED_VALUE"""),"AP")</f>
        <v>AP</v>
      </c>
      <c r="L17" s="145">
        <f>IFERROR(__xludf.DUMMYFUNCTION("""COMPUTED_VALUE"""),66.1370732767993)</f>
        <v>66.13707328</v>
      </c>
      <c r="M17" s="143" t="str">
        <f>IFERROR(__xludf.DUMMYFUNCTION("""COMPUTED_VALUE"""),"％")</f>
        <v>％</v>
      </c>
      <c r="N17" s="137">
        <f>IFERROR(__xludf.DUMMYFUNCTION("""COMPUTED_VALUE"""),9198.0)</f>
        <v>9198</v>
      </c>
      <c r="O17" s="100"/>
      <c r="P17" s="177" t="str">
        <f>IFERROR(__xludf.DUMMYFUNCTION("""COMPUTED_VALUE"""),"")</f>
        <v/>
      </c>
      <c r="R17" s="268"/>
      <c r="S17" s="100"/>
      <c r="T17" s="130">
        <f>IFERROR(__xludf.DUMMYFUNCTION("""COMPUTED_VALUE"""),3.0)</f>
        <v>3</v>
      </c>
      <c r="U17" s="132" t="str">
        <f>IFERROR(__xludf.DUMMYFUNCTION("""COMPUTED_VALUE"""),"SMS6")</f>
        <v>SMS6</v>
      </c>
      <c r="V17" s="133" t="str">
        <f>IFERROR(__xludf.DUMMYFUNCTION("""COMPUTED_VALUE"""),"Shimosa")</f>
        <v>Shimosa</v>
      </c>
      <c r="W17" s="135" t="str">
        <f>IFERROR(__xludf.DUMMYFUNCTION("""COMPUTED_VALUE"""),"Toke Castle")</f>
        <v>Toke Castle</v>
      </c>
      <c r="X17" s="137">
        <f>IFERROR(__xludf.DUMMYFUNCTION("""COMPUTED_VALUE"""),21.0)</f>
        <v>21</v>
      </c>
      <c r="Y17" s="139">
        <f>IFERROR(__xludf.DUMMYFUNCTION("""COMPUTED_VALUE"""),47.80952380952381)</f>
        <v>47.80952381</v>
      </c>
      <c r="Z17" s="141">
        <f>IFERROR(__xludf.DUMMYFUNCTION("""COMPUTED_VALUE"""),512.1037431843271)</f>
        <v>512.1037432</v>
      </c>
      <c r="AA17" s="143" t="str">
        <f>IFERROR(__xludf.DUMMYFUNCTION("""COMPUTED_VALUE"""),"AP")</f>
        <v>AP</v>
      </c>
      <c r="AB17" s="145">
        <f>IFERROR(__xludf.DUMMYFUNCTION("""COMPUTED_VALUE"""),4.100731595793324)</f>
        <v>4.100731596</v>
      </c>
      <c r="AC17" s="143" t="str">
        <f>IFERROR(__xludf.DUMMYFUNCTION("""COMPUTED_VALUE"""),"％")</f>
        <v>％</v>
      </c>
      <c r="AD17" s="137">
        <f>IFERROR(__xludf.DUMMYFUNCTION("""COMPUTED_VALUE"""),2187.0)</f>
        <v>2187</v>
      </c>
      <c r="AE17" s="100"/>
      <c r="AF17" s="98" t="str">
        <f>IFERROR(__xludf.DUMMYFUNCTION("""COMPUTED_VALUE"""),"")</f>
        <v/>
      </c>
    </row>
    <row r="18" ht="16.5" customHeight="1">
      <c r="B18" s="268"/>
      <c r="C18" s="100"/>
      <c r="D18" s="146">
        <f>IFERROR(__xludf.DUMMYFUNCTION("""COMPUTED_VALUE"""),4.0)</f>
        <v>4</v>
      </c>
      <c r="E18" s="148" t="str">
        <f>IFERROR(__xludf.DUMMYFUNCTION("""COMPUTED_VALUE"""),"OKN4")</f>
        <v>OKN4</v>
      </c>
      <c r="F18" s="150" t="str">
        <f>IFERROR(__xludf.DUMMYFUNCTION("""COMPUTED_VALUE"""),"Okeanos")</f>
        <v>Okeanos</v>
      </c>
      <c r="G18" s="152" t="str">
        <f>IFERROR(__xludf.DUMMYFUNCTION("""COMPUTED_VALUE"""),"Mapped Island")</f>
        <v>Mapped Island</v>
      </c>
      <c r="H18" s="154">
        <f>IFERROR(__xludf.DUMMYFUNCTION("""COMPUTED_VALUE"""),13.0)</f>
        <v>13</v>
      </c>
      <c r="I18" s="156">
        <f>IFERROR(__xludf.DUMMYFUNCTION("""COMPUTED_VALUE"""),34.76923076923077)</f>
        <v>34.76923077</v>
      </c>
      <c r="J18" s="158">
        <f>IFERROR(__xludf.DUMMYFUNCTION("""COMPUTED_VALUE"""),34.932438360972185)</f>
        <v>34.93243836</v>
      </c>
      <c r="K18" s="160" t="str">
        <f>IFERROR(__xludf.DUMMYFUNCTION("""COMPUTED_VALUE"""),"AP")</f>
        <v>AP</v>
      </c>
      <c r="L18" s="162">
        <f>IFERROR(__xludf.DUMMYFUNCTION("""COMPUTED_VALUE"""),37.21469387755102)</f>
        <v>37.21469388</v>
      </c>
      <c r="M18" s="160" t="str">
        <f>IFERROR(__xludf.DUMMYFUNCTION("""COMPUTED_VALUE"""),"％")</f>
        <v>％</v>
      </c>
      <c r="N18" s="154">
        <f>IFERROR(__xludf.DUMMYFUNCTION("""COMPUTED_VALUE"""),1225.0)</f>
        <v>1225</v>
      </c>
      <c r="O18" s="100"/>
      <c r="P18" s="93" t="str">
        <f>IFERROR(__xludf.DUMMYFUNCTION("""COMPUTED_VALUE"""),"")</f>
        <v/>
      </c>
      <c r="R18" s="268"/>
      <c r="S18" s="100"/>
      <c r="T18" s="146">
        <f>IFERROR(__xludf.DUMMYFUNCTION("""COMPUTED_VALUE"""),4.0)</f>
        <v>4</v>
      </c>
      <c r="U18" s="148" t="str">
        <f>IFERROR(__xludf.DUMMYFUNCTION("""COMPUTED_VALUE"""),"AGT10")</f>
        <v>AGT10</v>
      </c>
      <c r="V18" s="150" t="str">
        <f>IFERROR(__xludf.DUMMYFUNCTION("""COMPUTED_VALUE"""),"Agartha")</f>
        <v>Agartha</v>
      </c>
      <c r="W18" s="152" t="str">
        <f>IFERROR(__xludf.DUMMYFUNCTION("""COMPUTED_VALUE"""),"Great Underground River")</f>
        <v>Great Underground River</v>
      </c>
      <c r="X18" s="154">
        <f>IFERROR(__xludf.DUMMYFUNCTION("""COMPUTED_VALUE"""),21.0)</f>
        <v>21</v>
      </c>
      <c r="Y18" s="156">
        <f>IFERROR(__xludf.DUMMYFUNCTION("""COMPUTED_VALUE"""),47.80952380952381)</f>
        <v>47.80952381</v>
      </c>
      <c r="Z18" s="158">
        <f>IFERROR(__xludf.DUMMYFUNCTION("""COMPUTED_VALUE"""),676.930549490581)</f>
        <v>676.9305495</v>
      </c>
      <c r="AA18" s="160" t="str">
        <f>IFERROR(__xludf.DUMMYFUNCTION("""COMPUTED_VALUE"""),"AP")</f>
        <v>AP</v>
      </c>
      <c r="AB18" s="162">
        <f>IFERROR(__xludf.DUMMYFUNCTION("""COMPUTED_VALUE"""),3.1022384815995365)</f>
        <v>3.102238482</v>
      </c>
      <c r="AC18" s="160" t="str">
        <f>IFERROR(__xludf.DUMMYFUNCTION("""COMPUTED_VALUE"""),"％")</f>
        <v>％</v>
      </c>
      <c r="AD18" s="154">
        <f>IFERROR(__xludf.DUMMYFUNCTION("""COMPUTED_VALUE"""),27608.0)</f>
        <v>27608</v>
      </c>
      <c r="AE18" s="100"/>
      <c r="AF18" s="98" t="str">
        <f>IFERROR(__xludf.DUMMYFUNCTION("""COMPUTED_VALUE"""),"")</f>
        <v/>
      </c>
    </row>
    <row r="19" ht="16.5" customHeight="1">
      <c r="A19" s="166"/>
      <c r="B19" s="269"/>
      <c r="C19" s="168"/>
      <c r="D19" s="169">
        <f>IFERROR(__xludf.DUMMYFUNCTION("""COMPUTED_VALUE"""),5.0)</f>
        <v>5</v>
      </c>
      <c r="E19" s="170" t="str">
        <f>IFERROR(__xludf.DUMMYFUNCTION("""COMPUTED_VALUE"""),"AGT8")</f>
        <v>AGT8</v>
      </c>
      <c r="F19" s="51" t="str">
        <f>IFERROR(__xludf.DUMMYFUNCTION("""COMPUTED_VALUE"""),"Agartha")</f>
        <v>Agartha</v>
      </c>
      <c r="G19" s="171" t="str">
        <f>IFERROR(__xludf.DUMMYFUNCTION("""COMPUTED_VALUE"""),"Foothills Jungle")</f>
        <v>Foothills Jungle</v>
      </c>
      <c r="H19" s="172">
        <f>IFERROR(__xludf.DUMMYFUNCTION("""COMPUTED_VALUE"""),21.0)</f>
        <v>21</v>
      </c>
      <c r="I19" s="173">
        <f>IFERROR(__xludf.DUMMYFUNCTION("""COMPUTED_VALUE"""),46.666666666666664)</f>
        <v>46.66666667</v>
      </c>
      <c r="J19" s="174">
        <f>IFERROR(__xludf.DUMMYFUNCTION("""COMPUTED_VALUE"""),42.5761439098882)</f>
        <v>42.57614391</v>
      </c>
      <c r="K19" s="175" t="str">
        <f>IFERROR(__xludf.DUMMYFUNCTION("""COMPUTED_VALUE"""),"AP")</f>
        <v>AP</v>
      </c>
      <c r="L19" s="176">
        <f>IFERROR(__xludf.DUMMYFUNCTION("""COMPUTED_VALUE"""),49.32339585389931)</f>
        <v>49.32339585</v>
      </c>
      <c r="M19" s="175" t="str">
        <f>IFERROR(__xludf.DUMMYFUNCTION("""COMPUTED_VALUE"""),"％")</f>
        <v>％</v>
      </c>
      <c r="N19" s="172">
        <f>IFERROR(__xludf.DUMMYFUNCTION("""COMPUTED_VALUE"""),18234.0)</f>
        <v>18234</v>
      </c>
      <c r="O19" s="168"/>
      <c r="P19" s="177" t="str">
        <f>IFERROR(__xludf.DUMMYFUNCTION("""COMPUTED_VALUE"""),"")</f>
        <v/>
      </c>
      <c r="Q19" s="166"/>
      <c r="R19" s="269"/>
      <c r="S19" s="168"/>
      <c r="T19" s="169">
        <f>IFERROR(__xludf.DUMMYFUNCTION("""COMPUTED_VALUE"""),5.0)</f>
        <v>5</v>
      </c>
      <c r="U19" s="170" t="str">
        <f>IFERROR(__xludf.DUMMYFUNCTION("""COMPUTED_VALUE"""),"")</f>
        <v/>
      </c>
      <c r="V19" s="51" t="str">
        <f>IFERROR(__xludf.DUMMYFUNCTION("""COMPUTED_VALUE"""),"")</f>
        <v/>
      </c>
      <c r="W19" s="51" t="str">
        <f>IFERROR(__xludf.DUMMYFUNCTION("""COMPUTED_VALUE"""),"")</f>
        <v/>
      </c>
      <c r="X19" s="172" t="str">
        <f>IFERROR(__xludf.DUMMYFUNCTION("""COMPUTED_VALUE"""),"")</f>
        <v/>
      </c>
      <c r="Y19" s="173" t="str">
        <f>IFERROR(__xludf.DUMMYFUNCTION("""COMPUTED_VALUE"""),"")</f>
        <v/>
      </c>
      <c r="Z19" s="174" t="str">
        <f>IFERROR(__xludf.DUMMYFUNCTION("""COMPUTED_VALUE"""),"")</f>
        <v/>
      </c>
      <c r="AA19" s="175" t="str">
        <f>IFERROR(__xludf.DUMMYFUNCTION("""COMPUTED_VALUE"""),"AP")</f>
        <v>AP</v>
      </c>
      <c r="AB19" s="176" t="str">
        <f>IFERROR(__xludf.DUMMYFUNCTION("""COMPUTED_VALUE"""),"")</f>
        <v/>
      </c>
      <c r="AC19" s="175" t="str">
        <f>IFERROR(__xludf.DUMMYFUNCTION("""COMPUTED_VALUE"""),"％")</f>
        <v>％</v>
      </c>
      <c r="AD19" s="172" t="str">
        <f>IFERROR(__xludf.DUMMYFUNCTION("""COMPUTED_VALUE"""),"")</f>
        <v/>
      </c>
      <c r="AE19" s="168"/>
      <c r="AF19" s="98" t="str">
        <f>IFERROR(__xludf.DUMMYFUNCTION("""COMPUTED_VALUE"""),"")</f>
        <v/>
      </c>
    </row>
    <row r="20" ht="16.5" customHeight="1">
      <c r="A20" s="61" t="str">
        <f>IFERROR(__xludf.DUMMYFUNCTION("""COMPUTED_VALUE"""),"")</f>
        <v/>
      </c>
      <c r="B20" s="179" t="str">
        <f>IFERROR(__xludf.DUMMYFUNCTION("""COMPUTED_VALUE"""),"A304")</f>
        <v>A304</v>
      </c>
      <c r="C20" s="180" t="str">
        <f>IFERROR(__xludf.DUMMYFUNCTION("""COMPUTED_VALUE"""),"Void's Dust")</f>
        <v>Void's Dust</v>
      </c>
      <c r="D20" s="181">
        <f>IFERROR(__xludf.DUMMYFUNCTION("""COMPUTED_VALUE"""),1.0)</f>
        <v>1</v>
      </c>
      <c r="E20" s="182" t="str">
        <f>IFERROR(__xludf.DUMMYFUNCTION("""COMPUTED_VALUE"""),"EPU12")</f>
        <v>EPU12</v>
      </c>
      <c r="F20" s="184" t="str">
        <f>IFERROR(__xludf.DUMMYFUNCTION("""COMPUTED_VALUE"""),"E Pluribus Unum")</f>
        <v>E Pluribus Unum</v>
      </c>
      <c r="G20" s="189" t="str">
        <f>IFERROR(__xludf.DUMMYFUNCTION("""COMPUTED_VALUE"""),"Charlotte")</f>
        <v>Charlotte</v>
      </c>
      <c r="H20" s="190">
        <f>IFERROR(__xludf.DUMMYFUNCTION("""COMPUTED_VALUE"""),20.0)</f>
        <v>20</v>
      </c>
      <c r="I20" s="191">
        <f>IFERROR(__xludf.DUMMYFUNCTION("""COMPUTED_VALUE"""),45.4)</f>
        <v>45.4</v>
      </c>
      <c r="J20" s="192">
        <f>IFERROR(__xludf.DUMMYFUNCTION("""COMPUTED_VALUE"""),31.058259854464577)</f>
        <v>31.05825985</v>
      </c>
      <c r="K20" s="194" t="str">
        <f>IFERROR(__xludf.DUMMYFUNCTION("""COMPUTED_VALUE"""),"AP")</f>
        <v>AP</v>
      </c>
      <c r="L20" s="192">
        <f>IFERROR(__xludf.DUMMYFUNCTION("""COMPUTED_VALUE"""),64.39510807662018)</f>
        <v>64.39510808</v>
      </c>
      <c r="M20" s="194" t="str">
        <f>IFERROR(__xludf.DUMMYFUNCTION("""COMPUTED_VALUE"""),"％")</f>
        <v>％</v>
      </c>
      <c r="N20" s="190">
        <f>IFERROR(__xludf.DUMMYFUNCTION("""COMPUTED_VALUE"""),153641.0)</f>
        <v>153641</v>
      </c>
      <c r="O20" s="197" t="str">
        <f>IFERROR(__xludf.DUMMYFUNCTION("""COMPUTED_VALUE"""),"Void's Dust")</f>
        <v>Void's Dust</v>
      </c>
      <c r="P20" s="93" t="str">
        <f>IFERROR(__xludf.DUMMYFUNCTION("""COMPUTED_VALUE"""),"")</f>
        <v/>
      </c>
      <c r="Q20" s="61" t="str">
        <f>IFERROR(__xludf.DUMMYFUNCTION("""COMPUTED_VALUE"""),"")</f>
        <v/>
      </c>
      <c r="R20" s="199" t="str">
        <f>IFERROR(__xludf.DUMMYFUNCTION("""COMPUTED_VALUE"""),"B104")</f>
        <v>B104</v>
      </c>
      <c r="S20" s="180" t="str">
        <f>IFERROR(__xludf.DUMMYFUNCTION("""COMPUTED_VALUE"""),"Secret Gem of Rider")</f>
        <v>Secret Gem of Rider</v>
      </c>
      <c r="T20" s="181">
        <f>IFERROR(__xludf.DUMMYFUNCTION("""COMPUTED_VALUE"""),1.0)</f>
        <v>1</v>
      </c>
      <c r="U20" s="182" t="str">
        <f>IFERROR(__xludf.DUMMYFUNCTION("""COMPUTED_VALUE"""),"TRF16")</f>
        <v>TRF16</v>
      </c>
      <c r="V20" s="184" t="str">
        <f>IFERROR(__xludf.DUMMYFUNCTION("""COMPUTED_VALUE"""),"Chaldea Gate (Thu)")</f>
        <v>Chaldea Gate (Thu)</v>
      </c>
      <c r="W20" s="184" t="str">
        <f>IFERROR(__xludf.DUMMYFUNCTION("""COMPUTED_VALUE"""),"THU Rider Training Ground- Exp")</f>
        <v>THU Rider Training Ground- Exp</v>
      </c>
      <c r="X20" s="190">
        <f>IFERROR(__xludf.DUMMYFUNCTION("""COMPUTED_VALUE"""),40.0)</f>
        <v>40</v>
      </c>
      <c r="Y20" s="191">
        <f>IFERROR(__xludf.DUMMYFUNCTION("""COMPUTED_VALUE"""),19.7)</f>
        <v>19.7</v>
      </c>
      <c r="Z20" s="192">
        <f>IFERROR(__xludf.DUMMYFUNCTION("""COMPUTED_VALUE"""),100.7610273869724)</f>
        <v>100.7610274</v>
      </c>
      <c r="AA20" s="194" t="str">
        <f>IFERROR(__xludf.DUMMYFUNCTION("""COMPUTED_VALUE"""),"AP")</f>
        <v>AP</v>
      </c>
      <c r="AB20" s="192">
        <f>IFERROR(__xludf.DUMMYFUNCTION("""COMPUTED_VALUE"""),39.69788819875777)</f>
        <v>39.6978882</v>
      </c>
      <c r="AC20" s="194" t="str">
        <f>IFERROR(__xludf.DUMMYFUNCTION("""COMPUTED_VALUE"""),"％")</f>
        <v>％</v>
      </c>
      <c r="AD20" s="190">
        <f>IFERROR(__xludf.DUMMYFUNCTION("""COMPUTED_VALUE"""),4025.0)</f>
        <v>4025</v>
      </c>
      <c r="AE20" s="197" t="str">
        <f>IFERROR(__xludf.DUMMYFUNCTION("""COMPUTED_VALUE"""),"Secret Gem of Rider")</f>
        <v>Secret Gem of Rider</v>
      </c>
      <c r="AF20" s="98" t="str">
        <f>IFERROR(__xludf.DUMMYFUNCTION("""COMPUTED_VALUE"""),"")</f>
        <v/>
      </c>
    </row>
    <row r="21" ht="16.5" customHeight="1">
      <c r="B21" s="203"/>
      <c r="C21" s="204"/>
      <c r="D21" s="205">
        <f>IFERROR(__xludf.DUMMYFUNCTION("""COMPUTED_VALUE"""),2.0)</f>
        <v>2</v>
      </c>
      <c r="E21" s="206" t="str">
        <f>IFERROR(__xludf.DUMMYFUNCTION("""COMPUTED_VALUE"""),"CML7")</f>
        <v>CML7</v>
      </c>
      <c r="F21" s="207" t="str">
        <f>IFERROR(__xludf.DUMMYFUNCTION("""COMPUTED_VALUE"""),"Camelot")</f>
        <v>Camelot</v>
      </c>
      <c r="G21" s="209" t="str">
        <f>IFERROR(__xludf.DUMMYFUNCTION("""COMPUTED_VALUE"""),"West Village Ruins")</f>
        <v>West Village Ruins</v>
      </c>
      <c r="H21" s="211">
        <f>IFERROR(__xludf.DUMMYFUNCTION("""COMPUTED_VALUE"""),20.0)</f>
        <v>20</v>
      </c>
      <c r="I21" s="213">
        <f>IFERROR(__xludf.DUMMYFUNCTION("""COMPUTED_VALUE"""),43.0)</f>
        <v>43</v>
      </c>
      <c r="J21" s="214">
        <f>IFERROR(__xludf.DUMMYFUNCTION("""COMPUTED_VALUE"""),41.203874330834765)</f>
        <v>41.20387433</v>
      </c>
      <c r="K21" s="215" t="str">
        <f>IFERROR(__xludf.DUMMYFUNCTION("""COMPUTED_VALUE"""),"AP")</f>
        <v>AP</v>
      </c>
      <c r="L21" s="214">
        <f>IFERROR(__xludf.DUMMYFUNCTION("""COMPUTED_VALUE"""),48.53912483912484)</f>
        <v>48.53912484</v>
      </c>
      <c r="M21" s="215" t="str">
        <f>IFERROR(__xludf.DUMMYFUNCTION("""COMPUTED_VALUE"""),"％")</f>
        <v>％</v>
      </c>
      <c r="N21" s="211">
        <f>IFERROR(__xludf.DUMMYFUNCTION("""COMPUTED_VALUE"""),777.0)</f>
        <v>777</v>
      </c>
      <c r="O21" s="217"/>
      <c r="P21" s="177" t="str">
        <f>IFERROR(__xludf.DUMMYFUNCTION("""COMPUTED_VALUE"""),"")</f>
        <v/>
      </c>
      <c r="R21" s="203"/>
      <c r="S21" s="204"/>
      <c r="T21" s="205">
        <f>IFERROR(__xludf.DUMMYFUNCTION("""COMPUTED_VALUE"""),2.0)</f>
        <v>2</v>
      </c>
      <c r="U21" s="206" t="str">
        <f>IFERROR(__xludf.DUMMYFUNCTION("""COMPUTED_VALUE"""),"TRF15")</f>
        <v>TRF15</v>
      </c>
      <c r="V21" s="207" t="str">
        <f>IFERROR(__xludf.DUMMYFUNCTION("""COMPUTED_VALUE"""),"Chaldea Gate (Thu)")</f>
        <v>Chaldea Gate (Thu)</v>
      </c>
      <c r="W21" s="207" t="str">
        <f>IFERROR(__xludf.DUMMYFUNCTION("""COMPUTED_VALUE"""),"THU Rider Training Ground- Adv")</f>
        <v>THU Rider Training Ground- Adv</v>
      </c>
      <c r="X21" s="211">
        <f>IFERROR(__xludf.DUMMYFUNCTION("""COMPUTED_VALUE"""),30.0)</f>
        <v>30</v>
      </c>
      <c r="Y21" s="213">
        <f>IFERROR(__xludf.DUMMYFUNCTION("""COMPUTED_VALUE"""),18.266666666666666)</f>
        <v>18.26666667</v>
      </c>
      <c r="Z21" s="214">
        <f>IFERROR(__xludf.DUMMYFUNCTION("""COMPUTED_VALUE"""),122.42891595877049)</f>
        <v>122.428916</v>
      </c>
      <c r="AA21" s="215" t="str">
        <f>IFERROR(__xludf.DUMMYFUNCTION("""COMPUTED_VALUE"""),"AP")</f>
        <v>AP</v>
      </c>
      <c r="AB21" s="214">
        <f>IFERROR(__xludf.DUMMYFUNCTION("""COMPUTED_VALUE"""),24.504015056461732)</f>
        <v>24.50401506</v>
      </c>
      <c r="AC21" s="215" t="str">
        <f>IFERROR(__xludf.DUMMYFUNCTION("""COMPUTED_VALUE"""),"％")</f>
        <v>％</v>
      </c>
      <c r="AD21" s="211">
        <f>IFERROR(__xludf.DUMMYFUNCTION("""COMPUTED_VALUE"""),797.0)</f>
        <v>797</v>
      </c>
      <c r="AE21" s="217"/>
      <c r="AF21" s="98" t="str">
        <f>IFERROR(__xludf.DUMMYFUNCTION("""COMPUTED_VALUE"""),"")</f>
        <v/>
      </c>
    </row>
    <row r="22" ht="16.5" customHeight="1">
      <c r="B22" s="203"/>
      <c r="C22" s="204"/>
      <c r="D22" s="222">
        <f>IFERROR(__xludf.DUMMYFUNCTION("""COMPUTED_VALUE"""),3.0)</f>
        <v>3</v>
      </c>
      <c r="E22" s="223" t="str">
        <f>IFERROR(__xludf.DUMMYFUNCTION("""COMPUTED_VALUE"""),"EPU2")</f>
        <v>EPU2</v>
      </c>
      <c r="F22" s="224" t="str">
        <f>IFERROR(__xludf.DUMMYFUNCTION("""COMPUTED_VALUE"""),"E Pluribus Unum")</f>
        <v>E Pluribus Unum</v>
      </c>
      <c r="G22" s="226" t="str">
        <f>IFERROR(__xludf.DUMMYFUNCTION("""COMPUTED_VALUE"""),"Riverton")</f>
        <v>Riverton</v>
      </c>
      <c r="H22" s="228">
        <f>IFERROR(__xludf.DUMMYFUNCTION("""COMPUTED_VALUE"""),17.0)</f>
        <v>17</v>
      </c>
      <c r="I22" s="230">
        <f>IFERROR(__xludf.DUMMYFUNCTION("""COMPUTED_VALUE"""),40.705882352941174)</f>
        <v>40.70588235</v>
      </c>
      <c r="J22" s="231">
        <f>IFERROR(__xludf.DUMMYFUNCTION("""COMPUTED_VALUE"""),52.97464924429456)</f>
        <v>52.97464924</v>
      </c>
      <c r="K22" s="232" t="str">
        <f>IFERROR(__xludf.DUMMYFUNCTION("""COMPUTED_VALUE"""),"AP")</f>
        <v>AP</v>
      </c>
      <c r="L22" s="231">
        <f>IFERROR(__xludf.DUMMYFUNCTION("""COMPUTED_VALUE"""),32.09082125603865)</f>
        <v>32.09082126</v>
      </c>
      <c r="M22" s="232" t="str">
        <f>IFERROR(__xludf.DUMMYFUNCTION("""COMPUTED_VALUE"""),"％")</f>
        <v>％</v>
      </c>
      <c r="N22" s="228">
        <f>IFERROR(__xludf.DUMMYFUNCTION("""COMPUTED_VALUE"""),414.0)</f>
        <v>414</v>
      </c>
      <c r="O22" s="217"/>
      <c r="P22" s="177" t="str">
        <f>IFERROR(__xludf.DUMMYFUNCTION("""COMPUTED_VALUE"""),"")</f>
        <v/>
      </c>
      <c r="R22" s="203"/>
      <c r="S22" s="204"/>
      <c r="T22" s="222">
        <f>IFERROR(__xludf.DUMMYFUNCTION("""COMPUTED_VALUE"""),3.0)</f>
        <v>3</v>
      </c>
      <c r="U22" s="223" t="str">
        <f>IFERROR(__xludf.DUMMYFUNCTION("""COMPUTED_VALUE"""),"CML13")</f>
        <v>CML13</v>
      </c>
      <c r="V22" s="224" t="str">
        <f>IFERROR(__xludf.DUMMYFUNCTION("""COMPUTED_VALUE"""),"Camelot")</f>
        <v>Camelot</v>
      </c>
      <c r="W22" s="226" t="str">
        <f>IFERROR(__xludf.DUMMYFUNCTION("""COMPUTED_VALUE"""),"Land of the Void")</f>
        <v>Land of the Void</v>
      </c>
      <c r="X22" s="228">
        <f>IFERROR(__xludf.DUMMYFUNCTION("""COMPUTED_VALUE"""),22.0)</f>
        <v>22</v>
      </c>
      <c r="Y22" s="230">
        <f>IFERROR(__xludf.DUMMYFUNCTION("""COMPUTED_VALUE"""),47.81818181818182)</f>
        <v>47.81818182</v>
      </c>
      <c r="Z22" s="231">
        <f>IFERROR(__xludf.DUMMYFUNCTION("""COMPUTED_VALUE"""),342.5088944524971)</f>
        <v>342.5088945</v>
      </c>
      <c r="AA22" s="232" t="str">
        <f>IFERROR(__xludf.DUMMYFUNCTION("""COMPUTED_VALUE"""),"AP")</f>
        <v>AP</v>
      </c>
      <c r="AB22" s="231">
        <f>IFERROR(__xludf.DUMMYFUNCTION("""COMPUTED_VALUE"""),6.423190859077444)</f>
        <v>6.423190859</v>
      </c>
      <c r="AC22" s="232" t="str">
        <f>IFERROR(__xludf.DUMMYFUNCTION("""COMPUTED_VALUE"""),"％")</f>
        <v>％</v>
      </c>
      <c r="AD22" s="228">
        <f>IFERROR(__xludf.DUMMYFUNCTION("""COMPUTED_VALUE"""),4726.0)</f>
        <v>4726</v>
      </c>
      <c r="AE22" s="217"/>
      <c r="AF22" s="98" t="str">
        <f>IFERROR(__xludf.DUMMYFUNCTION("""COMPUTED_VALUE"""),"")</f>
        <v/>
      </c>
    </row>
    <row r="23" ht="16.5" customHeight="1">
      <c r="B23" s="203"/>
      <c r="C23" s="204"/>
      <c r="D23" s="238">
        <f>IFERROR(__xludf.DUMMYFUNCTION("""COMPUTED_VALUE"""),4.0)</f>
        <v>4</v>
      </c>
      <c r="E23" s="240" t="str">
        <f>IFERROR(__xludf.DUMMYFUNCTION("""COMPUTED_VALUE"""),"SEP7")</f>
        <v>SEP7</v>
      </c>
      <c r="F23" s="242" t="str">
        <f>IFERROR(__xludf.DUMMYFUNCTION("""COMPUTED_VALUE"""),"Septem")</f>
        <v>Septem</v>
      </c>
      <c r="G23" s="244" t="str">
        <f>IFERROR(__xludf.DUMMYFUNCTION("""COMPUTED_VALUE"""),"Massilia")</f>
        <v>Massilia</v>
      </c>
      <c r="H23" s="246">
        <f>IFERROR(__xludf.DUMMYFUNCTION("""COMPUTED_VALUE"""),9.0)</f>
        <v>9</v>
      </c>
      <c r="I23" s="248">
        <f>IFERROR(__xludf.DUMMYFUNCTION("""COMPUTED_VALUE"""),28.88888888888889)</f>
        <v>28.88888889</v>
      </c>
      <c r="J23" s="250">
        <f>IFERROR(__xludf.DUMMYFUNCTION("""COMPUTED_VALUE"""),54.86689697216013)</f>
        <v>54.86689697</v>
      </c>
      <c r="K23" s="252" t="str">
        <f>IFERROR(__xludf.DUMMYFUNCTION("""COMPUTED_VALUE"""),"AP")</f>
        <v>AP</v>
      </c>
      <c r="L23" s="250">
        <f>IFERROR(__xludf.DUMMYFUNCTION("""COMPUTED_VALUE"""),16.403333333333332)</f>
        <v>16.40333333</v>
      </c>
      <c r="M23" s="252" t="str">
        <f>IFERROR(__xludf.DUMMYFUNCTION("""COMPUTED_VALUE"""),"％")</f>
        <v>％</v>
      </c>
      <c r="N23" s="246">
        <f>IFERROR(__xludf.DUMMYFUNCTION("""COMPUTED_VALUE"""),720.0)</f>
        <v>720</v>
      </c>
      <c r="O23" s="217"/>
      <c r="P23" s="93" t="str">
        <f>IFERROR(__xludf.DUMMYFUNCTION("""COMPUTED_VALUE"""),"")</f>
        <v/>
      </c>
      <c r="R23" s="203"/>
      <c r="S23" s="204"/>
      <c r="T23" s="238">
        <f>IFERROR(__xludf.DUMMYFUNCTION("""COMPUTED_VALUE"""),4.0)</f>
        <v>4</v>
      </c>
      <c r="U23" s="240" t="str">
        <f>IFERROR(__xludf.DUMMYFUNCTION("""COMPUTED_VALUE"""),"BBL12")</f>
        <v>BBL12</v>
      </c>
      <c r="V23" s="242" t="str">
        <f>IFERROR(__xludf.DUMMYFUNCTION("""COMPUTED_VALUE"""),"Babylonia")</f>
        <v>Babylonia</v>
      </c>
      <c r="W23" s="244" t="str">
        <f>IFERROR(__xludf.DUMMYFUNCTION("""COMPUTED_VALUE"""),"Nippur")</f>
        <v>Nippur</v>
      </c>
      <c r="X23" s="246">
        <f>IFERROR(__xludf.DUMMYFUNCTION("""COMPUTED_VALUE"""),21.0)</f>
        <v>21</v>
      </c>
      <c r="Y23" s="248">
        <f>IFERROR(__xludf.DUMMYFUNCTION("""COMPUTED_VALUE"""),48.95238095238095)</f>
        <v>48.95238095</v>
      </c>
      <c r="Z23" s="250">
        <f>IFERROR(__xludf.DUMMYFUNCTION("""COMPUTED_VALUE"""),599.7070497613317)</f>
        <v>599.7070498</v>
      </c>
      <c r="AA23" s="252" t="str">
        <f>IFERROR(__xludf.DUMMYFUNCTION("""COMPUTED_VALUE"""),"AP")</f>
        <v>AP</v>
      </c>
      <c r="AB23" s="250">
        <f>IFERROR(__xludf.DUMMYFUNCTION("""COMPUTED_VALUE"""),3.501709711159385)</f>
        <v>3.501709711</v>
      </c>
      <c r="AC23" s="252" t="str">
        <f>IFERROR(__xludf.DUMMYFUNCTION("""COMPUTED_VALUE"""),"％")</f>
        <v>％</v>
      </c>
      <c r="AD23" s="246">
        <f>IFERROR(__xludf.DUMMYFUNCTION("""COMPUTED_VALUE"""),24858.0)</f>
        <v>24858</v>
      </c>
      <c r="AE23" s="217"/>
      <c r="AF23" s="98" t="str">
        <f>IFERROR(__xludf.DUMMYFUNCTION("""COMPUTED_VALUE"""),"")</f>
        <v/>
      </c>
    </row>
    <row r="24" ht="16.5" customHeight="1">
      <c r="A24" s="166"/>
      <c r="B24" s="254"/>
      <c r="C24" s="255"/>
      <c r="D24" s="256">
        <f>IFERROR(__xludf.DUMMYFUNCTION("""COMPUTED_VALUE"""),5.0)</f>
        <v>5</v>
      </c>
      <c r="E24" s="257" t="str">
        <f>IFERROR(__xludf.DUMMYFUNCTION("""COMPUTED_VALUE"""),"OKN10")</f>
        <v>OKN10</v>
      </c>
      <c r="F24" s="42" t="str">
        <f>IFERROR(__xludf.DUMMYFUNCTION("""COMPUTED_VALUE"""),"Okeanos")</f>
        <v>Okeanos</v>
      </c>
      <c r="G24" s="258" t="str">
        <f>IFERROR(__xludf.DUMMYFUNCTION("""COMPUTED_VALUE"""),"Archipelago (Quiet Bay)")</f>
        <v>Archipelago (Quiet Bay)</v>
      </c>
      <c r="H24" s="259">
        <f>IFERROR(__xludf.DUMMYFUNCTION("""COMPUTED_VALUE"""),15.0)</f>
        <v>15</v>
      </c>
      <c r="I24" s="260">
        <f>IFERROR(__xludf.DUMMYFUNCTION("""COMPUTED_VALUE"""),38.13333333333333)</f>
        <v>38.13333333</v>
      </c>
      <c r="J24" s="261">
        <f>IFERROR(__xludf.DUMMYFUNCTION("""COMPUTED_VALUE"""),63.39045051983057)</f>
        <v>63.39045052</v>
      </c>
      <c r="K24" s="262" t="str">
        <f>IFERROR(__xludf.DUMMYFUNCTION("""COMPUTED_VALUE"""),"AP")</f>
        <v>AP</v>
      </c>
      <c r="L24" s="261">
        <f>IFERROR(__xludf.DUMMYFUNCTION("""COMPUTED_VALUE"""),23.662870159453302)</f>
        <v>23.66287016</v>
      </c>
      <c r="M24" s="262" t="str">
        <f>IFERROR(__xludf.DUMMYFUNCTION("""COMPUTED_VALUE"""),"％")</f>
        <v>％</v>
      </c>
      <c r="N24" s="259">
        <f>IFERROR(__xludf.DUMMYFUNCTION("""COMPUTED_VALUE"""),439.0)</f>
        <v>439</v>
      </c>
      <c r="O24" s="263"/>
      <c r="P24" s="93" t="str">
        <f>IFERROR(__xludf.DUMMYFUNCTION("""COMPUTED_VALUE"""),"")</f>
        <v/>
      </c>
      <c r="Q24" s="166"/>
      <c r="R24" s="254"/>
      <c r="S24" s="255"/>
      <c r="T24" s="256">
        <f>IFERROR(__xludf.DUMMYFUNCTION("""COMPUTED_VALUE"""),5.0)</f>
        <v>5</v>
      </c>
      <c r="U24" s="257" t="str">
        <f>IFERROR(__xludf.DUMMYFUNCTION("""COMPUTED_VALUE"""),"")</f>
        <v/>
      </c>
      <c r="V24" s="42" t="str">
        <f>IFERROR(__xludf.DUMMYFUNCTION("""COMPUTED_VALUE"""),"")</f>
        <v/>
      </c>
      <c r="W24" s="42" t="str">
        <f>IFERROR(__xludf.DUMMYFUNCTION("""COMPUTED_VALUE"""),"")</f>
        <v/>
      </c>
      <c r="X24" s="259" t="str">
        <f>IFERROR(__xludf.DUMMYFUNCTION("""COMPUTED_VALUE"""),"")</f>
        <v/>
      </c>
      <c r="Y24" s="260" t="str">
        <f>IFERROR(__xludf.DUMMYFUNCTION("""COMPUTED_VALUE"""),"")</f>
        <v/>
      </c>
      <c r="Z24" s="261" t="str">
        <f>IFERROR(__xludf.DUMMYFUNCTION("""COMPUTED_VALUE"""),"")</f>
        <v/>
      </c>
      <c r="AA24" s="262" t="str">
        <f>IFERROR(__xludf.DUMMYFUNCTION("""COMPUTED_VALUE"""),"AP")</f>
        <v>AP</v>
      </c>
      <c r="AB24" s="261" t="str">
        <f>IFERROR(__xludf.DUMMYFUNCTION("""COMPUTED_VALUE"""),"")</f>
        <v/>
      </c>
      <c r="AC24" s="262" t="str">
        <f>IFERROR(__xludf.DUMMYFUNCTION("""COMPUTED_VALUE"""),"％")</f>
        <v>％</v>
      </c>
      <c r="AD24" s="259" t="str">
        <f>IFERROR(__xludf.DUMMYFUNCTION("""COMPUTED_VALUE"""),"")</f>
        <v/>
      </c>
      <c r="AE24" s="263"/>
      <c r="AF24" s="98" t="str">
        <f>IFERROR(__xludf.DUMMYFUNCTION("""COMPUTED_VALUE"""),"")</f>
        <v/>
      </c>
    </row>
    <row r="25" ht="16.5" customHeight="1">
      <c r="A25" s="61" t="str">
        <f>IFERROR(__xludf.DUMMYFUNCTION("""COMPUTED_VALUE"""),"")</f>
        <v/>
      </c>
      <c r="B25" s="265" t="str">
        <f>IFERROR(__xludf.DUMMYFUNCTION("""COMPUTED_VALUE"""),"A305")</f>
        <v>A305</v>
      </c>
      <c r="C25" s="65" t="str">
        <f>IFERROR(__xludf.DUMMYFUNCTION("""COMPUTED_VALUE"""),"Fool's Chain")</f>
        <v>Fool's Chain</v>
      </c>
      <c r="D25" s="67">
        <f>IFERROR(__xludf.DUMMYFUNCTION("""COMPUTED_VALUE"""),1.0)</f>
        <v>1</v>
      </c>
      <c r="E25" s="69" t="str">
        <f>IFERROR(__xludf.DUMMYFUNCTION("""COMPUTED_VALUE"""),"CML3")</f>
        <v>CML3</v>
      </c>
      <c r="F25" s="71" t="str">
        <f>IFERROR(__xludf.DUMMYFUNCTION("""COMPUTED_VALUE"""),"Camelot")</f>
        <v>Camelot</v>
      </c>
      <c r="G25" s="78" t="str">
        <f>IFERROR(__xludf.DUMMYFUNCTION("""COMPUTED_VALUE"""),"Wastelands of Death")</f>
        <v>Wastelands of Death</v>
      </c>
      <c r="H25" s="80">
        <f>IFERROR(__xludf.DUMMYFUNCTION("""COMPUTED_VALUE"""),19.0)</f>
        <v>19</v>
      </c>
      <c r="I25" s="82">
        <f>IFERROR(__xludf.DUMMYFUNCTION("""COMPUTED_VALUE"""),44.0)</f>
        <v>44</v>
      </c>
      <c r="J25" s="84">
        <f>IFERROR(__xludf.DUMMYFUNCTION("""COMPUTED_VALUE"""),29.167942020877298)</f>
        <v>29.16794202</v>
      </c>
      <c r="K25" s="86" t="str">
        <f>IFERROR(__xludf.DUMMYFUNCTION("""COMPUTED_VALUE"""),"AP")</f>
        <v>AP</v>
      </c>
      <c r="L25" s="88">
        <f>IFERROR(__xludf.DUMMYFUNCTION("""COMPUTED_VALUE"""),65.1400088028169)</f>
        <v>65.1400088</v>
      </c>
      <c r="M25" s="86" t="str">
        <f>IFERROR(__xludf.DUMMYFUNCTION("""COMPUTED_VALUE"""),"％")</f>
        <v>％</v>
      </c>
      <c r="N25" s="80">
        <f>IFERROR(__xludf.DUMMYFUNCTION("""COMPUTED_VALUE"""),13632.0)</f>
        <v>13632</v>
      </c>
      <c r="O25" s="91" t="str">
        <f>IFERROR(__xludf.DUMMYFUNCTION("""COMPUTED_VALUE"""),"Fool's Chain")</f>
        <v>Fool's Chain</v>
      </c>
      <c r="P25" s="93" t="str">
        <f>IFERROR(__xludf.DUMMYFUNCTION("""COMPUTED_VALUE"""),"")</f>
        <v/>
      </c>
      <c r="Q25" s="61" t="str">
        <f>IFERROR(__xludf.DUMMYFUNCTION("""COMPUTED_VALUE"""),"")</f>
        <v/>
      </c>
      <c r="R25" s="267" t="str">
        <f>IFERROR(__xludf.DUMMYFUNCTION("""COMPUTED_VALUE"""),"B105")</f>
        <v>B105</v>
      </c>
      <c r="S25" s="65" t="str">
        <f>IFERROR(__xludf.DUMMYFUNCTION("""COMPUTED_VALUE"""),"Secret Gem of Caster")</f>
        <v>Secret Gem of Caster</v>
      </c>
      <c r="T25" s="67">
        <f>IFERROR(__xludf.DUMMYFUNCTION("""COMPUTED_VALUE"""),1.0)</f>
        <v>1</v>
      </c>
      <c r="U25" s="69" t="str">
        <f>IFERROR(__xludf.DUMMYFUNCTION("""COMPUTED_VALUE"""),"TRF20")</f>
        <v>TRF20</v>
      </c>
      <c r="V25" s="71" t="str">
        <f>IFERROR(__xludf.DUMMYFUNCTION("""COMPUTED_VALUE"""),"Chaldea Gate (Fri)")</f>
        <v>Chaldea Gate (Fri)</v>
      </c>
      <c r="W25" s="71" t="str">
        <f>IFERROR(__xludf.DUMMYFUNCTION("""COMPUTED_VALUE"""),"FRI Caster Training Ground- Exp")</f>
        <v>FRI Caster Training Ground- Exp</v>
      </c>
      <c r="X25" s="80">
        <f>IFERROR(__xludf.DUMMYFUNCTION("""COMPUTED_VALUE"""),40.0)</f>
        <v>40</v>
      </c>
      <c r="Y25" s="82">
        <f>IFERROR(__xludf.DUMMYFUNCTION("""COMPUTED_VALUE"""),19.7)</f>
        <v>19.7</v>
      </c>
      <c r="Z25" s="84">
        <f>IFERROR(__xludf.DUMMYFUNCTION("""COMPUTED_VALUE"""),52.424237642913816)</f>
        <v>52.42423764</v>
      </c>
      <c r="AA25" s="86" t="str">
        <f>IFERROR(__xludf.DUMMYFUNCTION("""COMPUTED_VALUE"""),"AP")</f>
        <v>AP</v>
      </c>
      <c r="AB25" s="88">
        <f>IFERROR(__xludf.DUMMYFUNCTION("""COMPUTED_VALUE"""),76.30058499364138)</f>
        <v>76.30058499</v>
      </c>
      <c r="AC25" s="86" t="str">
        <f>IFERROR(__xludf.DUMMYFUNCTION("""COMPUTED_VALUE"""),"％")</f>
        <v>％</v>
      </c>
      <c r="AD25" s="80">
        <f>IFERROR(__xludf.DUMMYFUNCTION("""COMPUTED_VALUE"""),11795.0)</f>
        <v>11795</v>
      </c>
      <c r="AE25" s="91" t="str">
        <f>IFERROR(__xludf.DUMMYFUNCTION("""COMPUTED_VALUE"""),"Secret Gem of Caster")</f>
        <v>Secret Gem of Caster</v>
      </c>
      <c r="AF25" s="98" t="str">
        <f>IFERROR(__xludf.DUMMYFUNCTION("""COMPUTED_VALUE"""),"")</f>
        <v/>
      </c>
    </row>
    <row r="26" ht="16.5" customHeight="1">
      <c r="B26" s="268"/>
      <c r="C26" s="100"/>
      <c r="D26" s="102">
        <f>IFERROR(__xludf.DUMMYFUNCTION("""COMPUTED_VALUE"""),2.0)</f>
        <v>2</v>
      </c>
      <c r="E26" s="103" t="str">
        <f>IFERROR(__xludf.DUMMYFUNCTION("""COMPUTED_VALUE"""),"CML14")</f>
        <v>CML14</v>
      </c>
      <c r="F26" s="104" t="str">
        <f>IFERROR(__xludf.DUMMYFUNCTION("""COMPUTED_VALUE"""),"Camelot")</f>
        <v>Camelot</v>
      </c>
      <c r="G26" s="108" t="str">
        <f>IFERROR(__xludf.DUMMYFUNCTION("""COMPUTED_VALUE"""),"Great Temple")</f>
        <v>Great Temple</v>
      </c>
      <c r="H26" s="109">
        <f>IFERROR(__xludf.DUMMYFUNCTION("""COMPUTED_VALUE"""),22.0)</f>
        <v>22</v>
      </c>
      <c r="I26" s="110">
        <f>IFERROR(__xludf.DUMMYFUNCTION("""COMPUTED_VALUE"""),48.90909090909091)</f>
        <v>48.90909091</v>
      </c>
      <c r="J26" s="112">
        <f>IFERROR(__xludf.DUMMYFUNCTION("""COMPUTED_VALUE"""),52.01841242507533)</f>
        <v>52.01841243</v>
      </c>
      <c r="K26" s="121" t="str">
        <f>IFERROR(__xludf.DUMMYFUNCTION("""COMPUTED_VALUE"""),"AP")</f>
        <v>AP</v>
      </c>
      <c r="L26" s="123">
        <f>IFERROR(__xludf.DUMMYFUNCTION("""COMPUTED_VALUE"""),42.292717086834735)</f>
        <v>42.29271709</v>
      </c>
      <c r="M26" s="121" t="str">
        <f>IFERROR(__xludf.DUMMYFUNCTION("""COMPUTED_VALUE"""),"％")</f>
        <v>％</v>
      </c>
      <c r="N26" s="109">
        <f>IFERROR(__xludf.DUMMYFUNCTION("""COMPUTED_VALUE"""),29274.0)</f>
        <v>29274</v>
      </c>
      <c r="O26" s="100"/>
      <c r="P26" s="93" t="str">
        <f>IFERROR(__xludf.DUMMYFUNCTION("""COMPUTED_VALUE"""),"")</f>
        <v/>
      </c>
      <c r="R26" s="268"/>
      <c r="S26" s="100"/>
      <c r="T26" s="102">
        <f>IFERROR(__xludf.DUMMYFUNCTION("""COMPUTED_VALUE"""),2.0)</f>
        <v>2</v>
      </c>
      <c r="U26" s="103" t="str">
        <f>IFERROR(__xludf.DUMMYFUNCTION("""COMPUTED_VALUE"""),"TRF19")</f>
        <v>TRF19</v>
      </c>
      <c r="V26" s="104" t="str">
        <f>IFERROR(__xludf.DUMMYFUNCTION("""COMPUTED_VALUE"""),"Chaldea Gate (Fri)")</f>
        <v>Chaldea Gate (Fri)</v>
      </c>
      <c r="W26" s="104" t="str">
        <f>IFERROR(__xludf.DUMMYFUNCTION("""COMPUTED_VALUE"""),"FRI Caster Training Ground- Adv")</f>
        <v>FRI Caster Training Ground- Adv</v>
      </c>
      <c r="X26" s="109">
        <f>IFERROR(__xludf.DUMMYFUNCTION("""COMPUTED_VALUE"""),30.0)</f>
        <v>30</v>
      </c>
      <c r="Y26" s="110">
        <f>IFERROR(__xludf.DUMMYFUNCTION("""COMPUTED_VALUE"""),18.266666666666666)</f>
        <v>18.26666667</v>
      </c>
      <c r="Z26" s="112">
        <f>IFERROR(__xludf.DUMMYFUNCTION("""COMPUTED_VALUE"""),124.50736964446088)</f>
        <v>124.5073696</v>
      </c>
      <c r="AA26" s="121" t="str">
        <f>IFERROR(__xludf.DUMMYFUNCTION("""COMPUTED_VALUE"""),"AP")</f>
        <v>AP</v>
      </c>
      <c r="AB26" s="123">
        <f>IFERROR(__xludf.DUMMYFUNCTION("""COMPUTED_VALUE"""),24.094959266802444)</f>
        <v>24.09495927</v>
      </c>
      <c r="AC26" s="121" t="str">
        <f>IFERROR(__xludf.DUMMYFUNCTION("""COMPUTED_VALUE"""),"％")</f>
        <v>％</v>
      </c>
      <c r="AD26" s="109">
        <f>IFERROR(__xludf.DUMMYFUNCTION("""COMPUTED_VALUE"""),1964.0)</f>
        <v>1964</v>
      </c>
      <c r="AE26" s="100"/>
      <c r="AF26" s="98" t="str">
        <f>IFERROR(__xludf.DUMMYFUNCTION("""COMPUTED_VALUE"""),"")</f>
        <v/>
      </c>
    </row>
    <row r="27" ht="16.5" customHeight="1">
      <c r="B27" s="268"/>
      <c r="C27" s="100"/>
      <c r="D27" s="130">
        <f>IFERROR(__xludf.DUMMYFUNCTION("""COMPUTED_VALUE"""),3.0)</f>
        <v>3</v>
      </c>
      <c r="E27" s="132" t="str">
        <f>IFERROR(__xludf.DUMMYFUNCTION("""COMPUTED_VALUE"""),"AGT7")</f>
        <v>AGT7</v>
      </c>
      <c r="F27" s="133" t="str">
        <f>IFERROR(__xludf.DUMMYFUNCTION("""COMPUTED_VALUE"""),"Agartha")</f>
        <v>Agartha</v>
      </c>
      <c r="G27" s="135" t="str">
        <f>IFERROR(__xludf.DUMMYFUNCTION("""COMPUTED_VALUE"""),"Nightless City")</f>
        <v>Nightless City</v>
      </c>
      <c r="H27" s="137">
        <f>IFERROR(__xludf.DUMMYFUNCTION("""COMPUTED_VALUE"""),21.0)</f>
        <v>21</v>
      </c>
      <c r="I27" s="139">
        <f>IFERROR(__xludf.DUMMYFUNCTION("""COMPUTED_VALUE"""),46.666666666666664)</f>
        <v>46.66666667</v>
      </c>
      <c r="J27" s="141">
        <f>IFERROR(__xludf.DUMMYFUNCTION("""COMPUTED_VALUE"""),53.67682774129681)</f>
        <v>53.67682774</v>
      </c>
      <c r="K27" s="143" t="str">
        <f>IFERROR(__xludf.DUMMYFUNCTION("""COMPUTED_VALUE"""),"AP")</f>
        <v>AP</v>
      </c>
      <c r="L27" s="145">
        <f>IFERROR(__xludf.DUMMYFUNCTION("""COMPUTED_VALUE"""),39.123027354024195)</f>
        <v>39.12302735</v>
      </c>
      <c r="M27" s="143" t="str">
        <f>IFERROR(__xludf.DUMMYFUNCTION("""COMPUTED_VALUE"""),"％")</f>
        <v>％</v>
      </c>
      <c r="N27" s="137">
        <f>IFERROR(__xludf.DUMMYFUNCTION("""COMPUTED_VALUE"""),7604.0)</f>
        <v>7604</v>
      </c>
      <c r="O27" s="100"/>
      <c r="P27" s="93" t="str">
        <f>IFERROR(__xludf.DUMMYFUNCTION("""COMPUTED_VALUE"""),"")</f>
        <v/>
      </c>
      <c r="R27" s="268"/>
      <c r="S27" s="100"/>
      <c r="T27" s="130">
        <f>IFERROR(__xludf.DUMMYFUNCTION("""COMPUTED_VALUE"""),3.0)</f>
        <v>3</v>
      </c>
      <c r="U27" s="132" t="str">
        <f>IFERROR(__xludf.DUMMYFUNCTION("""COMPUTED_VALUE"""),"CML14")</f>
        <v>CML14</v>
      </c>
      <c r="V27" s="133" t="str">
        <f>IFERROR(__xludf.DUMMYFUNCTION("""COMPUTED_VALUE"""),"Camelot")</f>
        <v>Camelot</v>
      </c>
      <c r="W27" s="135" t="str">
        <f>IFERROR(__xludf.DUMMYFUNCTION("""COMPUTED_VALUE"""),"Great Temple")</f>
        <v>Great Temple</v>
      </c>
      <c r="X27" s="137">
        <f>IFERROR(__xludf.DUMMYFUNCTION("""COMPUTED_VALUE"""),22.0)</f>
        <v>22</v>
      </c>
      <c r="Y27" s="139">
        <f>IFERROR(__xludf.DUMMYFUNCTION("""COMPUTED_VALUE"""),48.90909090909091)</f>
        <v>48.90909091</v>
      </c>
      <c r="Z27" s="141">
        <f>IFERROR(__xludf.DUMMYFUNCTION("""COMPUTED_VALUE"""),358.65010859274935)</f>
        <v>358.6501086</v>
      </c>
      <c r="AA27" s="143" t="str">
        <f>IFERROR(__xludf.DUMMYFUNCTION("""COMPUTED_VALUE"""),"AP")</f>
        <v>AP</v>
      </c>
      <c r="AB27" s="145">
        <f>IFERROR(__xludf.DUMMYFUNCTION("""COMPUTED_VALUE"""),6.134112181457949)</f>
        <v>6.134112181</v>
      </c>
      <c r="AC27" s="143" t="str">
        <f>IFERROR(__xludf.DUMMYFUNCTION("""COMPUTED_VALUE"""),"％")</f>
        <v>％</v>
      </c>
      <c r="AD27" s="137">
        <f>IFERROR(__xludf.DUMMYFUNCTION("""COMPUTED_VALUE"""),29274.0)</f>
        <v>29274</v>
      </c>
      <c r="AE27" s="100"/>
      <c r="AF27" s="98" t="str">
        <f>IFERROR(__xludf.DUMMYFUNCTION("""COMPUTED_VALUE"""),"")</f>
        <v/>
      </c>
    </row>
    <row r="28" ht="16.5" customHeight="1">
      <c r="B28" s="268"/>
      <c r="C28" s="100"/>
      <c r="D28" s="146">
        <f>IFERROR(__xludf.DUMMYFUNCTION("""COMPUTED_VALUE"""),4.0)</f>
        <v>4</v>
      </c>
      <c r="E28" s="148" t="str">
        <f>IFERROR(__xludf.DUMMYFUNCTION("""COMPUTED_VALUE"""),"AGT6")</f>
        <v>AGT6</v>
      </c>
      <c r="F28" s="150" t="str">
        <f>IFERROR(__xludf.DUMMYFUNCTION("""COMPUTED_VALUE"""),"Agartha")</f>
        <v>Agartha</v>
      </c>
      <c r="G28" s="152" t="str">
        <f>IFERROR(__xludf.DUMMYFUNCTION("""COMPUTED_VALUE"""),"Northern Cliffs")</f>
        <v>Northern Cliffs</v>
      </c>
      <c r="H28" s="154">
        <f>IFERROR(__xludf.DUMMYFUNCTION("""COMPUTED_VALUE"""),21.0)</f>
        <v>21</v>
      </c>
      <c r="I28" s="156">
        <f>IFERROR(__xludf.DUMMYFUNCTION("""COMPUTED_VALUE"""),45.523809523809526)</f>
        <v>45.52380952</v>
      </c>
      <c r="J28" s="158">
        <f>IFERROR(__xludf.DUMMYFUNCTION("""COMPUTED_VALUE"""),53.71696441754023)</f>
        <v>53.71696442</v>
      </c>
      <c r="K28" s="160" t="str">
        <f>IFERROR(__xludf.DUMMYFUNCTION("""COMPUTED_VALUE"""),"AP")</f>
        <v>AP</v>
      </c>
      <c r="L28" s="162">
        <f>IFERROR(__xludf.DUMMYFUNCTION("""COMPUTED_VALUE"""),39.093795093795094)</f>
        <v>39.09379509</v>
      </c>
      <c r="M28" s="160" t="str">
        <f>IFERROR(__xludf.DUMMYFUNCTION("""COMPUTED_VALUE"""),"％")</f>
        <v>％</v>
      </c>
      <c r="N28" s="154">
        <f>IFERROR(__xludf.DUMMYFUNCTION("""COMPUTED_VALUE"""),2079.0)</f>
        <v>2079</v>
      </c>
      <c r="O28" s="100"/>
      <c r="P28" s="93" t="str">
        <f>IFERROR(__xludf.DUMMYFUNCTION("""COMPUTED_VALUE"""),"")</f>
        <v/>
      </c>
      <c r="R28" s="268"/>
      <c r="S28" s="100"/>
      <c r="T28" s="146">
        <f>IFERROR(__xludf.DUMMYFUNCTION("""COMPUTED_VALUE"""),4.0)</f>
        <v>4</v>
      </c>
      <c r="U28" s="148" t="str">
        <f>IFERROR(__xludf.DUMMYFUNCTION("""COMPUTED_VALUE"""),"SJK9")</f>
        <v>SJK9</v>
      </c>
      <c r="V28" s="150" t="str">
        <f>IFERROR(__xludf.DUMMYFUNCTION("""COMPUTED_VALUE"""),"Shinjuku")</f>
        <v>Shinjuku</v>
      </c>
      <c r="W28" s="152" t="str">
        <f>IFERROR(__xludf.DUMMYFUNCTION("""COMPUTED_VALUE"""),"Shinjuku Gyoen")</f>
        <v>Shinjuku Gyoen</v>
      </c>
      <c r="X28" s="154">
        <f>IFERROR(__xludf.DUMMYFUNCTION("""COMPUTED_VALUE"""),21.0)</f>
        <v>21</v>
      </c>
      <c r="Y28" s="156">
        <f>IFERROR(__xludf.DUMMYFUNCTION("""COMPUTED_VALUE"""),48.95238095238095)</f>
        <v>48.95238095</v>
      </c>
      <c r="Z28" s="158">
        <f>IFERROR(__xludf.DUMMYFUNCTION("""COMPUTED_VALUE"""),462.6896175246478)</f>
        <v>462.6896175</v>
      </c>
      <c r="AA28" s="160" t="str">
        <f>IFERROR(__xludf.DUMMYFUNCTION("""COMPUTED_VALUE"""),"AP")</f>
        <v>AP</v>
      </c>
      <c r="AB28" s="162">
        <f>IFERROR(__xludf.DUMMYFUNCTION("""COMPUTED_VALUE"""),4.538679755199243)</f>
        <v>4.538679755</v>
      </c>
      <c r="AC28" s="160" t="str">
        <f>IFERROR(__xludf.DUMMYFUNCTION("""COMPUTED_VALUE"""),"％")</f>
        <v>％</v>
      </c>
      <c r="AD28" s="154">
        <f>IFERROR(__xludf.DUMMYFUNCTION("""COMPUTED_VALUE"""),45673.0)</f>
        <v>45673</v>
      </c>
      <c r="AE28" s="100"/>
      <c r="AF28" s="98" t="str">
        <f>IFERROR(__xludf.DUMMYFUNCTION("""COMPUTED_VALUE"""),"")</f>
        <v/>
      </c>
    </row>
    <row r="29" ht="16.5" customHeight="1">
      <c r="A29" s="166"/>
      <c r="B29" s="269"/>
      <c r="C29" s="168"/>
      <c r="D29" s="169">
        <f>IFERROR(__xludf.DUMMYFUNCTION("""COMPUTED_VALUE"""),5.0)</f>
        <v>5</v>
      </c>
      <c r="E29" s="170" t="str">
        <f>IFERROR(__xludf.DUMMYFUNCTION("""COMPUTED_VALUE"""),"CML11")</f>
        <v>CML11</v>
      </c>
      <c r="F29" s="51" t="str">
        <f>IFERROR(__xludf.DUMMYFUNCTION("""COMPUTED_VALUE"""),"Camelot")</f>
        <v>Camelot</v>
      </c>
      <c r="G29" s="171" t="str">
        <f>IFERROR(__xludf.DUMMYFUNCTION("""COMPUTED_VALUE"""),"Hidden Village")</f>
        <v>Hidden Village</v>
      </c>
      <c r="H29" s="172">
        <f>IFERROR(__xludf.DUMMYFUNCTION("""COMPUTED_VALUE"""),21.0)</f>
        <v>21</v>
      </c>
      <c r="I29" s="173">
        <f>IFERROR(__xludf.DUMMYFUNCTION("""COMPUTED_VALUE"""),47.80952380952381)</f>
        <v>47.80952381</v>
      </c>
      <c r="J29" s="174">
        <f>IFERROR(__xludf.DUMMYFUNCTION("""COMPUTED_VALUE"""),67.35087882152587)</f>
        <v>67.35087882</v>
      </c>
      <c r="K29" s="175" t="str">
        <f>IFERROR(__xludf.DUMMYFUNCTION("""COMPUTED_VALUE"""),"AP")</f>
        <v>AP</v>
      </c>
      <c r="L29" s="176">
        <f>IFERROR(__xludf.DUMMYFUNCTION("""COMPUTED_VALUE"""),31.17999403637809)</f>
        <v>31.17999404</v>
      </c>
      <c r="M29" s="175" t="str">
        <f>IFERROR(__xludf.DUMMYFUNCTION("""COMPUTED_VALUE"""),"％")</f>
        <v>％</v>
      </c>
      <c r="N29" s="172">
        <f>IFERROR(__xludf.DUMMYFUNCTION("""COMPUTED_VALUE"""),50305.0)</f>
        <v>50305</v>
      </c>
      <c r="O29" s="168"/>
      <c r="P29" s="93" t="str">
        <f>IFERROR(__xludf.DUMMYFUNCTION("""COMPUTED_VALUE"""),"")</f>
        <v/>
      </c>
      <c r="Q29" s="166"/>
      <c r="R29" s="269"/>
      <c r="S29" s="168"/>
      <c r="T29" s="169">
        <f>IFERROR(__xludf.DUMMYFUNCTION("""COMPUTED_VALUE"""),5.0)</f>
        <v>5</v>
      </c>
      <c r="U29" s="170" t="str">
        <f>IFERROR(__xludf.DUMMYFUNCTION("""COMPUTED_VALUE"""),"AGT12")</f>
        <v>AGT12</v>
      </c>
      <c r="V29" s="51" t="str">
        <f>IFERROR(__xludf.DUMMYFUNCTION("""COMPUTED_VALUE"""),"Agartha")</f>
        <v>Agartha</v>
      </c>
      <c r="W29" s="171" t="str">
        <f>IFERROR(__xludf.DUMMYFUNCTION("""COMPUTED_VALUE"""),"Chasm in the Earth")</f>
        <v>Chasm in the Earth</v>
      </c>
      <c r="X29" s="172">
        <f>IFERROR(__xludf.DUMMYFUNCTION("""COMPUTED_VALUE"""),21.0)</f>
        <v>21</v>
      </c>
      <c r="Y29" s="173">
        <f>IFERROR(__xludf.DUMMYFUNCTION("""COMPUTED_VALUE"""),48.95238095238095)</f>
        <v>48.95238095</v>
      </c>
      <c r="Z29" s="174">
        <f>IFERROR(__xludf.DUMMYFUNCTION("""COMPUTED_VALUE"""),565.900981266726)</f>
        <v>565.9009813</v>
      </c>
      <c r="AA29" s="175" t="str">
        <f>IFERROR(__xludf.DUMMYFUNCTION("""COMPUTED_VALUE"""),"AP")</f>
        <v>AP</v>
      </c>
      <c r="AB29" s="176">
        <f>IFERROR(__xludf.DUMMYFUNCTION("""COMPUTED_VALUE"""),3.710896551724138)</f>
        <v>3.710896552</v>
      </c>
      <c r="AC29" s="175" t="str">
        <f>IFERROR(__xludf.DUMMYFUNCTION("""COMPUTED_VALUE"""),"％")</f>
        <v>％</v>
      </c>
      <c r="AD29" s="172">
        <f>IFERROR(__xludf.DUMMYFUNCTION("""COMPUTED_VALUE"""),725.0)</f>
        <v>725</v>
      </c>
      <c r="AE29" s="168"/>
      <c r="AF29" s="98" t="str">
        <f>IFERROR(__xludf.DUMMYFUNCTION("""COMPUTED_VALUE"""),"")</f>
        <v/>
      </c>
    </row>
    <row r="30" ht="16.5" customHeight="1">
      <c r="A30" s="61" t="str">
        <f>IFERROR(__xludf.DUMMYFUNCTION("""COMPUTED_VALUE"""),"")</f>
        <v/>
      </c>
      <c r="B30" s="179" t="str">
        <f>IFERROR(__xludf.DUMMYFUNCTION("""COMPUTED_VALUE"""),"A306")</f>
        <v>A306</v>
      </c>
      <c r="C30" s="197" t="str">
        <f>IFERROR(__xludf.DUMMYFUNCTION("""COMPUTED_VALUE"""),"Deadly Poisonous Needle")</f>
        <v>Deadly Poisonous Needle</v>
      </c>
      <c r="D30" s="181">
        <f>IFERROR(__xludf.DUMMYFUNCTION("""COMPUTED_VALUE"""),1.0)</f>
        <v>1</v>
      </c>
      <c r="E30" s="182" t="str">
        <f>IFERROR(__xludf.DUMMYFUNCTION("""COMPUTED_VALUE"""),"BBL9")</f>
        <v>BBL9</v>
      </c>
      <c r="F30" s="184" t="str">
        <f>IFERROR(__xludf.DUMMYFUNCTION("""COMPUTED_VALUE"""),"Babylonia")</f>
        <v>Babylonia</v>
      </c>
      <c r="G30" s="189" t="str">
        <f>IFERROR(__xludf.DUMMYFUNCTION("""COMPUTED_VALUE"""),"Field of Reeds")</f>
        <v>Field of Reeds</v>
      </c>
      <c r="H30" s="190">
        <f>IFERROR(__xludf.DUMMYFUNCTION("""COMPUTED_VALUE"""),21.0)</f>
        <v>21</v>
      </c>
      <c r="I30" s="191">
        <f>IFERROR(__xludf.DUMMYFUNCTION("""COMPUTED_VALUE"""),46.666666666666664)</f>
        <v>46.66666667</v>
      </c>
      <c r="J30" s="192">
        <f>IFERROR(__xludf.DUMMYFUNCTION("""COMPUTED_VALUE"""),33.60343769183548)</f>
        <v>33.60343769</v>
      </c>
      <c r="K30" s="194" t="str">
        <f>IFERROR(__xludf.DUMMYFUNCTION("""COMPUTED_VALUE"""),"AP")</f>
        <v>AP</v>
      </c>
      <c r="L30" s="192">
        <f>IFERROR(__xludf.DUMMYFUNCTION("""COMPUTED_VALUE"""),62.49360613810742)</f>
        <v>62.49360614</v>
      </c>
      <c r="M30" s="194" t="str">
        <f>IFERROR(__xludf.DUMMYFUNCTION("""COMPUTED_VALUE"""),"％")</f>
        <v>％</v>
      </c>
      <c r="N30" s="190">
        <f>IFERROR(__xludf.DUMMYFUNCTION("""COMPUTED_VALUE"""),13685.0)</f>
        <v>13685</v>
      </c>
      <c r="O30" s="197" t="str">
        <f>IFERROR(__xludf.DUMMYFUNCTION("""COMPUTED_VALUE"""),"Deadly Poisonous Needle")</f>
        <v>Deadly Poisonous Needle</v>
      </c>
      <c r="P30" s="93" t="str">
        <f>IFERROR(__xludf.DUMMYFUNCTION("""COMPUTED_VALUE"""),"")</f>
        <v/>
      </c>
      <c r="Q30" s="61" t="str">
        <f>IFERROR(__xludf.DUMMYFUNCTION("""COMPUTED_VALUE"""),"")</f>
        <v/>
      </c>
      <c r="R30" s="199" t="str">
        <f>IFERROR(__xludf.DUMMYFUNCTION("""COMPUTED_VALUE"""),"B106")</f>
        <v>B106</v>
      </c>
      <c r="S30" s="197" t="str">
        <f>IFERROR(__xludf.DUMMYFUNCTION("""COMPUTED_VALUE"""),"Secret Gem of Assassin")</f>
        <v>Secret Gem of Assassin</v>
      </c>
      <c r="T30" s="181">
        <f>IFERROR(__xludf.DUMMYFUNCTION("""COMPUTED_VALUE"""),1.0)</f>
        <v>1</v>
      </c>
      <c r="U30" s="182" t="str">
        <f>IFERROR(__xludf.DUMMYFUNCTION("""COMPUTED_VALUE"""),"TRF24")</f>
        <v>TRF24</v>
      </c>
      <c r="V30" s="184" t="str">
        <f>IFERROR(__xludf.DUMMYFUNCTION("""COMPUTED_VALUE"""),"Chaldea Gate (Sat)")</f>
        <v>Chaldea Gate (Sat)</v>
      </c>
      <c r="W30" s="184" t="str">
        <f>IFERROR(__xludf.DUMMYFUNCTION("""COMPUTED_VALUE"""),"SAT Assassin Training Ground- Exp")</f>
        <v>SAT Assassin Training Ground- Exp</v>
      </c>
      <c r="X30" s="190">
        <f>IFERROR(__xludf.DUMMYFUNCTION("""COMPUTED_VALUE"""),40.0)</f>
        <v>40</v>
      </c>
      <c r="Y30" s="191">
        <f>IFERROR(__xludf.DUMMYFUNCTION("""COMPUTED_VALUE"""),19.7)</f>
        <v>19.7</v>
      </c>
      <c r="Z30" s="192">
        <f>IFERROR(__xludf.DUMMYFUNCTION("""COMPUTED_VALUE"""),157.66598680122686)</f>
        <v>157.6659868</v>
      </c>
      <c r="AA30" s="194" t="str">
        <f>IFERROR(__xludf.DUMMYFUNCTION("""COMPUTED_VALUE"""),"AP")</f>
        <v>AP</v>
      </c>
      <c r="AB30" s="192">
        <f>IFERROR(__xludf.DUMMYFUNCTION("""COMPUTED_VALUE"""),25.370088255261372)</f>
        <v>25.37008826</v>
      </c>
      <c r="AC30" s="194" t="str">
        <f>IFERROR(__xludf.DUMMYFUNCTION("""COMPUTED_VALUE"""),"％")</f>
        <v>％</v>
      </c>
      <c r="AD30" s="190">
        <f>IFERROR(__xludf.DUMMYFUNCTION("""COMPUTED_VALUE"""),7365.0)</f>
        <v>7365</v>
      </c>
      <c r="AE30" s="197" t="str">
        <f>IFERROR(__xludf.DUMMYFUNCTION("""COMPUTED_VALUE"""),"Secret Gem of Assassin")</f>
        <v>Secret Gem of Assassin</v>
      </c>
      <c r="AF30" s="98" t="str">
        <f>IFERROR(__xludf.DUMMYFUNCTION("""COMPUTED_VALUE"""),"")</f>
        <v/>
      </c>
    </row>
    <row r="31" ht="16.5" customHeight="1">
      <c r="B31" s="203"/>
      <c r="C31" s="217"/>
      <c r="D31" s="205">
        <f>IFERROR(__xludf.DUMMYFUNCTION("""COMPUTED_VALUE"""),2.0)</f>
        <v>2</v>
      </c>
      <c r="E31" s="206" t="str">
        <f>IFERROR(__xludf.DUMMYFUNCTION("""COMPUTED_VALUE"""),"BBL4")</f>
        <v>BBL4</v>
      </c>
      <c r="F31" s="207" t="str">
        <f>IFERROR(__xludf.DUMMYFUNCTION("""COMPUTED_VALUE"""),"Babylonia")</f>
        <v>Babylonia</v>
      </c>
      <c r="G31" s="209" t="str">
        <f>IFERROR(__xludf.DUMMYFUNCTION("""COMPUTED_VALUE"""),"Plateau")</f>
        <v>Plateau</v>
      </c>
      <c r="H31" s="211">
        <f>IFERROR(__xludf.DUMMYFUNCTION("""COMPUTED_VALUE"""),20.0)</f>
        <v>20</v>
      </c>
      <c r="I31" s="213">
        <f>IFERROR(__xludf.DUMMYFUNCTION("""COMPUTED_VALUE"""),46.6)</f>
        <v>46.6</v>
      </c>
      <c r="J31" s="214">
        <f>IFERROR(__xludf.DUMMYFUNCTION("""COMPUTED_VALUE"""),40.54057282372138)</f>
        <v>40.54057282</v>
      </c>
      <c r="K31" s="215" t="str">
        <f>IFERROR(__xludf.DUMMYFUNCTION("""COMPUTED_VALUE"""),"AP")</f>
        <v>AP</v>
      </c>
      <c r="L31" s="214">
        <f>IFERROR(__xludf.DUMMYFUNCTION("""COMPUTED_VALUE"""),49.33329404832056)</f>
        <v>49.33329405</v>
      </c>
      <c r="M31" s="215" t="str">
        <f>IFERROR(__xludf.DUMMYFUNCTION("""COMPUTED_VALUE"""),"％")</f>
        <v>％</v>
      </c>
      <c r="N31" s="211">
        <f>IFERROR(__xludf.DUMMYFUNCTION("""COMPUTED_VALUE"""),6788.0)</f>
        <v>6788</v>
      </c>
      <c r="O31" s="217"/>
      <c r="P31" s="93" t="str">
        <f>IFERROR(__xludf.DUMMYFUNCTION("""COMPUTED_VALUE"""),"")</f>
        <v/>
      </c>
      <c r="R31" s="203"/>
      <c r="S31" s="217"/>
      <c r="T31" s="205">
        <f>IFERROR(__xludf.DUMMYFUNCTION("""COMPUTED_VALUE"""),2.0)</f>
        <v>2</v>
      </c>
      <c r="U31" s="206" t="str">
        <f>IFERROR(__xludf.DUMMYFUNCTION("""COMPUTED_VALUE"""),"TRF23")</f>
        <v>TRF23</v>
      </c>
      <c r="V31" s="207" t="str">
        <f>IFERROR(__xludf.DUMMYFUNCTION("""COMPUTED_VALUE"""),"Chaldea Gate (Sat)")</f>
        <v>Chaldea Gate (Sat)</v>
      </c>
      <c r="W31" s="207" t="str">
        <f>IFERROR(__xludf.DUMMYFUNCTION("""COMPUTED_VALUE"""),"SAT Assassin Training Ground- Adv")</f>
        <v>SAT Assassin Training Ground- Adv</v>
      </c>
      <c r="X31" s="211">
        <f>IFERROR(__xludf.DUMMYFUNCTION("""COMPUTED_VALUE"""),30.0)</f>
        <v>30</v>
      </c>
      <c r="Y31" s="213">
        <f>IFERROR(__xludf.DUMMYFUNCTION("""COMPUTED_VALUE"""),18.266666666666666)</f>
        <v>18.26666667</v>
      </c>
      <c r="Z31" s="214">
        <f>IFERROR(__xludf.DUMMYFUNCTION("""COMPUTED_VALUE"""),205.4477588919394)</f>
        <v>205.4477589</v>
      </c>
      <c r="AA31" s="215" t="str">
        <f>IFERROR(__xludf.DUMMYFUNCTION("""COMPUTED_VALUE"""),"AP")</f>
        <v>AP</v>
      </c>
      <c r="AB31" s="214">
        <f>IFERROR(__xludf.DUMMYFUNCTION("""COMPUTED_VALUE"""),14.602252252252253)</f>
        <v>14.60225225</v>
      </c>
      <c r="AC31" s="215" t="str">
        <f>IFERROR(__xludf.DUMMYFUNCTION("""COMPUTED_VALUE"""),"％")</f>
        <v>％</v>
      </c>
      <c r="AD31" s="211">
        <f>IFERROR(__xludf.DUMMYFUNCTION("""COMPUTED_VALUE"""),888.0)</f>
        <v>888</v>
      </c>
      <c r="AE31" s="217"/>
      <c r="AF31" s="98" t="str">
        <f>IFERROR(__xludf.DUMMYFUNCTION("""COMPUTED_VALUE"""),"")</f>
        <v/>
      </c>
    </row>
    <row r="32" ht="16.5" customHeight="1">
      <c r="B32" s="203"/>
      <c r="C32" s="217"/>
      <c r="D32" s="222">
        <f>IFERROR(__xludf.DUMMYFUNCTION("""COMPUTED_VALUE"""),3.0)</f>
        <v>3</v>
      </c>
      <c r="E32" s="223" t="str">
        <f>IFERROR(__xludf.DUMMYFUNCTION("""COMPUTED_VALUE"""),"BBL11")</f>
        <v>BBL11</v>
      </c>
      <c r="F32" s="224" t="str">
        <f>IFERROR(__xludf.DUMMYFUNCTION("""COMPUTED_VALUE"""),"Babylonia")</f>
        <v>Babylonia</v>
      </c>
      <c r="G32" s="226" t="str">
        <f>IFERROR(__xludf.DUMMYFUNCTION("""COMPUTED_VALUE"""),"Northern Wall")</f>
        <v>Northern Wall</v>
      </c>
      <c r="H32" s="228">
        <f>IFERROR(__xludf.DUMMYFUNCTION("""COMPUTED_VALUE"""),21.0)</f>
        <v>21</v>
      </c>
      <c r="I32" s="230">
        <f>IFERROR(__xludf.DUMMYFUNCTION("""COMPUTED_VALUE"""),47.80952380952381)</f>
        <v>47.80952381</v>
      </c>
      <c r="J32" s="231">
        <f>IFERROR(__xludf.DUMMYFUNCTION("""COMPUTED_VALUE"""),49.64721699920376)</f>
        <v>49.647217</v>
      </c>
      <c r="K32" s="232" t="str">
        <f>IFERROR(__xludf.DUMMYFUNCTION("""COMPUTED_VALUE"""),"AP")</f>
        <v>AP</v>
      </c>
      <c r="L32" s="231">
        <f>IFERROR(__xludf.DUMMYFUNCTION("""COMPUTED_VALUE"""),42.29844343608786)</f>
        <v>42.29844344</v>
      </c>
      <c r="M32" s="232" t="str">
        <f>IFERROR(__xludf.DUMMYFUNCTION("""COMPUTED_VALUE"""),"％")</f>
        <v>％</v>
      </c>
      <c r="N32" s="228">
        <f>IFERROR(__xludf.DUMMYFUNCTION("""COMPUTED_VALUE"""),2891.0)</f>
        <v>2891</v>
      </c>
      <c r="O32" s="217"/>
      <c r="P32" s="177" t="str">
        <f>IFERROR(__xludf.DUMMYFUNCTION("""COMPUTED_VALUE"""),"")</f>
        <v/>
      </c>
      <c r="R32" s="203"/>
      <c r="S32" s="217"/>
      <c r="T32" s="222">
        <f>IFERROR(__xludf.DUMMYFUNCTION("""COMPUTED_VALUE"""),3.0)</f>
        <v>3</v>
      </c>
      <c r="U32" s="223" t="str">
        <f>IFERROR(__xludf.DUMMYFUNCTION("""COMPUTED_VALUE"""),"LDN7")</f>
        <v>LDN7</v>
      </c>
      <c r="V32" s="224" t="str">
        <f>IFERROR(__xludf.DUMMYFUNCTION("""COMPUTED_VALUE"""),"London")</f>
        <v>London</v>
      </c>
      <c r="W32" s="226" t="str">
        <f>IFERROR(__xludf.DUMMYFUNCTION("""COMPUTED_VALUE"""),"Clerkenwell")</f>
        <v>Clerkenwell</v>
      </c>
      <c r="X32" s="228">
        <f>IFERROR(__xludf.DUMMYFUNCTION("""COMPUTED_VALUE"""),18.0)</f>
        <v>18</v>
      </c>
      <c r="Y32" s="230">
        <f>IFERROR(__xludf.DUMMYFUNCTION("""COMPUTED_VALUE"""),43.77777777777778)</f>
        <v>43.77777778</v>
      </c>
      <c r="Z32" s="231">
        <f>IFERROR(__xludf.DUMMYFUNCTION("""COMPUTED_VALUE"""),547.7845074912336)</f>
        <v>547.7845075</v>
      </c>
      <c r="AA32" s="232" t="str">
        <f>IFERROR(__xludf.DUMMYFUNCTION("""COMPUTED_VALUE"""),"AP")</f>
        <v>AP</v>
      </c>
      <c r="AB32" s="231">
        <f>IFERROR(__xludf.DUMMYFUNCTION("""COMPUTED_VALUE"""),3.285963687150838)</f>
        <v>3.285963687</v>
      </c>
      <c r="AC32" s="232" t="str">
        <f>IFERROR(__xludf.DUMMYFUNCTION("""COMPUTED_VALUE"""),"％")</f>
        <v>％</v>
      </c>
      <c r="AD32" s="228">
        <f>IFERROR(__xludf.DUMMYFUNCTION("""COMPUTED_VALUE"""),2864.0)</f>
        <v>2864</v>
      </c>
      <c r="AE32" s="217"/>
      <c r="AF32" s="98" t="str">
        <f>IFERROR(__xludf.DUMMYFUNCTION("""COMPUTED_VALUE"""),"")</f>
        <v/>
      </c>
    </row>
    <row r="33" ht="16.5" customHeight="1">
      <c r="B33" s="203"/>
      <c r="C33" s="217"/>
      <c r="D33" s="238">
        <f>IFERROR(__xludf.DUMMYFUNCTION("""COMPUTED_VALUE"""),4.0)</f>
        <v>4</v>
      </c>
      <c r="E33" s="240" t="str">
        <f>IFERROR(__xludf.DUMMYFUNCTION("""COMPUTED_VALUE"""),"BBL5")</f>
        <v>BBL5</v>
      </c>
      <c r="F33" s="242" t="str">
        <f>IFERROR(__xludf.DUMMYFUNCTION("""COMPUTED_VALUE"""),"Babylonia")</f>
        <v>Babylonia</v>
      </c>
      <c r="G33" s="244" t="str">
        <f>IFERROR(__xludf.DUMMYFUNCTION("""COMPUTED_VALUE"""),"Bog")</f>
        <v>Bog</v>
      </c>
      <c r="H33" s="246">
        <f>IFERROR(__xludf.DUMMYFUNCTION("""COMPUTED_VALUE"""),21.0)</f>
        <v>21</v>
      </c>
      <c r="I33" s="248">
        <f>IFERROR(__xludf.DUMMYFUNCTION("""COMPUTED_VALUE"""),45.523809523809526)</f>
        <v>45.52380952</v>
      </c>
      <c r="J33" s="250">
        <f>IFERROR(__xludf.DUMMYFUNCTION("""COMPUTED_VALUE"""),54.28119438402214)</f>
        <v>54.28119438</v>
      </c>
      <c r="K33" s="252" t="str">
        <f>IFERROR(__xludf.DUMMYFUNCTION("""COMPUTED_VALUE"""),"AP")</f>
        <v>AP</v>
      </c>
      <c r="L33" s="250">
        <f>IFERROR(__xludf.DUMMYFUNCTION("""COMPUTED_VALUE"""),38.68743169398907)</f>
        <v>38.68743169</v>
      </c>
      <c r="M33" s="252" t="str">
        <f>IFERROR(__xludf.DUMMYFUNCTION("""COMPUTED_VALUE"""),"％")</f>
        <v>％</v>
      </c>
      <c r="N33" s="246">
        <f>IFERROR(__xludf.DUMMYFUNCTION("""COMPUTED_VALUE"""),1830.0)</f>
        <v>1830</v>
      </c>
      <c r="O33" s="217"/>
      <c r="P33" s="93" t="str">
        <f>IFERROR(__xludf.DUMMYFUNCTION("""COMPUTED_VALUE"""),"")</f>
        <v/>
      </c>
      <c r="R33" s="203"/>
      <c r="S33" s="217"/>
      <c r="T33" s="238">
        <f>IFERROR(__xludf.DUMMYFUNCTION("""COMPUTED_VALUE"""),4.0)</f>
        <v>4</v>
      </c>
      <c r="U33" s="240" t="str">
        <f>IFERROR(__xludf.DUMMYFUNCTION("""COMPUTED_VALUE"""),"")</f>
        <v/>
      </c>
      <c r="V33" s="242" t="str">
        <f>IFERROR(__xludf.DUMMYFUNCTION("""COMPUTED_VALUE"""),"")</f>
        <v/>
      </c>
      <c r="W33" s="242" t="str">
        <f>IFERROR(__xludf.DUMMYFUNCTION("""COMPUTED_VALUE"""),"")</f>
        <v/>
      </c>
      <c r="X33" s="246" t="str">
        <f>IFERROR(__xludf.DUMMYFUNCTION("""COMPUTED_VALUE"""),"")</f>
        <v/>
      </c>
      <c r="Y33" s="248" t="str">
        <f>IFERROR(__xludf.DUMMYFUNCTION("""COMPUTED_VALUE"""),"")</f>
        <v/>
      </c>
      <c r="Z33" s="250" t="str">
        <f>IFERROR(__xludf.DUMMYFUNCTION("""COMPUTED_VALUE"""),"")</f>
        <v/>
      </c>
      <c r="AA33" s="252" t="str">
        <f>IFERROR(__xludf.DUMMYFUNCTION("""COMPUTED_VALUE"""),"AP")</f>
        <v>AP</v>
      </c>
      <c r="AB33" s="250" t="str">
        <f>IFERROR(__xludf.DUMMYFUNCTION("""COMPUTED_VALUE"""),"")</f>
        <v/>
      </c>
      <c r="AC33" s="252" t="str">
        <f>IFERROR(__xludf.DUMMYFUNCTION("""COMPUTED_VALUE"""),"％")</f>
        <v>％</v>
      </c>
      <c r="AD33" s="246" t="str">
        <f>IFERROR(__xludf.DUMMYFUNCTION("""COMPUTED_VALUE"""),"")</f>
        <v/>
      </c>
      <c r="AE33" s="217"/>
      <c r="AF33" s="98" t="str">
        <f>IFERROR(__xludf.DUMMYFUNCTION("""COMPUTED_VALUE"""),"")</f>
        <v/>
      </c>
    </row>
    <row r="34" ht="16.5" customHeight="1">
      <c r="A34" s="166"/>
      <c r="B34" s="254"/>
      <c r="C34" s="263"/>
      <c r="D34" s="256">
        <f>IFERROR(__xludf.DUMMYFUNCTION("""COMPUTED_VALUE"""),5.0)</f>
        <v>5</v>
      </c>
      <c r="E34" s="257" t="str">
        <f>IFERROR(__xludf.DUMMYFUNCTION("""COMPUTED_VALUE"""),"BBL12")</f>
        <v>BBL12</v>
      </c>
      <c r="F34" s="42" t="str">
        <f>IFERROR(__xludf.DUMMYFUNCTION("""COMPUTED_VALUE"""),"Babylonia")</f>
        <v>Babylonia</v>
      </c>
      <c r="G34" s="258" t="str">
        <f>IFERROR(__xludf.DUMMYFUNCTION("""COMPUTED_VALUE"""),"Nippur")</f>
        <v>Nippur</v>
      </c>
      <c r="H34" s="259">
        <f>IFERROR(__xludf.DUMMYFUNCTION("""COMPUTED_VALUE"""),21.0)</f>
        <v>21</v>
      </c>
      <c r="I34" s="260">
        <f>IFERROR(__xludf.DUMMYFUNCTION("""COMPUTED_VALUE"""),48.95238095238095)</f>
        <v>48.95238095</v>
      </c>
      <c r="J34" s="261">
        <f>IFERROR(__xludf.DUMMYFUNCTION("""COMPUTED_VALUE"""),69.07602228987852)</f>
        <v>69.07602229</v>
      </c>
      <c r="K34" s="262" t="str">
        <f>IFERROR(__xludf.DUMMYFUNCTION("""COMPUTED_VALUE"""),"AP")</f>
        <v>AP</v>
      </c>
      <c r="L34" s="261">
        <f>IFERROR(__xludf.DUMMYFUNCTION("""COMPUTED_VALUE"""),30.40128731193177)</f>
        <v>30.40128731</v>
      </c>
      <c r="M34" s="262" t="str">
        <f>IFERROR(__xludf.DUMMYFUNCTION("""COMPUTED_VALUE"""),"％")</f>
        <v>％</v>
      </c>
      <c r="N34" s="259">
        <f>IFERROR(__xludf.DUMMYFUNCTION("""COMPUTED_VALUE"""),24858.0)</f>
        <v>24858</v>
      </c>
      <c r="O34" s="263"/>
      <c r="P34" s="93" t="str">
        <f>IFERROR(__xludf.DUMMYFUNCTION("""COMPUTED_VALUE"""),"")</f>
        <v/>
      </c>
      <c r="Q34" s="166"/>
      <c r="R34" s="254"/>
      <c r="S34" s="263"/>
      <c r="T34" s="256">
        <f>IFERROR(__xludf.DUMMYFUNCTION("""COMPUTED_VALUE"""),5.0)</f>
        <v>5</v>
      </c>
      <c r="U34" s="257" t="str">
        <f>IFERROR(__xludf.DUMMYFUNCTION("""COMPUTED_VALUE"""),"")</f>
        <v/>
      </c>
      <c r="V34" s="42" t="str">
        <f>IFERROR(__xludf.DUMMYFUNCTION("""COMPUTED_VALUE"""),"")</f>
        <v/>
      </c>
      <c r="W34" s="42" t="str">
        <f>IFERROR(__xludf.DUMMYFUNCTION("""COMPUTED_VALUE"""),"")</f>
        <v/>
      </c>
      <c r="X34" s="259" t="str">
        <f>IFERROR(__xludf.DUMMYFUNCTION("""COMPUTED_VALUE"""),"")</f>
        <v/>
      </c>
      <c r="Y34" s="260" t="str">
        <f>IFERROR(__xludf.DUMMYFUNCTION("""COMPUTED_VALUE"""),"")</f>
        <v/>
      </c>
      <c r="Z34" s="261" t="str">
        <f>IFERROR(__xludf.DUMMYFUNCTION("""COMPUTED_VALUE"""),"")</f>
        <v/>
      </c>
      <c r="AA34" s="262" t="str">
        <f>IFERROR(__xludf.DUMMYFUNCTION("""COMPUTED_VALUE"""),"AP")</f>
        <v>AP</v>
      </c>
      <c r="AB34" s="261" t="str">
        <f>IFERROR(__xludf.DUMMYFUNCTION("""COMPUTED_VALUE"""),"")</f>
        <v/>
      </c>
      <c r="AC34" s="262" t="str">
        <f>IFERROR(__xludf.DUMMYFUNCTION("""COMPUTED_VALUE"""),"％")</f>
        <v>％</v>
      </c>
      <c r="AD34" s="259" t="str">
        <f>IFERROR(__xludf.DUMMYFUNCTION("""COMPUTED_VALUE"""),"")</f>
        <v/>
      </c>
      <c r="AE34" s="263"/>
      <c r="AF34" s="98" t="str">
        <f>IFERROR(__xludf.DUMMYFUNCTION("""COMPUTED_VALUE"""),"")</f>
        <v/>
      </c>
    </row>
    <row r="35" ht="16.5" customHeight="1">
      <c r="A35" s="61" t="str">
        <f>IFERROR(__xludf.DUMMYFUNCTION("""COMPUTED_VALUE"""),"")</f>
        <v/>
      </c>
      <c r="B35" s="265" t="str">
        <f>IFERROR(__xludf.DUMMYFUNCTION("""COMPUTED_VALUE"""),"A307")</f>
        <v>A307</v>
      </c>
      <c r="C35" s="65" t="str">
        <f>IFERROR(__xludf.DUMMYFUNCTION("""COMPUTED_VALUE"""),"Mystic Spinal Fluid")</f>
        <v>Mystic Spinal Fluid</v>
      </c>
      <c r="D35" s="67">
        <f>IFERROR(__xludf.DUMMYFUNCTION("""COMPUTED_VALUE"""),1.0)</f>
        <v>1</v>
      </c>
      <c r="E35" s="69" t="str">
        <f>IFERROR(__xludf.DUMMYFUNCTION("""COMPUTED_VALUE"""),"SJK3")</f>
        <v>SJK3</v>
      </c>
      <c r="F35" s="71" t="str">
        <f>IFERROR(__xludf.DUMMYFUNCTION("""COMPUTED_VALUE"""),"Shinjuku")</f>
        <v>Shinjuku</v>
      </c>
      <c r="G35" s="78" t="str">
        <f>IFERROR(__xludf.DUMMYFUNCTION("""COMPUTED_VALUE"""),"Shinjuku Station")</f>
        <v>Shinjuku Station</v>
      </c>
      <c r="H35" s="80">
        <f>IFERROR(__xludf.DUMMYFUNCTION("""COMPUTED_VALUE"""),21.0)</f>
        <v>21</v>
      </c>
      <c r="I35" s="82">
        <f>IFERROR(__xludf.DUMMYFUNCTION("""COMPUTED_VALUE"""),45.523809523809526)</f>
        <v>45.52380952</v>
      </c>
      <c r="J35" s="84">
        <f>IFERROR(__xludf.DUMMYFUNCTION("""COMPUTED_VALUE"""),32.50292893206548)</f>
        <v>32.50292893</v>
      </c>
      <c r="K35" s="86" t="str">
        <f>IFERROR(__xludf.DUMMYFUNCTION("""COMPUTED_VALUE"""),"AP")</f>
        <v>AP</v>
      </c>
      <c r="L35" s="88">
        <f>IFERROR(__xludf.DUMMYFUNCTION("""COMPUTED_VALUE"""),64.60956193791702)</f>
        <v>64.60956194</v>
      </c>
      <c r="M35" s="86" t="str">
        <f>IFERROR(__xludf.DUMMYFUNCTION("""COMPUTED_VALUE"""),"％")</f>
        <v>％</v>
      </c>
      <c r="N35" s="80">
        <f>IFERROR(__xludf.DUMMYFUNCTION("""COMPUTED_VALUE"""),17235.0)</f>
        <v>17235</v>
      </c>
      <c r="O35" s="91" t="str">
        <f>IFERROR(__xludf.DUMMYFUNCTION("""COMPUTED_VALUE"""),"Mystic Spinal Fluid")</f>
        <v>Mystic Spinal Fluid</v>
      </c>
      <c r="P35" s="93" t="str">
        <f>IFERROR(__xludf.DUMMYFUNCTION("""COMPUTED_VALUE"""),"")</f>
        <v/>
      </c>
      <c r="Q35" s="61" t="str">
        <f>IFERROR(__xludf.DUMMYFUNCTION("""COMPUTED_VALUE"""),"")</f>
        <v/>
      </c>
      <c r="R35" s="267" t="str">
        <f>IFERROR(__xludf.DUMMYFUNCTION("""COMPUTED_VALUE"""),"B107")</f>
        <v>B107</v>
      </c>
      <c r="S35" s="65" t="str">
        <f>IFERROR(__xludf.DUMMYFUNCTION("""COMPUTED_VALUE"""),"Secret Gem of Berserker")</f>
        <v>Secret Gem of Berserker</v>
      </c>
      <c r="T35" s="67">
        <f>IFERROR(__xludf.DUMMYFUNCTION("""COMPUTED_VALUE"""),1.0)</f>
        <v>1</v>
      </c>
      <c r="U35" s="69" t="str">
        <f>IFERROR(__xludf.DUMMYFUNCTION("""COMPUTED_VALUE"""),"TRF12")</f>
        <v>TRF12</v>
      </c>
      <c r="V35" s="71" t="str">
        <f>IFERROR(__xludf.DUMMYFUNCTION("""COMPUTED_VALUE"""),"Chaldea Gate (Wed)")</f>
        <v>Chaldea Gate (Wed)</v>
      </c>
      <c r="W35" s="71" t="str">
        <f>IFERROR(__xludf.DUMMYFUNCTION("""COMPUTED_VALUE"""),"WED Berserker Training Ground- Exp")</f>
        <v>WED Berserker Training Ground- Exp</v>
      </c>
      <c r="X35" s="80">
        <f>IFERROR(__xludf.DUMMYFUNCTION("""COMPUTED_VALUE"""),40.0)</f>
        <v>40</v>
      </c>
      <c r="Y35" s="82">
        <f>IFERROR(__xludf.DUMMYFUNCTION("""COMPUTED_VALUE"""),19.7)</f>
        <v>19.7</v>
      </c>
      <c r="Z35" s="84">
        <f>IFERROR(__xludf.DUMMYFUNCTION("""COMPUTED_VALUE"""),164.28223387205662)</f>
        <v>164.2822339</v>
      </c>
      <c r="AA35" s="86" t="str">
        <f>IFERROR(__xludf.DUMMYFUNCTION("""COMPUTED_VALUE"""),"AP")</f>
        <v>AP</v>
      </c>
      <c r="AB35" s="88">
        <f>IFERROR(__xludf.DUMMYFUNCTION("""COMPUTED_VALUE"""),24.348341909662665)</f>
        <v>24.34834191</v>
      </c>
      <c r="AC35" s="86" t="str">
        <f>IFERROR(__xludf.DUMMYFUNCTION("""COMPUTED_VALUE"""),"％")</f>
        <v>％</v>
      </c>
      <c r="AD35" s="80">
        <f>IFERROR(__xludf.DUMMYFUNCTION("""COMPUTED_VALUE"""),3498.0)</f>
        <v>3498</v>
      </c>
      <c r="AE35" s="91" t="str">
        <f>IFERROR(__xludf.DUMMYFUNCTION("""COMPUTED_VALUE"""),"Secret Gem of Berserker")</f>
        <v>Secret Gem of Berserker</v>
      </c>
      <c r="AF35" s="98" t="str">
        <f>IFERROR(__xludf.DUMMYFUNCTION("""COMPUTED_VALUE"""),"")</f>
        <v/>
      </c>
    </row>
    <row r="36" ht="16.5" customHeight="1">
      <c r="B36" s="268"/>
      <c r="C36" s="100"/>
      <c r="D36" s="102">
        <f>IFERROR(__xludf.DUMMYFUNCTION("""COMPUTED_VALUE"""),2.0)</f>
        <v>2</v>
      </c>
      <c r="E36" s="103" t="str">
        <f>IFERROR(__xludf.DUMMYFUNCTION("""COMPUTED_VALUE"""),"SJK1")</f>
        <v>SJK1</v>
      </c>
      <c r="F36" s="104" t="str">
        <f>IFERROR(__xludf.DUMMYFUNCTION("""COMPUTED_VALUE"""),"Shinjuku")</f>
        <v>Shinjuku</v>
      </c>
      <c r="G36" s="108" t="str">
        <f>IFERROR(__xludf.DUMMYFUNCTION("""COMPUTED_VALUE"""),"Yoyogi 2-Chome")</f>
        <v>Yoyogi 2-Chome</v>
      </c>
      <c r="H36" s="109">
        <f>IFERROR(__xludf.DUMMYFUNCTION("""COMPUTED_VALUE"""),20.0)</f>
        <v>20</v>
      </c>
      <c r="I36" s="110">
        <f>IFERROR(__xludf.DUMMYFUNCTION("""COMPUTED_VALUE"""),46.6)</f>
        <v>46.6</v>
      </c>
      <c r="J36" s="112">
        <f>IFERROR(__xludf.DUMMYFUNCTION("""COMPUTED_VALUE"""),50.26287333606771)</f>
        <v>50.26287334</v>
      </c>
      <c r="K36" s="121" t="str">
        <f>IFERROR(__xludf.DUMMYFUNCTION("""COMPUTED_VALUE"""),"AP")</f>
        <v>AP</v>
      </c>
      <c r="L36" s="123">
        <f>IFERROR(__xludf.DUMMYFUNCTION("""COMPUTED_VALUE"""),39.79080118694362)</f>
        <v>39.79080119</v>
      </c>
      <c r="M36" s="121" t="str">
        <f>IFERROR(__xludf.DUMMYFUNCTION("""COMPUTED_VALUE"""),"％")</f>
        <v>％</v>
      </c>
      <c r="N36" s="109">
        <f>IFERROR(__xludf.DUMMYFUNCTION("""COMPUTED_VALUE"""),337.0)</f>
        <v>337</v>
      </c>
      <c r="O36" s="100"/>
      <c r="P36" s="93" t="str">
        <f>IFERROR(__xludf.DUMMYFUNCTION("""COMPUTED_VALUE"""),"")</f>
        <v/>
      </c>
      <c r="R36" s="268"/>
      <c r="S36" s="100"/>
      <c r="T36" s="102">
        <f>IFERROR(__xludf.DUMMYFUNCTION("""COMPUTED_VALUE"""),2.0)</f>
        <v>2</v>
      </c>
      <c r="U36" s="103" t="str">
        <f>IFERROR(__xludf.DUMMYFUNCTION("""COMPUTED_VALUE"""),"TRF11")</f>
        <v>TRF11</v>
      </c>
      <c r="V36" s="104" t="str">
        <f>IFERROR(__xludf.DUMMYFUNCTION("""COMPUTED_VALUE"""),"Chaldea Gate (Wed)")</f>
        <v>Chaldea Gate (Wed)</v>
      </c>
      <c r="W36" s="104" t="str">
        <f>IFERROR(__xludf.DUMMYFUNCTION("""COMPUTED_VALUE"""),"WED Berserker Training Ground- Adv")</f>
        <v>WED Berserker Training Ground- Adv</v>
      </c>
      <c r="X36" s="109">
        <f>IFERROR(__xludf.DUMMYFUNCTION("""COMPUTED_VALUE"""),30.0)</f>
        <v>30</v>
      </c>
      <c r="Y36" s="110">
        <f>IFERROR(__xludf.DUMMYFUNCTION("""COMPUTED_VALUE"""),18.266666666666666)</f>
        <v>18.26666667</v>
      </c>
      <c r="Z36" s="112">
        <f>IFERROR(__xludf.DUMMYFUNCTION("""COMPUTED_VALUE"""),219.49585571858293)</f>
        <v>219.4958557</v>
      </c>
      <c r="AA36" s="121" t="str">
        <f>IFERROR(__xludf.DUMMYFUNCTION("""COMPUTED_VALUE"""),"AP")</f>
        <v>AP</v>
      </c>
      <c r="AB36" s="123">
        <f>IFERROR(__xludf.DUMMYFUNCTION("""COMPUTED_VALUE"""),13.667684021543986)</f>
        <v>13.66768402</v>
      </c>
      <c r="AC36" s="121" t="str">
        <f>IFERROR(__xludf.DUMMYFUNCTION("""COMPUTED_VALUE"""),"％")</f>
        <v>％</v>
      </c>
      <c r="AD36" s="109">
        <f>IFERROR(__xludf.DUMMYFUNCTION("""COMPUTED_VALUE"""),557.0)</f>
        <v>557</v>
      </c>
      <c r="AE36" s="100"/>
      <c r="AF36" s="98" t="str">
        <f>IFERROR(__xludf.DUMMYFUNCTION("""COMPUTED_VALUE"""),"")</f>
        <v/>
      </c>
    </row>
    <row r="37" ht="16.5" customHeight="1">
      <c r="B37" s="268"/>
      <c r="C37" s="100"/>
      <c r="D37" s="130">
        <f>IFERROR(__xludf.DUMMYFUNCTION("""COMPUTED_VALUE"""),3.0)</f>
        <v>3</v>
      </c>
      <c r="E37" s="132" t="str">
        <f>IFERROR(__xludf.DUMMYFUNCTION("""COMPUTED_VALUE"""),"SJK2")</f>
        <v>SJK2</v>
      </c>
      <c r="F37" s="133" t="str">
        <f>IFERROR(__xludf.DUMMYFUNCTION("""COMPUTED_VALUE"""),"Shinjuku")</f>
        <v>Shinjuku</v>
      </c>
      <c r="G37" s="135" t="str">
        <f>IFERROR(__xludf.DUMMYFUNCTION("""COMPUTED_VALUE"""),"Route 20")</f>
        <v>Route 20</v>
      </c>
      <c r="H37" s="137">
        <f>IFERROR(__xludf.DUMMYFUNCTION("""COMPUTED_VALUE"""),20.0)</f>
        <v>20</v>
      </c>
      <c r="I37" s="139">
        <f>IFERROR(__xludf.DUMMYFUNCTION("""COMPUTED_VALUE"""),46.6)</f>
        <v>46.6</v>
      </c>
      <c r="J37" s="141">
        <f>IFERROR(__xludf.DUMMYFUNCTION("""COMPUTED_VALUE"""),50.53816841127413)</f>
        <v>50.53816841</v>
      </c>
      <c r="K37" s="143" t="str">
        <f>IFERROR(__xludf.DUMMYFUNCTION("""COMPUTED_VALUE"""),"AP")</f>
        <v>AP</v>
      </c>
      <c r="L37" s="145">
        <f>IFERROR(__xludf.DUMMYFUNCTION("""COMPUTED_VALUE"""),39.5740499284465)</f>
        <v>39.57404993</v>
      </c>
      <c r="M37" s="143" t="str">
        <f>IFERROR(__xludf.DUMMYFUNCTION("""COMPUTED_VALUE"""),"％")</f>
        <v>％</v>
      </c>
      <c r="N37" s="137">
        <f>IFERROR(__xludf.DUMMYFUNCTION("""COMPUTED_VALUE"""),6289.0)</f>
        <v>6289</v>
      </c>
      <c r="O37" s="100"/>
      <c r="P37" s="93" t="str">
        <f>IFERROR(__xludf.DUMMYFUNCTION("""COMPUTED_VALUE"""),"")</f>
        <v/>
      </c>
      <c r="R37" s="268"/>
      <c r="S37" s="100"/>
      <c r="T37" s="130">
        <f>IFERROR(__xludf.DUMMYFUNCTION("""COMPUTED_VALUE"""),3.0)</f>
        <v>3</v>
      </c>
      <c r="U37" s="132" t="str">
        <f>IFERROR(__xludf.DUMMYFUNCTION("""COMPUTED_VALUE"""),"CML10")</f>
        <v>CML10</v>
      </c>
      <c r="V37" s="133" t="str">
        <f>IFERROR(__xludf.DUMMYFUNCTION("""COMPUTED_VALUE"""),"Camelot")</f>
        <v>Camelot</v>
      </c>
      <c r="W37" s="135" t="str">
        <f>IFERROR(__xludf.DUMMYFUNCTION("""COMPUTED_VALUE"""),"Holy City")</f>
        <v>Holy City</v>
      </c>
      <c r="X37" s="137">
        <f>IFERROR(__xludf.DUMMYFUNCTION("""COMPUTED_VALUE"""),20.0)</f>
        <v>20</v>
      </c>
      <c r="Y37" s="139">
        <f>IFERROR(__xludf.DUMMYFUNCTION("""COMPUTED_VALUE"""),45.4)</f>
        <v>45.4</v>
      </c>
      <c r="Z37" s="141">
        <f>IFERROR(__xludf.DUMMYFUNCTION("""COMPUTED_VALUE"""),221.01619573972891)</f>
        <v>221.0161957</v>
      </c>
      <c r="AA37" s="143" t="str">
        <f>IFERROR(__xludf.DUMMYFUNCTION("""COMPUTED_VALUE"""),"AP")</f>
        <v>AP</v>
      </c>
      <c r="AB37" s="145">
        <f>IFERROR(__xludf.DUMMYFUNCTION("""COMPUTED_VALUE"""),9.049110601628588)</f>
        <v>9.049110602</v>
      </c>
      <c r="AC37" s="143" t="str">
        <f>IFERROR(__xludf.DUMMYFUNCTION("""COMPUTED_VALUE"""),"％")</f>
        <v>％</v>
      </c>
      <c r="AD37" s="137">
        <f>IFERROR(__xludf.DUMMYFUNCTION("""COMPUTED_VALUE"""),25298.0)</f>
        <v>25298</v>
      </c>
      <c r="AE37" s="100"/>
      <c r="AF37" s="98" t="str">
        <f>IFERROR(__xludf.DUMMYFUNCTION("""COMPUTED_VALUE"""),"")</f>
        <v/>
      </c>
    </row>
    <row r="38" ht="16.5" customHeight="1">
      <c r="B38" s="268"/>
      <c r="C38" s="100"/>
      <c r="D38" s="146">
        <f>IFERROR(__xludf.DUMMYFUNCTION("""COMPUTED_VALUE"""),4.0)</f>
        <v>4</v>
      </c>
      <c r="E38" s="148" t="str">
        <f>IFERROR(__xludf.DUMMYFUNCTION("""COMPUTED_VALUE"""),"SJK4")</f>
        <v>SJK4</v>
      </c>
      <c r="F38" s="150" t="str">
        <f>IFERROR(__xludf.DUMMYFUNCTION("""COMPUTED_VALUE"""),"Shinjuku")</f>
        <v>Shinjuku</v>
      </c>
      <c r="G38" s="152" t="str">
        <f>IFERROR(__xludf.DUMMYFUNCTION("""COMPUTED_VALUE"""),"Shinjuku 4-Chome")</f>
        <v>Shinjuku 4-Chome</v>
      </c>
      <c r="H38" s="154">
        <f>IFERROR(__xludf.DUMMYFUNCTION("""COMPUTED_VALUE"""),21.0)</f>
        <v>21</v>
      </c>
      <c r="I38" s="156">
        <f>IFERROR(__xludf.DUMMYFUNCTION("""COMPUTED_VALUE"""),45.523809523809526)</f>
        <v>45.52380952</v>
      </c>
      <c r="J38" s="158">
        <f>IFERROR(__xludf.DUMMYFUNCTION("""COMPUTED_VALUE"""),51.36852721657614)</f>
        <v>51.36852722</v>
      </c>
      <c r="K38" s="160" t="str">
        <f>IFERROR(__xludf.DUMMYFUNCTION("""COMPUTED_VALUE"""),"AP")</f>
        <v>AP</v>
      </c>
      <c r="L38" s="162">
        <f>IFERROR(__xludf.DUMMYFUNCTION("""COMPUTED_VALUE"""),40.88106305143103)</f>
        <v>40.88106305</v>
      </c>
      <c r="M38" s="160" t="str">
        <f>IFERROR(__xludf.DUMMYFUNCTION("""COMPUTED_VALUE"""),"％")</f>
        <v>％</v>
      </c>
      <c r="N38" s="154">
        <f>IFERROR(__xludf.DUMMYFUNCTION("""COMPUTED_VALUE"""),37176.0)</f>
        <v>37176</v>
      </c>
      <c r="O38" s="100"/>
      <c r="P38" s="93" t="str">
        <f>IFERROR(__xludf.DUMMYFUNCTION("""COMPUTED_VALUE"""),"")</f>
        <v/>
      </c>
      <c r="R38" s="268"/>
      <c r="S38" s="100"/>
      <c r="T38" s="146">
        <f>IFERROR(__xludf.DUMMYFUNCTION("""COMPUTED_VALUE"""),4.0)</f>
        <v>4</v>
      </c>
      <c r="U38" s="148" t="str">
        <f>IFERROR(__xludf.DUMMYFUNCTION("""COMPUTED_VALUE"""),"AGT1")</f>
        <v>AGT1</v>
      </c>
      <c r="V38" s="150" t="str">
        <f>IFERROR(__xludf.DUMMYFUNCTION("""COMPUTED_VALUE"""),"Agartha")</f>
        <v>Agartha</v>
      </c>
      <c r="W38" s="152" t="str">
        <f>IFERROR(__xludf.DUMMYFUNCTION("""COMPUTED_VALUE"""),"Underground Plains")</f>
        <v>Underground Plains</v>
      </c>
      <c r="X38" s="154">
        <f>IFERROR(__xludf.DUMMYFUNCTION("""COMPUTED_VALUE"""),20.0)</f>
        <v>20</v>
      </c>
      <c r="Y38" s="156">
        <f>IFERROR(__xludf.DUMMYFUNCTION("""COMPUTED_VALUE"""),46.6)</f>
        <v>46.6</v>
      </c>
      <c r="Z38" s="158">
        <f>IFERROR(__xludf.DUMMYFUNCTION("""COMPUTED_VALUE"""),384.5357709138028)</f>
        <v>384.5357709</v>
      </c>
      <c r="AA38" s="160" t="str">
        <f>IFERROR(__xludf.DUMMYFUNCTION("""COMPUTED_VALUE"""),"AP")</f>
        <v>AP</v>
      </c>
      <c r="AB38" s="162">
        <f>IFERROR(__xludf.DUMMYFUNCTION("""COMPUTED_VALUE"""),5.201076600096894)</f>
        <v>5.2010766</v>
      </c>
      <c r="AC38" s="160" t="str">
        <f>IFERROR(__xludf.DUMMYFUNCTION("""COMPUTED_VALUE"""),"％")</f>
        <v>％</v>
      </c>
      <c r="AD38" s="154">
        <f>IFERROR(__xludf.DUMMYFUNCTION("""COMPUTED_VALUE"""),18577.0)</f>
        <v>18577</v>
      </c>
      <c r="AE38" s="100"/>
      <c r="AF38" s="98" t="str">
        <f>IFERROR(__xludf.DUMMYFUNCTION("""COMPUTED_VALUE"""),"")</f>
        <v/>
      </c>
    </row>
    <row r="39" ht="16.5" customHeight="1">
      <c r="A39" s="166"/>
      <c r="B39" s="269"/>
      <c r="C39" s="168"/>
      <c r="D39" s="169">
        <f>IFERROR(__xludf.DUMMYFUNCTION("""COMPUTED_VALUE"""),5.0)</f>
        <v>5</v>
      </c>
      <c r="E39" s="170" t="str">
        <f>IFERROR(__xludf.DUMMYFUNCTION("""COMPUTED_VALUE"""),"SJK9")</f>
        <v>SJK9</v>
      </c>
      <c r="F39" s="51" t="str">
        <f>IFERROR(__xludf.DUMMYFUNCTION("""COMPUTED_VALUE"""),"Shinjuku")</f>
        <v>Shinjuku</v>
      </c>
      <c r="G39" s="171" t="str">
        <f>IFERROR(__xludf.DUMMYFUNCTION("""COMPUTED_VALUE"""),"Shinjuku Gyoen")</f>
        <v>Shinjuku Gyoen</v>
      </c>
      <c r="H39" s="172">
        <f>IFERROR(__xludf.DUMMYFUNCTION("""COMPUTED_VALUE"""),21.0)</f>
        <v>21</v>
      </c>
      <c r="I39" s="173">
        <f>IFERROR(__xludf.DUMMYFUNCTION("""COMPUTED_VALUE"""),48.95238095238095)</f>
        <v>48.95238095</v>
      </c>
      <c r="J39" s="174">
        <f>IFERROR(__xludf.DUMMYFUNCTION("""COMPUTED_VALUE"""),69.35235903430363)</f>
        <v>69.35235903</v>
      </c>
      <c r="K39" s="175" t="str">
        <f>IFERROR(__xludf.DUMMYFUNCTION("""COMPUTED_VALUE"""),"AP")</f>
        <v>AP</v>
      </c>
      <c r="L39" s="176">
        <f>IFERROR(__xludf.DUMMYFUNCTION("""COMPUTED_VALUE"""),30.280152387625073)</f>
        <v>30.28015239</v>
      </c>
      <c r="M39" s="175" t="str">
        <f>IFERROR(__xludf.DUMMYFUNCTION("""COMPUTED_VALUE"""),"％")</f>
        <v>％</v>
      </c>
      <c r="N39" s="172">
        <f>IFERROR(__xludf.DUMMYFUNCTION("""COMPUTED_VALUE"""),45673.0)</f>
        <v>45673</v>
      </c>
      <c r="O39" s="168"/>
      <c r="P39" s="93" t="str">
        <f>IFERROR(__xludf.DUMMYFUNCTION("""COMPUTED_VALUE"""),"")</f>
        <v/>
      </c>
      <c r="Q39" s="166"/>
      <c r="R39" s="269"/>
      <c r="S39" s="168"/>
      <c r="T39" s="340">
        <f>IFERROR(__xludf.DUMMYFUNCTION("""COMPUTED_VALUE"""),5.0)</f>
        <v>5</v>
      </c>
      <c r="U39" s="170" t="str">
        <f>IFERROR(__xludf.DUMMYFUNCTION("""COMPUTED_VALUE"""),"SJK4")</f>
        <v>SJK4</v>
      </c>
      <c r="V39" s="51" t="str">
        <f>IFERROR(__xludf.DUMMYFUNCTION("""COMPUTED_VALUE"""),"Shinjuku")</f>
        <v>Shinjuku</v>
      </c>
      <c r="W39" s="171" t="str">
        <f>IFERROR(__xludf.DUMMYFUNCTION("""COMPUTED_VALUE"""),"Shinjuku 4-Chome")</f>
        <v>Shinjuku 4-Chome</v>
      </c>
      <c r="X39" s="172">
        <f>IFERROR(__xludf.DUMMYFUNCTION("""COMPUTED_VALUE"""),21.0)</f>
        <v>21</v>
      </c>
      <c r="Y39" s="173">
        <f>IFERROR(__xludf.DUMMYFUNCTION("""COMPUTED_VALUE"""),45.523809523809526)</f>
        <v>45.52380952</v>
      </c>
      <c r="Z39" s="174">
        <f>IFERROR(__xludf.DUMMYFUNCTION("""COMPUTED_VALUE"""),404.91859056281226)</f>
        <v>404.9185906</v>
      </c>
      <c r="AA39" s="175" t="str">
        <f>IFERROR(__xludf.DUMMYFUNCTION("""COMPUTED_VALUE"""),"AP")</f>
        <v>AP</v>
      </c>
      <c r="AB39" s="176">
        <f>IFERROR(__xludf.DUMMYFUNCTION("""COMPUTED_VALUE"""),5.186227673768022)</f>
        <v>5.186227674</v>
      </c>
      <c r="AC39" s="175" t="str">
        <f>IFERROR(__xludf.DUMMYFUNCTION("""COMPUTED_VALUE"""),"％")</f>
        <v>％</v>
      </c>
      <c r="AD39" s="172">
        <f>IFERROR(__xludf.DUMMYFUNCTION("""COMPUTED_VALUE"""),37176.0)</f>
        <v>37176</v>
      </c>
      <c r="AE39" s="168"/>
      <c r="AF39" s="98" t="str">
        <f>IFERROR(__xludf.DUMMYFUNCTION("""COMPUTED_VALUE"""),"")</f>
        <v/>
      </c>
    </row>
    <row r="40" ht="16.5" customHeight="1">
      <c r="A40" s="25" t="str">
        <f>IFERROR(__xludf.DUMMYFUNCTION("""COMPUTED_VALUE"""),"Item")</f>
        <v>Item</v>
      </c>
      <c r="B40" s="27"/>
      <c r="C40" s="28"/>
      <c r="D40" s="30" t="str">
        <f>IFERROR(__xludf.DUMMYFUNCTION("""COMPUTED_VALUE"""),"No.")</f>
        <v>No.</v>
      </c>
      <c r="E40" s="31" t="str">
        <f>IFERROR(__xludf.DUMMYFUNCTION("""COMPUTED_VALUE"""),"Node Code")</f>
        <v>Node Code</v>
      </c>
      <c r="F40" s="31" t="str">
        <f>IFERROR(__xludf.DUMMYFUNCTION("""COMPUTED_VALUE"""),"Area")</f>
        <v>Area</v>
      </c>
      <c r="G40" s="31" t="str">
        <f>IFERROR(__xludf.DUMMYFUNCTION("""COMPUTED_VALUE"""),"Quest")</f>
        <v>Quest</v>
      </c>
      <c r="H40" s="30" t="str">
        <f>IFERROR(__xludf.DUMMYFUNCTION("""COMPUTED_VALUE"""),"AP")</f>
        <v>AP</v>
      </c>
      <c r="I40" s="34" t="str">
        <f>IFERROR(__xludf.DUMMYFUNCTION("""COMPUTED_VALUE"""),"BP/AP")</f>
        <v>BP/AP</v>
      </c>
      <c r="J40" s="36" t="str">
        <f>IFERROR(__xludf.DUMMYFUNCTION("""COMPUTED_VALUE"""),"AP/Drop")</f>
        <v>AP/Drop</v>
      </c>
      <c r="K40" s="28"/>
      <c r="L40" s="36" t="str">
        <f>IFERROR(__xludf.DUMMYFUNCTION("""COMPUTED_VALUE"""),"Drop Chance")</f>
        <v>Drop Chance</v>
      </c>
      <c r="M40" s="28"/>
      <c r="N40" s="38" t="str">
        <f>IFERROR(__xludf.DUMMYFUNCTION("""COMPUTED_VALUE"""),"Runs")</f>
        <v>Runs</v>
      </c>
      <c r="O40" s="40" t="str">
        <f>IFERROR(__xludf.DUMMYFUNCTION("""COMPUTED_VALUE"""),"")</f>
        <v/>
      </c>
      <c r="P40" s="42" t="str">
        <f>IFERROR(__xludf.DUMMYFUNCTION("""COMPUTED_VALUE"""),"")</f>
        <v/>
      </c>
      <c r="Q40" s="25" t="str">
        <f>IFERROR(__xludf.DUMMYFUNCTION("""COMPUTED_VALUE"""),"Item")</f>
        <v>Item</v>
      </c>
      <c r="R40" s="27"/>
      <c r="S40" s="28"/>
      <c r="T40" s="30" t="str">
        <f>IFERROR(__xludf.DUMMYFUNCTION("""COMPUTED_VALUE"""),"No.")</f>
        <v>No.</v>
      </c>
      <c r="U40" s="31" t="str">
        <f>IFERROR(__xludf.DUMMYFUNCTION("""COMPUTED_VALUE"""),"Node Code")</f>
        <v>Node Code</v>
      </c>
      <c r="V40" s="31" t="str">
        <f>IFERROR(__xludf.DUMMYFUNCTION("""COMPUTED_VALUE"""),"Area")</f>
        <v>Area</v>
      </c>
      <c r="W40" s="31" t="str">
        <f>IFERROR(__xludf.DUMMYFUNCTION("""COMPUTED_VALUE"""),"Quest")</f>
        <v>Quest</v>
      </c>
      <c r="X40" s="30" t="str">
        <f>IFERROR(__xludf.DUMMYFUNCTION("""COMPUTED_VALUE"""),"AP")</f>
        <v>AP</v>
      </c>
      <c r="Y40" s="34" t="str">
        <f>IFERROR(__xludf.DUMMYFUNCTION("""COMPUTED_VALUE"""),"BP/AP")</f>
        <v>BP/AP</v>
      </c>
      <c r="Z40" s="36" t="str">
        <f>IFERROR(__xludf.DUMMYFUNCTION("""COMPUTED_VALUE"""),"AP/Drop")</f>
        <v>AP/Drop</v>
      </c>
      <c r="AA40" s="28"/>
      <c r="AB40" s="36" t="str">
        <f>IFERROR(__xludf.DUMMYFUNCTION("""COMPUTED_VALUE"""),"Drop Chance")</f>
        <v>Drop Chance</v>
      </c>
      <c r="AC40" s="28"/>
      <c r="AD40" s="38" t="str">
        <f>IFERROR(__xludf.DUMMYFUNCTION("""COMPUTED_VALUE"""),"Runs")</f>
        <v>Runs</v>
      </c>
      <c r="AE40" s="40" t="str">
        <f>IFERROR(__xludf.DUMMYFUNCTION("""COMPUTED_VALUE"""),"")</f>
        <v/>
      </c>
      <c r="AF40" s="51" t="str">
        <f>IFERROR(__xludf.DUMMYFUNCTION("""COMPUTED_VALUE"""),"")</f>
        <v/>
      </c>
    </row>
    <row r="41" ht="16.5" customHeight="1">
      <c r="A41" s="54"/>
      <c r="B41" s="55"/>
      <c r="C41" s="57"/>
      <c r="D41" s="57"/>
      <c r="E41" s="57"/>
      <c r="F41" s="57"/>
      <c r="G41" s="57"/>
      <c r="H41" s="57"/>
      <c r="I41" s="58" t="str">
        <f>IFERROR(__xludf.DUMMYFUNCTION("""COMPUTED_VALUE"""),"1P+2L")</f>
        <v>1P+2L</v>
      </c>
      <c r="J41" s="55"/>
      <c r="K41" s="57"/>
      <c r="L41" s="55"/>
      <c r="M41" s="57"/>
      <c r="N41" s="57"/>
      <c r="O41" s="57"/>
      <c r="P41" s="42" t="str">
        <f>IFERROR(__xludf.DUMMYFUNCTION("""COMPUTED_VALUE"""),"")</f>
        <v/>
      </c>
      <c r="Q41" s="54"/>
      <c r="R41" s="55"/>
      <c r="S41" s="57"/>
      <c r="T41" s="57"/>
      <c r="U41" s="57"/>
      <c r="V41" s="57"/>
      <c r="W41" s="57"/>
      <c r="X41" s="57"/>
      <c r="Y41" s="58" t="str">
        <f>IFERROR(__xludf.DUMMYFUNCTION("""COMPUTED_VALUE"""),"1P+2L")</f>
        <v>1P+2L</v>
      </c>
      <c r="Z41" s="55"/>
      <c r="AA41" s="57"/>
      <c r="AB41" s="55"/>
      <c r="AC41" s="57"/>
      <c r="AD41" s="57"/>
      <c r="AE41" s="57"/>
      <c r="AF41" s="51" t="str">
        <f>IFERROR(__xludf.DUMMYFUNCTION("""COMPUTED_VALUE"""),"")</f>
        <v/>
      </c>
    </row>
    <row r="42" ht="16.5" customHeight="1">
      <c r="A42" s="61" t="str">
        <f>IFERROR(__xludf.DUMMYFUNCTION("""COMPUTED_VALUE"""),"")</f>
        <v/>
      </c>
      <c r="B42" s="179" t="str">
        <f>IFERROR(__xludf.DUMMYFUNCTION("""COMPUTED_VALUE"""),"A308")</f>
        <v>A308</v>
      </c>
      <c r="C42" s="180" t="str">
        <f>IFERROR(__xludf.DUMMYFUNCTION("""COMPUTED_VALUE"""),"Night-Weeping Iron Stake")</f>
        <v>Night-Weeping Iron Stake</v>
      </c>
      <c r="D42" s="181">
        <f>IFERROR(__xludf.DUMMYFUNCTION("""COMPUTED_VALUE"""),1.0)</f>
        <v>1</v>
      </c>
      <c r="E42" s="182" t="str">
        <f>IFERROR(__xludf.DUMMYFUNCTION("""COMPUTED_VALUE"""),"")</f>
        <v/>
      </c>
      <c r="F42" s="184" t="str">
        <f>IFERROR(__xludf.DUMMYFUNCTION("""COMPUTED_VALUE"""),"")</f>
        <v/>
      </c>
      <c r="G42" s="184" t="str">
        <f>IFERROR(__xludf.DUMMYFUNCTION("""COMPUTED_VALUE"""),"")</f>
        <v/>
      </c>
      <c r="H42" s="190" t="str">
        <f>IFERROR(__xludf.DUMMYFUNCTION("""COMPUTED_VALUE"""),"")</f>
        <v/>
      </c>
      <c r="I42" s="191" t="str">
        <f>IFERROR(__xludf.DUMMYFUNCTION("""COMPUTED_VALUE"""),"")</f>
        <v/>
      </c>
      <c r="J42" s="192" t="str">
        <f>IFERROR(__xludf.DUMMYFUNCTION("""COMPUTED_VALUE"""),"")</f>
        <v/>
      </c>
      <c r="K42" s="194" t="str">
        <f>IFERROR(__xludf.DUMMYFUNCTION("""COMPUTED_VALUE"""),"AP")</f>
        <v>AP</v>
      </c>
      <c r="L42" s="192" t="str">
        <f>IFERROR(__xludf.DUMMYFUNCTION("""COMPUTED_VALUE"""),"")</f>
        <v/>
      </c>
      <c r="M42" s="194" t="str">
        <f>IFERROR(__xludf.DUMMYFUNCTION("""COMPUTED_VALUE"""),"％")</f>
        <v>％</v>
      </c>
      <c r="N42" s="190" t="str">
        <f>IFERROR(__xludf.DUMMYFUNCTION("""COMPUTED_VALUE"""),"")</f>
        <v/>
      </c>
      <c r="O42" s="197" t="str">
        <f>IFERROR(__xludf.DUMMYFUNCTION("""COMPUTED_VALUE"""),"Night-Weeping Iron Stake")</f>
        <v>Night-Weeping Iron Stake</v>
      </c>
      <c r="P42" s="93" t="str">
        <f>IFERROR(__xludf.DUMMYFUNCTION("""COMPUTED_VALUE"""),"")</f>
        <v/>
      </c>
      <c r="Q42" s="61" t="str">
        <f>IFERROR(__xludf.DUMMYFUNCTION("""COMPUTED_VALUE"""),"")</f>
        <v/>
      </c>
      <c r="R42" s="183" t="str">
        <f>IFERROR(__xludf.DUMMYFUNCTION("""COMPUTED_VALUE"""),"B111")</f>
        <v>B111</v>
      </c>
      <c r="S42" s="180" t="str">
        <f>IFERROR(__xludf.DUMMYFUNCTION("""COMPUTED_VALUE"""),"Magic Gem of Saber")</f>
        <v>Magic Gem of Saber</v>
      </c>
      <c r="T42" s="181">
        <f>IFERROR(__xludf.DUMMYFUNCTION("""COMPUTED_VALUE"""),1.0)</f>
        <v>1</v>
      </c>
      <c r="U42" s="182" t="str">
        <f>IFERROR(__xludf.DUMMYFUNCTION("""COMPUTED_VALUE"""),"TRF27")</f>
        <v>TRF27</v>
      </c>
      <c r="V42" s="184" t="str">
        <f>IFERROR(__xludf.DUMMYFUNCTION("""COMPUTED_VALUE"""),"Chaldea Gate (Sun)")</f>
        <v>Chaldea Gate (Sun)</v>
      </c>
      <c r="W42" s="184" t="str">
        <f>IFERROR(__xludf.DUMMYFUNCTION("""COMPUTED_VALUE"""),"SUN Saber Training Ground- Adv")</f>
        <v>SUN Saber Training Ground- Adv</v>
      </c>
      <c r="X42" s="190">
        <f>IFERROR(__xludf.DUMMYFUNCTION("""COMPUTED_VALUE"""),30.0)</f>
        <v>30</v>
      </c>
      <c r="Y42" s="191">
        <f>IFERROR(__xludf.DUMMYFUNCTION("""COMPUTED_VALUE"""),18.266666666666666)</f>
        <v>18.26666667</v>
      </c>
      <c r="Z42" s="192">
        <f>IFERROR(__xludf.DUMMYFUNCTION("""COMPUTED_VALUE"""),22.420643669343093)</f>
        <v>22.42064367</v>
      </c>
      <c r="AA42" s="194" t="str">
        <f>IFERROR(__xludf.DUMMYFUNCTION("""COMPUTED_VALUE"""),"AP")</f>
        <v>AP</v>
      </c>
      <c r="AB42" s="192">
        <f>IFERROR(__xludf.DUMMYFUNCTION("""COMPUTED_VALUE"""),133.8052575226489)</f>
        <v>133.8052575</v>
      </c>
      <c r="AC42" s="194" t="str">
        <f>IFERROR(__xludf.DUMMYFUNCTION("""COMPUTED_VALUE"""),"％")</f>
        <v>％</v>
      </c>
      <c r="AD42" s="190">
        <f>IFERROR(__xludf.DUMMYFUNCTION("""COMPUTED_VALUE"""),4189.0)</f>
        <v>4189</v>
      </c>
      <c r="AE42" s="197" t="str">
        <f>IFERROR(__xludf.DUMMYFUNCTION("""COMPUTED_VALUE"""),"Magic Gem of Saber")</f>
        <v>Magic Gem of Saber</v>
      </c>
      <c r="AF42" s="98" t="str">
        <f>IFERROR(__xludf.DUMMYFUNCTION("""COMPUTED_VALUE"""),"")</f>
        <v/>
      </c>
    </row>
    <row r="43" ht="16.5" customHeight="1">
      <c r="B43" s="203"/>
      <c r="C43" s="204"/>
      <c r="D43" s="205">
        <f>IFERROR(__xludf.DUMMYFUNCTION("""COMPUTED_VALUE"""),2.0)</f>
        <v>2</v>
      </c>
      <c r="E43" s="206" t="str">
        <f>IFERROR(__xludf.DUMMYFUNCTION("""COMPUTED_VALUE"""),"")</f>
        <v/>
      </c>
      <c r="F43" s="207" t="str">
        <f>IFERROR(__xludf.DUMMYFUNCTION("""COMPUTED_VALUE"""),"")</f>
        <v/>
      </c>
      <c r="G43" s="207" t="str">
        <f>IFERROR(__xludf.DUMMYFUNCTION("""COMPUTED_VALUE"""),"")</f>
        <v/>
      </c>
      <c r="H43" s="211" t="str">
        <f>IFERROR(__xludf.DUMMYFUNCTION("""COMPUTED_VALUE"""),"")</f>
        <v/>
      </c>
      <c r="I43" s="213" t="str">
        <f>IFERROR(__xludf.DUMMYFUNCTION("""COMPUTED_VALUE"""),"")</f>
        <v/>
      </c>
      <c r="J43" s="214" t="str">
        <f>IFERROR(__xludf.DUMMYFUNCTION("""COMPUTED_VALUE"""),"")</f>
        <v/>
      </c>
      <c r="K43" s="215" t="str">
        <f>IFERROR(__xludf.DUMMYFUNCTION("""COMPUTED_VALUE"""),"AP")</f>
        <v>AP</v>
      </c>
      <c r="L43" s="214" t="str">
        <f>IFERROR(__xludf.DUMMYFUNCTION("""COMPUTED_VALUE"""),"")</f>
        <v/>
      </c>
      <c r="M43" s="215" t="str">
        <f>IFERROR(__xludf.DUMMYFUNCTION("""COMPUTED_VALUE"""),"％")</f>
        <v>％</v>
      </c>
      <c r="N43" s="211" t="str">
        <f>IFERROR(__xludf.DUMMYFUNCTION("""COMPUTED_VALUE"""),"")</f>
        <v/>
      </c>
      <c r="O43" s="217"/>
      <c r="P43" s="93" t="str">
        <f>IFERROR(__xludf.DUMMYFUNCTION("""COMPUTED_VALUE"""),"")</f>
        <v/>
      </c>
      <c r="R43" s="203"/>
      <c r="S43" s="204"/>
      <c r="T43" s="205">
        <f>IFERROR(__xludf.DUMMYFUNCTION("""COMPUTED_VALUE"""),2.0)</f>
        <v>2</v>
      </c>
      <c r="U43" s="206" t="str">
        <f>IFERROR(__xludf.DUMMYFUNCTION("""COMPUTED_VALUE"""),"TRF26")</f>
        <v>TRF26</v>
      </c>
      <c r="V43" s="207" t="str">
        <f>IFERROR(__xludf.DUMMYFUNCTION("""COMPUTED_VALUE"""),"Chaldea Gate (Sun)")</f>
        <v>Chaldea Gate (Sun)</v>
      </c>
      <c r="W43" s="207" t="str">
        <f>IFERROR(__xludf.DUMMYFUNCTION("""COMPUTED_VALUE"""),"SUN Saber Training Ground- Int")</f>
        <v>SUN Saber Training Ground- Int</v>
      </c>
      <c r="X43" s="211">
        <f>IFERROR(__xludf.DUMMYFUNCTION("""COMPUTED_VALUE"""),20.0)</f>
        <v>20</v>
      </c>
      <c r="Y43" s="213">
        <f>IFERROR(__xludf.DUMMYFUNCTION("""COMPUTED_VALUE"""),18.4)</f>
        <v>18.4</v>
      </c>
      <c r="Z43" s="214">
        <f>IFERROR(__xludf.DUMMYFUNCTION("""COMPUTED_VALUE"""),24.839931153184164)</f>
        <v>24.83993115</v>
      </c>
      <c r="AA43" s="215" t="str">
        <f>IFERROR(__xludf.DUMMYFUNCTION("""COMPUTED_VALUE"""),"AP")</f>
        <v>AP</v>
      </c>
      <c r="AB43" s="214">
        <f>IFERROR(__xludf.DUMMYFUNCTION("""COMPUTED_VALUE"""),80.51552106430155)</f>
        <v>80.51552106</v>
      </c>
      <c r="AC43" s="215" t="str">
        <f>IFERROR(__xludf.DUMMYFUNCTION("""COMPUTED_VALUE"""),"％")</f>
        <v>％</v>
      </c>
      <c r="AD43" s="211">
        <f>IFERROR(__xludf.DUMMYFUNCTION("""COMPUTED_VALUE"""),451.0)</f>
        <v>451</v>
      </c>
      <c r="AE43" s="217"/>
      <c r="AF43" s="98" t="str">
        <f>IFERROR(__xludf.DUMMYFUNCTION("""COMPUTED_VALUE"""),"")</f>
        <v/>
      </c>
    </row>
    <row r="44" ht="16.5" customHeight="1">
      <c r="B44" s="203"/>
      <c r="C44" s="204"/>
      <c r="D44" s="222">
        <f>IFERROR(__xludf.DUMMYFUNCTION("""COMPUTED_VALUE"""),3.0)</f>
        <v>3</v>
      </c>
      <c r="E44" s="223" t="str">
        <f>IFERROR(__xludf.DUMMYFUNCTION("""COMPUTED_VALUE"""),"")</f>
        <v/>
      </c>
      <c r="F44" s="224" t="str">
        <f>IFERROR(__xludf.DUMMYFUNCTION("""COMPUTED_VALUE"""),"")</f>
        <v/>
      </c>
      <c r="G44" s="224" t="str">
        <f>IFERROR(__xludf.DUMMYFUNCTION("""COMPUTED_VALUE"""),"")</f>
        <v/>
      </c>
      <c r="H44" s="228" t="str">
        <f>IFERROR(__xludf.DUMMYFUNCTION("""COMPUTED_VALUE"""),"")</f>
        <v/>
      </c>
      <c r="I44" s="230" t="str">
        <f>IFERROR(__xludf.DUMMYFUNCTION("""COMPUTED_VALUE"""),"")</f>
        <v/>
      </c>
      <c r="J44" s="231" t="str">
        <f>IFERROR(__xludf.DUMMYFUNCTION("""COMPUTED_VALUE"""),"")</f>
        <v/>
      </c>
      <c r="K44" s="232" t="str">
        <f>IFERROR(__xludf.DUMMYFUNCTION("""COMPUTED_VALUE"""),"AP")</f>
        <v>AP</v>
      </c>
      <c r="L44" s="231" t="str">
        <f>IFERROR(__xludf.DUMMYFUNCTION("""COMPUTED_VALUE"""),"")</f>
        <v/>
      </c>
      <c r="M44" s="232" t="str">
        <f>IFERROR(__xludf.DUMMYFUNCTION("""COMPUTED_VALUE"""),"％")</f>
        <v>％</v>
      </c>
      <c r="N44" s="228" t="str">
        <f>IFERROR(__xludf.DUMMYFUNCTION("""COMPUTED_VALUE"""),"")</f>
        <v/>
      </c>
      <c r="O44" s="217"/>
      <c r="P44" s="93" t="str">
        <f>IFERROR(__xludf.DUMMYFUNCTION("""COMPUTED_VALUE"""),"")</f>
        <v/>
      </c>
      <c r="R44" s="203"/>
      <c r="S44" s="204"/>
      <c r="T44" s="222">
        <f>IFERROR(__xludf.DUMMYFUNCTION("""COMPUTED_VALUE"""),3.0)</f>
        <v>3</v>
      </c>
      <c r="U44" s="223" t="str">
        <f>IFERROR(__xludf.DUMMYFUNCTION("""COMPUTED_VALUE"""),"TRF28")</f>
        <v>TRF28</v>
      </c>
      <c r="V44" s="224" t="str">
        <f>IFERROR(__xludf.DUMMYFUNCTION("""COMPUTED_VALUE"""),"Chaldea Gate (Sun)")</f>
        <v>Chaldea Gate (Sun)</v>
      </c>
      <c r="W44" s="224" t="str">
        <f>IFERROR(__xludf.DUMMYFUNCTION("""COMPUTED_VALUE"""),"SUN Saber Training Ground- Exp")</f>
        <v>SUN Saber Training Ground- Exp</v>
      </c>
      <c r="X44" s="228">
        <f>IFERROR(__xludf.DUMMYFUNCTION("""COMPUTED_VALUE"""),40.0)</f>
        <v>40</v>
      </c>
      <c r="Y44" s="230">
        <f>IFERROR(__xludf.DUMMYFUNCTION("""COMPUTED_VALUE"""),19.7)</f>
        <v>19.7</v>
      </c>
      <c r="Z44" s="231">
        <f>IFERROR(__xludf.DUMMYFUNCTION("""COMPUTED_VALUE"""),34.18253655797797)</f>
        <v>34.18253656</v>
      </c>
      <c r="AA44" s="232" t="str">
        <f>IFERROR(__xludf.DUMMYFUNCTION("""COMPUTED_VALUE"""),"AP")</f>
        <v>AP</v>
      </c>
      <c r="AB44" s="231">
        <f>IFERROR(__xludf.DUMMYFUNCTION("""COMPUTED_VALUE"""),117.01881729038705)</f>
        <v>117.0188173</v>
      </c>
      <c r="AC44" s="232" t="str">
        <f>IFERROR(__xludf.DUMMYFUNCTION("""COMPUTED_VALUE"""),"％")</f>
        <v>％</v>
      </c>
      <c r="AD44" s="228">
        <f>IFERROR(__xludf.DUMMYFUNCTION("""COMPUTED_VALUE"""),21786.0)</f>
        <v>21786</v>
      </c>
      <c r="AE44" s="217"/>
      <c r="AF44" s="98" t="str">
        <f>IFERROR(__xludf.DUMMYFUNCTION("""COMPUTED_VALUE"""),"")</f>
        <v/>
      </c>
    </row>
    <row r="45" ht="16.5" customHeight="1">
      <c r="B45" s="203"/>
      <c r="C45" s="204"/>
      <c r="D45" s="238">
        <f>IFERROR(__xludf.DUMMYFUNCTION("""COMPUTED_VALUE"""),4.0)</f>
        <v>4</v>
      </c>
      <c r="E45" s="240" t="str">
        <f>IFERROR(__xludf.DUMMYFUNCTION("""COMPUTED_VALUE"""),"")</f>
        <v/>
      </c>
      <c r="F45" s="242" t="str">
        <f>IFERROR(__xludf.DUMMYFUNCTION("""COMPUTED_VALUE"""),"")</f>
        <v/>
      </c>
      <c r="G45" s="242" t="str">
        <f>IFERROR(__xludf.DUMMYFUNCTION("""COMPUTED_VALUE"""),"")</f>
        <v/>
      </c>
      <c r="H45" s="246" t="str">
        <f>IFERROR(__xludf.DUMMYFUNCTION("""COMPUTED_VALUE"""),"")</f>
        <v/>
      </c>
      <c r="I45" s="248" t="str">
        <f>IFERROR(__xludf.DUMMYFUNCTION("""COMPUTED_VALUE"""),"")</f>
        <v/>
      </c>
      <c r="J45" s="250" t="str">
        <f>IFERROR(__xludf.DUMMYFUNCTION("""COMPUTED_VALUE"""),"")</f>
        <v/>
      </c>
      <c r="K45" s="252" t="str">
        <f>IFERROR(__xludf.DUMMYFUNCTION("""COMPUTED_VALUE"""),"AP")</f>
        <v>AP</v>
      </c>
      <c r="L45" s="250" t="str">
        <f>IFERROR(__xludf.DUMMYFUNCTION("""COMPUTED_VALUE"""),"")</f>
        <v/>
      </c>
      <c r="M45" s="252" t="str">
        <f>IFERROR(__xludf.DUMMYFUNCTION("""COMPUTED_VALUE"""),"％")</f>
        <v>％</v>
      </c>
      <c r="N45" s="246" t="str">
        <f>IFERROR(__xludf.DUMMYFUNCTION("""COMPUTED_VALUE"""),"")</f>
        <v/>
      </c>
      <c r="O45" s="217"/>
      <c r="P45" s="93" t="str">
        <f>IFERROR(__xludf.DUMMYFUNCTION("""COMPUTED_VALUE"""),"")</f>
        <v/>
      </c>
      <c r="R45" s="203"/>
      <c r="S45" s="204"/>
      <c r="T45" s="238">
        <f>IFERROR(__xludf.DUMMYFUNCTION("""COMPUTED_VALUE"""),4.0)</f>
        <v>4</v>
      </c>
      <c r="U45" s="240" t="str">
        <f>IFERROR(__xludf.DUMMYFUNCTION("""COMPUTED_VALUE"""),"SMS4")</f>
        <v>SMS4</v>
      </c>
      <c r="V45" s="242" t="str">
        <f>IFERROR(__xludf.DUMMYFUNCTION("""COMPUTED_VALUE"""),"Shimosa")</f>
        <v>Shimosa</v>
      </c>
      <c r="W45" s="244" t="str">
        <f>IFERROR(__xludf.DUMMYFUNCTION("""COMPUTED_VALUE"""),"Castle Town")</f>
        <v>Castle Town</v>
      </c>
      <c r="X45" s="246">
        <f>IFERROR(__xludf.DUMMYFUNCTION("""COMPUTED_VALUE"""),21.0)</f>
        <v>21</v>
      </c>
      <c r="Y45" s="248">
        <f>IFERROR(__xludf.DUMMYFUNCTION("""COMPUTED_VALUE"""),46.666666666666664)</f>
        <v>46.66666667</v>
      </c>
      <c r="Z45" s="250">
        <f>IFERROR(__xludf.DUMMYFUNCTION("""COMPUTED_VALUE"""),52.17829110780753)</f>
        <v>52.17829111</v>
      </c>
      <c r="AA45" s="252" t="str">
        <f>IFERROR(__xludf.DUMMYFUNCTION("""COMPUTED_VALUE"""),"AP")</f>
        <v>AP</v>
      </c>
      <c r="AB45" s="250">
        <f>IFERROR(__xludf.DUMMYFUNCTION("""COMPUTED_VALUE"""),40.24662278918087)</f>
        <v>40.24662279</v>
      </c>
      <c r="AC45" s="252" t="str">
        <f>IFERROR(__xludf.DUMMYFUNCTION("""COMPUTED_VALUE"""),"％")</f>
        <v>％</v>
      </c>
      <c r="AD45" s="246">
        <f>IFERROR(__xludf.DUMMYFUNCTION("""COMPUTED_VALUE"""),7438.0)</f>
        <v>7438</v>
      </c>
      <c r="AE45" s="217"/>
      <c r="AF45" s="98" t="str">
        <f>IFERROR(__xludf.DUMMYFUNCTION("""COMPUTED_VALUE"""),"")</f>
        <v/>
      </c>
    </row>
    <row r="46" ht="16.5" customHeight="1">
      <c r="A46" s="166"/>
      <c r="B46" s="254"/>
      <c r="C46" s="255"/>
      <c r="D46" s="256">
        <f>IFERROR(__xludf.DUMMYFUNCTION("""COMPUTED_VALUE"""),5.0)</f>
        <v>5</v>
      </c>
      <c r="E46" s="257" t="str">
        <f>IFERROR(__xludf.DUMMYFUNCTION("""COMPUTED_VALUE"""),"")</f>
        <v/>
      </c>
      <c r="F46" s="42" t="str">
        <f>IFERROR(__xludf.DUMMYFUNCTION("""COMPUTED_VALUE"""),"")</f>
        <v/>
      </c>
      <c r="G46" s="42" t="str">
        <f>IFERROR(__xludf.DUMMYFUNCTION("""COMPUTED_VALUE"""),"")</f>
        <v/>
      </c>
      <c r="H46" s="259" t="str">
        <f>IFERROR(__xludf.DUMMYFUNCTION("""COMPUTED_VALUE"""),"")</f>
        <v/>
      </c>
      <c r="I46" s="260" t="str">
        <f>IFERROR(__xludf.DUMMYFUNCTION("""COMPUTED_VALUE"""),"")</f>
        <v/>
      </c>
      <c r="J46" s="261" t="str">
        <f>IFERROR(__xludf.DUMMYFUNCTION("""COMPUTED_VALUE"""),"")</f>
        <v/>
      </c>
      <c r="K46" s="262" t="str">
        <f>IFERROR(__xludf.DUMMYFUNCTION("""COMPUTED_VALUE"""),"AP")</f>
        <v>AP</v>
      </c>
      <c r="L46" s="261" t="str">
        <f>IFERROR(__xludf.DUMMYFUNCTION("""COMPUTED_VALUE"""),"")</f>
        <v/>
      </c>
      <c r="M46" s="262" t="str">
        <f>IFERROR(__xludf.DUMMYFUNCTION("""COMPUTED_VALUE"""),"％")</f>
        <v>％</v>
      </c>
      <c r="N46" s="259" t="str">
        <f>IFERROR(__xludf.DUMMYFUNCTION("""COMPUTED_VALUE"""),"")</f>
        <v/>
      </c>
      <c r="O46" s="263"/>
      <c r="P46" s="93" t="str">
        <f>IFERROR(__xludf.DUMMYFUNCTION("""COMPUTED_VALUE"""),"")</f>
        <v/>
      </c>
      <c r="Q46" s="166"/>
      <c r="R46" s="254"/>
      <c r="S46" s="255"/>
      <c r="T46" s="256">
        <f>IFERROR(__xludf.DUMMYFUNCTION("""COMPUTED_VALUE"""),5.0)</f>
        <v>5</v>
      </c>
      <c r="U46" s="257" t="str">
        <f>IFERROR(__xludf.DUMMYFUNCTION("""COMPUTED_VALUE"""),"SMS7")</f>
        <v>SMS7</v>
      </c>
      <c r="V46" s="42" t="str">
        <f>IFERROR(__xludf.DUMMYFUNCTION("""COMPUTED_VALUE"""),"Shimosa")</f>
        <v>Shimosa</v>
      </c>
      <c r="W46" s="258" t="str">
        <f>IFERROR(__xludf.DUMMYFUNCTION("""COMPUTED_VALUE"""),"Rear Mountain (Nameless Sacred Mountain)")</f>
        <v>Rear Mountain (Nameless Sacred Mountain)</v>
      </c>
      <c r="X46" s="259">
        <f>IFERROR(__xludf.DUMMYFUNCTION("""COMPUTED_VALUE"""),21.0)</f>
        <v>21</v>
      </c>
      <c r="Y46" s="260">
        <f>IFERROR(__xludf.DUMMYFUNCTION("""COMPUTED_VALUE"""),47.80952380952381)</f>
        <v>47.80952381</v>
      </c>
      <c r="Z46" s="261">
        <f>IFERROR(__xludf.DUMMYFUNCTION("""COMPUTED_VALUE"""),85.68700642989685)</f>
        <v>85.68700643</v>
      </c>
      <c r="AA46" s="262" t="str">
        <f>IFERROR(__xludf.DUMMYFUNCTION("""COMPUTED_VALUE"""),"AP")</f>
        <v>AP</v>
      </c>
      <c r="AB46" s="261">
        <f>IFERROR(__xludf.DUMMYFUNCTION("""COMPUTED_VALUE"""),24.50779981114259)</f>
        <v>24.50779981</v>
      </c>
      <c r="AC46" s="262" t="str">
        <f>IFERROR(__xludf.DUMMYFUNCTION("""COMPUTED_VALUE"""),"％")</f>
        <v>％</v>
      </c>
      <c r="AD46" s="259">
        <f>IFERROR(__xludf.DUMMYFUNCTION("""COMPUTED_VALUE"""),8825.0)</f>
        <v>8825</v>
      </c>
      <c r="AE46" s="263"/>
      <c r="AF46" s="98" t="str">
        <f>IFERROR(__xludf.DUMMYFUNCTION("""COMPUTED_VALUE"""),"")</f>
        <v/>
      </c>
    </row>
    <row r="47" ht="16.5" customHeight="1">
      <c r="A47" s="61" t="str">
        <f>IFERROR(__xludf.DUMMYFUNCTION("""COMPUTED_VALUE"""),"")</f>
        <v/>
      </c>
      <c r="B47" s="356" t="str">
        <f>IFERROR(__xludf.DUMMYFUNCTION("""COMPUTED_VALUE"""),"A309")</f>
        <v>A309</v>
      </c>
      <c r="C47" s="65" t="str">
        <f>IFERROR(__xludf.DUMMYFUNCTION("""COMPUTED_VALUE"""),"Induced Oscillation Gunpowder")</f>
        <v>Induced Oscillation Gunpowder</v>
      </c>
      <c r="D47" s="67">
        <f>IFERROR(__xludf.DUMMYFUNCTION("""COMPUTED_VALUE"""),1.0)</f>
        <v>1</v>
      </c>
      <c r="E47" s="69" t="str">
        <f>IFERROR(__xludf.DUMMYFUNCTION("""COMPUTED_VALUE"""),"")</f>
        <v/>
      </c>
      <c r="F47" s="71" t="str">
        <f>IFERROR(__xludf.DUMMYFUNCTION("""COMPUTED_VALUE"""),"")</f>
        <v/>
      </c>
      <c r="G47" s="71" t="str">
        <f>IFERROR(__xludf.DUMMYFUNCTION("""COMPUTED_VALUE"""),"")</f>
        <v/>
      </c>
      <c r="H47" s="80" t="str">
        <f>IFERROR(__xludf.DUMMYFUNCTION("""COMPUTED_VALUE"""),"")</f>
        <v/>
      </c>
      <c r="I47" s="82" t="str">
        <f>IFERROR(__xludf.DUMMYFUNCTION("""COMPUTED_VALUE"""),"")</f>
        <v/>
      </c>
      <c r="J47" s="84" t="str">
        <f>IFERROR(__xludf.DUMMYFUNCTION("""COMPUTED_VALUE"""),"")</f>
        <v/>
      </c>
      <c r="K47" s="86" t="str">
        <f>IFERROR(__xludf.DUMMYFUNCTION("""COMPUTED_VALUE"""),"AP")</f>
        <v>AP</v>
      </c>
      <c r="L47" s="88" t="str">
        <f>IFERROR(__xludf.DUMMYFUNCTION("""COMPUTED_VALUE"""),"")</f>
        <v/>
      </c>
      <c r="M47" s="86" t="str">
        <f>IFERROR(__xludf.DUMMYFUNCTION("""COMPUTED_VALUE"""),"％")</f>
        <v>％</v>
      </c>
      <c r="N47" s="80" t="str">
        <f>IFERROR(__xludf.DUMMYFUNCTION("""COMPUTED_VALUE"""),"")</f>
        <v/>
      </c>
      <c r="O47" s="91" t="str">
        <f>IFERROR(__xludf.DUMMYFUNCTION("""COMPUTED_VALUE"""),"Induced Oscillation Gunpowder")</f>
        <v>Induced Oscillation Gunpowder</v>
      </c>
      <c r="P47" s="93" t="str">
        <f>IFERROR(__xludf.DUMMYFUNCTION("""COMPUTED_VALUE"""),"")</f>
        <v/>
      </c>
      <c r="Q47" s="61" t="str">
        <f>IFERROR(__xludf.DUMMYFUNCTION("""COMPUTED_VALUE"""),"")</f>
        <v/>
      </c>
      <c r="R47" s="357" t="str">
        <f>IFERROR(__xludf.DUMMYFUNCTION("""COMPUTED_VALUE"""),"B112")</f>
        <v>B112</v>
      </c>
      <c r="S47" s="65" t="str">
        <f>IFERROR(__xludf.DUMMYFUNCTION("""COMPUTED_VALUE"""),"Magic Gem of Archer")</f>
        <v>Magic Gem of Archer</v>
      </c>
      <c r="T47" s="67">
        <f>IFERROR(__xludf.DUMMYFUNCTION("""COMPUTED_VALUE"""),1.0)</f>
        <v>1</v>
      </c>
      <c r="U47" s="69" t="str">
        <f>IFERROR(__xludf.DUMMYFUNCTION("""COMPUTED_VALUE"""),"TRF3")</f>
        <v>TRF3</v>
      </c>
      <c r="V47" s="71" t="str">
        <f>IFERROR(__xludf.DUMMYFUNCTION("""COMPUTED_VALUE"""),"Chaldea Gate (Mon)")</f>
        <v>Chaldea Gate (Mon)</v>
      </c>
      <c r="W47" s="71" t="str">
        <f>IFERROR(__xludf.DUMMYFUNCTION("""COMPUTED_VALUE"""),"MON Archer Training Ground- Adv")</f>
        <v>MON Archer Training Ground- Adv</v>
      </c>
      <c r="X47" s="80">
        <f>IFERROR(__xludf.DUMMYFUNCTION("""COMPUTED_VALUE"""),30.0)</f>
        <v>30</v>
      </c>
      <c r="Y47" s="82">
        <f>IFERROR(__xludf.DUMMYFUNCTION("""COMPUTED_VALUE"""),18.266666666666666)</f>
        <v>18.26666667</v>
      </c>
      <c r="Z47" s="84">
        <f>IFERROR(__xludf.DUMMYFUNCTION("""COMPUTED_VALUE"""),19.33848014457345)</f>
        <v>19.33848014</v>
      </c>
      <c r="AA47" s="86" t="str">
        <f>IFERROR(__xludf.DUMMYFUNCTION("""COMPUTED_VALUE"""),"AP")</f>
        <v>AP</v>
      </c>
      <c r="AB47" s="88">
        <f>IFERROR(__xludf.DUMMYFUNCTION("""COMPUTED_VALUE"""),155.13111566018424)</f>
        <v>155.1311157</v>
      </c>
      <c r="AC47" s="86" t="str">
        <f>IFERROR(__xludf.DUMMYFUNCTION("""COMPUTED_VALUE"""),"％")</f>
        <v>％</v>
      </c>
      <c r="AD47" s="80">
        <f>IFERROR(__xludf.DUMMYFUNCTION("""COMPUTED_VALUE"""),977.0)</f>
        <v>977</v>
      </c>
      <c r="AE47" s="91" t="str">
        <f>IFERROR(__xludf.DUMMYFUNCTION("""COMPUTED_VALUE"""),"Magic Gem of Archer")</f>
        <v>Magic Gem of Archer</v>
      </c>
      <c r="AF47" s="98" t="str">
        <f>IFERROR(__xludf.DUMMYFUNCTION("""COMPUTED_VALUE"""),"")</f>
        <v/>
      </c>
    </row>
    <row r="48" ht="16.5" customHeight="1">
      <c r="B48" s="358"/>
      <c r="C48" s="100"/>
      <c r="D48" s="102">
        <f>IFERROR(__xludf.DUMMYFUNCTION("""COMPUTED_VALUE"""),2.0)</f>
        <v>2</v>
      </c>
      <c r="E48" s="103" t="str">
        <f>IFERROR(__xludf.DUMMYFUNCTION("""COMPUTED_VALUE"""),"")</f>
        <v/>
      </c>
      <c r="F48" s="104" t="str">
        <f>IFERROR(__xludf.DUMMYFUNCTION("""COMPUTED_VALUE"""),"")</f>
        <v/>
      </c>
      <c r="G48" s="104" t="str">
        <f>IFERROR(__xludf.DUMMYFUNCTION("""COMPUTED_VALUE"""),"")</f>
        <v/>
      </c>
      <c r="H48" s="109" t="str">
        <f>IFERROR(__xludf.DUMMYFUNCTION("""COMPUTED_VALUE"""),"")</f>
        <v/>
      </c>
      <c r="I48" s="110" t="str">
        <f>IFERROR(__xludf.DUMMYFUNCTION("""COMPUTED_VALUE"""),"")</f>
        <v/>
      </c>
      <c r="J48" s="112" t="str">
        <f>IFERROR(__xludf.DUMMYFUNCTION("""COMPUTED_VALUE"""),"")</f>
        <v/>
      </c>
      <c r="K48" s="121" t="str">
        <f>IFERROR(__xludf.DUMMYFUNCTION("""COMPUTED_VALUE"""),"AP")</f>
        <v>AP</v>
      </c>
      <c r="L48" s="123" t="str">
        <f>IFERROR(__xludf.DUMMYFUNCTION("""COMPUTED_VALUE"""),"")</f>
        <v/>
      </c>
      <c r="M48" s="121" t="str">
        <f>IFERROR(__xludf.DUMMYFUNCTION("""COMPUTED_VALUE"""),"％")</f>
        <v>％</v>
      </c>
      <c r="N48" s="109" t="str">
        <f>IFERROR(__xludf.DUMMYFUNCTION("""COMPUTED_VALUE"""),"")</f>
        <v/>
      </c>
      <c r="O48" s="100"/>
      <c r="P48" s="93" t="str">
        <f>IFERROR(__xludf.DUMMYFUNCTION("""COMPUTED_VALUE"""),"")</f>
        <v/>
      </c>
      <c r="R48" s="358"/>
      <c r="S48" s="100"/>
      <c r="T48" s="102">
        <f>IFERROR(__xludf.DUMMYFUNCTION("""COMPUTED_VALUE"""),2.0)</f>
        <v>2</v>
      </c>
      <c r="U48" s="103" t="str">
        <f>IFERROR(__xludf.DUMMYFUNCTION("""COMPUTED_VALUE"""),"TRF4")</f>
        <v>TRF4</v>
      </c>
      <c r="V48" s="104" t="str">
        <f>IFERROR(__xludf.DUMMYFUNCTION("""COMPUTED_VALUE"""),"Chaldea Gate (Mon)")</f>
        <v>Chaldea Gate (Mon)</v>
      </c>
      <c r="W48" s="104" t="str">
        <f>IFERROR(__xludf.DUMMYFUNCTION("""COMPUTED_VALUE"""),"MON Archer Training Ground- Exp")</f>
        <v>MON Archer Training Ground- Exp</v>
      </c>
      <c r="X48" s="109">
        <f>IFERROR(__xludf.DUMMYFUNCTION("""COMPUTED_VALUE"""),40.0)</f>
        <v>40</v>
      </c>
      <c r="Y48" s="110">
        <f>IFERROR(__xludf.DUMMYFUNCTION("""COMPUTED_VALUE"""),19.7)</f>
        <v>19.7</v>
      </c>
      <c r="Z48" s="112">
        <f>IFERROR(__xludf.DUMMYFUNCTION("""COMPUTED_VALUE"""),33.37866136685614)</f>
        <v>33.37866137</v>
      </c>
      <c r="AA48" s="121" t="str">
        <f>IFERROR(__xludf.DUMMYFUNCTION("""COMPUTED_VALUE"""),"AP")</f>
        <v>AP</v>
      </c>
      <c r="AB48" s="123">
        <f>IFERROR(__xludf.DUMMYFUNCTION("""COMPUTED_VALUE"""),119.8370406780861)</f>
        <v>119.8370407</v>
      </c>
      <c r="AC48" s="121" t="str">
        <f>IFERROR(__xludf.DUMMYFUNCTION("""COMPUTED_VALUE"""),"％")</f>
        <v>％</v>
      </c>
      <c r="AD48" s="109">
        <f>IFERROR(__xludf.DUMMYFUNCTION("""COMPUTED_VALUE"""),9762.0)</f>
        <v>9762</v>
      </c>
      <c r="AE48" s="100"/>
      <c r="AF48" s="98" t="str">
        <f>IFERROR(__xludf.DUMMYFUNCTION("""COMPUTED_VALUE"""),"")</f>
        <v/>
      </c>
    </row>
    <row r="49" ht="16.5" customHeight="1">
      <c r="B49" s="358"/>
      <c r="C49" s="100"/>
      <c r="D49" s="130">
        <f>IFERROR(__xludf.DUMMYFUNCTION("""COMPUTED_VALUE"""),3.0)</f>
        <v>3</v>
      </c>
      <c r="E49" s="132" t="str">
        <f>IFERROR(__xludf.DUMMYFUNCTION("""COMPUTED_VALUE"""),"")</f>
        <v/>
      </c>
      <c r="F49" s="133" t="str">
        <f>IFERROR(__xludf.DUMMYFUNCTION("""COMPUTED_VALUE"""),"")</f>
        <v/>
      </c>
      <c r="G49" s="133" t="str">
        <f>IFERROR(__xludf.DUMMYFUNCTION("""COMPUTED_VALUE"""),"")</f>
        <v/>
      </c>
      <c r="H49" s="137" t="str">
        <f>IFERROR(__xludf.DUMMYFUNCTION("""COMPUTED_VALUE"""),"")</f>
        <v/>
      </c>
      <c r="I49" s="139" t="str">
        <f>IFERROR(__xludf.DUMMYFUNCTION("""COMPUTED_VALUE"""),"")</f>
        <v/>
      </c>
      <c r="J49" s="141" t="str">
        <f>IFERROR(__xludf.DUMMYFUNCTION("""COMPUTED_VALUE"""),"")</f>
        <v/>
      </c>
      <c r="K49" s="143" t="str">
        <f>IFERROR(__xludf.DUMMYFUNCTION("""COMPUTED_VALUE"""),"AP")</f>
        <v>AP</v>
      </c>
      <c r="L49" s="145" t="str">
        <f>IFERROR(__xludf.DUMMYFUNCTION("""COMPUTED_VALUE"""),"")</f>
        <v/>
      </c>
      <c r="M49" s="143" t="str">
        <f>IFERROR(__xludf.DUMMYFUNCTION("""COMPUTED_VALUE"""),"％")</f>
        <v>％</v>
      </c>
      <c r="N49" s="137" t="str">
        <f>IFERROR(__xludf.DUMMYFUNCTION("""COMPUTED_VALUE"""),"")</f>
        <v/>
      </c>
      <c r="O49" s="100"/>
      <c r="P49" s="93" t="str">
        <f>IFERROR(__xludf.DUMMYFUNCTION("""COMPUTED_VALUE"""),"")</f>
        <v/>
      </c>
      <c r="R49" s="358"/>
      <c r="S49" s="100"/>
      <c r="T49" s="130">
        <f>IFERROR(__xludf.DUMMYFUNCTION("""COMPUTED_VALUE"""),3.0)</f>
        <v>3</v>
      </c>
      <c r="U49" s="132" t="str">
        <f>IFERROR(__xludf.DUMMYFUNCTION("""COMPUTED_VALUE"""),"TRF2")</f>
        <v>TRF2</v>
      </c>
      <c r="V49" s="133" t="str">
        <f>IFERROR(__xludf.DUMMYFUNCTION("""COMPUTED_VALUE"""),"Chaldea Gate (Mon)")</f>
        <v>Chaldea Gate (Mon)</v>
      </c>
      <c r="W49" s="133" t="str">
        <f>IFERROR(__xludf.DUMMYFUNCTION("""COMPUTED_VALUE"""),"MON Archer Training Ground- Int")</f>
        <v>MON Archer Training Ground- Int</v>
      </c>
      <c r="X49" s="137">
        <f>IFERROR(__xludf.DUMMYFUNCTION("""COMPUTED_VALUE"""),20.0)</f>
        <v>20</v>
      </c>
      <c r="Y49" s="139">
        <f>IFERROR(__xludf.DUMMYFUNCTION("""COMPUTED_VALUE"""),18.4)</f>
        <v>18.4</v>
      </c>
      <c r="Z49" s="141">
        <f>IFERROR(__xludf.DUMMYFUNCTION("""COMPUTED_VALUE"""),55.80572770371691)</f>
        <v>55.8057277</v>
      </c>
      <c r="AA49" s="143" t="str">
        <f>IFERROR(__xludf.DUMMYFUNCTION("""COMPUTED_VALUE"""),"AP")</f>
        <v>AP</v>
      </c>
      <c r="AB49" s="145">
        <f>IFERROR(__xludf.DUMMYFUNCTION("""COMPUTED_VALUE"""),35.83861517976032)</f>
        <v>35.83861518</v>
      </c>
      <c r="AC49" s="143" t="str">
        <f>IFERROR(__xludf.DUMMYFUNCTION("""COMPUTED_VALUE"""),"％")</f>
        <v>％</v>
      </c>
      <c r="AD49" s="137">
        <f>IFERROR(__xludf.DUMMYFUNCTION("""COMPUTED_VALUE"""),751.0)</f>
        <v>751</v>
      </c>
      <c r="AE49" s="100"/>
      <c r="AF49" s="98" t="str">
        <f>IFERROR(__xludf.DUMMYFUNCTION("""COMPUTED_VALUE"""),"")</f>
        <v/>
      </c>
    </row>
    <row r="50" ht="16.5" customHeight="1">
      <c r="B50" s="358"/>
      <c r="C50" s="100"/>
      <c r="D50" s="146">
        <f>IFERROR(__xludf.DUMMYFUNCTION("""COMPUTED_VALUE"""),4.0)</f>
        <v>4</v>
      </c>
      <c r="E50" s="148" t="str">
        <f>IFERROR(__xludf.DUMMYFUNCTION("""COMPUTED_VALUE"""),"")</f>
        <v/>
      </c>
      <c r="F50" s="150" t="str">
        <f>IFERROR(__xludf.DUMMYFUNCTION("""COMPUTED_VALUE"""),"")</f>
        <v/>
      </c>
      <c r="G50" s="150" t="str">
        <f>IFERROR(__xludf.DUMMYFUNCTION("""COMPUTED_VALUE"""),"")</f>
        <v/>
      </c>
      <c r="H50" s="154" t="str">
        <f>IFERROR(__xludf.DUMMYFUNCTION("""COMPUTED_VALUE"""),"")</f>
        <v/>
      </c>
      <c r="I50" s="156" t="str">
        <f>IFERROR(__xludf.DUMMYFUNCTION("""COMPUTED_VALUE"""),"")</f>
        <v/>
      </c>
      <c r="J50" s="158" t="str">
        <f>IFERROR(__xludf.DUMMYFUNCTION("""COMPUTED_VALUE"""),"")</f>
        <v/>
      </c>
      <c r="K50" s="160" t="str">
        <f>IFERROR(__xludf.DUMMYFUNCTION("""COMPUTED_VALUE"""),"AP")</f>
        <v>AP</v>
      </c>
      <c r="L50" s="162" t="str">
        <f>IFERROR(__xludf.DUMMYFUNCTION("""COMPUTED_VALUE"""),"")</f>
        <v/>
      </c>
      <c r="M50" s="160" t="str">
        <f>IFERROR(__xludf.DUMMYFUNCTION("""COMPUTED_VALUE"""),"％")</f>
        <v>％</v>
      </c>
      <c r="N50" s="154" t="str">
        <f>IFERROR(__xludf.DUMMYFUNCTION("""COMPUTED_VALUE"""),"")</f>
        <v/>
      </c>
      <c r="O50" s="100"/>
      <c r="P50" s="93" t="str">
        <f>IFERROR(__xludf.DUMMYFUNCTION("""COMPUTED_VALUE"""),"")</f>
        <v/>
      </c>
      <c r="R50" s="358"/>
      <c r="S50" s="100"/>
      <c r="T50" s="146">
        <f>IFERROR(__xludf.DUMMYFUNCTION("""COMPUTED_VALUE"""),4.0)</f>
        <v>4</v>
      </c>
      <c r="U50" s="148" t="str">
        <f>IFERROR(__xludf.DUMMYFUNCTION("""COMPUTED_VALUE"""),"SJK3")</f>
        <v>SJK3</v>
      </c>
      <c r="V50" s="150" t="str">
        <f>IFERROR(__xludf.DUMMYFUNCTION("""COMPUTED_VALUE"""),"Shinjuku")</f>
        <v>Shinjuku</v>
      </c>
      <c r="W50" s="152" t="str">
        <f>IFERROR(__xludf.DUMMYFUNCTION("""COMPUTED_VALUE"""),"Shinjuku Station")</f>
        <v>Shinjuku Station</v>
      </c>
      <c r="X50" s="154">
        <f>IFERROR(__xludf.DUMMYFUNCTION("""COMPUTED_VALUE"""),21.0)</f>
        <v>21</v>
      </c>
      <c r="Y50" s="156">
        <f>IFERROR(__xludf.DUMMYFUNCTION("""COMPUTED_VALUE"""),45.523809523809526)</f>
        <v>45.52380952</v>
      </c>
      <c r="Z50" s="158">
        <f>IFERROR(__xludf.DUMMYFUNCTION("""COMPUTED_VALUE"""),86.29027970462442)</f>
        <v>86.2902797</v>
      </c>
      <c r="AA50" s="160" t="str">
        <f>IFERROR(__xludf.DUMMYFUNCTION("""COMPUTED_VALUE"""),"AP")</f>
        <v>AP</v>
      </c>
      <c r="AB50" s="162">
        <f>IFERROR(__xludf.DUMMYFUNCTION("""COMPUTED_VALUE"""),24.33646069045547)</f>
        <v>24.33646069</v>
      </c>
      <c r="AC50" s="160" t="str">
        <f>IFERROR(__xludf.DUMMYFUNCTION("""COMPUTED_VALUE"""),"％")</f>
        <v>％</v>
      </c>
      <c r="AD50" s="154">
        <f>IFERROR(__xludf.DUMMYFUNCTION("""COMPUTED_VALUE"""),17235.0)</f>
        <v>17235</v>
      </c>
      <c r="AE50" s="100"/>
      <c r="AF50" s="98" t="str">
        <f>IFERROR(__xludf.DUMMYFUNCTION("""COMPUTED_VALUE"""),"")</f>
        <v/>
      </c>
    </row>
    <row r="51" ht="16.5" customHeight="1">
      <c r="A51" s="166"/>
      <c r="B51" s="359"/>
      <c r="C51" s="168"/>
      <c r="D51" s="169">
        <f>IFERROR(__xludf.DUMMYFUNCTION("""COMPUTED_VALUE"""),5.0)</f>
        <v>5</v>
      </c>
      <c r="E51" s="170" t="str">
        <f>IFERROR(__xludf.DUMMYFUNCTION("""COMPUTED_VALUE"""),"")</f>
        <v/>
      </c>
      <c r="F51" s="51" t="str">
        <f>IFERROR(__xludf.DUMMYFUNCTION("""COMPUTED_VALUE"""),"")</f>
        <v/>
      </c>
      <c r="G51" s="51" t="str">
        <f>IFERROR(__xludf.DUMMYFUNCTION("""COMPUTED_VALUE"""),"")</f>
        <v/>
      </c>
      <c r="H51" s="172" t="str">
        <f>IFERROR(__xludf.DUMMYFUNCTION("""COMPUTED_VALUE"""),"")</f>
        <v/>
      </c>
      <c r="I51" s="173" t="str">
        <f>IFERROR(__xludf.DUMMYFUNCTION("""COMPUTED_VALUE"""),"")</f>
        <v/>
      </c>
      <c r="J51" s="174" t="str">
        <f>IFERROR(__xludf.DUMMYFUNCTION("""COMPUTED_VALUE"""),"")</f>
        <v/>
      </c>
      <c r="K51" s="175" t="str">
        <f>IFERROR(__xludf.DUMMYFUNCTION("""COMPUTED_VALUE"""),"AP")</f>
        <v>AP</v>
      </c>
      <c r="L51" s="176" t="str">
        <f>IFERROR(__xludf.DUMMYFUNCTION("""COMPUTED_VALUE"""),"")</f>
        <v/>
      </c>
      <c r="M51" s="175" t="str">
        <f>IFERROR(__xludf.DUMMYFUNCTION("""COMPUTED_VALUE"""),"％")</f>
        <v>％</v>
      </c>
      <c r="N51" s="172" t="str">
        <f>IFERROR(__xludf.DUMMYFUNCTION("""COMPUTED_VALUE"""),"")</f>
        <v/>
      </c>
      <c r="O51" s="168"/>
      <c r="P51" s="93" t="str">
        <f>IFERROR(__xludf.DUMMYFUNCTION("""COMPUTED_VALUE"""),"")</f>
        <v/>
      </c>
      <c r="Q51" s="166"/>
      <c r="R51" s="359"/>
      <c r="S51" s="168"/>
      <c r="T51" s="169">
        <f>IFERROR(__xludf.DUMMYFUNCTION("""COMPUTED_VALUE"""),5.0)</f>
        <v>5</v>
      </c>
      <c r="U51" s="170" t="str">
        <f>IFERROR(__xludf.DUMMYFUNCTION("""COMPUTED_VALUE"""),"CML8")</f>
        <v>CML8</v>
      </c>
      <c r="V51" s="51" t="str">
        <f>IFERROR(__xludf.DUMMYFUNCTION("""COMPUTED_VALUE"""),"Camelot")</f>
        <v>Camelot</v>
      </c>
      <c r="W51" s="171" t="str">
        <f>IFERROR(__xludf.DUMMYFUNCTION("""COMPUTED_VALUE"""),"Atlas Institute")</f>
        <v>Atlas Institute</v>
      </c>
      <c r="X51" s="172">
        <f>IFERROR(__xludf.DUMMYFUNCTION("""COMPUTED_VALUE"""),20.0)</f>
        <v>20</v>
      </c>
      <c r="Y51" s="173">
        <f>IFERROR(__xludf.DUMMYFUNCTION("""COMPUTED_VALUE"""),44.2)</f>
        <v>44.2</v>
      </c>
      <c r="Z51" s="174">
        <f>IFERROR(__xludf.DUMMYFUNCTION("""COMPUTED_VALUE"""),124.36472346786248)</f>
        <v>124.3647235</v>
      </c>
      <c r="AA51" s="175" t="str">
        <f>IFERROR(__xludf.DUMMYFUNCTION("""COMPUTED_VALUE"""),"AP")</f>
        <v>AP</v>
      </c>
      <c r="AB51" s="176">
        <f>IFERROR(__xludf.DUMMYFUNCTION("""COMPUTED_VALUE"""),16.08173076923077)</f>
        <v>16.08173077</v>
      </c>
      <c r="AC51" s="175" t="str">
        <f>IFERROR(__xludf.DUMMYFUNCTION("""COMPUTED_VALUE"""),"％")</f>
        <v>％</v>
      </c>
      <c r="AD51" s="172">
        <f>IFERROR(__xludf.DUMMYFUNCTION("""COMPUTED_VALUE"""),832.0)</f>
        <v>832</v>
      </c>
      <c r="AE51" s="168"/>
      <c r="AF51" s="98" t="str">
        <f>IFERROR(__xludf.DUMMYFUNCTION("""COMPUTED_VALUE"""),"")</f>
        <v/>
      </c>
    </row>
    <row r="52" ht="16.5" customHeight="1">
      <c r="A52" s="61" t="str">
        <f>IFERROR(__xludf.DUMMYFUNCTION("""COMPUTED_VALUE"""),"")</f>
        <v/>
      </c>
      <c r="B52" s="179" t="str">
        <f>IFERROR(__xludf.DUMMYFUNCTION("""COMPUTED_VALUE"""),"A201")</f>
        <v>A201</v>
      </c>
      <c r="C52" s="180" t="str">
        <f>IFERROR(__xludf.DUMMYFUNCTION("""COMPUTED_VALUE"""),"Seed of Yggdrasil")</f>
        <v>Seed of Yggdrasil</v>
      </c>
      <c r="D52" s="181">
        <f>IFERROR(__xludf.DUMMYFUNCTION("""COMPUTED_VALUE"""),1.0)</f>
        <v>1</v>
      </c>
      <c r="E52" s="182" t="str">
        <f>IFERROR(__xludf.DUMMYFUNCTION("""COMPUTED_VALUE"""),"BBL1")</f>
        <v>BBL1</v>
      </c>
      <c r="F52" s="184" t="str">
        <f>IFERROR(__xludf.DUMMYFUNCTION("""COMPUTED_VALUE"""),"Babylonia")</f>
        <v>Babylonia</v>
      </c>
      <c r="G52" s="189" t="str">
        <f>IFERROR(__xludf.DUMMYFUNCTION("""COMPUTED_VALUE"""),"Fallen Babylon")</f>
        <v>Fallen Babylon</v>
      </c>
      <c r="H52" s="190">
        <f>IFERROR(__xludf.DUMMYFUNCTION("""COMPUTED_VALUE"""),20.0)</f>
        <v>20</v>
      </c>
      <c r="I52" s="191">
        <f>IFERROR(__xludf.DUMMYFUNCTION("""COMPUTED_VALUE"""),46.6)</f>
        <v>46.6</v>
      </c>
      <c r="J52" s="192">
        <f>IFERROR(__xludf.DUMMYFUNCTION("""COMPUTED_VALUE"""),39.70669461166831)</f>
        <v>39.70669461</v>
      </c>
      <c r="K52" s="194" t="str">
        <f>IFERROR(__xludf.DUMMYFUNCTION("""COMPUTED_VALUE"""),"AP")</f>
        <v>AP</v>
      </c>
      <c r="L52" s="192">
        <f>IFERROR(__xludf.DUMMYFUNCTION("""COMPUTED_VALUE"""),50.36933997050147)</f>
        <v>50.36933997</v>
      </c>
      <c r="M52" s="194" t="str">
        <f>IFERROR(__xludf.DUMMYFUNCTION("""COMPUTED_VALUE"""),"％")</f>
        <v>％</v>
      </c>
      <c r="N52" s="190">
        <f>IFERROR(__xludf.DUMMYFUNCTION("""COMPUTED_VALUE"""),5424.0)</f>
        <v>5424</v>
      </c>
      <c r="O52" s="197" t="str">
        <f>IFERROR(__xludf.DUMMYFUNCTION("""COMPUTED_VALUE"""),"Seed of Yggdrasil")</f>
        <v>Seed of Yggdrasil</v>
      </c>
      <c r="P52" s="93" t="str">
        <f>IFERROR(__xludf.DUMMYFUNCTION("""COMPUTED_VALUE"""),"")</f>
        <v/>
      </c>
      <c r="Q52" s="61" t="str">
        <f>IFERROR(__xludf.DUMMYFUNCTION("""COMPUTED_VALUE"""),"")</f>
        <v/>
      </c>
      <c r="R52" s="199" t="str">
        <f>IFERROR(__xludf.DUMMYFUNCTION("""COMPUTED_VALUE"""),"B113")</f>
        <v>B113</v>
      </c>
      <c r="S52" s="180" t="str">
        <f>IFERROR(__xludf.DUMMYFUNCTION("""COMPUTED_VALUE"""),"Magic Gem of Lancer")</f>
        <v>Magic Gem of Lancer</v>
      </c>
      <c r="T52" s="181">
        <f>IFERROR(__xludf.DUMMYFUNCTION("""COMPUTED_VALUE"""),1.0)</f>
        <v>1</v>
      </c>
      <c r="U52" s="182" t="str">
        <f>IFERROR(__xludf.DUMMYFUNCTION("""COMPUTED_VALUE"""),"TRF7")</f>
        <v>TRF7</v>
      </c>
      <c r="V52" s="184" t="str">
        <f>IFERROR(__xludf.DUMMYFUNCTION("""COMPUTED_VALUE"""),"Chaldea Gate (Tue)")</f>
        <v>Chaldea Gate (Tue)</v>
      </c>
      <c r="W52" s="184" t="str">
        <f>IFERROR(__xludf.DUMMYFUNCTION("""COMPUTED_VALUE"""),"TUE Lancer Training Ground- Adv")</f>
        <v>TUE Lancer Training Ground- Adv</v>
      </c>
      <c r="X52" s="190">
        <f>IFERROR(__xludf.DUMMYFUNCTION("""COMPUTED_VALUE"""),30.0)</f>
        <v>30</v>
      </c>
      <c r="Y52" s="191">
        <f>IFERROR(__xludf.DUMMYFUNCTION("""COMPUTED_VALUE"""),18.266666666666666)</f>
        <v>18.26666667</v>
      </c>
      <c r="Z52" s="192">
        <f>IFERROR(__xludf.DUMMYFUNCTION("""COMPUTED_VALUE"""),20.21959140762293)</f>
        <v>20.21959141</v>
      </c>
      <c r="AA52" s="194" t="str">
        <f>IFERROR(__xludf.DUMMYFUNCTION("""COMPUTED_VALUE"""),"AP")</f>
        <v>AP</v>
      </c>
      <c r="AB52" s="192">
        <f>IFERROR(__xludf.DUMMYFUNCTION("""COMPUTED_VALUE"""),148.37095070422535)</f>
        <v>148.3709507</v>
      </c>
      <c r="AC52" s="194" t="str">
        <f>IFERROR(__xludf.DUMMYFUNCTION("""COMPUTED_VALUE"""),"％")</f>
        <v>％</v>
      </c>
      <c r="AD52" s="190">
        <f>IFERROR(__xludf.DUMMYFUNCTION("""COMPUTED_VALUE"""),1136.0)</f>
        <v>1136</v>
      </c>
      <c r="AE52" s="197" t="str">
        <f>IFERROR(__xludf.DUMMYFUNCTION("""COMPUTED_VALUE"""),"Magic Gem of Lancer")</f>
        <v>Magic Gem of Lancer</v>
      </c>
      <c r="AF52" s="98" t="str">
        <f>IFERROR(__xludf.DUMMYFUNCTION("""COMPUTED_VALUE"""),"")</f>
        <v/>
      </c>
    </row>
    <row r="53" ht="16.5" customHeight="1">
      <c r="B53" s="203"/>
      <c r="C53" s="204"/>
      <c r="D53" s="205">
        <f>IFERROR(__xludf.DUMMYFUNCTION("""COMPUTED_VALUE"""),2.0)</f>
        <v>2</v>
      </c>
      <c r="E53" s="206" t="str">
        <f>IFERROR(__xludf.DUMMYFUNCTION("""COMPUTED_VALUE"""),"AGT3")</f>
        <v>AGT3</v>
      </c>
      <c r="F53" s="207" t="str">
        <f>IFERROR(__xludf.DUMMYFUNCTION("""COMPUTED_VALUE"""),"Agartha")</f>
        <v>Agartha</v>
      </c>
      <c r="G53" s="209" t="str">
        <f>IFERROR(__xludf.DUMMYFUNCTION("""COMPUTED_VALUE"""),"Riverside Town")</f>
        <v>Riverside Town</v>
      </c>
      <c r="H53" s="211">
        <f>IFERROR(__xludf.DUMMYFUNCTION("""COMPUTED_VALUE"""),20.0)</f>
        <v>20</v>
      </c>
      <c r="I53" s="213">
        <f>IFERROR(__xludf.DUMMYFUNCTION("""COMPUTED_VALUE"""),46.6)</f>
        <v>46.6</v>
      </c>
      <c r="J53" s="214">
        <f>IFERROR(__xludf.DUMMYFUNCTION("""COMPUTED_VALUE"""),49.84548681374736)</f>
        <v>49.84548681</v>
      </c>
      <c r="K53" s="215" t="str">
        <f>IFERROR(__xludf.DUMMYFUNCTION("""COMPUTED_VALUE"""),"AP")</f>
        <v>AP</v>
      </c>
      <c r="L53" s="214">
        <f>IFERROR(__xludf.DUMMYFUNCTION("""COMPUTED_VALUE"""),40.123993722304284)</f>
        <v>40.12399372</v>
      </c>
      <c r="M53" s="215" t="str">
        <f>IFERROR(__xludf.DUMMYFUNCTION("""COMPUTED_VALUE"""),"％")</f>
        <v>％</v>
      </c>
      <c r="N53" s="211">
        <f>IFERROR(__xludf.DUMMYFUNCTION("""COMPUTED_VALUE"""),10832.0)</f>
        <v>10832</v>
      </c>
      <c r="O53" s="217"/>
      <c r="P53" s="93" t="str">
        <f>IFERROR(__xludf.DUMMYFUNCTION("""COMPUTED_VALUE"""),"")</f>
        <v/>
      </c>
      <c r="R53" s="203"/>
      <c r="S53" s="204"/>
      <c r="T53" s="205">
        <f>IFERROR(__xludf.DUMMYFUNCTION("""COMPUTED_VALUE"""),2.0)</f>
        <v>2</v>
      </c>
      <c r="U53" s="206" t="str">
        <f>IFERROR(__xludf.DUMMYFUNCTION("""COMPUTED_VALUE"""),"TRF6")</f>
        <v>TRF6</v>
      </c>
      <c r="V53" s="207" t="str">
        <f>IFERROR(__xludf.DUMMYFUNCTION("""COMPUTED_VALUE"""),"Chaldea Gate (Tue)")</f>
        <v>Chaldea Gate (Tue)</v>
      </c>
      <c r="W53" s="207" t="str">
        <f>IFERROR(__xludf.DUMMYFUNCTION("""COMPUTED_VALUE"""),"TUE Lancer Training Ground- Int")</f>
        <v>TUE Lancer Training Ground- Int</v>
      </c>
      <c r="X53" s="211">
        <f>IFERROR(__xludf.DUMMYFUNCTION("""COMPUTED_VALUE"""),20.0)</f>
        <v>20</v>
      </c>
      <c r="Y53" s="213">
        <f>IFERROR(__xludf.DUMMYFUNCTION("""COMPUTED_VALUE"""),18.4)</f>
        <v>18.4</v>
      </c>
      <c r="Z53" s="214">
        <f>IFERROR(__xludf.DUMMYFUNCTION("""COMPUTED_VALUE"""),31.246121611657436)</f>
        <v>31.24612161</v>
      </c>
      <c r="AA53" s="215" t="str">
        <f>IFERROR(__xludf.DUMMYFUNCTION("""COMPUTED_VALUE"""),"AP")</f>
        <v>AP</v>
      </c>
      <c r="AB53" s="214">
        <f>IFERROR(__xludf.DUMMYFUNCTION("""COMPUTED_VALUE"""),64.00794392523363)</f>
        <v>64.00794393</v>
      </c>
      <c r="AC53" s="215" t="str">
        <f>IFERROR(__xludf.DUMMYFUNCTION("""COMPUTED_VALUE"""),"％")</f>
        <v>％</v>
      </c>
      <c r="AD53" s="211">
        <f>IFERROR(__xludf.DUMMYFUNCTION("""COMPUTED_VALUE"""),428.0)</f>
        <v>428</v>
      </c>
      <c r="AE53" s="217"/>
      <c r="AF53" s="98" t="str">
        <f>IFERROR(__xludf.DUMMYFUNCTION("""COMPUTED_VALUE"""),"")</f>
        <v/>
      </c>
    </row>
    <row r="54" ht="16.5" customHeight="1">
      <c r="B54" s="203"/>
      <c r="C54" s="204"/>
      <c r="D54" s="222">
        <f>IFERROR(__xludf.DUMMYFUNCTION("""COMPUTED_VALUE"""),3.0)</f>
        <v>3</v>
      </c>
      <c r="E54" s="223" t="str">
        <f>IFERROR(__xludf.DUMMYFUNCTION("""COMPUTED_VALUE"""),"SMS1")</f>
        <v>SMS1</v>
      </c>
      <c r="F54" s="224" t="str">
        <f>IFERROR(__xludf.DUMMYFUNCTION("""COMPUTED_VALUE"""),"Shimosa")</f>
        <v>Shimosa</v>
      </c>
      <c r="G54" s="226" t="str">
        <f>IFERROR(__xludf.DUMMYFUNCTION("""COMPUTED_VALUE"""),"Rice Field")</f>
        <v>Rice Field</v>
      </c>
      <c r="H54" s="228">
        <f>IFERROR(__xludf.DUMMYFUNCTION("""COMPUTED_VALUE"""),20.0)</f>
        <v>20</v>
      </c>
      <c r="I54" s="230">
        <f>IFERROR(__xludf.DUMMYFUNCTION("""COMPUTED_VALUE"""),46.6)</f>
        <v>46.6</v>
      </c>
      <c r="J54" s="231">
        <f>IFERROR(__xludf.DUMMYFUNCTION("""COMPUTED_VALUE"""),50.26012474122503)</f>
        <v>50.26012474</v>
      </c>
      <c r="K54" s="232" t="str">
        <f>IFERROR(__xludf.DUMMYFUNCTION("""COMPUTED_VALUE"""),"AP")</f>
        <v>AP</v>
      </c>
      <c r="L54" s="231">
        <f>IFERROR(__xludf.DUMMYFUNCTION("""COMPUTED_VALUE"""),39.79297724184782)</f>
        <v>39.79297724</v>
      </c>
      <c r="M54" s="232" t="str">
        <f>IFERROR(__xludf.DUMMYFUNCTION("""COMPUTED_VALUE"""),"％")</f>
        <v>％</v>
      </c>
      <c r="N54" s="228">
        <f>IFERROR(__xludf.DUMMYFUNCTION("""COMPUTED_VALUE"""),47104.0)</f>
        <v>47104</v>
      </c>
      <c r="O54" s="217"/>
      <c r="P54" s="93" t="str">
        <f>IFERROR(__xludf.DUMMYFUNCTION("""COMPUTED_VALUE"""),"")</f>
        <v/>
      </c>
      <c r="R54" s="203"/>
      <c r="S54" s="204"/>
      <c r="T54" s="222">
        <f>IFERROR(__xludf.DUMMYFUNCTION("""COMPUTED_VALUE"""),3.0)</f>
        <v>3</v>
      </c>
      <c r="U54" s="223" t="str">
        <f>IFERROR(__xludf.DUMMYFUNCTION("""COMPUTED_VALUE"""),"TRF8")</f>
        <v>TRF8</v>
      </c>
      <c r="V54" s="224" t="str">
        <f>IFERROR(__xludf.DUMMYFUNCTION("""COMPUTED_VALUE"""),"Chaldea Gate (Tue)")</f>
        <v>Chaldea Gate (Tue)</v>
      </c>
      <c r="W54" s="224" t="str">
        <f>IFERROR(__xludf.DUMMYFUNCTION("""COMPUTED_VALUE"""),"TUE Lancer Training Ground- Exp")</f>
        <v>TUE Lancer Training Ground- Exp</v>
      </c>
      <c r="X54" s="228">
        <f>IFERROR(__xludf.DUMMYFUNCTION("""COMPUTED_VALUE"""),40.0)</f>
        <v>40</v>
      </c>
      <c r="Y54" s="230">
        <f>IFERROR(__xludf.DUMMYFUNCTION("""COMPUTED_VALUE"""),19.7)</f>
        <v>19.7</v>
      </c>
      <c r="Z54" s="231">
        <f>IFERROR(__xludf.DUMMYFUNCTION("""COMPUTED_VALUE"""),33.3439251451867)</f>
        <v>33.34392515</v>
      </c>
      <c r="AA54" s="232" t="str">
        <f>IFERROR(__xludf.DUMMYFUNCTION("""COMPUTED_VALUE"""),"AP")</f>
        <v>AP</v>
      </c>
      <c r="AB54" s="231">
        <f>IFERROR(__xludf.DUMMYFUNCTION("""COMPUTED_VALUE"""),119.96188158961881)</f>
        <v>119.9618816</v>
      </c>
      <c r="AC54" s="232" t="str">
        <f>IFERROR(__xludf.DUMMYFUNCTION("""COMPUTED_VALUE"""),"％")</f>
        <v>％</v>
      </c>
      <c r="AD54" s="228">
        <f>IFERROR(__xludf.DUMMYFUNCTION("""COMPUTED_VALUE"""),6165.0)</f>
        <v>6165</v>
      </c>
      <c r="AE54" s="217"/>
      <c r="AF54" s="98" t="str">
        <f>IFERROR(__xludf.DUMMYFUNCTION("""COMPUTED_VALUE"""),"")</f>
        <v/>
      </c>
    </row>
    <row r="55" ht="16.5" customHeight="1">
      <c r="B55" s="203"/>
      <c r="C55" s="204"/>
      <c r="D55" s="238">
        <f>IFERROR(__xludf.DUMMYFUNCTION("""COMPUTED_VALUE"""),4.0)</f>
        <v>4</v>
      </c>
      <c r="E55" s="240" t="str">
        <f>IFERROR(__xludf.DUMMYFUNCTION("""COMPUTED_VALUE"""),"AGT11")</f>
        <v>AGT11</v>
      </c>
      <c r="F55" s="242" t="str">
        <f>IFERROR(__xludf.DUMMYFUNCTION("""COMPUTED_VALUE"""),"Agartha")</f>
        <v>Agartha</v>
      </c>
      <c r="G55" s="244" t="str">
        <f>IFERROR(__xludf.DUMMYFUNCTION("""COMPUTED_VALUE"""),"El Dorado")</f>
        <v>El Dorado</v>
      </c>
      <c r="H55" s="246">
        <f>IFERROR(__xludf.DUMMYFUNCTION("""COMPUTED_VALUE"""),21.0)</f>
        <v>21</v>
      </c>
      <c r="I55" s="248">
        <f>IFERROR(__xludf.DUMMYFUNCTION("""COMPUTED_VALUE"""),48.95238095238095)</f>
        <v>48.95238095</v>
      </c>
      <c r="J55" s="250">
        <f>IFERROR(__xludf.DUMMYFUNCTION("""COMPUTED_VALUE"""),55.00195444168116)</f>
        <v>55.00195444</v>
      </c>
      <c r="K55" s="252" t="str">
        <f>IFERROR(__xludf.DUMMYFUNCTION("""COMPUTED_VALUE"""),"AP")</f>
        <v>AP</v>
      </c>
      <c r="L55" s="250">
        <f>IFERROR(__xludf.DUMMYFUNCTION("""COMPUTED_VALUE"""),38.18046142754146)</f>
        <v>38.18046143</v>
      </c>
      <c r="M55" s="252" t="str">
        <f>IFERROR(__xludf.DUMMYFUNCTION("""COMPUTED_VALUE"""),"％")</f>
        <v>％</v>
      </c>
      <c r="N55" s="246">
        <f>IFERROR(__xludf.DUMMYFUNCTION("""COMPUTED_VALUE"""),1387.0)</f>
        <v>1387</v>
      </c>
      <c r="O55" s="217"/>
      <c r="P55" s="93" t="str">
        <f>IFERROR(__xludf.DUMMYFUNCTION("""COMPUTED_VALUE"""),"")</f>
        <v/>
      </c>
      <c r="R55" s="203"/>
      <c r="S55" s="204"/>
      <c r="T55" s="238">
        <f>IFERROR(__xludf.DUMMYFUNCTION("""COMPUTED_VALUE"""),4.0)</f>
        <v>4</v>
      </c>
      <c r="U55" s="240" t="str">
        <f>IFERROR(__xludf.DUMMYFUNCTION("""COMPUTED_VALUE"""),"AGT2")</f>
        <v>AGT2</v>
      </c>
      <c r="V55" s="242" t="str">
        <f>IFERROR(__xludf.DUMMYFUNCTION("""COMPUTED_VALUE"""),"Agartha")</f>
        <v>Agartha</v>
      </c>
      <c r="W55" s="244" t="str">
        <f>IFERROR(__xludf.DUMMYFUNCTION("""COMPUTED_VALUE"""),"Camping Ground")</f>
        <v>Camping Ground</v>
      </c>
      <c r="X55" s="246">
        <f>IFERROR(__xludf.DUMMYFUNCTION("""COMPUTED_VALUE"""),20.0)</f>
        <v>20</v>
      </c>
      <c r="Y55" s="248">
        <f>IFERROR(__xludf.DUMMYFUNCTION("""COMPUTED_VALUE"""),46.6)</f>
        <v>46.6</v>
      </c>
      <c r="Z55" s="250">
        <f>IFERROR(__xludf.DUMMYFUNCTION("""COMPUTED_VALUE"""),118.52282026238683)</f>
        <v>118.5228203</v>
      </c>
      <c r="AA55" s="252" t="str">
        <f>IFERROR(__xludf.DUMMYFUNCTION("""COMPUTED_VALUE"""),"AP")</f>
        <v>AP</v>
      </c>
      <c r="AB55" s="250">
        <f>IFERROR(__xludf.DUMMYFUNCTION("""COMPUTED_VALUE"""),16.874387527839644)</f>
        <v>16.87438753</v>
      </c>
      <c r="AC55" s="252" t="str">
        <f>IFERROR(__xludf.DUMMYFUNCTION("""COMPUTED_VALUE"""),"％")</f>
        <v>％</v>
      </c>
      <c r="AD55" s="246">
        <f>IFERROR(__xludf.DUMMYFUNCTION("""COMPUTED_VALUE"""),1347.0)</f>
        <v>1347</v>
      </c>
      <c r="AE55" s="217"/>
      <c r="AF55" s="98" t="str">
        <f>IFERROR(__xludf.DUMMYFUNCTION("""COMPUTED_VALUE"""),"")</f>
        <v/>
      </c>
    </row>
    <row r="56" ht="16.5" customHeight="1">
      <c r="A56" s="166"/>
      <c r="B56" s="254"/>
      <c r="C56" s="255"/>
      <c r="D56" s="256">
        <f>IFERROR(__xludf.DUMMYFUNCTION("""COMPUTED_VALUE"""),5.0)</f>
        <v>5</v>
      </c>
      <c r="E56" s="257" t="str">
        <f>IFERROR(__xludf.DUMMYFUNCTION("""COMPUTED_VALUE"""),"SMS2")</f>
        <v>SMS2</v>
      </c>
      <c r="F56" s="42" t="str">
        <f>IFERROR(__xludf.DUMMYFUNCTION("""COMPUTED_VALUE"""),"Shimosa")</f>
        <v>Shimosa</v>
      </c>
      <c r="G56" s="258" t="str">
        <f>IFERROR(__xludf.DUMMYFUNCTION("""COMPUTED_VALUE"""),"Village")</f>
        <v>Village</v>
      </c>
      <c r="H56" s="259">
        <f>IFERROR(__xludf.DUMMYFUNCTION("""COMPUTED_VALUE"""),21.0)</f>
        <v>21</v>
      </c>
      <c r="I56" s="260">
        <f>IFERROR(__xludf.DUMMYFUNCTION("""COMPUTED_VALUE"""),45.523809523809526)</f>
        <v>45.52380952</v>
      </c>
      <c r="J56" s="261">
        <f>IFERROR(__xludf.DUMMYFUNCTION("""COMPUTED_VALUE"""),58.71385434159399)</f>
        <v>58.71385434</v>
      </c>
      <c r="K56" s="262" t="str">
        <f>IFERROR(__xludf.DUMMYFUNCTION("""COMPUTED_VALUE"""),"AP")</f>
        <v>AP</v>
      </c>
      <c r="L56" s="261">
        <f>IFERROR(__xludf.DUMMYFUNCTION("""COMPUTED_VALUE"""),35.76668613479733)</f>
        <v>35.76668613</v>
      </c>
      <c r="M56" s="262" t="str">
        <f>IFERROR(__xludf.DUMMYFUNCTION("""COMPUTED_VALUE"""),"％")</f>
        <v>％</v>
      </c>
      <c r="N56" s="259">
        <f>IFERROR(__xludf.DUMMYFUNCTION("""COMPUTED_VALUE"""),8561.0)</f>
        <v>8561</v>
      </c>
      <c r="O56" s="263"/>
      <c r="P56" s="93" t="str">
        <f>IFERROR(__xludf.DUMMYFUNCTION("""COMPUTED_VALUE"""),"")</f>
        <v/>
      </c>
      <c r="Q56" s="166"/>
      <c r="R56" s="254"/>
      <c r="S56" s="255"/>
      <c r="T56" s="256">
        <f>IFERROR(__xludf.DUMMYFUNCTION("""COMPUTED_VALUE"""),5.0)</f>
        <v>5</v>
      </c>
      <c r="U56" s="257" t="str">
        <f>IFERROR(__xludf.DUMMYFUNCTION("""COMPUTED_VALUE"""),"AGT10")</f>
        <v>AGT10</v>
      </c>
      <c r="V56" s="42" t="str">
        <f>IFERROR(__xludf.DUMMYFUNCTION("""COMPUTED_VALUE"""),"Agartha")</f>
        <v>Agartha</v>
      </c>
      <c r="W56" s="258" t="str">
        <f>IFERROR(__xludf.DUMMYFUNCTION("""COMPUTED_VALUE"""),"Great Underground River")</f>
        <v>Great Underground River</v>
      </c>
      <c r="X56" s="259">
        <f>IFERROR(__xludf.DUMMYFUNCTION("""COMPUTED_VALUE"""),21.0)</f>
        <v>21</v>
      </c>
      <c r="Y56" s="260">
        <f>IFERROR(__xludf.DUMMYFUNCTION("""COMPUTED_VALUE"""),47.80952380952381)</f>
        <v>47.80952381</v>
      </c>
      <c r="Z56" s="261">
        <f>IFERROR(__xludf.DUMMYFUNCTION("""COMPUTED_VALUE"""),144.16817730829771)</f>
        <v>144.1681773</v>
      </c>
      <c r="AA56" s="262" t="str">
        <f>IFERROR(__xludf.DUMMYFUNCTION("""COMPUTED_VALUE"""),"AP")</f>
        <v>AP</v>
      </c>
      <c r="AB56" s="261">
        <f>IFERROR(__xludf.DUMMYFUNCTION("""COMPUTED_VALUE"""),14.566321356128658)</f>
        <v>14.56632136</v>
      </c>
      <c r="AC56" s="262" t="str">
        <f>IFERROR(__xludf.DUMMYFUNCTION("""COMPUTED_VALUE"""),"％")</f>
        <v>％</v>
      </c>
      <c r="AD56" s="259">
        <f>IFERROR(__xludf.DUMMYFUNCTION("""COMPUTED_VALUE"""),27608.0)</f>
        <v>27608</v>
      </c>
      <c r="AE56" s="263"/>
      <c r="AF56" s="98" t="str">
        <f>IFERROR(__xludf.DUMMYFUNCTION("""COMPUTED_VALUE"""),"")</f>
        <v/>
      </c>
    </row>
    <row r="57" ht="16.5" customHeight="1">
      <c r="A57" s="61" t="str">
        <f>IFERROR(__xludf.DUMMYFUNCTION("""COMPUTED_VALUE"""),"")</f>
        <v/>
      </c>
      <c r="B57" s="356" t="str">
        <f>IFERROR(__xludf.DUMMYFUNCTION("""COMPUTED_VALUE"""),"A202")</f>
        <v>A202</v>
      </c>
      <c r="C57" s="65" t="str">
        <f>IFERROR(__xludf.DUMMYFUNCTION("""COMPUTED_VALUE"""),"Ghost Lantern")</f>
        <v>Ghost Lantern</v>
      </c>
      <c r="D57" s="67">
        <f>IFERROR(__xludf.DUMMYFUNCTION("""COMPUTED_VALUE"""),1.0)</f>
        <v>1</v>
      </c>
      <c r="E57" s="69" t="str">
        <f>IFERROR(__xludf.DUMMYFUNCTION("""COMPUTED_VALUE"""),"BBL10")</f>
        <v>BBL10</v>
      </c>
      <c r="F57" s="71" t="str">
        <f>IFERROR(__xludf.DUMMYFUNCTION("""COMPUTED_VALUE"""),"Babylonia")</f>
        <v>Babylonia</v>
      </c>
      <c r="G57" s="78" t="str">
        <f>IFERROR(__xludf.DUMMYFUNCTION("""COMPUTED_VALUE"""),"Kutha")</f>
        <v>Kutha</v>
      </c>
      <c r="H57" s="80">
        <f>IFERROR(__xludf.DUMMYFUNCTION("""COMPUTED_VALUE"""),21.0)</f>
        <v>21</v>
      </c>
      <c r="I57" s="82">
        <f>IFERROR(__xludf.DUMMYFUNCTION("""COMPUTED_VALUE"""),47.80952380952381)</f>
        <v>47.80952381</v>
      </c>
      <c r="J57" s="84">
        <f>IFERROR(__xludf.DUMMYFUNCTION("""COMPUTED_VALUE"""),52.10552587096848)</f>
        <v>52.10552587</v>
      </c>
      <c r="K57" s="86" t="str">
        <f>IFERROR(__xludf.DUMMYFUNCTION("""COMPUTED_VALUE"""),"AP")</f>
        <v>AP</v>
      </c>
      <c r="L57" s="88">
        <f>IFERROR(__xludf.DUMMYFUNCTION("""COMPUTED_VALUE"""),40.30282709746247)</f>
        <v>40.3028271</v>
      </c>
      <c r="M57" s="86" t="str">
        <f>IFERROR(__xludf.DUMMYFUNCTION("""COMPUTED_VALUE"""),"％")</f>
        <v>％</v>
      </c>
      <c r="N57" s="80">
        <f>IFERROR(__xludf.DUMMYFUNCTION("""COMPUTED_VALUE"""),13123.0)</f>
        <v>13123</v>
      </c>
      <c r="O57" s="91" t="str">
        <f>IFERROR(__xludf.DUMMYFUNCTION("""COMPUTED_VALUE"""),"Ghost Lantern")</f>
        <v>Ghost Lantern</v>
      </c>
      <c r="P57" s="93" t="str">
        <f>IFERROR(__xludf.DUMMYFUNCTION("""COMPUTED_VALUE"""),"")</f>
        <v/>
      </c>
      <c r="Q57" s="61" t="str">
        <f>IFERROR(__xludf.DUMMYFUNCTION("""COMPUTED_VALUE"""),"")</f>
        <v/>
      </c>
      <c r="R57" s="357" t="str">
        <f>IFERROR(__xludf.DUMMYFUNCTION("""COMPUTED_VALUE"""),"B114")</f>
        <v>B114</v>
      </c>
      <c r="S57" s="65" t="str">
        <f>IFERROR(__xludf.DUMMYFUNCTION("""COMPUTED_VALUE"""),"Magic Gem of Rider")</f>
        <v>Magic Gem of Rider</v>
      </c>
      <c r="T57" s="67">
        <f>IFERROR(__xludf.DUMMYFUNCTION("""COMPUTED_VALUE"""),1.0)</f>
        <v>1</v>
      </c>
      <c r="U57" s="69" t="str">
        <f>IFERROR(__xludf.DUMMYFUNCTION("""COMPUTED_VALUE"""),"TRF14")</f>
        <v>TRF14</v>
      </c>
      <c r="V57" s="71" t="str">
        <f>IFERROR(__xludf.DUMMYFUNCTION("""COMPUTED_VALUE"""),"Chaldea Gate (Thu)")</f>
        <v>Chaldea Gate (Thu)</v>
      </c>
      <c r="W57" s="71" t="str">
        <f>IFERROR(__xludf.DUMMYFUNCTION("""COMPUTED_VALUE"""),"THU Rider Training Ground- Int")</f>
        <v>THU Rider Training Ground- Int</v>
      </c>
      <c r="X57" s="80">
        <f>IFERROR(__xludf.DUMMYFUNCTION("""COMPUTED_VALUE"""),20.0)</f>
        <v>20</v>
      </c>
      <c r="Y57" s="82">
        <f>IFERROR(__xludf.DUMMYFUNCTION("""COMPUTED_VALUE"""),18.4)</f>
        <v>18.4</v>
      </c>
      <c r="Z57" s="84">
        <f>IFERROR(__xludf.DUMMYFUNCTION("""COMPUTED_VALUE"""),21.45153693350536)</f>
        <v>21.45153693</v>
      </c>
      <c r="AA57" s="86" t="str">
        <f>IFERROR(__xludf.DUMMYFUNCTION("""COMPUTED_VALUE"""),"AP")</f>
        <v>AP</v>
      </c>
      <c r="AB57" s="88">
        <f>IFERROR(__xludf.DUMMYFUNCTION("""COMPUTED_VALUE"""),93.23341288782815)</f>
        <v>93.23341289</v>
      </c>
      <c r="AC57" s="86" t="str">
        <f>IFERROR(__xludf.DUMMYFUNCTION("""COMPUTED_VALUE"""),"％")</f>
        <v>％</v>
      </c>
      <c r="AD57" s="80">
        <f>IFERROR(__xludf.DUMMYFUNCTION("""COMPUTED_VALUE"""),838.0)</f>
        <v>838</v>
      </c>
      <c r="AE57" s="91" t="str">
        <f>IFERROR(__xludf.DUMMYFUNCTION("""COMPUTED_VALUE"""),"Magic Gem of Rider")</f>
        <v>Magic Gem of Rider</v>
      </c>
      <c r="AF57" s="98" t="str">
        <f>IFERROR(__xludf.DUMMYFUNCTION("""COMPUTED_VALUE"""),"")</f>
        <v/>
      </c>
    </row>
    <row r="58" ht="16.5" customHeight="1">
      <c r="B58" s="358"/>
      <c r="C58" s="100"/>
      <c r="D58" s="102">
        <f>IFERROR(__xludf.DUMMYFUNCTION("""COMPUTED_VALUE"""),2.0)</f>
        <v>2</v>
      </c>
      <c r="E58" s="103" t="str">
        <f>IFERROR(__xludf.DUMMYFUNCTION("""COMPUTED_VALUE"""),"CML6")</f>
        <v>CML6</v>
      </c>
      <c r="F58" s="104" t="str">
        <f>IFERROR(__xludf.DUMMYFUNCTION("""COMPUTED_VALUE"""),"Camelot")</f>
        <v>Camelot</v>
      </c>
      <c r="G58" s="108" t="str">
        <f>IFERROR(__xludf.DUMMYFUNCTION("""COMPUTED_VALUE"""),"Mausoleum of the Evening Bell")</f>
        <v>Mausoleum of the Evening Bell</v>
      </c>
      <c r="H58" s="109">
        <f>IFERROR(__xludf.DUMMYFUNCTION("""COMPUTED_VALUE"""),19.0)</f>
        <v>19</v>
      </c>
      <c r="I58" s="110">
        <f>IFERROR(__xludf.DUMMYFUNCTION("""COMPUTED_VALUE"""),45.26315789473684)</f>
        <v>45.26315789</v>
      </c>
      <c r="J58" s="112">
        <f>IFERROR(__xludf.DUMMYFUNCTION("""COMPUTED_VALUE"""),58.45147318010268)</f>
        <v>58.45147318</v>
      </c>
      <c r="K58" s="121" t="str">
        <f>IFERROR(__xludf.DUMMYFUNCTION("""COMPUTED_VALUE"""),"AP")</f>
        <v>AP</v>
      </c>
      <c r="L58" s="123">
        <f>IFERROR(__xludf.DUMMYFUNCTION("""COMPUTED_VALUE"""),32.505596465390276)</f>
        <v>32.50559647</v>
      </c>
      <c r="M58" s="121" t="str">
        <f>IFERROR(__xludf.DUMMYFUNCTION("""COMPUTED_VALUE"""),"％")</f>
        <v>％</v>
      </c>
      <c r="N58" s="109">
        <f>IFERROR(__xludf.DUMMYFUNCTION("""COMPUTED_VALUE"""),2716.0)</f>
        <v>2716</v>
      </c>
      <c r="O58" s="100"/>
      <c r="P58" s="93" t="str">
        <f>IFERROR(__xludf.DUMMYFUNCTION("""COMPUTED_VALUE"""),"")</f>
        <v/>
      </c>
      <c r="R58" s="358"/>
      <c r="S58" s="100"/>
      <c r="T58" s="102">
        <f>IFERROR(__xludf.DUMMYFUNCTION("""COMPUTED_VALUE"""),2.0)</f>
        <v>2</v>
      </c>
      <c r="U58" s="103" t="str">
        <f>IFERROR(__xludf.DUMMYFUNCTION("""COMPUTED_VALUE"""),"TRF15")</f>
        <v>TRF15</v>
      </c>
      <c r="V58" s="104" t="str">
        <f>IFERROR(__xludf.DUMMYFUNCTION("""COMPUTED_VALUE"""),"Chaldea Gate (Thu)")</f>
        <v>Chaldea Gate (Thu)</v>
      </c>
      <c r="W58" s="104" t="str">
        <f>IFERROR(__xludf.DUMMYFUNCTION("""COMPUTED_VALUE"""),"THU Rider Training Ground- Adv")</f>
        <v>THU Rider Training Ground- Adv</v>
      </c>
      <c r="X58" s="109">
        <f>IFERROR(__xludf.DUMMYFUNCTION("""COMPUTED_VALUE"""),30.0)</f>
        <v>30</v>
      </c>
      <c r="Y58" s="110">
        <f>IFERROR(__xludf.DUMMYFUNCTION("""COMPUTED_VALUE"""),18.266666666666666)</f>
        <v>18.26666667</v>
      </c>
      <c r="Z58" s="112">
        <f>IFERROR(__xludf.DUMMYFUNCTION("""COMPUTED_VALUE"""),24.99187319890751)</f>
        <v>24.9918732</v>
      </c>
      <c r="AA58" s="121" t="str">
        <f>IFERROR(__xludf.DUMMYFUNCTION("""COMPUTED_VALUE"""),"AP")</f>
        <v>AP</v>
      </c>
      <c r="AB58" s="123">
        <f>IFERROR(__xludf.DUMMYFUNCTION("""COMPUTED_VALUE"""),120.03902132998745)</f>
        <v>120.0390213</v>
      </c>
      <c r="AC58" s="121" t="str">
        <f>IFERROR(__xludf.DUMMYFUNCTION("""COMPUTED_VALUE"""),"％")</f>
        <v>％</v>
      </c>
      <c r="AD58" s="109">
        <f>IFERROR(__xludf.DUMMYFUNCTION("""COMPUTED_VALUE"""),797.0)</f>
        <v>797</v>
      </c>
      <c r="AE58" s="100"/>
      <c r="AF58" s="98" t="str">
        <f>IFERROR(__xludf.DUMMYFUNCTION("""COMPUTED_VALUE"""),"")</f>
        <v/>
      </c>
    </row>
    <row r="59" ht="16.5" customHeight="1">
      <c r="B59" s="358"/>
      <c r="C59" s="100"/>
      <c r="D59" s="130">
        <f>IFERROR(__xludf.DUMMYFUNCTION("""COMPUTED_VALUE"""),3.0)</f>
        <v>3</v>
      </c>
      <c r="E59" s="132" t="str">
        <f>IFERROR(__xludf.DUMMYFUNCTION("""COMPUTED_VALUE"""),"OKN9")</f>
        <v>OKN9</v>
      </c>
      <c r="F59" s="133" t="str">
        <f>IFERROR(__xludf.DUMMYFUNCTION("""COMPUTED_VALUE"""),"Okeanos")</f>
        <v>Okeanos</v>
      </c>
      <c r="G59" s="135" t="str">
        <f>IFERROR(__xludf.DUMMYFUNCTION("""COMPUTED_VALUE"""),"Stormy Seas")</f>
        <v>Stormy Seas</v>
      </c>
      <c r="H59" s="137">
        <f>IFERROR(__xludf.DUMMYFUNCTION("""COMPUTED_VALUE"""),15.0)</f>
        <v>15</v>
      </c>
      <c r="I59" s="139">
        <f>IFERROR(__xludf.DUMMYFUNCTION("""COMPUTED_VALUE"""),36.53333333333333)</f>
        <v>36.53333333</v>
      </c>
      <c r="J59" s="141">
        <f>IFERROR(__xludf.DUMMYFUNCTION("""COMPUTED_VALUE"""),71.79050756942873)</f>
        <v>71.79050757</v>
      </c>
      <c r="K59" s="143" t="str">
        <f>IFERROR(__xludf.DUMMYFUNCTION("""COMPUTED_VALUE"""),"AP")</f>
        <v>AP</v>
      </c>
      <c r="L59" s="145">
        <f>IFERROR(__xludf.DUMMYFUNCTION("""COMPUTED_VALUE"""),20.894127243066883)</f>
        <v>20.89412724</v>
      </c>
      <c r="M59" s="143" t="str">
        <f>IFERROR(__xludf.DUMMYFUNCTION("""COMPUTED_VALUE"""),"％")</f>
        <v>％</v>
      </c>
      <c r="N59" s="137">
        <f>IFERROR(__xludf.DUMMYFUNCTION("""COMPUTED_VALUE"""),2452.0)</f>
        <v>2452</v>
      </c>
      <c r="O59" s="100"/>
      <c r="P59" s="93" t="str">
        <f>IFERROR(__xludf.DUMMYFUNCTION("""COMPUTED_VALUE"""),"")</f>
        <v/>
      </c>
      <c r="R59" s="358"/>
      <c r="S59" s="100"/>
      <c r="T59" s="130">
        <f>IFERROR(__xludf.DUMMYFUNCTION("""COMPUTED_VALUE"""),3.0)</f>
        <v>3</v>
      </c>
      <c r="U59" s="132" t="str">
        <f>IFERROR(__xludf.DUMMYFUNCTION("""COMPUTED_VALUE"""),"TRF16")</f>
        <v>TRF16</v>
      </c>
      <c r="V59" s="133" t="str">
        <f>IFERROR(__xludf.DUMMYFUNCTION("""COMPUTED_VALUE"""),"Chaldea Gate (Thu)")</f>
        <v>Chaldea Gate (Thu)</v>
      </c>
      <c r="W59" s="133" t="str">
        <f>IFERROR(__xludf.DUMMYFUNCTION("""COMPUTED_VALUE"""),"THU Rider Training Ground- Exp")</f>
        <v>THU Rider Training Ground- Exp</v>
      </c>
      <c r="X59" s="137">
        <f>IFERROR(__xludf.DUMMYFUNCTION("""COMPUTED_VALUE"""),40.0)</f>
        <v>40</v>
      </c>
      <c r="Y59" s="139">
        <f>IFERROR(__xludf.DUMMYFUNCTION("""COMPUTED_VALUE"""),19.7)</f>
        <v>19.7</v>
      </c>
      <c r="Z59" s="141">
        <f>IFERROR(__xludf.DUMMYFUNCTION("""COMPUTED_VALUE"""),41.72519424244152)</f>
        <v>41.72519424</v>
      </c>
      <c r="AA59" s="143" t="str">
        <f>IFERROR(__xludf.DUMMYFUNCTION("""COMPUTED_VALUE"""),"AP")</f>
        <v>AP</v>
      </c>
      <c r="AB59" s="145">
        <f>IFERROR(__xludf.DUMMYFUNCTION("""COMPUTED_VALUE"""),95.86534161490684)</f>
        <v>95.86534161</v>
      </c>
      <c r="AC59" s="143" t="str">
        <f>IFERROR(__xludf.DUMMYFUNCTION("""COMPUTED_VALUE"""),"％")</f>
        <v>％</v>
      </c>
      <c r="AD59" s="137">
        <f>IFERROR(__xludf.DUMMYFUNCTION("""COMPUTED_VALUE"""),4025.0)</f>
        <v>4025</v>
      </c>
      <c r="AE59" s="100"/>
      <c r="AF59" s="98" t="str">
        <f>IFERROR(__xludf.DUMMYFUNCTION("""COMPUTED_VALUE"""),"")</f>
        <v/>
      </c>
    </row>
    <row r="60" ht="16.5" customHeight="1">
      <c r="B60" s="358"/>
      <c r="C60" s="100"/>
      <c r="D60" s="146">
        <f>IFERROR(__xludf.DUMMYFUNCTION("""COMPUTED_VALUE"""),4.0)</f>
        <v>4</v>
      </c>
      <c r="E60" s="148" t="str">
        <f>IFERROR(__xludf.DUMMYFUNCTION("""COMPUTED_VALUE"""),"SMS1")</f>
        <v>SMS1</v>
      </c>
      <c r="F60" s="150" t="str">
        <f>IFERROR(__xludf.DUMMYFUNCTION("""COMPUTED_VALUE"""),"Shimosa")</f>
        <v>Shimosa</v>
      </c>
      <c r="G60" s="152" t="str">
        <f>IFERROR(__xludf.DUMMYFUNCTION("""COMPUTED_VALUE"""),"Rice Field")</f>
        <v>Rice Field</v>
      </c>
      <c r="H60" s="154">
        <f>IFERROR(__xludf.DUMMYFUNCTION("""COMPUTED_VALUE"""),20.0)</f>
        <v>20</v>
      </c>
      <c r="I60" s="156">
        <f>IFERROR(__xludf.DUMMYFUNCTION("""COMPUTED_VALUE"""),46.6)</f>
        <v>46.6</v>
      </c>
      <c r="J60" s="158">
        <f>IFERROR(__xludf.DUMMYFUNCTION("""COMPUTED_VALUE"""),77.48028532694066)</f>
        <v>77.48028533</v>
      </c>
      <c r="K60" s="160" t="str">
        <f>IFERROR(__xludf.DUMMYFUNCTION("""COMPUTED_VALUE"""),"AP")</f>
        <v>AP</v>
      </c>
      <c r="L60" s="162">
        <f>IFERROR(__xludf.DUMMYFUNCTION("""COMPUTED_VALUE"""),25.813018002717396)</f>
        <v>25.813018</v>
      </c>
      <c r="M60" s="160" t="str">
        <f>IFERROR(__xludf.DUMMYFUNCTION("""COMPUTED_VALUE"""),"％")</f>
        <v>％</v>
      </c>
      <c r="N60" s="154">
        <f>IFERROR(__xludf.DUMMYFUNCTION("""COMPUTED_VALUE"""),47104.0)</f>
        <v>47104</v>
      </c>
      <c r="O60" s="100"/>
      <c r="P60" s="93" t="str">
        <f>IFERROR(__xludf.DUMMYFUNCTION("""COMPUTED_VALUE"""),"")</f>
        <v/>
      </c>
      <c r="R60" s="358"/>
      <c r="S60" s="100"/>
      <c r="T60" s="146">
        <f>IFERROR(__xludf.DUMMYFUNCTION("""COMPUTED_VALUE"""),4.0)</f>
        <v>4</v>
      </c>
      <c r="U60" s="148" t="str">
        <f>IFERROR(__xludf.DUMMYFUNCTION("""COMPUTED_VALUE"""),"BBL7")</f>
        <v>BBL7</v>
      </c>
      <c r="V60" s="150" t="str">
        <f>IFERROR(__xludf.DUMMYFUNCTION("""COMPUTED_VALUE"""),"Babylonia")</f>
        <v>Babylonia</v>
      </c>
      <c r="W60" s="152" t="str">
        <f>IFERROR(__xludf.DUMMYFUNCTION("""COMPUTED_VALUE"""),"Eridu")</f>
        <v>Eridu</v>
      </c>
      <c r="X60" s="154">
        <f>IFERROR(__xludf.DUMMYFUNCTION("""COMPUTED_VALUE"""),21.0)</f>
        <v>21</v>
      </c>
      <c r="Y60" s="156">
        <f>IFERROR(__xludf.DUMMYFUNCTION("""COMPUTED_VALUE"""),45.523809523809526)</f>
        <v>45.52380952</v>
      </c>
      <c r="Z60" s="158">
        <f>IFERROR(__xludf.DUMMYFUNCTION("""COMPUTED_VALUE"""),99.95260016062129)</f>
        <v>99.95260016</v>
      </c>
      <c r="AA60" s="160" t="str">
        <f>IFERROR(__xludf.DUMMYFUNCTION("""COMPUTED_VALUE"""),"AP")</f>
        <v>AP</v>
      </c>
      <c r="AB60" s="162">
        <f>IFERROR(__xludf.DUMMYFUNCTION("""COMPUTED_VALUE"""),21.009958686671016)</f>
        <v>21.00995869</v>
      </c>
      <c r="AC60" s="160" t="str">
        <f>IFERROR(__xludf.DUMMYFUNCTION("""COMPUTED_VALUE"""),"％")</f>
        <v>％</v>
      </c>
      <c r="AD60" s="154">
        <f>IFERROR(__xludf.DUMMYFUNCTION("""COMPUTED_VALUE"""),9198.0)</f>
        <v>9198</v>
      </c>
      <c r="AE60" s="100"/>
      <c r="AF60" s="98" t="str">
        <f>IFERROR(__xludf.DUMMYFUNCTION("""COMPUTED_VALUE"""),"")</f>
        <v/>
      </c>
    </row>
    <row r="61" ht="16.5" customHeight="1">
      <c r="A61" s="166"/>
      <c r="B61" s="359"/>
      <c r="C61" s="168"/>
      <c r="D61" s="169">
        <f>IFERROR(__xludf.DUMMYFUNCTION("""COMPUTED_VALUE"""),5.0)</f>
        <v>5</v>
      </c>
      <c r="E61" s="170" t="str">
        <f>IFERROR(__xludf.DUMMYFUNCTION("""COMPUTED_VALUE"""),"SMS3")</f>
        <v>SMS3</v>
      </c>
      <c r="F61" s="51" t="str">
        <f>IFERROR(__xludf.DUMMYFUNCTION("""COMPUTED_VALUE"""),"Shimosa")</f>
        <v>Shimosa</v>
      </c>
      <c r="G61" s="171" t="str">
        <f>IFERROR(__xludf.DUMMYFUNCTION("""COMPUTED_VALUE"""),"Monastery")</f>
        <v>Monastery</v>
      </c>
      <c r="H61" s="172">
        <f>IFERROR(__xludf.DUMMYFUNCTION("""COMPUTED_VALUE"""),21.0)</f>
        <v>21</v>
      </c>
      <c r="I61" s="173">
        <f>IFERROR(__xludf.DUMMYFUNCTION("""COMPUTED_VALUE"""),45.523809523809526)</f>
        <v>45.52380952</v>
      </c>
      <c r="J61" s="174">
        <f>IFERROR(__xludf.DUMMYFUNCTION("""COMPUTED_VALUE"""),83.70053826593814)</f>
        <v>83.70053827</v>
      </c>
      <c r="K61" s="175" t="str">
        <f>IFERROR(__xludf.DUMMYFUNCTION("""COMPUTED_VALUE"""),"AP")</f>
        <v>AP</v>
      </c>
      <c r="L61" s="176">
        <f>IFERROR(__xludf.DUMMYFUNCTION("""COMPUTED_VALUE"""),25.08944438717658)</f>
        <v>25.08944439</v>
      </c>
      <c r="M61" s="175" t="str">
        <f>IFERROR(__xludf.DUMMYFUNCTION("""COMPUTED_VALUE"""),"％")</f>
        <v>％</v>
      </c>
      <c r="N61" s="172">
        <f>IFERROR(__xludf.DUMMYFUNCTION("""COMPUTED_VALUE"""),9701.0)</f>
        <v>9701</v>
      </c>
      <c r="O61" s="168"/>
      <c r="P61" s="93" t="str">
        <f>IFERROR(__xludf.DUMMYFUNCTION("""COMPUTED_VALUE"""),"")</f>
        <v/>
      </c>
      <c r="Q61" s="166"/>
      <c r="R61" s="359"/>
      <c r="S61" s="168"/>
      <c r="T61" s="169">
        <f>IFERROR(__xludf.DUMMYFUNCTION("""COMPUTED_VALUE"""),5.0)</f>
        <v>5</v>
      </c>
      <c r="U61" s="170" t="str">
        <f>IFERROR(__xludf.DUMMYFUNCTION("""COMPUTED_VALUE"""),"ORL9")</f>
        <v>ORL9</v>
      </c>
      <c r="V61" s="51" t="str">
        <f>IFERROR(__xludf.DUMMYFUNCTION("""COMPUTED_VALUE"""),"Orleans")</f>
        <v>Orleans</v>
      </c>
      <c r="W61" s="171" t="str">
        <f>IFERROR(__xludf.DUMMYFUNCTION("""COMPUTED_VALUE"""),"Orleans")</f>
        <v>Orleans</v>
      </c>
      <c r="X61" s="172">
        <f>IFERROR(__xludf.DUMMYFUNCTION("""COMPUTED_VALUE"""),8.0)</f>
        <v>8</v>
      </c>
      <c r="Y61" s="173">
        <f>IFERROR(__xludf.DUMMYFUNCTION("""COMPUTED_VALUE"""),29.5)</f>
        <v>29.5</v>
      </c>
      <c r="Z61" s="174">
        <f>IFERROR(__xludf.DUMMYFUNCTION("""COMPUTED_VALUE"""),129.78811798919816)</f>
        <v>129.788118</v>
      </c>
      <c r="AA61" s="175" t="str">
        <f>IFERROR(__xludf.DUMMYFUNCTION("""COMPUTED_VALUE"""),"AP")</f>
        <v>AP</v>
      </c>
      <c r="AB61" s="176">
        <f>IFERROR(__xludf.DUMMYFUNCTION("""COMPUTED_VALUE"""),6.1638924455825865)</f>
        <v>6.163892446</v>
      </c>
      <c r="AC61" s="175" t="str">
        <f>IFERROR(__xludf.DUMMYFUNCTION("""COMPUTED_VALUE"""),"％")</f>
        <v>％</v>
      </c>
      <c r="AD61" s="172">
        <f>IFERROR(__xludf.DUMMYFUNCTION("""COMPUTED_VALUE"""),781.0)</f>
        <v>781</v>
      </c>
      <c r="AE61" s="168"/>
      <c r="AF61" s="98" t="str">
        <f>IFERROR(__xludf.DUMMYFUNCTION("""COMPUTED_VALUE"""),"")</f>
        <v/>
      </c>
    </row>
    <row r="62" ht="16.5" customHeight="1">
      <c r="A62" s="61" t="str">
        <f>IFERROR(__xludf.DUMMYFUNCTION("""COMPUTED_VALUE"""),"")</f>
        <v/>
      </c>
      <c r="B62" s="179" t="str">
        <f>IFERROR(__xludf.DUMMYFUNCTION("""COMPUTED_VALUE"""),"A203")</f>
        <v>A203</v>
      </c>
      <c r="C62" s="180" t="str">
        <f>IFERROR(__xludf.DUMMYFUNCTION("""COMPUTED_VALUE"""),"Octuplet Crystal")</f>
        <v>Octuplet Crystal</v>
      </c>
      <c r="D62" s="181">
        <f>IFERROR(__xludf.DUMMYFUNCTION("""COMPUTED_VALUE"""),1.0)</f>
        <v>1</v>
      </c>
      <c r="E62" s="182" t="str">
        <f>IFERROR(__xludf.DUMMYFUNCTION("""COMPUTED_VALUE"""),"AGT4")</f>
        <v>AGT4</v>
      </c>
      <c r="F62" s="184" t="str">
        <f>IFERROR(__xludf.DUMMYFUNCTION("""COMPUTED_VALUE"""),"Agartha")</f>
        <v>Agartha</v>
      </c>
      <c r="G62" s="189" t="str">
        <f>IFERROR(__xludf.DUMMYFUNCTION("""COMPUTED_VALUE"""),"Peach Blossom Shangri-La")</f>
        <v>Peach Blossom Shangri-La</v>
      </c>
      <c r="H62" s="190">
        <f>IFERROR(__xludf.DUMMYFUNCTION("""COMPUTED_VALUE"""),21.0)</f>
        <v>21</v>
      </c>
      <c r="I62" s="191">
        <f>IFERROR(__xludf.DUMMYFUNCTION("""COMPUTED_VALUE"""),45.523809523809526)</f>
        <v>45.52380952</v>
      </c>
      <c r="J62" s="192">
        <f>IFERROR(__xludf.DUMMYFUNCTION("""COMPUTED_VALUE"""),52.35963819163636)</f>
        <v>52.35963819</v>
      </c>
      <c r="K62" s="194" t="str">
        <f>IFERROR(__xludf.DUMMYFUNCTION("""COMPUTED_VALUE"""),"AP")</f>
        <v>AP</v>
      </c>
      <c r="L62" s="192">
        <f>IFERROR(__xludf.DUMMYFUNCTION("""COMPUTED_VALUE"""),40.10722901319518)</f>
        <v>40.10722901</v>
      </c>
      <c r="M62" s="194" t="str">
        <f>IFERROR(__xludf.DUMMYFUNCTION("""COMPUTED_VALUE"""),"％")</f>
        <v>％</v>
      </c>
      <c r="N62" s="190">
        <f>IFERROR(__xludf.DUMMYFUNCTION("""COMPUTED_VALUE"""),12353.0)</f>
        <v>12353</v>
      </c>
      <c r="O62" s="197" t="str">
        <f>IFERROR(__xludf.DUMMYFUNCTION("""COMPUTED_VALUE"""),"Octuplet Crystal")</f>
        <v>Octuplet Crystal</v>
      </c>
      <c r="P62" s="93" t="str">
        <f>IFERROR(__xludf.DUMMYFUNCTION("""COMPUTED_VALUE"""),"")</f>
        <v/>
      </c>
      <c r="Q62" s="61" t="str">
        <f>IFERROR(__xludf.DUMMYFUNCTION("""COMPUTED_VALUE"""),"")</f>
        <v/>
      </c>
      <c r="R62" s="199" t="str">
        <f>IFERROR(__xludf.DUMMYFUNCTION("""COMPUTED_VALUE"""),"B115")</f>
        <v>B115</v>
      </c>
      <c r="S62" s="180" t="str">
        <f>IFERROR(__xludf.DUMMYFUNCTION("""COMPUTED_VALUE"""),"Magic Gem of Caster")</f>
        <v>Magic Gem of Caster</v>
      </c>
      <c r="T62" s="181">
        <f>IFERROR(__xludf.DUMMYFUNCTION("""COMPUTED_VALUE"""),1.0)</f>
        <v>1</v>
      </c>
      <c r="U62" s="182" t="str">
        <f>IFERROR(__xludf.DUMMYFUNCTION("""COMPUTED_VALUE"""),"TRF19")</f>
        <v>TRF19</v>
      </c>
      <c r="V62" s="184" t="str">
        <f>IFERROR(__xludf.DUMMYFUNCTION("""COMPUTED_VALUE"""),"Chaldea Gate (Fri)")</f>
        <v>Chaldea Gate (Fri)</v>
      </c>
      <c r="W62" s="184" t="str">
        <f>IFERROR(__xludf.DUMMYFUNCTION("""COMPUTED_VALUE"""),"FRI Caster Training Ground- Adv")</f>
        <v>FRI Caster Training Ground- Adv</v>
      </c>
      <c r="X62" s="190">
        <f>IFERROR(__xludf.DUMMYFUNCTION("""COMPUTED_VALUE"""),30.0)</f>
        <v>30</v>
      </c>
      <c r="Y62" s="191">
        <f>IFERROR(__xludf.DUMMYFUNCTION("""COMPUTED_VALUE"""),18.266666666666666)</f>
        <v>18.26666667</v>
      </c>
      <c r="Z62" s="192">
        <f>IFERROR(__xludf.DUMMYFUNCTION("""COMPUTED_VALUE"""),17.964920839399646)</f>
        <v>17.96492084</v>
      </c>
      <c r="AA62" s="194" t="str">
        <f>IFERROR(__xludf.DUMMYFUNCTION("""COMPUTED_VALUE"""),"AP")</f>
        <v>AP</v>
      </c>
      <c r="AB62" s="192">
        <f>IFERROR(__xludf.DUMMYFUNCTION("""COMPUTED_VALUE"""),166.99210794297352)</f>
        <v>166.9921079</v>
      </c>
      <c r="AC62" s="194" t="str">
        <f>IFERROR(__xludf.DUMMYFUNCTION("""COMPUTED_VALUE"""),"％")</f>
        <v>％</v>
      </c>
      <c r="AD62" s="190">
        <f>IFERROR(__xludf.DUMMYFUNCTION("""COMPUTED_VALUE"""),1964.0)</f>
        <v>1964</v>
      </c>
      <c r="AE62" s="197" t="str">
        <f>IFERROR(__xludf.DUMMYFUNCTION("""COMPUTED_VALUE"""),"Magic Gem of Caster")</f>
        <v>Magic Gem of Caster</v>
      </c>
      <c r="AF62" s="98" t="str">
        <f>IFERROR(__xludf.DUMMYFUNCTION("""COMPUTED_VALUE"""),"")</f>
        <v/>
      </c>
    </row>
    <row r="63" ht="16.5" customHeight="1">
      <c r="B63" s="203"/>
      <c r="C63" s="204"/>
      <c r="D63" s="205">
        <f>IFERROR(__xludf.DUMMYFUNCTION("""COMPUTED_VALUE"""),2.0)</f>
        <v>2</v>
      </c>
      <c r="E63" s="206" t="str">
        <f>IFERROR(__xludf.DUMMYFUNCTION("""COMPUTED_VALUE"""),"CML10")</f>
        <v>CML10</v>
      </c>
      <c r="F63" s="207" t="str">
        <f>IFERROR(__xludf.DUMMYFUNCTION("""COMPUTED_VALUE"""),"Camelot")</f>
        <v>Camelot</v>
      </c>
      <c r="G63" s="209" t="str">
        <f>IFERROR(__xludf.DUMMYFUNCTION("""COMPUTED_VALUE"""),"Holy City")</f>
        <v>Holy City</v>
      </c>
      <c r="H63" s="211">
        <f>IFERROR(__xludf.DUMMYFUNCTION("""COMPUTED_VALUE"""),20.0)</f>
        <v>20</v>
      </c>
      <c r="I63" s="213">
        <f>IFERROR(__xludf.DUMMYFUNCTION("""COMPUTED_VALUE"""),45.4)</f>
        <v>45.4</v>
      </c>
      <c r="J63" s="214">
        <f>IFERROR(__xludf.DUMMYFUNCTION("""COMPUTED_VALUE"""),72.90365956313713)</f>
        <v>72.90365956</v>
      </c>
      <c r="K63" s="215" t="str">
        <f>IFERROR(__xludf.DUMMYFUNCTION("""COMPUTED_VALUE"""),"AP")</f>
        <v>AP</v>
      </c>
      <c r="L63" s="214">
        <f>IFERROR(__xludf.DUMMYFUNCTION("""COMPUTED_VALUE"""),27.43346509605502)</f>
        <v>27.4334651</v>
      </c>
      <c r="M63" s="215" t="str">
        <f>IFERROR(__xludf.DUMMYFUNCTION("""COMPUTED_VALUE"""),"％")</f>
        <v>％</v>
      </c>
      <c r="N63" s="211">
        <f>IFERROR(__xludf.DUMMYFUNCTION("""COMPUTED_VALUE"""),25298.0)</f>
        <v>25298</v>
      </c>
      <c r="O63" s="217"/>
      <c r="P63" s="93" t="str">
        <f>IFERROR(__xludf.DUMMYFUNCTION("""COMPUTED_VALUE"""),"")</f>
        <v/>
      </c>
      <c r="R63" s="203"/>
      <c r="S63" s="204"/>
      <c r="T63" s="205">
        <f>IFERROR(__xludf.DUMMYFUNCTION("""COMPUTED_VALUE"""),2.0)</f>
        <v>2</v>
      </c>
      <c r="U63" s="206" t="str">
        <f>IFERROR(__xludf.DUMMYFUNCTION("""COMPUTED_VALUE"""),"TRF18")</f>
        <v>TRF18</v>
      </c>
      <c r="V63" s="207" t="str">
        <f>IFERROR(__xludf.DUMMYFUNCTION("""COMPUTED_VALUE"""),"Chaldea Gate (Fri)")</f>
        <v>Chaldea Gate (Fri)</v>
      </c>
      <c r="W63" s="207" t="str">
        <f>IFERROR(__xludf.DUMMYFUNCTION("""COMPUTED_VALUE"""),"FRI Caster Training Ground- Int")</f>
        <v>FRI Caster Training Ground- Int</v>
      </c>
      <c r="X63" s="211">
        <f>IFERROR(__xludf.DUMMYFUNCTION("""COMPUTED_VALUE"""),20.0)</f>
        <v>20</v>
      </c>
      <c r="Y63" s="213">
        <f>IFERROR(__xludf.DUMMYFUNCTION("""COMPUTED_VALUE"""),18.4)</f>
        <v>18.4</v>
      </c>
      <c r="Z63" s="214">
        <f>IFERROR(__xludf.DUMMYFUNCTION("""COMPUTED_VALUE"""),25.65249141054884)</f>
        <v>25.65249141</v>
      </c>
      <c r="AA63" s="215" t="str">
        <f>IFERROR(__xludf.DUMMYFUNCTION("""COMPUTED_VALUE"""),"AP")</f>
        <v>AP</v>
      </c>
      <c r="AB63" s="214">
        <f>IFERROR(__xludf.DUMMYFUNCTION("""COMPUTED_VALUE"""),77.96513671874999)</f>
        <v>77.96513672</v>
      </c>
      <c r="AC63" s="215" t="str">
        <f>IFERROR(__xludf.DUMMYFUNCTION("""COMPUTED_VALUE"""),"％")</f>
        <v>％</v>
      </c>
      <c r="AD63" s="211">
        <f>IFERROR(__xludf.DUMMYFUNCTION("""COMPUTED_VALUE"""),1024.0)</f>
        <v>1024</v>
      </c>
      <c r="AE63" s="217"/>
      <c r="AF63" s="98" t="str">
        <f>IFERROR(__xludf.DUMMYFUNCTION("""COMPUTED_VALUE"""),"")</f>
        <v/>
      </c>
    </row>
    <row r="64" ht="16.5" customHeight="1">
      <c r="B64" s="203"/>
      <c r="C64" s="204"/>
      <c r="D64" s="222">
        <f>IFERROR(__xludf.DUMMYFUNCTION("""COMPUTED_VALUE"""),3.0)</f>
        <v>3</v>
      </c>
      <c r="E64" s="223" t="str">
        <f>IFERROR(__xludf.DUMMYFUNCTION("""COMPUTED_VALUE"""),"SMS7")</f>
        <v>SMS7</v>
      </c>
      <c r="F64" s="224" t="str">
        <f>IFERROR(__xludf.DUMMYFUNCTION("""COMPUTED_VALUE"""),"Shimosa")</f>
        <v>Shimosa</v>
      </c>
      <c r="G64" s="226" t="str">
        <f>IFERROR(__xludf.DUMMYFUNCTION("""COMPUTED_VALUE"""),"Rear Mountain (Nameless Sacred Mountain)")</f>
        <v>Rear Mountain (Nameless Sacred Mountain)</v>
      </c>
      <c r="H64" s="228">
        <f>IFERROR(__xludf.DUMMYFUNCTION("""COMPUTED_VALUE"""),21.0)</f>
        <v>21</v>
      </c>
      <c r="I64" s="230">
        <f>IFERROR(__xludf.DUMMYFUNCTION("""COMPUTED_VALUE"""),47.80952380952381)</f>
        <v>47.80952381</v>
      </c>
      <c r="J64" s="231">
        <f>IFERROR(__xludf.DUMMYFUNCTION("""COMPUTED_VALUE"""),85.68040388722966)</f>
        <v>85.68040389</v>
      </c>
      <c r="K64" s="232" t="str">
        <f>IFERROR(__xludf.DUMMYFUNCTION("""COMPUTED_VALUE"""),"AP")</f>
        <v>AP</v>
      </c>
      <c r="L64" s="231">
        <f>IFERROR(__xludf.DUMMYFUNCTION("""COMPUTED_VALUE"""),24.509688385269122)</f>
        <v>24.50968839</v>
      </c>
      <c r="M64" s="232" t="str">
        <f>IFERROR(__xludf.DUMMYFUNCTION("""COMPUTED_VALUE"""),"％")</f>
        <v>％</v>
      </c>
      <c r="N64" s="228">
        <f>IFERROR(__xludf.DUMMYFUNCTION("""COMPUTED_VALUE"""),8825.0)</f>
        <v>8825</v>
      </c>
      <c r="O64" s="217"/>
      <c r="P64" s="93" t="str">
        <f>IFERROR(__xludf.DUMMYFUNCTION("""COMPUTED_VALUE"""),"")</f>
        <v/>
      </c>
      <c r="R64" s="203"/>
      <c r="S64" s="204"/>
      <c r="T64" s="222">
        <f>IFERROR(__xludf.DUMMYFUNCTION("""COMPUTED_VALUE"""),3.0)</f>
        <v>3</v>
      </c>
      <c r="U64" s="223" t="str">
        <f>IFERROR(__xludf.DUMMYFUNCTION("""COMPUTED_VALUE"""),"AGT12")</f>
        <v>AGT12</v>
      </c>
      <c r="V64" s="224" t="str">
        <f>IFERROR(__xludf.DUMMYFUNCTION("""COMPUTED_VALUE"""),"Agartha")</f>
        <v>Agartha</v>
      </c>
      <c r="W64" s="226" t="str">
        <f>IFERROR(__xludf.DUMMYFUNCTION("""COMPUTED_VALUE"""),"Chasm in the Earth")</f>
        <v>Chasm in the Earth</v>
      </c>
      <c r="X64" s="228">
        <f>IFERROR(__xludf.DUMMYFUNCTION("""COMPUTED_VALUE"""),21.0)</f>
        <v>21</v>
      </c>
      <c r="Y64" s="230">
        <f>IFERROR(__xludf.DUMMYFUNCTION("""COMPUTED_VALUE"""),48.95238095238095)</f>
        <v>48.95238095</v>
      </c>
      <c r="Z64" s="231">
        <f>IFERROR(__xludf.DUMMYFUNCTION("""COMPUTED_VALUE"""),42.56598076492954)</f>
        <v>42.56598076</v>
      </c>
      <c r="AA64" s="232" t="str">
        <f>IFERROR(__xludf.DUMMYFUNCTION("""COMPUTED_VALUE"""),"AP")</f>
        <v>AP</v>
      </c>
      <c r="AB64" s="231">
        <f>IFERROR(__xludf.DUMMYFUNCTION("""COMPUTED_VALUE"""),49.3351724137931)</f>
        <v>49.33517241</v>
      </c>
      <c r="AC64" s="232" t="str">
        <f>IFERROR(__xludf.DUMMYFUNCTION("""COMPUTED_VALUE"""),"％")</f>
        <v>％</v>
      </c>
      <c r="AD64" s="228">
        <f>IFERROR(__xludf.DUMMYFUNCTION("""COMPUTED_VALUE"""),725.0)</f>
        <v>725</v>
      </c>
      <c r="AE64" s="217"/>
      <c r="AF64" s="98" t="str">
        <f>IFERROR(__xludf.DUMMYFUNCTION("""COMPUTED_VALUE"""),"")</f>
        <v/>
      </c>
    </row>
    <row r="65" ht="16.5" customHeight="1">
      <c r="B65" s="203"/>
      <c r="C65" s="204"/>
      <c r="D65" s="238">
        <f>IFERROR(__xludf.DUMMYFUNCTION("""COMPUTED_VALUE"""),4.0)</f>
        <v>4</v>
      </c>
      <c r="E65" s="240" t="str">
        <f>IFERROR(__xludf.DUMMYFUNCTION("""COMPUTED_VALUE"""),"OKN6")</f>
        <v>OKN6</v>
      </c>
      <c r="F65" s="242" t="str">
        <f>IFERROR(__xludf.DUMMYFUNCTION("""COMPUTED_VALUE"""),"Okeanos")</f>
        <v>Okeanos</v>
      </c>
      <c r="G65" s="244" t="str">
        <f>IFERROR(__xludf.DUMMYFUNCTION("""COMPUTED_VALUE"""),"Two-Current Sea")</f>
        <v>Two-Current Sea</v>
      </c>
      <c r="H65" s="246">
        <f>IFERROR(__xludf.DUMMYFUNCTION("""COMPUTED_VALUE"""),14.0)</f>
        <v>14</v>
      </c>
      <c r="I65" s="248">
        <f>IFERROR(__xludf.DUMMYFUNCTION("""COMPUTED_VALUE"""),35.714285714285715)</f>
        <v>35.71428571</v>
      </c>
      <c r="J65" s="250">
        <f>IFERROR(__xludf.DUMMYFUNCTION("""COMPUTED_VALUE"""),111.986301369863)</f>
        <v>111.9863014</v>
      </c>
      <c r="K65" s="252" t="str">
        <f>IFERROR(__xludf.DUMMYFUNCTION("""COMPUTED_VALUE"""),"AP")</f>
        <v>AP</v>
      </c>
      <c r="L65" s="250">
        <f>IFERROR(__xludf.DUMMYFUNCTION("""COMPUTED_VALUE"""),12.501529051987768)</f>
        <v>12.50152905</v>
      </c>
      <c r="M65" s="252" t="str">
        <f>IFERROR(__xludf.DUMMYFUNCTION("""COMPUTED_VALUE"""),"％")</f>
        <v>％</v>
      </c>
      <c r="N65" s="246">
        <f>IFERROR(__xludf.DUMMYFUNCTION("""COMPUTED_VALUE"""),1635.0)</f>
        <v>1635</v>
      </c>
      <c r="O65" s="217"/>
      <c r="P65" s="93" t="str">
        <f>IFERROR(__xludf.DUMMYFUNCTION("""COMPUTED_VALUE"""),"")</f>
        <v/>
      </c>
      <c r="R65" s="203"/>
      <c r="S65" s="204"/>
      <c r="T65" s="238">
        <f>IFERROR(__xludf.DUMMYFUNCTION("""COMPUTED_VALUE"""),4.0)</f>
        <v>4</v>
      </c>
      <c r="U65" s="240" t="str">
        <f>IFERROR(__xludf.DUMMYFUNCTION("""COMPUTED_VALUE"""),"TRF20")</f>
        <v>TRF20</v>
      </c>
      <c r="V65" s="242" t="str">
        <f>IFERROR(__xludf.DUMMYFUNCTION("""COMPUTED_VALUE"""),"Chaldea Gate (Fri)")</f>
        <v>Chaldea Gate (Fri)</v>
      </c>
      <c r="W65" s="242" t="str">
        <f>IFERROR(__xludf.DUMMYFUNCTION("""COMPUTED_VALUE"""),"FRI Caster Training Ground- Exp")</f>
        <v>FRI Caster Training Ground- Exp</v>
      </c>
      <c r="X65" s="246">
        <f>IFERROR(__xludf.DUMMYFUNCTION("""COMPUTED_VALUE"""),40.0)</f>
        <v>40</v>
      </c>
      <c r="Y65" s="248">
        <f>IFERROR(__xludf.DUMMYFUNCTION("""COMPUTED_VALUE"""),19.7)</f>
        <v>19.7</v>
      </c>
      <c r="Z65" s="250">
        <f>IFERROR(__xludf.DUMMYFUNCTION("""COMPUTED_VALUE"""),43.931829867796665)</f>
        <v>43.93182987</v>
      </c>
      <c r="AA65" s="252" t="str">
        <f>IFERROR(__xludf.DUMMYFUNCTION("""COMPUTED_VALUE"""),"AP")</f>
        <v>AP</v>
      </c>
      <c r="AB65" s="250">
        <f>IFERROR(__xludf.DUMMYFUNCTION("""COMPUTED_VALUE"""),91.05015684612124)</f>
        <v>91.05015685</v>
      </c>
      <c r="AC65" s="252" t="str">
        <f>IFERROR(__xludf.DUMMYFUNCTION("""COMPUTED_VALUE"""),"％")</f>
        <v>％</v>
      </c>
      <c r="AD65" s="246">
        <f>IFERROR(__xludf.DUMMYFUNCTION("""COMPUTED_VALUE"""),11795.0)</f>
        <v>11795</v>
      </c>
      <c r="AE65" s="217"/>
      <c r="AF65" s="98" t="str">
        <f>IFERROR(__xludf.DUMMYFUNCTION("""COMPUTED_VALUE"""),"")</f>
        <v/>
      </c>
    </row>
    <row r="66" ht="16.5" customHeight="1">
      <c r="A66" s="166"/>
      <c r="B66" s="254"/>
      <c r="C66" s="255"/>
      <c r="D66" s="256">
        <f>IFERROR(__xludf.DUMMYFUNCTION("""COMPUTED_VALUE"""),5.0)</f>
        <v>5</v>
      </c>
      <c r="E66" s="257" t="str">
        <f>IFERROR(__xludf.DUMMYFUNCTION("""COMPUTED_VALUE"""),"TRF10")</f>
        <v>TRF10</v>
      </c>
      <c r="F66" s="42" t="str">
        <f>IFERROR(__xludf.DUMMYFUNCTION("""COMPUTED_VALUE"""),"Chaldea Gate (Wed)")</f>
        <v>Chaldea Gate (Wed)</v>
      </c>
      <c r="G66" s="42" t="str">
        <f>IFERROR(__xludf.DUMMYFUNCTION("""COMPUTED_VALUE"""),"WED Berserker Training Ground- Int")</f>
        <v>WED Berserker Training Ground- Int</v>
      </c>
      <c r="H66" s="259">
        <f>IFERROR(__xludf.DUMMYFUNCTION("""COMPUTED_VALUE"""),20.0)</f>
        <v>20</v>
      </c>
      <c r="I66" s="260">
        <f>IFERROR(__xludf.DUMMYFUNCTION("""COMPUTED_VALUE"""),18.4)</f>
        <v>18.4</v>
      </c>
      <c r="J66" s="261">
        <f>IFERROR(__xludf.DUMMYFUNCTION("""COMPUTED_VALUE"""),157.82682825676238)</f>
        <v>157.8268283</v>
      </c>
      <c r="K66" s="262" t="str">
        <f>IFERROR(__xludf.DUMMYFUNCTION("""COMPUTED_VALUE"""),"AP")</f>
        <v>AP</v>
      </c>
      <c r="L66" s="261">
        <f>IFERROR(__xludf.DUMMYFUNCTION("""COMPUTED_VALUE"""),12.672116788321167)</f>
        <v>12.67211679</v>
      </c>
      <c r="M66" s="262" t="str">
        <f>IFERROR(__xludf.DUMMYFUNCTION("""COMPUTED_VALUE"""),"％")</f>
        <v>％</v>
      </c>
      <c r="N66" s="259">
        <f>IFERROR(__xludf.DUMMYFUNCTION("""COMPUTED_VALUE"""),685.0)</f>
        <v>685</v>
      </c>
      <c r="O66" s="263"/>
      <c r="P66" s="93" t="str">
        <f>IFERROR(__xludf.DUMMYFUNCTION("""COMPUTED_VALUE"""),"")</f>
        <v/>
      </c>
      <c r="Q66" s="166"/>
      <c r="R66" s="254"/>
      <c r="S66" s="255"/>
      <c r="T66" s="256">
        <f>IFERROR(__xludf.DUMMYFUNCTION("""COMPUTED_VALUE"""),5.0)</f>
        <v>5</v>
      </c>
      <c r="U66" s="257" t="str">
        <f>IFERROR(__xludf.DUMMYFUNCTION("""COMPUTED_VALUE"""),"CML2")</f>
        <v>CML2</v>
      </c>
      <c r="V66" s="42" t="str">
        <f>IFERROR(__xludf.DUMMYFUNCTION("""COMPUTED_VALUE"""),"Camelot")</f>
        <v>Camelot</v>
      </c>
      <c r="W66" s="258" t="str">
        <f>IFERROR(__xludf.DUMMYFUNCTION("""COMPUTED_VALUE"""),"Dune of Dawn")</f>
        <v>Dune of Dawn</v>
      </c>
      <c r="X66" s="259">
        <f>IFERROR(__xludf.DUMMYFUNCTION("""COMPUTED_VALUE"""),19.0)</f>
        <v>19</v>
      </c>
      <c r="Y66" s="260">
        <f>IFERROR(__xludf.DUMMYFUNCTION("""COMPUTED_VALUE"""),42.73684210526316)</f>
        <v>42.73684211</v>
      </c>
      <c r="Z66" s="261">
        <f>IFERROR(__xludf.DUMMYFUNCTION("""COMPUTED_VALUE"""),45.211342964151946)</f>
        <v>45.21134296</v>
      </c>
      <c r="AA66" s="262" t="str">
        <f>IFERROR(__xludf.DUMMYFUNCTION("""COMPUTED_VALUE"""),"AP")</f>
        <v>AP</v>
      </c>
      <c r="AB66" s="261">
        <f>IFERROR(__xludf.DUMMYFUNCTION("""COMPUTED_VALUE"""),42.024852071005924)</f>
        <v>42.02485207</v>
      </c>
      <c r="AC66" s="262" t="str">
        <f>IFERROR(__xludf.DUMMYFUNCTION("""COMPUTED_VALUE"""),"％")</f>
        <v>％</v>
      </c>
      <c r="AD66" s="259">
        <f>IFERROR(__xludf.DUMMYFUNCTION("""COMPUTED_VALUE"""),338.0)</f>
        <v>338</v>
      </c>
      <c r="AE66" s="263"/>
      <c r="AF66" s="98" t="str">
        <f>IFERROR(__xludf.DUMMYFUNCTION("""COMPUTED_VALUE"""),"")</f>
        <v/>
      </c>
    </row>
    <row r="67" ht="16.5" customHeight="1">
      <c r="A67" s="61" t="str">
        <f>IFERROR(__xludf.DUMMYFUNCTION("""COMPUTED_VALUE"""),"")</f>
        <v/>
      </c>
      <c r="B67" s="356" t="str">
        <f>IFERROR(__xludf.DUMMYFUNCTION("""COMPUTED_VALUE"""),"A204")</f>
        <v>A204</v>
      </c>
      <c r="C67" s="65" t="str">
        <f>IFERROR(__xludf.DUMMYFUNCTION("""COMPUTED_VALUE"""),"Serpent Jewel")</f>
        <v>Serpent Jewel</v>
      </c>
      <c r="D67" s="67">
        <f>IFERROR(__xludf.DUMMYFUNCTION("""COMPUTED_VALUE"""),1.0)</f>
        <v>1</v>
      </c>
      <c r="E67" s="69" t="str">
        <f>IFERROR(__xludf.DUMMYFUNCTION("""COMPUTED_VALUE"""),"AGT12")</f>
        <v>AGT12</v>
      </c>
      <c r="F67" s="71" t="str">
        <f>IFERROR(__xludf.DUMMYFUNCTION("""COMPUTED_VALUE"""),"Agartha")</f>
        <v>Agartha</v>
      </c>
      <c r="G67" s="78" t="str">
        <f>IFERROR(__xludf.DUMMYFUNCTION("""COMPUTED_VALUE"""),"Chasm in the Earth")</f>
        <v>Chasm in the Earth</v>
      </c>
      <c r="H67" s="80">
        <f>IFERROR(__xludf.DUMMYFUNCTION("""COMPUTED_VALUE"""),21.0)</f>
        <v>21</v>
      </c>
      <c r="I67" s="82">
        <f>IFERROR(__xludf.DUMMYFUNCTION("""COMPUTED_VALUE"""),48.95238095238095)</f>
        <v>48.95238095</v>
      </c>
      <c r="J67" s="84">
        <f>IFERROR(__xludf.DUMMYFUNCTION("""COMPUTED_VALUE"""),55.570560925044525)</f>
        <v>55.57056093</v>
      </c>
      <c r="K67" s="86" t="str">
        <f>IFERROR(__xludf.DUMMYFUNCTION("""COMPUTED_VALUE"""),"AP")</f>
        <v>AP</v>
      </c>
      <c r="L67" s="88">
        <f>IFERROR(__xludf.DUMMYFUNCTION("""COMPUTED_VALUE"""),37.789793103448275)</f>
        <v>37.7897931</v>
      </c>
      <c r="M67" s="86" t="str">
        <f>IFERROR(__xludf.DUMMYFUNCTION("""COMPUTED_VALUE"""),"％")</f>
        <v>％</v>
      </c>
      <c r="N67" s="80">
        <f>IFERROR(__xludf.DUMMYFUNCTION("""COMPUTED_VALUE"""),725.0)</f>
        <v>725</v>
      </c>
      <c r="O67" s="91" t="str">
        <f>IFERROR(__xludf.DUMMYFUNCTION("""COMPUTED_VALUE"""),"Serpent Jewel")</f>
        <v>Serpent Jewel</v>
      </c>
      <c r="P67" s="93" t="str">
        <f>IFERROR(__xludf.DUMMYFUNCTION("""COMPUTED_VALUE"""),"")</f>
        <v/>
      </c>
      <c r="Q67" s="61" t="str">
        <f>IFERROR(__xludf.DUMMYFUNCTION("""COMPUTED_VALUE"""),"")</f>
        <v/>
      </c>
      <c r="R67" s="357" t="str">
        <f>IFERROR(__xludf.DUMMYFUNCTION("""COMPUTED_VALUE"""),"B116")</f>
        <v>B116</v>
      </c>
      <c r="S67" s="65" t="str">
        <f>IFERROR(__xludf.DUMMYFUNCTION("""COMPUTED_VALUE"""),"Magic Gem of Assassin")</f>
        <v>Magic Gem of Assassin</v>
      </c>
      <c r="T67" s="67">
        <f>IFERROR(__xludf.DUMMYFUNCTION("""COMPUTED_VALUE"""),1.0)</f>
        <v>1</v>
      </c>
      <c r="U67" s="69" t="str">
        <f>IFERROR(__xludf.DUMMYFUNCTION("""COMPUTED_VALUE"""),"TRF22")</f>
        <v>TRF22</v>
      </c>
      <c r="V67" s="71" t="str">
        <f>IFERROR(__xludf.DUMMYFUNCTION("""COMPUTED_VALUE"""),"Chaldea Gate (Sat)")</f>
        <v>Chaldea Gate (Sat)</v>
      </c>
      <c r="W67" s="71" t="str">
        <f>IFERROR(__xludf.DUMMYFUNCTION("""COMPUTED_VALUE"""),"SAT Assassin Training Ground- Int")</f>
        <v>SAT Assassin Training Ground- Int</v>
      </c>
      <c r="X67" s="80">
        <f>IFERROR(__xludf.DUMMYFUNCTION("""COMPUTED_VALUE"""),20.0)</f>
        <v>20</v>
      </c>
      <c r="Y67" s="82">
        <f>IFERROR(__xludf.DUMMYFUNCTION("""COMPUTED_VALUE"""),18.4)</f>
        <v>18.4</v>
      </c>
      <c r="Z67" s="84">
        <f>IFERROR(__xludf.DUMMYFUNCTION("""COMPUTED_VALUE"""),18.50684024223679)</f>
        <v>18.50684024</v>
      </c>
      <c r="AA67" s="86" t="str">
        <f>IFERROR(__xludf.DUMMYFUNCTION("""COMPUTED_VALUE"""),"AP")</f>
        <v>AP</v>
      </c>
      <c r="AB67" s="88">
        <f>IFERROR(__xludf.DUMMYFUNCTION("""COMPUTED_VALUE"""),108.06815068493151)</f>
        <v>108.0681507</v>
      </c>
      <c r="AC67" s="86" t="str">
        <f>IFERROR(__xludf.DUMMYFUNCTION("""COMPUTED_VALUE"""),"％")</f>
        <v>％</v>
      </c>
      <c r="AD67" s="80">
        <f>IFERROR(__xludf.DUMMYFUNCTION("""COMPUTED_VALUE"""),584.0)</f>
        <v>584</v>
      </c>
      <c r="AE67" s="91" t="str">
        <f>IFERROR(__xludf.DUMMYFUNCTION("""COMPUTED_VALUE"""),"Magic Gem of Assassin")</f>
        <v>Magic Gem of Assassin</v>
      </c>
      <c r="AF67" s="98" t="str">
        <f>IFERROR(__xludf.DUMMYFUNCTION("""COMPUTED_VALUE"""),"")</f>
        <v/>
      </c>
    </row>
    <row r="68" ht="16.5" customHeight="1">
      <c r="B68" s="358"/>
      <c r="C68" s="100"/>
      <c r="D68" s="102">
        <f>IFERROR(__xludf.DUMMYFUNCTION("""COMPUTED_VALUE"""),2.0)</f>
        <v>2</v>
      </c>
      <c r="E68" s="103" t="str">
        <f>IFERROR(__xludf.DUMMYFUNCTION("""COMPUTED_VALUE"""),"BBL5")</f>
        <v>BBL5</v>
      </c>
      <c r="F68" s="104" t="str">
        <f>IFERROR(__xludf.DUMMYFUNCTION("""COMPUTED_VALUE"""),"Babylonia")</f>
        <v>Babylonia</v>
      </c>
      <c r="G68" s="108" t="str">
        <f>IFERROR(__xludf.DUMMYFUNCTION("""COMPUTED_VALUE"""),"Bog")</f>
        <v>Bog</v>
      </c>
      <c r="H68" s="109">
        <f>IFERROR(__xludf.DUMMYFUNCTION("""COMPUTED_VALUE"""),21.0)</f>
        <v>21</v>
      </c>
      <c r="I68" s="110">
        <f>IFERROR(__xludf.DUMMYFUNCTION("""COMPUTED_VALUE"""),45.523809523809526)</f>
        <v>45.52380952</v>
      </c>
      <c r="J68" s="112">
        <f>IFERROR(__xludf.DUMMYFUNCTION("""COMPUTED_VALUE"""),83.45276872964168)</f>
        <v>83.45276873</v>
      </c>
      <c r="K68" s="121" t="str">
        <f>IFERROR(__xludf.DUMMYFUNCTION("""COMPUTED_VALUE"""),"AP")</f>
        <v>AP</v>
      </c>
      <c r="L68" s="123">
        <f>IFERROR(__xludf.DUMMYFUNCTION("""COMPUTED_VALUE"""),25.16393442622951)</f>
        <v>25.16393443</v>
      </c>
      <c r="M68" s="121" t="str">
        <f>IFERROR(__xludf.DUMMYFUNCTION("""COMPUTED_VALUE"""),"％")</f>
        <v>％</v>
      </c>
      <c r="N68" s="109">
        <f>IFERROR(__xludf.DUMMYFUNCTION("""COMPUTED_VALUE"""),1830.0)</f>
        <v>1830</v>
      </c>
      <c r="O68" s="100"/>
      <c r="P68" s="93" t="str">
        <f>IFERROR(__xludf.DUMMYFUNCTION("""COMPUTED_VALUE"""),"")</f>
        <v/>
      </c>
      <c r="R68" s="358"/>
      <c r="S68" s="100"/>
      <c r="T68" s="102">
        <f>IFERROR(__xludf.DUMMYFUNCTION("""COMPUTED_VALUE"""),2.0)</f>
        <v>2</v>
      </c>
      <c r="U68" s="103" t="str">
        <f>IFERROR(__xludf.DUMMYFUNCTION("""COMPUTED_VALUE"""),"TRF23")</f>
        <v>TRF23</v>
      </c>
      <c r="V68" s="104" t="str">
        <f>IFERROR(__xludf.DUMMYFUNCTION("""COMPUTED_VALUE"""),"Chaldea Gate (Sat)")</f>
        <v>Chaldea Gate (Sat)</v>
      </c>
      <c r="W68" s="104" t="str">
        <f>IFERROR(__xludf.DUMMYFUNCTION("""COMPUTED_VALUE"""),"SAT Assassin Training Ground- Adv")</f>
        <v>SAT Assassin Training Ground- Adv</v>
      </c>
      <c r="X68" s="109">
        <f>IFERROR(__xludf.DUMMYFUNCTION("""COMPUTED_VALUE"""),30.0)</f>
        <v>30</v>
      </c>
      <c r="Y68" s="110">
        <f>IFERROR(__xludf.DUMMYFUNCTION("""COMPUTED_VALUE"""),18.266666666666666)</f>
        <v>18.26666667</v>
      </c>
      <c r="Z68" s="112">
        <f>IFERROR(__xludf.DUMMYFUNCTION("""COMPUTED_VALUE"""),20.30070031319774)</f>
        <v>20.30070031</v>
      </c>
      <c r="AA68" s="121" t="str">
        <f>IFERROR(__xludf.DUMMYFUNCTION("""COMPUTED_VALUE"""),"AP")</f>
        <v>AP</v>
      </c>
      <c r="AB68" s="123">
        <f>IFERROR(__xludf.DUMMYFUNCTION("""COMPUTED_VALUE"""),147.77815315315314)</f>
        <v>147.7781532</v>
      </c>
      <c r="AC68" s="121" t="str">
        <f>IFERROR(__xludf.DUMMYFUNCTION("""COMPUTED_VALUE"""),"％")</f>
        <v>％</v>
      </c>
      <c r="AD68" s="109">
        <f>IFERROR(__xludf.DUMMYFUNCTION("""COMPUTED_VALUE"""),888.0)</f>
        <v>888</v>
      </c>
      <c r="AE68" s="100"/>
      <c r="AF68" s="98" t="str">
        <f>IFERROR(__xludf.DUMMYFUNCTION("""COMPUTED_VALUE"""),"")</f>
        <v/>
      </c>
    </row>
    <row r="69" ht="16.5" customHeight="1">
      <c r="B69" s="358"/>
      <c r="C69" s="100"/>
      <c r="D69" s="130">
        <f>IFERROR(__xludf.DUMMYFUNCTION("""COMPUTED_VALUE"""),3.0)</f>
        <v>3</v>
      </c>
      <c r="E69" s="132" t="str">
        <f>IFERROR(__xludf.DUMMYFUNCTION("""COMPUTED_VALUE"""),"OKN5")</f>
        <v>OKN5</v>
      </c>
      <c r="F69" s="133" t="str">
        <f>IFERROR(__xludf.DUMMYFUNCTION("""COMPUTED_VALUE"""),"Okeanos")</f>
        <v>Okeanos</v>
      </c>
      <c r="G69" s="135" t="str">
        <f>IFERROR(__xludf.DUMMYFUNCTION("""COMPUTED_VALUE"""),"Sunken Rock Seas")</f>
        <v>Sunken Rock Seas</v>
      </c>
      <c r="H69" s="137">
        <f>IFERROR(__xludf.DUMMYFUNCTION("""COMPUTED_VALUE"""),17.0)</f>
        <v>17</v>
      </c>
      <c r="I69" s="139">
        <f>IFERROR(__xludf.DUMMYFUNCTION("""COMPUTED_VALUE"""),39.294117647058826)</f>
        <v>39.29411765</v>
      </c>
      <c r="J69" s="141">
        <f>IFERROR(__xludf.DUMMYFUNCTION("""COMPUTED_VALUE"""),101.11996017919364)</f>
        <v>101.1199602</v>
      </c>
      <c r="K69" s="143" t="str">
        <f>IFERROR(__xludf.DUMMYFUNCTION("""COMPUTED_VALUE"""),"AP")</f>
        <v>AP</v>
      </c>
      <c r="L69" s="145">
        <f>IFERROR(__xludf.DUMMYFUNCTION("""COMPUTED_VALUE"""),16.811715481171547)</f>
        <v>16.81171548</v>
      </c>
      <c r="M69" s="143" t="str">
        <f>IFERROR(__xludf.DUMMYFUNCTION("""COMPUTED_VALUE"""),"％")</f>
        <v>％</v>
      </c>
      <c r="N69" s="137">
        <f>IFERROR(__xludf.DUMMYFUNCTION("""COMPUTED_VALUE"""),1912.0)</f>
        <v>1912</v>
      </c>
      <c r="O69" s="100"/>
      <c r="P69" s="93" t="str">
        <f>IFERROR(__xludf.DUMMYFUNCTION("""COMPUTED_VALUE"""),"")</f>
        <v/>
      </c>
      <c r="R69" s="358"/>
      <c r="S69" s="100"/>
      <c r="T69" s="130">
        <f>IFERROR(__xludf.DUMMYFUNCTION("""COMPUTED_VALUE"""),3.0)</f>
        <v>3</v>
      </c>
      <c r="U69" s="132" t="str">
        <f>IFERROR(__xludf.DUMMYFUNCTION("""COMPUTED_VALUE"""),"TRF24")</f>
        <v>TRF24</v>
      </c>
      <c r="V69" s="133" t="str">
        <f>IFERROR(__xludf.DUMMYFUNCTION("""COMPUTED_VALUE"""),"Chaldea Gate (Sat)")</f>
        <v>Chaldea Gate (Sat)</v>
      </c>
      <c r="W69" s="133" t="str">
        <f>IFERROR(__xludf.DUMMYFUNCTION("""COMPUTED_VALUE"""),"SAT Assassin Training Ground- Exp")</f>
        <v>SAT Assassin Training Ground- Exp</v>
      </c>
      <c r="X69" s="137">
        <f>IFERROR(__xludf.DUMMYFUNCTION("""COMPUTED_VALUE"""),40.0)</f>
        <v>40</v>
      </c>
      <c r="Y69" s="139">
        <f>IFERROR(__xludf.DUMMYFUNCTION("""COMPUTED_VALUE"""),19.7)</f>
        <v>19.7</v>
      </c>
      <c r="Z69" s="141">
        <f>IFERROR(__xludf.DUMMYFUNCTION("""COMPUTED_VALUE"""),33.8451891637033)</f>
        <v>33.84518916</v>
      </c>
      <c r="AA69" s="143" t="str">
        <f>IFERROR(__xludf.DUMMYFUNCTION("""COMPUTED_VALUE"""),"AP")</f>
        <v>AP</v>
      </c>
      <c r="AB69" s="145">
        <f>IFERROR(__xludf.DUMMYFUNCTION("""COMPUTED_VALUE"""),118.18518669382212)</f>
        <v>118.1851867</v>
      </c>
      <c r="AC69" s="143" t="str">
        <f>IFERROR(__xludf.DUMMYFUNCTION("""COMPUTED_VALUE"""),"％")</f>
        <v>％</v>
      </c>
      <c r="AD69" s="137">
        <f>IFERROR(__xludf.DUMMYFUNCTION("""COMPUTED_VALUE"""),7365.0)</f>
        <v>7365</v>
      </c>
      <c r="AE69" s="100"/>
      <c r="AF69" s="98" t="str">
        <f>IFERROR(__xludf.DUMMYFUNCTION("""COMPUTED_VALUE"""),"")</f>
        <v/>
      </c>
    </row>
    <row r="70" ht="16.5" customHeight="1">
      <c r="B70" s="358"/>
      <c r="C70" s="100"/>
      <c r="D70" s="146">
        <f>IFERROR(__xludf.DUMMYFUNCTION("""COMPUTED_VALUE"""),4.0)</f>
        <v>4</v>
      </c>
      <c r="E70" s="148" t="str">
        <f>IFERROR(__xludf.DUMMYFUNCTION("""COMPUTED_VALUE"""),"TRF17")</f>
        <v>TRF17</v>
      </c>
      <c r="F70" s="150" t="str">
        <f>IFERROR(__xludf.DUMMYFUNCTION("""COMPUTED_VALUE"""),"Chaldea Gate (Fri)")</f>
        <v>Chaldea Gate (Fri)</v>
      </c>
      <c r="G70" s="150" t="str">
        <f>IFERROR(__xludf.DUMMYFUNCTION("""COMPUTED_VALUE"""),"FRI Caster Training Ground- Nov")</f>
        <v>FRI Caster Training Ground- Nov</v>
      </c>
      <c r="H70" s="154">
        <f>IFERROR(__xludf.DUMMYFUNCTION("""COMPUTED_VALUE"""),10.0)</f>
        <v>10</v>
      </c>
      <c r="I70" s="156">
        <f>IFERROR(__xludf.DUMMYFUNCTION("""COMPUTED_VALUE"""),18.8)</f>
        <v>18.8</v>
      </c>
      <c r="J70" s="158">
        <f>IFERROR(__xludf.DUMMYFUNCTION("""COMPUTED_VALUE"""),130.56418324399283)</f>
        <v>130.5641832</v>
      </c>
      <c r="K70" s="160" t="str">
        <f>IFERROR(__xludf.DUMMYFUNCTION("""COMPUTED_VALUE"""),"AP")</f>
        <v>AP</v>
      </c>
      <c r="L70" s="162">
        <f>IFERROR(__xludf.DUMMYFUNCTION("""COMPUTED_VALUE"""),7.6590683229813665)</f>
        <v>7.659068323</v>
      </c>
      <c r="M70" s="160" t="str">
        <f>IFERROR(__xludf.DUMMYFUNCTION("""COMPUTED_VALUE"""),"％")</f>
        <v>％</v>
      </c>
      <c r="N70" s="154">
        <f>IFERROR(__xludf.DUMMYFUNCTION("""COMPUTED_VALUE"""),3220.0)</f>
        <v>3220</v>
      </c>
      <c r="O70" s="100"/>
      <c r="P70" s="93" t="str">
        <f>IFERROR(__xludf.DUMMYFUNCTION("""COMPUTED_VALUE"""),"")</f>
        <v/>
      </c>
      <c r="R70" s="358"/>
      <c r="S70" s="100"/>
      <c r="T70" s="146">
        <f>IFERROR(__xludf.DUMMYFUNCTION("""COMPUTED_VALUE"""),4.0)</f>
        <v>4</v>
      </c>
      <c r="U70" s="148" t="str">
        <f>IFERROR(__xludf.DUMMYFUNCTION("""COMPUTED_VALUE"""),"SJK6")</f>
        <v>SJK6</v>
      </c>
      <c r="V70" s="150" t="str">
        <f>IFERROR(__xludf.DUMMYFUNCTION("""COMPUTED_VALUE"""),"Shinjuku")</f>
        <v>Shinjuku</v>
      </c>
      <c r="W70" s="152" t="str">
        <f>IFERROR(__xludf.DUMMYFUNCTION("""COMPUTED_VALUE"""),"Barrel Tower")</f>
        <v>Barrel Tower</v>
      </c>
      <c r="X70" s="154">
        <f>IFERROR(__xludf.DUMMYFUNCTION("""COMPUTED_VALUE"""),21.0)</f>
        <v>21</v>
      </c>
      <c r="Y70" s="156">
        <f>IFERROR(__xludf.DUMMYFUNCTION("""COMPUTED_VALUE"""),46.666666666666664)</f>
        <v>46.66666667</v>
      </c>
      <c r="Z70" s="158">
        <f>IFERROR(__xludf.DUMMYFUNCTION("""COMPUTED_VALUE"""),46.76036627297935)</f>
        <v>46.76036627</v>
      </c>
      <c r="AA70" s="160" t="str">
        <f>IFERROR(__xludf.DUMMYFUNCTION("""COMPUTED_VALUE"""),"AP")</f>
        <v>AP</v>
      </c>
      <c r="AB70" s="162">
        <f>IFERROR(__xludf.DUMMYFUNCTION("""COMPUTED_VALUE"""),44.90982786021274)</f>
        <v>44.90982786</v>
      </c>
      <c r="AC70" s="160" t="str">
        <f>IFERROR(__xludf.DUMMYFUNCTION("""COMPUTED_VALUE"""),"％")</f>
        <v>％</v>
      </c>
      <c r="AD70" s="154">
        <f>IFERROR(__xludf.DUMMYFUNCTION("""COMPUTED_VALUE"""),8513.0)</f>
        <v>8513</v>
      </c>
      <c r="AE70" s="100"/>
      <c r="AF70" s="98" t="str">
        <f>IFERROR(__xludf.DUMMYFUNCTION("""COMPUTED_VALUE"""),"")</f>
        <v/>
      </c>
    </row>
    <row r="71" ht="16.5" customHeight="1">
      <c r="A71" s="166"/>
      <c r="B71" s="359"/>
      <c r="C71" s="168"/>
      <c r="D71" s="169">
        <f>IFERROR(__xludf.DUMMYFUNCTION("""COMPUTED_VALUE"""),5.0)</f>
        <v>5</v>
      </c>
      <c r="E71" s="170" t="str">
        <f>IFERROR(__xludf.DUMMYFUNCTION("""COMPUTED_VALUE"""),"TRF19")</f>
        <v>TRF19</v>
      </c>
      <c r="F71" s="51" t="str">
        <f>IFERROR(__xludf.DUMMYFUNCTION("""COMPUTED_VALUE"""),"Chaldea Gate (Fri)")</f>
        <v>Chaldea Gate (Fri)</v>
      </c>
      <c r="G71" s="51" t="str">
        <f>IFERROR(__xludf.DUMMYFUNCTION("""COMPUTED_VALUE"""),"FRI Caster Training Ground- Adv")</f>
        <v>FRI Caster Training Ground- Adv</v>
      </c>
      <c r="H71" s="172">
        <f>IFERROR(__xludf.DUMMYFUNCTION("""COMPUTED_VALUE"""),30.0)</f>
        <v>30</v>
      </c>
      <c r="I71" s="173">
        <f>IFERROR(__xludf.DUMMYFUNCTION("""COMPUTED_VALUE"""),18.266666666666666)</f>
        <v>18.26666667</v>
      </c>
      <c r="J71" s="174">
        <f>IFERROR(__xludf.DUMMYFUNCTION("""COMPUTED_VALUE"""),131.52255437694205)</f>
        <v>131.5225544</v>
      </c>
      <c r="K71" s="175" t="str">
        <f>IFERROR(__xludf.DUMMYFUNCTION("""COMPUTED_VALUE"""),"AP")</f>
        <v>AP</v>
      </c>
      <c r="L71" s="176">
        <f>IFERROR(__xludf.DUMMYFUNCTION("""COMPUTED_VALUE"""),22.80977596741344)</f>
        <v>22.80977597</v>
      </c>
      <c r="M71" s="175" t="str">
        <f>IFERROR(__xludf.DUMMYFUNCTION("""COMPUTED_VALUE"""),"％")</f>
        <v>％</v>
      </c>
      <c r="N71" s="172">
        <f>IFERROR(__xludf.DUMMYFUNCTION("""COMPUTED_VALUE"""),1964.0)</f>
        <v>1964</v>
      </c>
      <c r="O71" s="168"/>
      <c r="P71" s="93" t="str">
        <f>IFERROR(__xludf.DUMMYFUNCTION("""COMPUTED_VALUE"""),"")</f>
        <v/>
      </c>
      <c r="Q71" s="166"/>
      <c r="R71" s="359"/>
      <c r="S71" s="168"/>
      <c r="T71" s="169">
        <f>IFERROR(__xludf.DUMMYFUNCTION("""COMPUTED_VALUE"""),5.0)</f>
        <v>5</v>
      </c>
      <c r="U71" s="170" t="str">
        <f>IFERROR(__xludf.DUMMYFUNCTION("""COMPUTED_VALUE"""),"SJK5")</f>
        <v>SJK5</v>
      </c>
      <c r="V71" s="51" t="str">
        <f>IFERROR(__xludf.DUMMYFUNCTION("""COMPUTED_VALUE"""),"Shinjuku")</f>
        <v>Shinjuku</v>
      </c>
      <c r="W71" s="171" t="str">
        <f>IFERROR(__xludf.DUMMYFUNCTION("""COMPUTED_VALUE"""),"Kabukicho")</f>
        <v>Kabukicho</v>
      </c>
      <c r="X71" s="172">
        <f>IFERROR(__xludf.DUMMYFUNCTION("""COMPUTED_VALUE"""),21.0)</f>
        <v>21</v>
      </c>
      <c r="Y71" s="173">
        <f>IFERROR(__xludf.DUMMYFUNCTION("""COMPUTED_VALUE"""),46.666666666666664)</f>
        <v>46.66666667</v>
      </c>
      <c r="Z71" s="174">
        <f>IFERROR(__xludf.DUMMYFUNCTION("""COMPUTED_VALUE"""),56.86551018582706)</f>
        <v>56.86551019</v>
      </c>
      <c r="AA71" s="175" t="str">
        <f>IFERROR(__xludf.DUMMYFUNCTION("""COMPUTED_VALUE"""),"AP")</f>
        <v>AP</v>
      </c>
      <c r="AB71" s="176">
        <f>IFERROR(__xludf.DUMMYFUNCTION("""COMPUTED_VALUE"""),36.92923870967741)</f>
        <v>36.92923871</v>
      </c>
      <c r="AC71" s="175" t="str">
        <f>IFERROR(__xludf.DUMMYFUNCTION("""COMPUTED_VALUE"""),"％")</f>
        <v>％</v>
      </c>
      <c r="AD71" s="172">
        <f>IFERROR(__xludf.DUMMYFUNCTION("""COMPUTED_VALUE"""),3875.0)</f>
        <v>3875</v>
      </c>
      <c r="AE71" s="168"/>
      <c r="AF71" s="98" t="str">
        <f>IFERROR(__xludf.DUMMYFUNCTION("""COMPUTED_VALUE"""),"")</f>
        <v/>
      </c>
    </row>
    <row r="72" ht="16.5" customHeight="1">
      <c r="A72" s="61" t="str">
        <f>IFERROR(__xludf.DUMMYFUNCTION("""COMPUTED_VALUE"""),"")</f>
        <v/>
      </c>
      <c r="B72" s="179" t="str">
        <f>IFERROR(__xludf.DUMMYFUNCTION("""COMPUTED_VALUE"""),"A205")</f>
        <v>A205</v>
      </c>
      <c r="C72" s="197" t="str">
        <f>IFERROR(__xludf.DUMMYFUNCTION("""COMPUTED_VALUE"""),"Phoenix Feather")</f>
        <v>Phoenix Feather</v>
      </c>
      <c r="D72" s="181">
        <f>IFERROR(__xludf.DUMMYFUNCTION("""COMPUTED_VALUE"""),1.0)</f>
        <v>1</v>
      </c>
      <c r="E72" s="182" t="str">
        <f>IFERROR(__xludf.DUMMYFUNCTION("""COMPUTED_VALUE"""),"AGT10")</f>
        <v>AGT10</v>
      </c>
      <c r="F72" s="184" t="str">
        <f>IFERROR(__xludf.DUMMYFUNCTION("""COMPUTED_VALUE"""),"Agartha")</f>
        <v>Agartha</v>
      </c>
      <c r="G72" s="189" t="str">
        <f>IFERROR(__xludf.DUMMYFUNCTION("""COMPUTED_VALUE"""),"Great Underground River")</f>
        <v>Great Underground River</v>
      </c>
      <c r="H72" s="190">
        <f>IFERROR(__xludf.DUMMYFUNCTION("""COMPUTED_VALUE"""),21.0)</f>
        <v>21</v>
      </c>
      <c r="I72" s="191">
        <f>IFERROR(__xludf.DUMMYFUNCTION("""COMPUTED_VALUE"""),47.80952380952381)</f>
        <v>47.80952381</v>
      </c>
      <c r="J72" s="192">
        <f>IFERROR(__xludf.DUMMYFUNCTION("""COMPUTED_VALUE"""),69.7785425998768)</f>
        <v>69.7785426</v>
      </c>
      <c r="K72" s="194" t="str">
        <f>IFERROR(__xludf.DUMMYFUNCTION("""COMPUTED_VALUE"""),"AP")</f>
        <v>AP</v>
      </c>
      <c r="L72" s="192">
        <f>IFERROR(__xludf.DUMMYFUNCTION("""COMPUTED_VALUE"""),30.09521153288902)</f>
        <v>30.09521153</v>
      </c>
      <c r="M72" s="194" t="str">
        <f>IFERROR(__xludf.DUMMYFUNCTION("""COMPUTED_VALUE"""),"％")</f>
        <v>％</v>
      </c>
      <c r="N72" s="190">
        <f>IFERROR(__xludf.DUMMYFUNCTION("""COMPUTED_VALUE"""),27608.0)</f>
        <v>27608</v>
      </c>
      <c r="O72" s="197" t="str">
        <f>IFERROR(__xludf.DUMMYFUNCTION("""COMPUTED_VALUE"""),"Phoenix Feather")</f>
        <v>Phoenix Feather</v>
      </c>
      <c r="P72" s="93" t="str">
        <f>IFERROR(__xludf.DUMMYFUNCTION("""COMPUTED_VALUE"""),"")</f>
        <v/>
      </c>
      <c r="Q72" s="61" t="str">
        <f>IFERROR(__xludf.DUMMYFUNCTION("""COMPUTED_VALUE"""),"")</f>
        <v/>
      </c>
      <c r="R72" s="199" t="str">
        <f>IFERROR(__xludf.DUMMYFUNCTION("""COMPUTED_VALUE"""),"B117")</f>
        <v>B117</v>
      </c>
      <c r="S72" s="197" t="str">
        <f>IFERROR(__xludf.DUMMYFUNCTION("""COMPUTED_VALUE"""),"Magic Gem of Berserker")</f>
        <v>Magic Gem of Berserker</v>
      </c>
      <c r="T72" s="181">
        <f>IFERROR(__xludf.DUMMYFUNCTION("""COMPUTED_VALUE"""),1.0)</f>
        <v>1</v>
      </c>
      <c r="U72" s="182" t="str">
        <f>IFERROR(__xludf.DUMMYFUNCTION("""COMPUTED_VALUE"""),"TRF11")</f>
        <v>TRF11</v>
      </c>
      <c r="V72" s="184" t="str">
        <f>IFERROR(__xludf.DUMMYFUNCTION("""COMPUTED_VALUE"""),"Chaldea Gate (Wed)")</f>
        <v>Chaldea Gate (Wed)</v>
      </c>
      <c r="W72" s="184" t="str">
        <f>IFERROR(__xludf.DUMMYFUNCTION("""COMPUTED_VALUE"""),"WED Berserker Training Ground- Adv")</f>
        <v>WED Berserker Training Ground- Adv</v>
      </c>
      <c r="X72" s="190">
        <f>IFERROR(__xludf.DUMMYFUNCTION("""COMPUTED_VALUE"""),30.0)</f>
        <v>30</v>
      </c>
      <c r="Y72" s="191">
        <f>IFERROR(__xludf.DUMMYFUNCTION("""COMPUTED_VALUE"""),18.266666666666666)</f>
        <v>18.26666667</v>
      </c>
      <c r="Z72" s="192">
        <f>IFERROR(__xludf.DUMMYFUNCTION("""COMPUTED_VALUE"""),22.525315704903534)</f>
        <v>22.5253157</v>
      </c>
      <c r="AA72" s="194" t="str">
        <f>IFERROR(__xludf.DUMMYFUNCTION("""COMPUTED_VALUE"""),"AP")</f>
        <v>AP</v>
      </c>
      <c r="AB72" s="192">
        <f>IFERROR(__xludf.DUMMYFUNCTION("""COMPUTED_VALUE"""),133.18348294434472)</f>
        <v>133.1834829</v>
      </c>
      <c r="AC72" s="194" t="str">
        <f>IFERROR(__xludf.DUMMYFUNCTION("""COMPUTED_VALUE"""),"％")</f>
        <v>％</v>
      </c>
      <c r="AD72" s="190">
        <f>IFERROR(__xludf.DUMMYFUNCTION("""COMPUTED_VALUE"""),557.0)</f>
        <v>557</v>
      </c>
      <c r="AE72" s="197" t="str">
        <f>IFERROR(__xludf.DUMMYFUNCTION("""COMPUTED_VALUE"""),"Magic Gem of Berserker")</f>
        <v>Magic Gem of Berserker</v>
      </c>
      <c r="AF72" s="98" t="str">
        <f>IFERROR(__xludf.DUMMYFUNCTION("""COMPUTED_VALUE"""),"")</f>
        <v/>
      </c>
    </row>
    <row r="73" ht="16.5" customHeight="1">
      <c r="B73" s="203"/>
      <c r="C73" s="217"/>
      <c r="D73" s="205">
        <f>IFERROR(__xludf.DUMMYFUNCTION("""COMPUTED_VALUE"""),2.0)</f>
        <v>2</v>
      </c>
      <c r="E73" s="206" t="str">
        <f>IFERROR(__xludf.DUMMYFUNCTION("""COMPUTED_VALUE"""),"AGT3")</f>
        <v>AGT3</v>
      </c>
      <c r="F73" s="207" t="str">
        <f>IFERROR(__xludf.DUMMYFUNCTION("""COMPUTED_VALUE"""),"Agartha")</f>
        <v>Agartha</v>
      </c>
      <c r="G73" s="209" t="str">
        <f>IFERROR(__xludf.DUMMYFUNCTION("""COMPUTED_VALUE"""),"Riverside Town")</f>
        <v>Riverside Town</v>
      </c>
      <c r="H73" s="211">
        <f>IFERROR(__xludf.DUMMYFUNCTION("""COMPUTED_VALUE"""),20.0)</f>
        <v>20</v>
      </c>
      <c r="I73" s="213">
        <f>IFERROR(__xludf.DUMMYFUNCTION("""COMPUTED_VALUE"""),46.6)</f>
        <v>46.6</v>
      </c>
      <c r="J73" s="214">
        <f>IFERROR(__xludf.DUMMYFUNCTION("""COMPUTED_VALUE"""),97.97058350020532)</f>
        <v>97.9705835</v>
      </c>
      <c r="K73" s="215" t="str">
        <f>IFERROR(__xludf.DUMMYFUNCTION("""COMPUTED_VALUE"""),"AP")</f>
        <v>AP</v>
      </c>
      <c r="L73" s="214">
        <f>IFERROR(__xludf.DUMMYFUNCTION("""COMPUTED_VALUE"""),20.414290989660262)</f>
        <v>20.41429099</v>
      </c>
      <c r="M73" s="215" t="str">
        <f>IFERROR(__xludf.DUMMYFUNCTION("""COMPUTED_VALUE"""),"％")</f>
        <v>％</v>
      </c>
      <c r="N73" s="211">
        <f>IFERROR(__xludf.DUMMYFUNCTION("""COMPUTED_VALUE"""),10832.0)</f>
        <v>10832</v>
      </c>
      <c r="O73" s="217"/>
      <c r="P73" s="93" t="str">
        <f>IFERROR(__xludf.DUMMYFUNCTION("""COMPUTED_VALUE"""),"")</f>
        <v/>
      </c>
      <c r="R73" s="203"/>
      <c r="S73" s="217"/>
      <c r="T73" s="205">
        <f>IFERROR(__xludf.DUMMYFUNCTION("""COMPUTED_VALUE"""),2.0)</f>
        <v>2</v>
      </c>
      <c r="U73" s="206" t="str">
        <f>IFERROR(__xludf.DUMMYFUNCTION("""COMPUTED_VALUE"""),"TRF10")</f>
        <v>TRF10</v>
      </c>
      <c r="V73" s="207" t="str">
        <f>IFERROR(__xludf.DUMMYFUNCTION("""COMPUTED_VALUE"""),"Chaldea Gate (Wed)")</f>
        <v>Chaldea Gate (Wed)</v>
      </c>
      <c r="W73" s="207" t="str">
        <f>IFERROR(__xludf.DUMMYFUNCTION("""COMPUTED_VALUE"""),"WED Berserker Training Ground- Int")</f>
        <v>WED Berserker Training Ground- Int</v>
      </c>
      <c r="X73" s="211">
        <f>IFERROR(__xludf.DUMMYFUNCTION("""COMPUTED_VALUE"""),20.0)</f>
        <v>20</v>
      </c>
      <c r="Y73" s="213">
        <f>IFERROR(__xludf.DUMMYFUNCTION("""COMPUTED_VALUE"""),18.4)</f>
        <v>18.4</v>
      </c>
      <c r="Z73" s="214">
        <f>IFERROR(__xludf.DUMMYFUNCTION("""COMPUTED_VALUE"""),31.50163946488602)</f>
        <v>31.50163946</v>
      </c>
      <c r="AA73" s="215" t="str">
        <f>IFERROR(__xludf.DUMMYFUNCTION("""COMPUTED_VALUE"""),"AP")</f>
        <v>AP</v>
      </c>
      <c r="AB73" s="214">
        <f>IFERROR(__xludf.DUMMYFUNCTION("""COMPUTED_VALUE"""),63.48875912408759)</f>
        <v>63.48875912</v>
      </c>
      <c r="AC73" s="215" t="str">
        <f>IFERROR(__xludf.DUMMYFUNCTION("""COMPUTED_VALUE"""),"％")</f>
        <v>％</v>
      </c>
      <c r="AD73" s="211">
        <f>IFERROR(__xludf.DUMMYFUNCTION("""COMPUTED_VALUE"""),685.0)</f>
        <v>685</v>
      </c>
      <c r="AE73" s="217"/>
      <c r="AF73" s="98" t="str">
        <f>IFERROR(__xludf.DUMMYFUNCTION("""COMPUTED_VALUE"""),"")</f>
        <v/>
      </c>
    </row>
    <row r="74" ht="16.5" customHeight="1">
      <c r="B74" s="203"/>
      <c r="C74" s="217"/>
      <c r="D74" s="222">
        <f>IFERROR(__xludf.DUMMYFUNCTION("""COMPUTED_VALUE"""),3.0)</f>
        <v>3</v>
      </c>
      <c r="E74" s="223" t="str">
        <f>IFERROR(__xludf.DUMMYFUNCTION("""COMPUTED_VALUE"""),"AGT2")</f>
        <v>AGT2</v>
      </c>
      <c r="F74" s="224" t="str">
        <f>IFERROR(__xludf.DUMMYFUNCTION("""COMPUTED_VALUE"""),"Agartha")</f>
        <v>Agartha</v>
      </c>
      <c r="G74" s="226" t="str">
        <f>IFERROR(__xludf.DUMMYFUNCTION("""COMPUTED_VALUE"""),"Camping Ground")</f>
        <v>Camping Ground</v>
      </c>
      <c r="H74" s="228">
        <f>IFERROR(__xludf.DUMMYFUNCTION("""COMPUTED_VALUE"""),20.0)</f>
        <v>20</v>
      </c>
      <c r="I74" s="230">
        <f>IFERROR(__xludf.DUMMYFUNCTION("""COMPUTED_VALUE"""),46.6)</f>
        <v>46.6</v>
      </c>
      <c r="J74" s="231">
        <f>IFERROR(__xludf.DUMMYFUNCTION("""COMPUTED_VALUE"""),142.74889653089448)</f>
        <v>142.7488965</v>
      </c>
      <c r="K74" s="232" t="str">
        <f>IFERROR(__xludf.DUMMYFUNCTION("""COMPUTED_VALUE"""),"AP")</f>
        <v>AP</v>
      </c>
      <c r="L74" s="231">
        <f>IFERROR(__xludf.DUMMYFUNCTION("""COMPUTED_VALUE"""),14.010616184112843)</f>
        <v>14.01061618</v>
      </c>
      <c r="M74" s="232" t="str">
        <f>IFERROR(__xludf.DUMMYFUNCTION("""COMPUTED_VALUE"""),"％")</f>
        <v>％</v>
      </c>
      <c r="N74" s="228">
        <f>IFERROR(__xludf.DUMMYFUNCTION("""COMPUTED_VALUE"""),1347.0)</f>
        <v>1347</v>
      </c>
      <c r="O74" s="217"/>
      <c r="P74" s="93" t="str">
        <f>IFERROR(__xludf.DUMMYFUNCTION("""COMPUTED_VALUE"""),"")</f>
        <v/>
      </c>
      <c r="R74" s="203"/>
      <c r="S74" s="217"/>
      <c r="T74" s="222">
        <f>IFERROR(__xludf.DUMMYFUNCTION("""COMPUTED_VALUE"""),3.0)</f>
        <v>3</v>
      </c>
      <c r="U74" s="223" t="str">
        <f>IFERROR(__xludf.DUMMYFUNCTION("""COMPUTED_VALUE"""),"TRF12")</f>
        <v>TRF12</v>
      </c>
      <c r="V74" s="224" t="str">
        <f>IFERROR(__xludf.DUMMYFUNCTION("""COMPUTED_VALUE"""),"Chaldea Gate (Wed)")</f>
        <v>Chaldea Gate (Wed)</v>
      </c>
      <c r="W74" s="224" t="str">
        <f>IFERROR(__xludf.DUMMYFUNCTION("""COMPUTED_VALUE"""),"WED Berserker Training Ground- Exp")</f>
        <v>WED Berserker Training Ground- Exp</v>
      </c>
      <c r="X74" s="228">
        <f>IFERROR(__xludf.DUMMYFUNCTION("""COMPUTED_VALUE"""),40.0)</f>
        <v>40</v>
      </c>
      <c r="Y74" s="230">
        <f>IFERROR(__xludf.DUMMYFUNCTION("""COMPUTED_VALUE"""),19.7)</f>
        <v>19.7</v>
      </c>
      <c r="Z74" s="231">
        <f>IFERROR(__xludf.DUMMYFUNCTION("""COMPUTED_VALUE"""),35.376571365001666)</f>
        <v>35.37657137</v>
      </c>
      <c r="AA74" s="232" t="str">
        <f>IFERROR(__xludf.DUMMYFUNCTION("""COMPUTED_VALUE"""),"AP")</f>
        <v>AP</v>
      </c>
      <c r="AB74" s="231">
        <f>IFERROR(__xludf.DUMMYFUNCTION("""COMPUTED_VALUE"""),113.06918238993711)</f>
        <v>113.0691824</v>
      </c>
      <c r="AC74" s="232" t="str">
        <f>IFERROR(__xludf.DUMMYFUNCTION("""COMPUTED_VALUE"""),"％")</f>
        <v>％</v>
      </c>
      <c r="AD74" s="228">
        <f>IFERROR(__xludf.DUMMYFUNCTION("""COMPUTED_VALUE"""),3498.0)</f>
        <v>3498</v>
      </c>
      <c r="AE74" s="217"/>
      <c r="AF74" s="98" t="str">
        <f>IFERROR(__xludf.DUMMYFUNCTION("""COMPUTED_VALUE"""),"")</f>
        <v/>
      </c>
    </row>
    <row r="75" ht="16.5" customHeight="1">
      <c r="B75" s="203"/>
      <c r="C75" s="217"/>
      <c r="D75" s="238">
        <f>IFERROR(__xludf.DUMMYFUNCTION("""COMPUTED_VALUE"""),4.0)</f>
        <v>4</v>
      </c>
      <c r="E75" s="240" t="str">
        <f>IFERROR(__xludf.DUMMYFUNCTION("""COMPUTED_VALUE"""),"AGT8")</f>
        <v>AGT8</v>
      </c>
      <c r="F75" s="242" t="str">
        <f>IFERROR(__xludf.DUMMYFUNCTION("""COMPUTED_VALUE"""),"Agartha")</f>
        <v>Agartha</v>
      </c>
      <c r="G75" s="244" t="str">
        <f>IFERROR(__xludf.DUMMYFUNCTION("""COMPUTED_VALUE"""),"Foothills Jungle")</f>
        <v>Foothills Jungle</v>
      </c>
      <c r="H75" s="246">
        <f>IFERROR(__xludf.DUMMYFUNCTION("""COMPUTED_VALUE"""),21.0)</f>
        <v>21</v>
      </c>
      <c r="I75" s="248">
        <f>IFERROR(__xludf.DUMMYFUNCTION("""COMPUTED_VALUE"""),46.666666666666664)</f>
        <v>46.66666667</v>
      </c>
      <c r="J75" s="250">
        <f>IFERROR(__xludf.DUMMYFUNCTION("""COMPUTED_VALUE"""),147.96710141925752)</f>
        <v>147.9671014</v>
      </c>
      <c r="K75" s="252" t="str">
        <f>IFERROR(__xludf.DUMMYFUNCTION("""COMPUTED_VALUE"""),"AP")</f>
        <v>AP</v>
      </c>
      <c r="L75" s="250">
        <f>IFERROR(__xludf.DUMMYFUNCTION("""COMPUTED_VALUE"""),14.192343972798069)</f>
        <v>14.19234397</v>
      </c>
      <c r="M75" s="252" t="str">
        <f>IFERROR(__xludf.DUMMYFUNCTION("""COMPUTED_VALUE"""),"％")</f>
        <v>％</v>
      </c>
      <c r="N75" s="246">
        <f>IFERROR(__xludf.DUMMYFUNCTION("""COMPUTED_VALUE"""),18234.0)</f>
        <v>18234</v>
      </c>
      <c r="O75" s="217"/>
      <c r="P75" s="93" t="str">
        <f>IFERROR(__xludf.DUMMYFUNCTION("""COMPUTED_VALUE"""),"")</f>
        <v/>
      </c>
      <c r="R75" s="203"/>
      <c r="S75" s="217"/>
      <c r="T75" s="238">
        <f>IFERROR(__xludf.DUMMYFUNCTION("""COMPUTED_VALUE"""),4.0)</f>
        <v>4</v>
      </c>
      <c r="U75" s="240" t="str">
        <f>IFERROR(__xludf.DUMMYFUNCTION("""COMPUTED_VALUE"""),"BBL13")</f>
        <v>BBL13</v>
      </c>
      <c r="V75" s="242" t="str">
        <f>IFERROR(__xludf.DUMMYFUNCTION("""COMPUTED_VALUE"""),"Babylonia")</f>
        <v>Babylonia</v>
      </c>
      <c r="W75" s="244" t="str">
        <f>IFERROR(__xludf.DUMMYFUNCTION("""COMPUTED_VALUE"""),"Mt. Ebih")</f>
        <v>Mt. Ebih</v>
      </c>
      <c r="X75" s="246">
        <f>IFERROR(__xludf.DUMMYFUNCTION("""COMPUTED_VALUE"""),21.0)</f>
        <v>21</v>
      </c>
      <c r="Y75" s="248">
        <f>IFERROR(__xludf.DUMMYFUNCTION("""COMPUTED_VALUE"""),48.95238095238095)</f>
        <v>48.95238095</v>
      </c>
      <c r="Z75" s="250">
        <f>IFERROR(__xludf.DUMMYFUNCTION("""COMPUTED_VALUE"""),88.19912638585804)</f>
        <v>88.19912639</v>
      </c>
      <c r="AA75" s="252" t="str">
        <f>IFERROR(__xludf.DUMMYFUNCTION("""COMPUTED_VALUE"""),"AP")</f>
        <v>AP</v>
      </c>
      <c r="AB75" s="250">
        <f>IFERROR(__xludf.DUMMYFUNCTION("""COMPUTED_VALUE"""),23.809759643341735)</f>
        <v>23.80975964</v>
      </c>
      <c r="AC75" s="252" t="str">
        <f>IFERROR(__xludf.DUMMYFUNCTION("""COMPUTED_VALUE"""),"％")</f>
        <v>％</v>
      </c>
      <c r="AD75" s="246">
        <f>IFERROR(__xludf.DUMMYFUNCTION("""COMPUTED_VALUE"""),10318.0)</f>
        <v>10318</v>
      </c>
      <c r="AE75" s="217"/>
      <c r="AF75" s="98" t="str">
        <f>IFERROR(__xludf.DUMMYFUNCTION("""COMPUTED_VALUE"""),"")</f>
        <v/>
      </c>
    </row>
    <row r="76" ht="16.5" customHeight="1">
      <c r="A76" s="166"/>
      <c r="B76" s="254"/>
      <c r="C76" s="263"/>
      <c r="D76" s="256">
        <f>IFERROR(__xludf.DUMMYFUNCTION("""COMPUTED_VALUE"""),5.0)</f>
        <v>5</v>
      </c>
      <c r="E76" s="257" t="str">
        <f>IFERROR(__xludf.DUMMYFUNCTION("""COMPUTED_VALUE"""),"TRF27")</f>
        <v>TRF27</v>
      </c>
      <c r="F76" s="42" t="str">
        <f>IFERROR(__xludf.DUMMYFUNCTION("""COMPUTED_VALUE"""),"Chaldea Gate (Sun)")</f>
        <v>Chaldea Gate (Sun)</v>
      </c>
      <c r="G76" s="42" t="str">
        <f>IFERROR(__xludf.DUMMYFUNCTION("""COMPUTED_VALUE"""),"SUN Saber Training Ground- Adv")</f>
        <v>SUN Saber Training Ground- Adv</v>
      </c>
      <c r="H76" s="259">
        <f>IFERROR(__xludf.DUMMYFUNCTION("""COMPUTED_VALUE"""),30.0)</f>
        <v>30</v>
      </c>
      <c r="I76" s="260">
        <f>IFERROR(__xludf.DUMMYFUNCTION("""COMPUTED_VALUE"""),18.266666666666666)</f>
        <v>18.26666667</v>
      </c>
      <c r="J76" s="261">
        <f>IFERROR(__xludf.DUMMYFUNCTION("""COMPUTED_VALUE"""),170.68095821460682)</f>
        <v>170.6809582</v>
      </c>
      <c r="K76" s="262" t="str">
        <f>IFERROR(__xludf.DUMMYFUNCTION("""COMPUTED_VALUE"""),"AP")</f>
        <v>AP</v>
      </c>
      <c r="L76" s="261">
        <f>IFERROR(__xludf.DUMMYFUNCTION("""COMPUTED_VALUE"""),17.576653139174027)</f>
        <v>17.57665314</v>
      </c>
      <c r="M76" s="262" t="str">
        <f>IFERROR(__xludf.DUMMYFUNCTION("""COMPUTED_VALUE"""),"％")</f>
        <v>％</v>
      </c>
      <c r="N76" s="259">
        <f>IFERROR(__xludf.DUMMYFUNCTION("""COMPUTED_VALUE"""),4189.0)</f>
        <v>4189</v>
      </c>
      <c r="O76" s="263"/>
      <c r="P76" s="93" t="str">
        <f>IFERROR(__xludf.DUMMYFUNCTION("""COMPUTED_VALUE"""),"")</f>
        <v/>
      </c>
      <c r="Q76" s="166"/>
      <c r="R76" s="254"/>
      <c r="S76" s="263"/>
      <c r="T76" s="256">
        <f>IFERROR(__xludf.DUMMYFUNCTION("""COMPUTED_VALUE"""),5.0)</f>
        <v>5</v>
      </c>
      <c r="U76" s="257" t="str">
        <f>IFERROR(__xludf.DUMMYFUNCTION("""COMPUTED_VALUE"""),"BBL6")</f>
        <v>BBL6</v>
      </c>
      <c r="V76" s="42" t="str">
        <f>IFERROR(__xludf.DUMMYFUNCTION("""COMPUTED_VALUE"""),"Babylonia")</f>
        <v>Babylonia</v>
      </c>
      <c r="W76" s="258" t="str">
        <f>IFERROR(__xludf.DUMMYFUNCTION("""COMPUTED_VALUE"""),"Ur")</f>
        <v>Ur</v>
      </c>
      <c r="X76" s="259">
        <f>IFERROR(__xludf.DUMMYFUNCTION("""COMPUTED_VALUE"""),21.0)</f>
        <v>21</v>
      </c>
      <c r="Y76" s="260">
        <f>IFERROR(__xludf.DUMMYFUNCTION("""COMPUTED_VALUE"""),45.523809523809526)</f>
        <v>45.52380952</v>
      </c>
      <c r="Z76" s="261">
        <f>IFERROR(__xludf.DUMMYFUNCTION("""COMPUTED_VALUE"""),91.63386477123629)</f>
        <v>91.63386477</v>
      </c>
      <c r="AA76" s="262" t="str">
        <f>IFERROR(__xludf.DUMMYFUNCTION("""COMPUTED_VALUE"""),"AP")</f>
        <v>AP</v>
      </c>
      <c r="AB76" s="261">
        <f>IFERROR(__xludf.DUMMYFUNCTION("""COMPUTED_VALUE"""),22.91729160657629)</f>
        <v>22.91729161</v>
      </c>
      <c r="AC76" s="262" t="str">
        <f>IFERROR(__xludf.DUMMYFUNCTION("""COMPUTED_VALUE"""),"％")</f>
        <v>％</v>
      </c>
      <c r="AD76" s="259">
        <f>IFERROR(__xludf.DUMMYFUNCTION("""COMPUTED_VALUE"""),20802.0)</f>
        <v>20802</v>
      </c>
      <c r="AE76" s="263"/>
      <c r="AF76" s="98" t="str">
        <f>IFERROR(__xludf.DUMMYFUNCTION("""COMPUTED_VALUE"""),"")</f>
        <v/>
      </c>
    </row>
    <row r="77" ht="16.5" customHeight="1">
      <c r="A77" s="25" t="str">
        <f>IFERROR(__xludf.DUMMYFUNCTION("""COMPUTED_VALUE"""),"Item")</f>
        <v>Item</v>
      </c>
      <c r="B77" s="27"/>
      <c r="C77" s="28"/>
      <c r="D77" s="30" t="str">
        <f>IFERROR(__xludf.DUMMYFUNCTION("""COMPUTED_VALUE"""),"No.")</f>
        <v>No.</v>
      </c>
      <c r="E77" s="31" t="str">
        <f>IFERROR(__xludf.DUMMYFUNCTION("""COMPUTED_VALUE"""),"Node Code")</f>
        <v>Node Code</v>
      </c>
      <c r="F77" s="31" t="str">
        <f>IFERROR(__xludf.DUMMYFUNCTION("""COMPUTED_VALUE"""),"Area")</f>
        <v>Area</v>
      </c>
      <c r="G77" s="31" t="str">
        <f>IFERROR(__xludf.DUMMYFUNCTION("""COMPUTED_VALUE"""),"Quest")</f>
        <v>Quest</v>
      </c>
      <c r="H77" s="30" t="str">
        <f>IFERROR(__xludf.DUMMYFUNCTION("""COMPUTED_VALUE"""),"AP")</f>
        <v>AP</v>
      </c>
      <c r="I77" s="34" t="str">
        <f>IFERROR(__xludf.DUMMYFUNCTION("""COMPUTED_VALUE"""),"BP/AP")</f>
        <v>BP/AP</v>
      </c>
      <c r="J77" s="36" t="str">
        <f>IFERROR(__xludf.DUMMYFUNCTION("""COMPUTED_VALUE"""),"AP/Drop")</f>
        <v>AP/Drop</v>
      </c>
      <c r="K77" s="28"/>
      <c r="L77" s="36" t="str">
        <f>IFERROR(__xludf.DUMMYFUNCTION("""COMPUTED_VALUE"""),"Drop Chance")</f>
        <v>Drop Chance</v>
      </c>
      <c r="M77" s="28"/>
      <c r="N77" s="38" t="str">
        <f>IFERROR(__xludf.DUMMYFUNCTION("""COMPUTED_VALUE"""),"Runs")</f>
        <v>Runs</v>
      </c>
      <c r="O77" s="40" t="str">
        <f>IFERROR(__xludf.DUMMYFUNCTION("""COMPUTED_VALUE"""),"")</f>
        <v/>
      </c>
      <c r="P77" s="42" t="str">
        <f>IFERROR(__xludf.DUMMYFUNCTION("""COMPUTED_VALUE"""),"")</f>
        <v/>
      </c>
      <c r="Q77" s="25" t="str">
        <f>IFERROR(__xludf.DUMMYFUNCTION("""COMPUTED_VALUE"""),"Item")</f>
        <v>Item</v>
      </c>
      <c r="R77" s="27"/>
      <c r="S77" s="28"/>
      <c r="T77" s="30" t="str">
        <f>IFERROR(__xludf.DUMMYFUNCTION("""COMPUTED_VALUE"""),"No.")</f>
        <v>No.</v>
      </c>
      <c r="U77" s="31" t="str">
        <f>IFERROR(__xludf.DUMMYFUNCTION("""COMPUTED_VALUE"""),"Node Code")</f>
        <v>Node Code</v>
      </c>
      <c r="V77" s="31" t="str">
        <f>IFERROR(__xludf.DUMMYFUNCTION("""COMPUTED_VALUE"""),"Area")</f>
        <v>Area</v>
      </c>
      <c r="W77" s="31" t="str">
        <f>IFERROR(__xludf.DUMMYFUNCTION("""COMPUTED_VALUE"""),"Quest")</f>
        <v>Quest</v>
      </c>
      <c r="X77" s="30" t="str">
        <f>IFERROR(__xludf.DUMMYFUNCTION("""COMPUTED_VALUE"""),"AP")</f>
        <v>AP</v>
      </c>
      <c r="Y77" s="34" t="str">
        <f>IFERROR(__xludf.DUMMYFUNCTION("""COMPUTED_VALUE"""),"BP/AP")</f>
        <v>BP/AP</v>
      </c>
      <c r="Z77" s="36" t="str">
        <f>IFERROR(__xludf.DUMMYFUNCTION("""COMPUTED_VALUE"""),"AP/Drop")</f>
        <v>AP/Drop</v>
      </c>
      <c r="AA77" s="28"/>
      <c r="AB77" s="36" t="str">
        <f>IFERROR(__xludf.DUMMYFUNCTION("""COMPUTED_VALUE"""),"Drop Chance")</f>
        <v>Drop Chance</v>
      </c>
      <c r="AC77" s="28"/>
      <c r="AD77" s="38" t="str">
        <f>IFERROR(__xludf.DUMMYFUNCTION("""COMPUTED_VALUE"""),"Runs")</f>
        <v>Runs</v>
      </c>
      <c r="AE77" s="40" t="str">
        <f>IFERROR(__xludf.DUMMYFUNCTION("""COMPUTED_VALUE"""),"")</f>
        <v/>
      </c>
      <c r="AF77" s="51" t="str">
        <f>IFERROR(__xludf.DUMMYFUNCTION("""COMPUTED_VALUE"""),"")</f>
        <v/>
      </c>
    </row>
    <row r="78" ht="16.5" customHeight="1">
      <c r="A78" s="54"/>
      <c r="B78" s="55"/>
      <c r="C78" s="57"/>
      <c r="D78" s="57"/>
      <c r="E78" s="57"/>
      <c r="F78" s="57"/>
      <c r="G78" s="57"/>
      <c r="H78" s="57"/>
      <c r="I78" s="58" t="str">
        <f>IFERROR(__xludf.DUMMYFUNCTION("""COMPUTED_VALUE"""),"1P+2L")</f>
        <v>1P+2L</v>
      </c>
      <c r="J78" s="55"/>
      <c r="K78" s="57"/>
      <c r="L78" s="55"/>
      <c r="M78" s="57"/>
      <c r="N78" s="57"/>
      <c r="O78" s="57"/>
      <c r="P78" s="42" t="str">
        <f>IFERROR(__xludf.DUMMYFUNCTION("""COMPUTED_VALUE"""),"")</f>
        <v/>
      </c>
      <c r="Q78" s="54"/>
      <c r="R78" s="55"/>
      <c r="S78" s="57"/>
      <c r="T78" s="57"/>
      <c r="U78" s="57"/>
      <c r="V78" s="57"/>
      <c r="W78" s="57"/>
      <c r="X78" s="57"/>
      <c r="Y78" s="58" t="str">
        <f>IFERROR(__xludf.DUMMYFUNCTION("""COMPUTED_VALUE"""),"1P+2L")</f>
        <v>1P+2L</v>
      </c>
      <c r="Z78" s="55"/>
      <c r="AA78" s="57"/>
      <c r="AB78" s="55"/>
      <c r="AC78" s="57"/>
      <c r="AD78" s="57"/>
      <c r="AE78" s="57"/>
      <c r="AF78" s="51" t="str">
        <f>IFERROR(__xludf.DUMMYFUNCTION("""COMPUTED_VALUE"""),"")</f>
        <v/>
      </c>
    </row>
    <row r="79" ht="16.5" customHeight="1">
      <c r="A79" s="61" t="str">
        <f>IFERROR(__xludf.DUMMYFUNCTION("""COMPUTED_VALUE"""),"")</f>
        <v/>
      </c>
      <c r="B79" s="63" t="str">
        <f>IFERROR(__xludf.DUMMYFUNCTION("""COMPUTED_VALUE"""),"A206")</f>
        <v>A206</v>
      </c>
      <c r="C79" s="65" t="str">
        <f>IFERROR(__xludf.DUMMYFUNCTION("""COMPUTED_VALUE"""),"Eternal Gear")</f>
        <v>Eternal Gear</v>
      </c>
      <c r="D79" s="67">
        <f>IFERROR(__xludf.DUMMYFUNCTION("""COMPUTED_VALUE"""),1.0)</f>
        <v>1</v>
      </c>
      <c r="E79" s="69" t="str">
        <f>IFERROR(__xludf.DUMMYFUNCTION("""COMPUTED_VALUE"""),"SJK6")</f>
        <v>SJK6</v>
      </c>
      <c r="F79" s="71" t="str">
        <f>IFERROR(__xludf.DUMMYFUNCTION("""COMPUTED_VALUE"""),"Shinjuku")</f>
        <v>Shinjuku</v>
      </c>
      <c r="G79" s="78" t="str">
        <f>IFERROR(__xludf.DUMMYFUNCTION("""COMPUTED_VALUE"""),"Barrel Tower")</f>
        <v>Barrel Tower</v>
      </c>
      <c r="H79" s="80">
        <f>IFERROR(__xludf.DUMMYFUNCTION("""COMPUTED_VALUE"""),21.0)</f>
        <v>21</v>
      </c>
      <c r="I79" s="82">
        <f>IFERROR(__xludf.DUMMYFUNCTION("""COMPUTED_VALUE"""),46.666666666666664)</f>
        <v>46.66666667</v>
      </c>
      <c r="J79" s="84">
        <f>IFERROR(__xludf.DUMMYFUNCTION("""COMPUTED_VALUE"""),46.01229599228483)</f>
        <v>46.01229599</v>
      </c>
      <c r="K79" s="86" t="str">
        <f>IFERROR(__xludf.DUMMYFUNCTION("""COMPUTED_VALUE"""),"AP")</f>
        <v>AP</v>
      </c>
      <c r="L79" s="88">
        <f>IFERROR(__xludf.DUMMYFUNCTION("""COMPUTED_VALUE"""),45.63997415717139)</f>
        <v>45.63997416</v>
      </c>
      <c r="M79" s="86" t="str">
        <f>IFERROR(__xludf.DUMMYFUNCTION("""COMPUTED_VALUE"""),"％")</f>
        <v>％</v>
      </c>
      <c r="N79" s="80">
        <f>IFERROR(__xludf.DUMMYFUNCTION("""COMPUTED_VALUE"""),8513.0)</f>
        <v>8513</v>
      </c>
      <c r="O79" s="97" t="str">
        <f>IFERROR(__xludf.DUMMYFUNCTION("""COMPUTED_VALUE"""),"Eternal Gear")</f>
        <v>Eternal Gear</v>
      </c>
      <c r="P79" s="362" t="str">
        <f>IFERROR(__xludf.DUMMYFUNCTION("""COMPUTED_VALUE"""),"")</f>
        <v/>
      </c>
      <c r="Q79" s="61" t="str">
        <f>IFERROR(__xludf.DUMMYFUNCTION("""COMPUTED_VALUE"""),"")</f>
        <v/>
      </c>
      <c r="R79" s="363" t="str">
        <f>IFERROR(__xludf.DUMMYFUNCTION("""COMPUTED_VALUE"""),"B121")</f>
        <v>B121</v>
      </c>
      <c r="S79" s="65" t="str">
        <f>IFERROR(__xludf.DUMMYFUNCTION("""COMPUTED_VALUE"""),"Gem of Saber")</f>
        <v>Gem of Saber</v>
      </c>
      <c r="T79" s="67">
        <f>IFERROR(__xludf.DUMMYFUNCTION("""COMPUTED_VALUE"""),1.0)</f>
        <v>1</v>
      </c>
      <c r="U79" s="69" t="str">
        <f>IFERROR(__xludf.DUMMYFUNCTION("""COMPUTED_VALUE"""),"TRF25")</f>
        <v>TRF25</v>
      </c>
      <c r="V79" s="71" t="str">
        <f>IFERROR(__xludf.DUMMYFUNCTION("""COMPUTED_VALUE"""),"Chaldea Gate (Sun)")</f>
        <v>Chaldea Gate (Sun)</v>
      </c>
      <c r="W79" s="71" t="str">
        <f>IFERROR(__xludf.DUMMYFUNCTION("""COMPUTED_VALUE"""),"SUN Saber Training Ground- Nov")</f>
        <v>SUN Saber Training Ground- Nov</v>
      </c>
      <c r="X79" s="80">
        <f>IFERROR(__xludf.DUMMYFUNCTION("""COMPUTED_VALUE"""),10.0)</f>
        <v>10</v>
      </c>
      <c r="Y79" s="82">
        <f>IFERROR(__xludf.DUMMYFUNCTION("""COMPUTED_VALUE"""),18.8)</f>
        <v>18.8</v>
      </c>
      <c r="Z79" s="84">
        <f>IFERROR(__xludf.DUMMYFUNCTION("""COMPUTED_VALUE"""),7.7327371045436255)</f>
        <v>7.732737105</v>
      </c>
      <c r="AA79" s="86" t="str">
        <f>IFERROR(__xludf.DUMMYFUNCTION("""COMPUTED_VALUE"""),"AP")</f>
        <v>AP</v>
      </c>
      <c r="AB79" s="88">
        <f>IFERROR(__xludf.DUMMYFUNCTION("""COMPUTED_VALUE"""),129.32031523642732)</f>
        <v>129.3203152</v>
      </c>
      <c r="AC79" s="86" t="str">
        <f>IFERROR(__xludf.DUMMYFUNCTION("""COMPUTED_VALUE"""),"％")</f>
        <v>％</v>
      </c>
      <c r="AD79" s="80">
        <f>IFERROR(__xludf.DUMMYFUNCTION("""COMPUTED_VALUE"""),4568.0)</f>
        <v>4568</v>
      </c>
      <c r="AE79" s="91" t="str">
        <f>IFERROR(__xludf.DUMMYFUNCTION("""COMPUTED_VALUE"""),"Gem of Saber")</f>
        <v>Gem of Saber</v>
      </c>
      <c r="AF79" s="364" t="str">
        <f>IFERROR(__xludf.DUMMYFUNCTION("""COMPUTED_VALUE"""),"")</f>
        <v/>
      </c>
    </row>
    <row r="80" ht="16.5" customHeight="1">
      <c r="B80" s="99"/>
      <c r="C80" s="100"/>
      <c r="D80" s="102">
        <f>IFERROR(__xludf.DUMMYFUNCTION("""COMPUTED_VALUE"""),2.0)</f>
        <v>2</v>
      </c>
      <c r="E80" s="103" t="str">
        <f>IFERROR(__xludf.DUMMYFUNCTION("""COMPUTED_VALUE"""),"EPU14")</f>
        <v>EPU14</v>
      </c>
      <c r="F80" s="104" t="str">
        <f>IFERROR(__xludf.DUMMYFUNCTION("""COMPUTED_VALUE"""),"E Pluribus Unum")</f>
        <v>E Pluribus Unum</v>
      </c>
      <c r="G80" s="108" t="str">
        <f>IFERROR(__xludf.DUMMYFUNCTION("""COMPUTED_VALUE"""),"Chicago")</f>
        <v>Chicago</v>
      </c>
      <c r="H80" s="109">
        <f>IFERROR(__xludf.DUMMYFUNCTION("""COMPUTED_VALUE"""),21.0)</f>
        <v>21</v>
      </c>
      <c r="I80" s="110">
        <f>IFERROR(__xludf.DUMMYFUNCTION("""COMPUTED_VALUE"""),46.666666666666664)</f>
        <v>46.66666667</v>
      </c>
      <c r="J80" s="112">
        <f>IFERROR(__xludf.DUMMYFUNCTION("""COMPUTED_VALUE"""),51.258916500263034)</f>
        <v>51.2589165</v>
      </c>
      <c r="K80" s="121" t="str">
        <f>IFERROR(__xludf.DUMMYFUNCTION("""COMPUTED_VALUE"""),"AP")</f>
        <v>AP</v>
      </c>
      <c r="L80" s="123">
        <f>IFERROR(__xludf.DUMMYFUNCTION("""COMPUTED_VALUE"""),40.96848203939746)</f>
        <v>40.96848204</v>
      </c>
      <c r="M80" s="121" t="str">
        <f>IFERROR(__xludf.DUMMYFUNCTION("""COMPUTED_VALUE"""),"％")</f>
        <v>％</v>
      </c>
      <c r="N80" s="109">
        <f>IFERROR(__xludf.DUMMYFUNCTION("""COMPUTED_VALUE"""),3452.0)</f>
        <v>3452</v>
      </c>
      <c r="O80" s="100"/>
      <c r="P80" s="362" t="str">
        <f>IFERROR(__xludf.DUMMYFUNCTION("""COMPUTED_VALUE"""),"")</f>
        <v/>
      </c>
      <c r="R80" s="99"/>
      <c r="S80" s="100"/>
      <c r="T80" s="102">
        <f>IFERROR(__xludf.DUMMYFUNCTION("""COMPUTED_VALUE"""),2.0)</f>
        <v>2</v>
      </c>
      <c r="U80" s="103" t="str">
        <f>IFERROR(__xludf.DUMMYFUNCTION("""COMPUTED_VALUE"""),"TRF26")</f>
        <v>TRF26</v>
      </c>
      <c r="V80" s="104" t="str">
        <f>IFERROR(__xludf.DUMMYFUNCTION("""COMPUTED_VALUE"""),"Chaldea Gate (Sun)")</f>
        <v>Chaldea Gate (Sun)</v>
      </c>
      <c r="W80" s="104" t="str">
        <f>IFERROR(__xludf.DUMMYFUNCTION("""COMPUTED_VALUE"""),"SUN Saber Training Ground- Int")</f>
        <v>SUN Saber Training Ground- Int</v>
      </c>
      <c r="X80" s="109">
        <f>IFERROR(__xludf.DUMMYFUNCTION("""COMPUTED_VALUE"""),20.0)</f>
        <v>20</v>
      </c>
      <c r="Y80" s="110">
        <f>IFERROR(__xludf.DUMMYFUNCTION("""COMPUTED_VALUE"""),18.4)</f>
        <v>18.4</v>
      </c>
      <c r="Z80" s="112">
        <f>IFERROR(__xludf.DUMMYFUNCTION("""COMPUTED_VALUE"""),18.25578335930701)</f>
        <v>18.25578336</v>
      </c>
      <c r="AA80" s="121" t="str">
        <f>IFERROR(__xludf.DUMMYFUNCTION("""COMPUTED_VALUE"""),"AP")</f>
        <v>AP</v>
      </c>
      <c r="AB80" s="123">
        <f>IFERROR(__xludf.DUMMYFUNCTION("""COMPUTED_VALUE"""),109.55432372505543)</f>
        <v>109.5543237</v>
      </c>
      <c r="AC80" s="121" t="str">
        <f>IFERROR(__xludf.DUMMYFUNCTION("""COMPUTED_VALUE"""),"％")</f>
        <v>％</v>
      </c>
      <c r="AD80" s="109">
        <f>IFERROR(__xludf.DUMMYFUNCTION("""COMPUTED_VALUE"""),451.0)</f>
        <v>451</v>
      </c>
      <c r="AE80" s="100"/>
      <c r="AF80" s="364" t="str">
        <f>IFERROR(__xludf.DUMMYFUNCTION("""COMPUTED_VALUE"""),"")</f>
        <v/>
      </c>
    </row>
    <row r="81" ht="16.5" customHeight="1">
      <c r="B81" s="99"/>
      <c r="C81" s="100"/>
      <c r="D81" s="130">
        <f>IFERROR(__xludf.DUMMYFUNCTION("""COMPUTED_VALUE"""),3.0)</f>
        <v>3</v>
      </c>
      <c r="E81" s="132" t="str">
        <f>IFERROR(__xludf.DUMMYFUNCTION("""COMPUTED_VALUE"""),"SJK5")</f>
        <v>SJK5</v>
      </c>
      <c r="F81" s="133" t="str">
        <f>IFERROR(__xludf.DUMMYFUNCTION("""COMPUTED_VALUE"""),"Shinjuku")</f>
        <v>Shinjuku</v>
      </c>
      <c r="G81" s="135" t="str">
        <f>IFERROR(__xludf.DUMMYFUNCTION("""COMPUTED_VALUE"""),"Kabukicho")</f>
        <v>Kabukicho</v>
      </c>
      <c r="H81" s="137">
        <f>IFERROR(__xludf.DUMMYFUNCTION("""COMPUTED_VALUE"""),21.0)</f>
        <v>21</v>
      </c>
      <c r="I81" s="139">
        <f>IFERROR(__xludf.DUMMYFUNCTION("""COMPUTED_VALUE"""),46.666666666666664)</f>
        <v>46.66666667</v>
      </c>
      <c r="J81" s="141">
        <f>IFERROR(__xludf.DUMMYFUNCTION("""COMPUTED_VALUE"""),66.95238502701955)</f>
        <v>66.95238503</v>
      </c>
      <c r="K81" s="143" t="str">
        <f>IFERROR(__xludf.DUMMYFUNCTION("""COMPUTED_VALUE"""),"AP")</f>
        <v>AP</v>
      </c>
      <c r="L81" s="145">
        <f>IFERROR(__xludf.DUMMYFUNCTION("""COMPUTED_VALUE"""),31.36557419354839)</f>
        <v>31.36557419</v>
      </c>
      <c r="M81" s="143" t="str">
        <f>IFERROR(__xludf.DUMMYFUNCTION("""COMPUTED_VALUE"""),"％")</f>
        <v>％</v>
      </c>
      <c r="N81" s="137">
        <f>IFERROR(__xludf.DUMMYFUNCTION("""COMPUTED_VALUE"""),3875.0)</f>
        <v>3875</v>
      </c>
      <c r="O81" s="100"/>
      <c r="P81" s="362" t="str">
        <f>IFERROR(__xludf.DUMMYFUNCTION("""COMPUTED_VALUE"""),"")</f>
        <v/>
      </c>
      <c r="R81" s="99"/>
      <c r="S81" s="100"/>
      <c r="T81" s="130">
        <f>IFERROR(__xludf.DUMMYFUNCTION("""COMPUTED_VALUE"""),3.0)</f>
        <v>3</v>
      </c>
      <c r="U81" s="132" t="str">
        <f>IFERROR(__xludf.DUMMYFUNCTION("""COMPUTED_VALUE"""),"FUY1")</f>
        <v>FUY1</v>
      </c>
      <c r="V81" s="133" t="str">
        <f>IFERROR(__xludf.DUMMYFUNCTION("""COMPUTED_VALUE"""),"Fuyuki")</f>
        <v>Fuyuki</v>
      </c>
      <c r="W81" s="135" t="str">
        <f>IFERROR(__xludf.DUMMYFUNCTION("""COMPUTED_VALUE"""),"Unknown Coordinates X-A")</f>
        <v>Unknown Coordinates X-A</v>
      </c>
      <c r="X81" s="137">
        <f>IFERROR(__xludf.DUMMYFUNCTION("""COMPUTED_VALUE"""),3.0)</f>
        <v>3</v>
      </c>
      <c r="Y81" s="139">
        <f>IFERROR(__xludf.DUMMYFUNCTION("""COMPUTED_VALUE"""),26.666666666666668)</f>
        <v>26.66666667</v>
      </c>
      <c r="Z81" s="141">
        <f>IFERROR(__xludf.DUMMYFUNCTION("""COMPUTED_VALUE"""),20.004682583208105)</f>
        <v>20.00468258</v>
      </c>
      <c r="AA81" s="143" t="str">
        <f>IFERROR(__xludf.DUMMYFUNCTION("""COMPUTED_VALUE"""),"AP")</f>
        <v>AP</v>
      </c>
      <c r="AB81" s="145">
        <f>IFERROR(__xludf.DUMMYFUNCTION("""COMPUTED_VALUE"""),14.99648888464841)</f>
        <v>14.99648888</v>
      </c>
      <c r="AC81" s="143" t="str">
        <f>IFERROR(__xludf.DUMMYFUNCTION("""COMPUTED_VALUE"""),"％")</f>
        <v>％</v>
      </c>
      <c r="AD81" s="137">
        <f>IFERROR(__xludf.DUMMYFUNCTION("""COMPUTED_VALUE"""),262025.0)</f>
        <v>262025</v>
      </c>
      <c r="AE81" s="100"/>
      <c r="AF81" s="364" t="str">
        <f>IFERROR(__xludf.DUMMYFUNCTION("""COMPUTED_VALUE"""),"")</f>
        <v/>
      </c>
    </row>
    <row r="82" ht="16.5" customHeight="1">
      <c r="B82" s="99"/>
      <c r="C82" s="100"/>
      <c r="D82" s="146">
        <f>IFERROR(__xludf.DUMMYFUNCTION("""COMPUTED_VALUE"""),4.0)</f>
        <v>4</v>
      </c>
      <c r="E82" s="148" t="str">
        <f>IFERROR(__xludf.DUMMYFUNCTION("""COMPUTED_VALUE"""),"LDN7")</f>
        <v>LDN7</v>
      </c>
      <c r="F82" s="150" t="str">
        <f>IFERROR(__xludf.DUMMYFUNCTION("""COMPUTED_VALUE"""),"London")</f>
        <v>London</v>
      </c>
      <c r="G82" s="152" t="str">
        <f>IFERROR(__xludf.DUMMYFUNCTION("""COMPUTED_VALUE"""),"Clerkenwell")</f>
        <v>Clerkenwell</v>
      </c>
      <c r="H82" s="154">
        <f>IFERROR(__xludf.DUMMYFUNCTION("""COMPUTED_VALUE"""),18.0)</f>
        <v>18</v>
      </c>
      <c r="I82" s="156">
        <f>IFERROR(__xludf.DUMMYFUNCTION("""COMPUTED_VALUE"""),43.77777777777778)</f>
        <v>43.77777778</v>
      </c>
      <c r="J82" s="158">
        <f>IFERROR(__xludf.DUMMYFUNCTION("""COMPUTED_VALUE"""),70.22763496669255)</f>
        <v>70.22763497</v>
      </c>
      <c r="K82" s="160" t="str">
        <f>IFERROR(__xludf.DUMMYFUNCTION("""COMPUTED_VALUE"""),"AP")</f>
        <v>AP</v>
      </c>
      <c r="L82" s="162">
        <f>IFERROR(__xludf.DUMMYFUNCTION("""COMPUTED_VALUE"""),25.630935754189945)</f>
        <v>25.63093575</v>
      </c>
      <c r="M82" s="160" t="str">
        <f>IFERROR(__xludf.DUMMYFUNCTION("""COMPUTED_VALUE"""),"％")</f>
        <v>％</v>
      </c>
      <c r="N82" s="154">
        <f>IFERROR(__xludf.DUMMYFUNCTION("""COMPUTED_VALUE"""),2864.0)</f>
        <v>2864</v>
      </c>
      <c r="O82" s="100"/>
      <c r="P82" s="362" t="str">
        <f>IFERROR(__xludf.DUMMYFUNCTION("""COMPUTED_VALUE"""),"")</f>
        <v/>
      </c>
      <c r="R82" s="99"/>
      <c r="S82" s="100"/>
      <c r="T82" s="146">
        <f>IFERROR(__xludf.DUMMYFUNCTION("""COMPUTED_VALUE"""),4.0)</f>
        <v>4</v>
      </c>
      <c r="U82" s="148" t="str">
        <f>IFERROR(__xludf.DUMMYFUNCTION("""COMPUTED_VALUE"""),"FUY3")</f>
        <v>FUY3</v>
      </c>
      <c r="V82" s="150" t="str">
        <f>IFERROR(__xludf.DUMMYFUNCTION("""COMPUTED_VALUE"""),"Fuyuki")</f>
        <v>Fuyuki</v>
      </c>
      <c r="W82" s="152" t="str">
        <f>IFERROR(__xludf.DUMMYFUNCTION("""COMPUTED_VALUE"""),"Unknown Coordinates X-C")</f>
        <v>Unknown Coordinates X-C</v>
      </c>
      <c r="X82" s="154">
        <f>IFERROR(__xludf.DUMMYFUNCTION("""COMPUTED_VALUE"""),4.0)</f>
        <v>4</v>
      </c>
      <c r="Y82" s="156">
        <f>IFERROR(__xludf.DUMMYFUNCTION("""COMPUTED_VALUE"""),23.0)</f>
        <v>23</v>
      </c>
      <c r="Z82" s="158">
        <f>IFERROR(__xludf.DUMMYFUNCTION("""COMPUTED_VALUE"""),20.482354863032704)</f>
        <v>20.48235486</v>
      </c>
      <c r="AA82" s="160" t="str">
        <f>IFERROR(__xludf.DUMMYFUNCTION("""COMPUTED_VALUE"""),"AP")</f>
        <v>AP</v>
      </c>
      <c r="AB82" s="162">
        <f>IFERROR(__xludf.DUMMYFUNCTION("""COMPUTED_VALUE"""),19.52900448580424)</f>
        <v>19.52900449</v>
      </c>
      <c r="AC82" s="160" t="str">
        <f>IFERROR(__xludf.DUMMYFUNCTION("""COMPUTED_VALUE"""),"％")</f>
        <v>％</v>
      </c>
      <c r="AD82" s="154">
        <f>IFERROR(__xludf.DUMMYFUNCTION("""COMPUTED_VALUE"""),35891.0)</f>
        <v>35891</v>
      </c>
      <c r="AE82" s="100"/>
      <c r="AF82" s="364" t="str">
        <f>IFERROR(__xludf.DUMMYFUNCTION("""COMPUTED_VALUE"""),"")</f>
        <v/>
      </c>
    </row>
    <row r="83" ht="16.5" customHeight="1">
      <c r="A83" s="166"/>
      <c r="B83" s="167"/>
      <c r="C83" s="168"/>
      <c r="D83" s="169">
        <f>IFERROR(__xludf.DUMMYFUNCTION("""COMPUTED_VALUE"""),5.0)</f>
        <v>5</v>
      </c>
      <c r="E83" s="170" t="str">
        <f>IFERROR(__xludf.DUMMYFUNCTION("""COMPUTED_VALUE"""),"EPU1")</f>
        <v>EPU1</v>
      </c>
      <c r="F83" s="51" t="str">
        <f>IFERROR(__xludf.DUMMYFUNCTION("""COMPUTED_VALUE"""),"E Pluribus Unum")</f>
        <v>E Pluribus Unum</v>
      </c>
      <c r="G83" s="171" t="str">
        <f>IFERROR(__xludf.DUMMYFUNCTION("""COMPUTED_VALUE"""),"Black Hills")</f>
        <v>Black Hills</v>
      </c>
      <c r="H83" s="172">
        <f>IFERROR(__xludf.DUMMYFUNCTION("""COMPUTED_VALUE"""),17.0)</f>
        <v>17</v>
      </c>
      <c r="I83" s="173">
        <f>IFERROR(__xludf.DUMMYFUNCTION("""COMPUTED_VALUE"""),40.705882352941174)</f>
        <v>40.70588235</v>
      </c>
      <c r="J83" s="174">
        <f>IFERROR(__xludf.DUMMYFUNCTION("""COMPUTED_VALUE"""),97.46219592373438)</f>
        <v>97.46219592</v>
      </c>
      <c r="K83" s="175" t="str">
        <f>IFERROR(__xludf.DUMMYFUNCTION("""COMPUTED_VALUE"""),"AP")</f>
        <v>AP</v>
      </c>
      <c r="L83" s="176">
        <f>IFERROR(__xludf.DUMMYFUNCTION("""COMPUTED_VALUE"""),17.442660550458715)</f>
        <v>17.44266055</v>
      </c>
      <c r="M83" s="175" t="str">
        <f>IFERROR(__xludf.DUMMYFUNCTION("""COMPUTED_VALUE"""),"％")</f>
        <v>％</v>
      </c>
      <c r="N83" s="172">
        <f>IFERROR(__xludf.DUMMYFUNCTION("""COMPUTED_VALUE"""),218.0)</f>
        <v>218</v>
      </c>
      <c r="O83" s="168"/>
      <c r="P83" s="362" t="str">
        <f>IFERROR(__xludf.DUMMYFUNCTION("""COMPUTED_VALUE"""),"")</f>
        <v/>
      </c>
      <c r="Q83" s="166"/>
      <c r="R83" s="167"/>
      <c r="S83" s="168"/>
      <c r="T83" s="169">
        <f>IFERROR(__xludf.DUMMYFUNCTION("""COMPUTED_VALUE"""),5.0)</f>
        <v>5</v>
      </c>
      <c r="U83" s="170" t="str">
        <f>IFERROR(__xludf.DUMMYFUNCTION("""COMPUTED_VALUE"""),"FUY4")</f>
        <v>FUY4</v>
      </c>
      <c r="V83" s="51" t="str">
        <f>IFERROR(__xludf.DUMMYFUNCTION("""COMPUTED_VALUE"""),"Fuyuki")</f>
        <v>Fuyuki</v>
      </c>
      <c r="W83" s="171" t="str">
        <f>IFERROR(__xludf.DUMMYFUNCTION("""COMPUTED_VALUE"""),"Unknown Coordinates X-D")</f>
        <v>Unknown Coordinates X-D</v>
      </c>
      <c r="X83" s="172">
        <f>IFERROR(__xludf.DUMMYFUNCTION("""COMPUTED_VALUE"""),5.0)</f>
        <v>5</v>
      </c>
      <c r="Y83" s="173">
        <f>IFERROR(__xludf.DUMMYFUNCTION("""COMPUTED_VALUE"""),23.2)</f>
        <v>23.2</v>
      </c>
      <c r="Z83" s="174">
        <f>IFERROR(__xludf.DUMMYFUNCTION("""COMPUTED_VALUE"""),22.430227565478745)</f>
        <v>22.43022757</v>
      </c>
      <c r="AA83" s="175" t="str">
        <f>IFERROR(__xludf.DUMMYFUNCTION("""COMPUTED_VALUE"""),"AP")</f>
        <v>AP</v>
      </c>
      <c r="AB83" s="176">
        <f>IFERROR(__xludf.DUMMYFUNCTION("""COMPUTED_VALUE"""),22.29134762633997)</f>
        <v>22.29134763</v>
      </c>
      <c r="AC83" s="175" t="str">
        <f>IFERROR(__xludf.DUMMYFUNCTION("""COMPUTED_VALUE"""),"％")</f>
        <v>％</v>
      </c>
      <c r="AD83" s="172">
        <f>IFERROR(__xludf.DUMMYFUNCTION("""COMPUTED_VALUE"""),2612.0)</f>
        <v>2612</v>
      </c>
      <c r="AE83" s="168"/>
      <c r="AF83" s="364" t="str">
        <f>IFERROR(__xludf.DUMMYFUNCTION("""COMPUTED_VALUE"""),"")</f>
        <v/>
      </c>
    </row>
    <row r="84" ht="16.5" customHeight="1">
      <c r="A84" s="61" t="str">
        <f>IFERROR(__xludf.DUMMYFUNCTION("""COMPUTED_VALUE"""),"")</f>
        <v/>
      </c>
      <c r="B84" s="366" t="str">
        <f>IFERROR(__xludf.DUMMYFUNCTION("""COMPUTED_VALUE"""),"A207")</f>
        <v>A207</v>
      </c>
      <c r="C84" s="180" t="str">
        <f>IFERROR(__xludf.DUMMYFUNCTION("""COMPUTED_VALUE"""),"Forbidden Page")</f>
        <v>Forbidden Page</v>
      </c>
      <c r="D84" s="181">
        <f>IFERROR(__xludf.DUMMYFUNCTION("""COMPUTED_VALUE"""),1.0)</f>
        <v>1</v>
      </c>
      <c r="E84" s="182" t="str">
        <f>IFERROR(__xludf.DUMMYFUNCTION("""COMPUTED_VALUE"""),"SJK10")</f>
        <v>SJK10</v>
      </c>
      <c r="F84" s="184" t="str">
        <f>IFERROR(__xludf.DUMMYFUNCTION("""COMPUTED_VALUE"""),"Shinjuku")</f>
        <v>Shinjuku</v>
      </c>
      <c r="G84" s="189" t="str">
        <f>IFERROR(__xludf.DUMMYFUNCTION("""COMPUTED_VALUE"""),"Shinjuku 2-chome")</f>
        <v>Shinjuku 2-chome</v>
      </c>
      <c r="H84" s="190">
        <f>IFERROR(__xludf.DUMMYFUNCTION("""COMPUTED_VALUE"""),21.0)</f>
        <v>21</v>
      </c>
      <c r="I84" s="191">
        <f>IFERROR(__xludf.DUMMYFUNCTION("""COMPUTED_VALUE"""),48.95238095238095)</f>
        <v>48.95238095</v>
      </c>
      <c r="J84" s="192">
        <f>IFERROR(__xludf.DUMMYFUNCTION("""COMPUTED_VALUE"""),69.01769669351253)</f>
        <v>69.01769669</v>
      </c>
      <c r="K84" s="194" t="str">
        <f>IFERROR(__xludf.DUMMYFUNCTION("""COMPUTED_VALUE"""),"AP")</f>
        <v>AP</v>
      </c>
      <c r="L84" s="192">
        <f>IFERROR(__xludf.DUMMYFUNCTION("""COMPUTED_VALUE"""),30.426978885219654)</f>
        <v>30.42697889</v>
      </c>
      <c r="M84" s="194" t="str">
        <f>IFERROR(__xludf.DUMMYFUNCTION("""COMPUTED_VALUE"""),"％")</f>
        <v>％</v>
      </c>
      <c r="N84" s="190">
        <f>IFERROR(__xludf.DUMMYFUNCTION("""COMPUTED_VALUE"""),39972.0)</f>
        <v>39972</v>
      </c>
      <c r="O84" s="197" t="str">
        <f>IFERROR(__xludf.DUMMYFUNCTION("""COMPUTED_VALUE"""),"Forbidden Page")</f>
        <v>Forbidden Page</v>
      </c>
      <c r="P84" s="93" t="str">
        <f>IFERROR(__xludf.DUMMYFUNCTION("""COMPUTED_VALUE"""),"")</f>
        <v/>
      </c>
      <c r="Q84" s="61" t="str">
        <f>IFERROR(__xludf.DUMMYFUNCTION("""COMPUTED_VALUE"""),"")</f>
        <v/>
      </c>
      <c r="R84" s="366" t="str">
        <f>IFERROR(__xludf.DUMMYFUNCTION("""COMPUTED_VALUE"""),"B122")</f>
        <v>B122</v>
      </c>
      <c r="S84" s="180" t="str">
        <f>IFERROR(__xludf.DUMMYFUNCTION("""COMPUTED_VALUE"""),"Gem of Archer")</f>
        <v>Gem of Archer</v>
      </c>
      <c r="T84" s="181">
        <f>IFERROR(__xludf.DUMMYFUNCTION("""COMPUTED_VALUE"""),1.0)</f>
        <v>1</v>
      </c>
      <c r="U84" s="182" t="str">
        <f>IFERROR(__xludf.DUMMYFUNCTION("""COMPUTED_VALUE"""),"TRF1")</f>
        <v>TRF1</v>
      </c>
      <c r="V84" s="184" t="str">
        <f>IFERROR(__xludf.DUMMYFUNCTION("""COMPUTED_VALUE"""),"Chaldea Gate (Mon)")</f>
        <v>Chaldea Gate (Mon)</v>
      </c>
      <c r="W84" s="184" t="str">
        <f>IFERROR(__xludf.DUMMYFUNCTION("""COMPUTED_VALUE"""),"MON Archer Training Ground- Nov")</f>
        <v>MON Archer Training Ground- Nov</v>
      </c>
      <c r="X84" s="190">
        <f>IFERROR(__xludf.DUMMYFUNCTION("""COMPUTED_VALUE"""),10.0)</f>
        <v>10</v>
      </c>
      <c r="Y84" s="191">
        <f>IFERROR(__xludf.DUMMYFUNCTION("""COMPUTED_VALUE"""),18.8)</f>
        <v>18.8</v>
      </c>
      <c r="Z84" s="192">
        <f>IFERROR(__xludf.DUMMYFUNCTION("""COMPUTED_VALUE"""),7.42093531372073)</f>
        <v>7.420935314</v>
      </c>
      <c r="AA84" s="194" t="str">
        <f>IFERROR(__xludf.DUMMYFUNCTION("""COMPUTED_VALUE"""),"AP")</f>
        <v>AP</v>
      </c>
      <c r="AB84" s="192">
        <f>IFERROR(__xludf.DUMMYFUNCTION("""COMPUTED_VALUE"""),134.7539033457249)</f>
        <v>134.7539033</v>
      </c>
      <c r="AC84" s="194" t="str">
        <f>IFERROR(__xludf.DUMMYFUNCTION("""COMPUTED_VALUE"""),"％")</f>
        <v>％</v>
      </c>
      <c r="AD84" s="190">
        <f>IFERROR(__xludf.DUMMYFUNCTION("""COMPUTED_VALUE"""),1883.0)</f>
        <v>1883</v>
      </c>
      <c r="AE84" s="197" t="str">
        <f>IFERROR(__xludf.DUMMYFUNCTION("""COMPUTED_VALUE"""),"Gem of Archer")</f>
        <v>Gem of Archer</v>
      </c>
      <c r="AF84" s="98" t="str">
        <f>IFERROR(__xludf.DUMMYFUNCTION("""COMPUTED_VALUE"""),"")</f>
        <v/>
      </c>
    </row>
    <row r="85" ht="16.5" customHeight="1">
      <c r="C85" s="204"/>
      <c r="D85" s="205">
        <f>IFERROR(__xludf.DUMMYFUNCTION("""COMPUTED_VALUE"""),2.0)</f>
        <v>2</v>
      </c>
      <c r="E85" s="206" t="str">
        <f>IFERROR(__xludf.DUMMYFUNCTION("""COMPUTED_VALUE"""),"LDN9")</f>
        <v>LDN9</v>
      </c>
      <c r="F85" s="207" t="str">
        <f>IFERROR(__xludf.DUMMYFUNCTION("""COMPUTED_VALUE"""),"London")</f>
        <v>London</v>
      </c>
      <c r="G85" s="209" t="str">
        <f>IFERROR(__xludf.DUMMYFUNCTION("""COMPUTED_VALUE"""),"Hyde Park")</f>
        <v>Hyde Park</v>
      </c>
      <c r="H85" s="211">
        <f>IFERROR(__xludf.DUMMYFUNCTION("""COMPUTED_VALUE"""),20.0)</f>
        <v>20</v>
      </c>
      <c r="I85" s="213">
        <f>IFERROR(__xludf.DUMMYFUNCTION("""COMPUTED_VALUE"""),44.2)</f>
        <v>44.2</v>
      </c>
      <c r="J85" s="214">
        <f>IFERROR(__xludf.DUMMYFUNCTION("""COMPUTED_VALUE"""),73.75018333309625)</f>
        <v>73.75018333</v>
      </c>
      <c r="K85" s="215" t="str">
        <f>IFERROR(__xludf.DUMMYFUNCTION("""COMPUTED_VALUE"""),"AP")</f>
        <v>AP</v>
      </c>
      <c r="L85" s="214">
        <f>IFERROR(__xludf.DUMMYFUNCTION("""COMPUTED_VALUE"""),27.118576654472896)</f>
        <v>27.11857665</v>
      </c>
      <c r="M85" s="215" t="str">
        <f>IFERROR(__xludf.DUMMYFUNCTION("""COMPUTED_VALUE"""),"％")</f>
        <v>％</v>
      </c>
      <c r="N85" s="211">
        <f>IFERROR(__xludf.DUMMYFUNCTION("""COMPUTED_VALUE"""),15035.0)</f>
        <v>15035</v>
      </c>
      <c r="O85" s="217"/>
      <c r="P85" s="93" t="str">
        <f>IFERROR(__xludf.DUMMYFUNCTION("""COMPUTED_VALUE"""),"")</f>
        <v/>
      </c>
      <c r="S85" s="204"/>
      <c r="T85" s="205">
        <f>IFERROR(__xludf.DUMMYFUNCTION("""COMPUTED_VALUE"""),2.0)</f>
        <v>2</v>
      </c>
      <c r="U85" s="206" t="str">
        <f>IFERROR(__xludf.DUMMYFUNCTION("""COMPUTED_VALUE"""),"TRF2")</f>
        <v>TRF2</v>
      </c>
      <c r="V85" s="207" t="str">
        <f>IFERROR(__xludf.DUMMYFUNCTION("""COMPUTED_VALUE"""),"Chaldea Gate (Mon)")</f>
        <v>Chaldea Gate (Mon)</v>
      </c>
      <c r="W85" s="207" t="str">
        <f>IFERROR(__xludf.DUMMYFUNCTION("""COMPUTED_VALUE"""),"MON Archer Training Ground- Int")</f>
        <v>MON Archer Training Ground- Int</v>
      </c>
      <c r="X85" s="211">
        <f>IFERROR(__xludf.DUMMYFUNCTION("""COMPUTED_VALUE"""),20.0)</f>
        <v>20</v>
      </c>
      <c r="Y85" s="213">
        <f>IFERROR(__xludf.DUMMYFUNCTION("""COMPUTED_VALUE"""),18.4)</f>
        <v>18.4</v>
      </c>
      <c r="Z85" s="214">
        <f>IFERROR(__xludf.DUMMYFUNCTION("""COMPUTED_VALUE"""),14.445016132832597)</f>
        <v>14.44501613</v>
      </c>
      <c r="AA85" s="215" t="str">
        <f>IFERROR(__xludf.DUMMYFUNCTION("""COMPUTED_VALUE"""),"AP")</f>
        <v>AP</v>
      </c>
      <c r="AB85" s="214">
        <f>IFERROR(__xludf.DUMMYFUNCTION("""COMPUTED_VALUE"""),138.45605858854861)</f>
        <v>138.4560586</v>
      </c>
      <c r="AC85" s="215" t="str">
        <f>IFERROR(__xludf.DUMMYFUNCTION("""COMPUTED_VALUE"""),"％")</f>
        <v>％</v>
      </c>
      <c r="AD85" s="211">
        <f>IFERROR(__xludf.DUMMYFUNCTION("""COMPUTED_VALUE"""),751.0)</f>
        <v>751</v>
      </c>
      <c r="AE85" s="217"/>
      <c r="AF85" s="98" t="str">
        <f>IFERROR(__xludf.DUMMYFUNCTION("""COMPUTED_VALUE"""),"")</f>
        <v/>
      </c>
    </row>
    <row r="86" ht="16.5" customHeight="1">
      <c r="C86" s="204"/>
      <c r="D86" s="222">
        <f>IFERROR(__xludf.DUMMYFUNCTION("""COMPUTED_VALUE"""),3.0)</f>
        <v>3</v>
      </c>
      <c r="E86" s="223" t="str">
        <f>IFERROR(__xludf.DUMMYFUNCTION("""COMPUTED_VALUE"""),"TRF19")</f>
        <v>TRF19</v>
      </c>
      <c r="F86" s="224" t="str">
        <f>IFERROR(__xludf.DUMMYFUNCTION("""COMPUTED_VALUE"""),"Chaldea Gate (Fri)")</f>
        <v>Chaldea Gate (Fri)</v>
      </c>
      <c r="G86" s="224" t="str">
        <f>IFERROR(__xludf.DUMMYFUNCTION("""COMPUTED_VALUE"""),"FRI Caster Training Ground- Adv")</f>
        <v>FRI Caster Training Ground- Adv</v>
      </c>
      <c r="H86" s="228">
        <f>IFERROR(__xludf.DUMMYFUNCTION("""COMPUTED_VALUE"""),30.0)</f>
        <v>30</v>
      </c>
      <c r="I86" s="230">
        <f>IFERROR(__xludf.DUMMYFUNCTION("""COMPUTED_VALUE"""),18.266666666666666)</f>
        <v>18.26666667</v>
      </c>
      <c r="J86" s="231">
        <f>IFERROR(__xludf.DUMMYFUNCTION("""COMPUTED_VALUE"""),186.97995011329235)</f>
        <v>186.9799501</v>
      </c>
      <c r="K86" s="232" t="str">
        <f>IFERROR(__xludf.DUMMYFUNCTION("""COMPUTED_VALUE"""),"AP")</f>
        <v>AP</v>
      </c>
      <c r="L86" s="231">
        <f>IFERROR(__xludf.DUMMYFUNCTION("""COMPUTED_VALUE"""),16.04450101832994)</f>
        <v>16.04450102</v>
      </c>
      <c r="M86" s="232" t="str">
        <f>IFERROR(__xludf.DUMMYFUNCTION("""COMPUTED_VALUE"""),"％")</f>
        <v>％</v>
      </c>
      <c r="N86" s="228">
        <f>IFERROR(__xludf.DUMMYFUNCTION("""COMPUTED_VALUE"""),1964.0)</f>
        <v>1964</v>
      </c>
      <c r="O86" s="217"/>
      <c r="P86" s="93" t="str">
        <f>IFERROR(__xludf.DUMMYFUNCTION("""COMPUTED_VALUE"""),"")</f>
        <v/>
      </c>
      <c r="S86" s="204"/>
      <c r="T86" s="222">
        <f>IFERROR(__xludf.DUMMYFUNCTION("""COMPUTED_VALUE"""),3.0)</f>
        <v>3</v>
      </c>
      <c r="U86" s="223" t="str">
        <f>IFERROR(__xludf.DUMMYFUNCTION("""COMPUTED_VALUE"""),"FUY4")</f>
        <v>FUY4</v>
      </c>
      <c r="V86" s="224" t="str">
        <f>IFERROR(__xludf.DUMMYFUNCTION("""COMPUTED_VALUE"""),"Fuyuki")</f>
        <v>Fuyuki</v>
      </c>
      <c r="W86" s="226" t="str">
        <f>IFERROR(__xludf.DUMMYFUNCTION("""COMPUTED_VALUE"""),"Unknown Coordinates X-D")</f>
        <v>Unknown Coordinates X-D</v>
      </c>
      <c r="X86" s="228">
        <f>IFERROR(__xludf.DUMMYFUNCTION("""COMPUTED_VALUE"""),5.0)</f>
        <v>5</v>
      </c>
      <c r="Y86" s="230">
        <f>IFERROR(__xludf.DUMMYFUNCTION("""COMPUTED_VALUE"""),23.2)</f>
        <v>23.2</v>
      </c>
      <c r="Z86" s="231">
        <f>IFERROR(__xludf.DUMMYFUNCTION("""COMPUTED_VALUE"""),25.93843098311817)</f>
        <v>25.93843098</v>
      </c>
      <c r="AA86" s="232" t="str">
        <f>IFERROR(__xludf.DUMMYFUNCTION("""COMPUTED_VALUE"""),"AP")</f>
        <v>AP</v>
      </c>
      <c r="AB86" s="231">
        <f>IFERROR(__xludf.DUMMYFUNCTION("""COMPUTED_VALUE"""),19.276416539050537)</f>
        <v>19.27641654</v>
      </c>
      <c r="AC86" s="232" t="str">
        <f>IFERROR(__xludf.DUMMYFUNCTION("""COMPUTED_VALUE"""),"％")</f>
        <v>％</v>
      </c>
      <c r="AD86" s="228">
        <f>IFERROR(__xludf.DUMMYFUNCTION("""COMPUTED_VALUE"""),2612.0)</f>
        <v>2612</v>
      </c>
      <c r="AE86" s="217"/>
      <c r="AF86" s="98" t="str">
        <f>IFERROR(__xludf.DUMMYFUNCTION("""COMPUTED_VALUE"""),"")</f>
        <v/>
      </c>
    </row>
    <row r="87" ht="16.5" customHeight="1">
      <c r="C87" s="204"/>
      <c r="D87" s="238">
        <f>IFERROR(__xludf.DUMMYFUNCTION("""COMPUTED_VALUE"""),4.0)</f>
        <v>4</v>
      </c>
      <c r="E87" s="240" t="str">
        <f>IFERROR(__xludf.DUMMYFUNCTION("""COMPUTED_VALUE"""),"TRF20")</f>
        <v>TRF20</v>
      </c>
      <c r="F87" s="242" t="str">
        <f>IFERROR(__xludf.DUMMYFUNCTION("""COMPUTED_VALUE"""),"Chaldea Gate (Fri)")</f>
        <v>Chaldea Gate (Fri)</v>
      </c>
      <c r="G87" s="242" t="str">
        <f>IFERROR(__xludf.DUMMYFUNCTION("""COMPUTED_VALUE"""),"FRI Caster Training Ground- Exp")</f>
        <v>FRI Caster Training Ground- Exp</v>
      </c>
      <c r="H87" s="246">
        <f>IFERROR(__xludf.DUMMYFUNCTION("""COMPUTED_VALUE"""),40.0)</f>
        <v>40</v>
      </c>
      <c r="I87" s="248">
        <f>IFERROR(__xludf.DUMMYFUNCTION("""COMPUTED_VALUE"""),19.7)</f>
        <v>19.7</v>
      </c>
      <c r="J87" s="250">
        <f>IFERROR(__xludf.DUMMYFUNCTION("""COMPUTED_VALUE"""),196.11510851176152)</f>
        <v>196.1151085</v>
      </c>
      <c r="K87" s="252" t="str">
        <f>IFERROR(__xludf.DUMMYFUNCTION("""COMPUTED_VALUE"""),"AP")</f>
        <v>AP</v>
      </c>
      <c r="L87" s="250">
        <f>IFERROR(__xludf.DUMMYFUNCTION("""COMPUTED_VALUE"""),20.396184824078)</f>
        <v>20.39618482</v>
      </c>
      <c r="M87" s="252" t="str">
        <f>IFERROR(__xludf.DUMMYFUNCTION("""COMPUTED_VALUE"""),"％")</f>
        <v>％</v>
      </c>
      <c r="N87" s="246">
        <f>IFERROR(__xludf.DUMMYFUNCTION("""COMPUTED_VALUE"""),11795.0)</f>
        <v>11795</v>
      </c>
      <c r="O87" s="217"/>
      <c r="P87" s="93" t="str">
        <f>IFERROR(__xludf.DUMMYFUNCTION("""COMPUTED_VALUE"""),"")</f>
        <v/>
      </c>
      <c r="S87" s="204"/>
      <c r="T87" s="238">
        <f>IFERROR(__xludf.DUMMYFUNCTION("""COMPUTED_VALUE"""),4.0)</f>
        <v>4</v>
      </c>
      <c r="U87" s="240" t="str">
        <f>IFERROR(__xludf.DUMMYFUNCTION("""COMPUTED_VALUE"""),"SEP10")</f>
        <v>SEP10</v>
      </c>
      <c r="V87" s="242" t="str">
        <f>IFERROR(__xludf.DUMMYFUNCTION("""COMPUTED_VALUE"""),"Septem")</f>
        <v>Septem</v>
      </c>
      <c r="W87" s="244" t="str">
        <f>IFERROR(__xludf.DUMMYFUNCTION("""COMPUTED_VALUE"""),"Shaped Isle")</f>
        <v>Shaped Isle</v>
      </c>
      <c r="X87" s="246">
        <f>IFERROR(__xludf.DUMMYFUNCTION("""COMPUTED_VALUE"""),9.0)</f>
        <v>9</v>
      </c>
      <c r="Y87" s="248">
        <f>IFERROR(__xludf.DUMMYFUNCTION("""COMPUTED_VALUE"""),31.555555555555557)</f>
        <v>31.55555556</v>
      </c>
      <c r="Z87" s="250">
        <f>IFERROR(__xludf.DUMMYFUNCTION("""COMPUTED_VALUE"""),37.63830347734458)</f>
        <v>37.63830348</v>
      </c>
      <c r="AA87" s="252" t="str">
        <f>IFERROR(__xludf.DUMMYFUNCTION("""COMPUTED_VALUE"""),"AP")</f>
        <v>AP</v>
      </c>
      <c r="AB87" s="250">
        <f>IFERROR(__xludf.DUMMYFUNCTION("""COMPUTED_VALUE"""),23.911811023622047)</f>
        <v>23.91181102</v>
      </c>
      <c r="AC87" s="252" t="str">
        <f>IFERROR(__xludf.DUMMYFUNCTION("""COMPUTED_VALUE"""),"％")</f>
        <v>％</v>
      </c>
      <c r="AD87" s="246">
        <f>IFERROR(__xludf.DUMMYFUNCTION("""COMPUTED_VALUE"""),381.0)</f>
        <v>381</v>
      </c>
      <c r="AE87" s="217"/>
      <c r="AF87" s="98" t="str">
        <f>IFERROR(__xludf.DUMMYFUNCTION("""COMPUTED_VALUE"""),"")</f>
        <v/>
      </c>
    </row>
    <row r="88" ht="16.5" customHeight="1">
      <c r="A88" s="166"/>
      <c r="C88" s="255"/>
      <c r="D88" s="256">
        <f>IFERROR(__xludf.DUMMYFUNCTION("""COMPUTED_VALUE"""),5.0)</f>
        <v>5</v>
      </c>
      <c r="E88" s="257" t="str">
        <f>IFERROR(__xludf.DUMMYFUNCTION("""COMPUTED_VALUE"""),"TRF18")</f>
        <v>TRF18</v>
      </c>
      <c r="F88" s="42" t="str">
        <f>IFERROR(__xludf.DUMMYFUNCTION("""COMPUTED_VALUE"""),"Chaldea Gate (Fri)")</f>
        <v>Chaldea Gate (Fri)</v>
      </c>
      <c r="G88" s="42" t="str">
        <f>IFERROR(__xludf.DUMMYFUNCTION("""COMPUTED_VALUE"""),"FRI Caster Training Ground- Int")</f>
        <v>FRI Caster Training Ground- Int</v>
      </c>
      <c r="H88" s="259">
        <f>IFERROR(__xludf.DUMMYFUNCTION("""COMPUTED_VALUE"""),20.0)</f>
        <v>20</v>
      </c>
      <c r="I88" s="260">
        <f>IFERROR(__xludf.DUMMYFUNCTION("""COMPUTED_VALUE"""),18.4)</f>
        <v>18.4</v>
      </c>
      <c r="J88" s="261">
        <f>IFERROR(__xludf.DUMMYFUNCTION("""COMPUTED_VALUE"""),209.56123117223314)</f>
        <v>209.5612312</v>
      </c>
      <c r="K88" s="262" t="str">
        <f>IFERROR(__xludf.DUMMYFUNCTION("""COMPUTED_VALUE"""),"AP")</f>
        <v>AP</v>
      </c>
      <c r="L88" s="261">
        <f>IFERROR(__xludf.DUMMYFUNCTION("""COMPUTED_VALUE"""),9.54375)</f>
        <v>9.54375</v>
      </c>
      <c r="M88" s="262" t="str">
        <f>IFERROR(__xludf.DUMMYFUNCTION("""COMPUTED_VALUE"""),"％")</f>
        <v>％</v>
      </c>
      <c r="N88" s="259">
        <f>IFERROR(__xludf.DUMMYFUNCTION("""COMPUTED_VALUE"""),1024.0)</f>
        <v>1024</v>
      </c>
      <c r="O88" s="263"/>
      <c r="P88" s="93" t="str">
        <f>IFERROR(__xludf.DUMMYFUNCTION("""COMPUTED_VALUE"""),"")</f>
        <v/>
      </c>
      <c r="Q88" s="166"/>
      <c r="S88" s="255"/>
      <c r="T88" s="256">
        <f>IFERROR(__xludf.DUMMYFUNCTION("""COMPUTED_VALUE"""),5.0)</f>
        <v>5</v>
      </c>
      <c r="U88" s="257" t="str">
        <f>IFERROR(__xludf.DUMMYFUNCTION("""COMPUTED_VALUE"""),"SEP4")</f>
        <v>SEP4</v>
      </c>
      <c r="V88" s="42" t="str">
        <f>IFERROR(__xludf.DUMMYFUNCTION("""COMPUTED_VALUE"""),"Septem")</f>
        <v>Septem</v>
      </c>
      <c r="W88" s="258" t="str">
        <f>IFERROR(__xludf.DUMMYFUNCTION("""COMPUTED_VALUE"""),"Florence")</f>
        <v>Florence</v>
      </c>
      <c r="X88" s="259">
        <f>IFERROR(__xludf.DUMMYFUNCTION("""COMPUTED_VALUE"""),9.0)</f>
        <v>9</v>
      </c>
      <c r="Y88" s="260">
        <f>IFERROR(__xludf.DUMMYFUNCTION("""COMPUTED_VALUE"""),28.88888888888889)</f>
        <v>28.88888889</v>
      </c>
      <c r="Z88" s="261">
        <f>IFERROR(__xludf.DUMMYFUNCTION("""COMPUTED_VALUE"""),37.880633373934224)</f>
        <v>37.88063337</v>
      </c>
      <c r="AA88" s="262" t="str">
        <f>IFERROR(__xludf.DUMMYFUNCTION("""COMPUTED_VALUE"""),"AP")</f>
        <v>AP</v>
      </c>
      <c r="AB88" s="261">
        <f>IFERROR(__xludf.DUMMYFUNCTION("""COMPUTED_VALUE"""),23.758842443729904)</f>
        <v>23.75884244</v>
      </c>
      <c r="AC88" s="262" t="str">
        <f>IFERROR(__xludf.DUMMYFUNCTION("""COMPUTED_VALUE"""),"％")</f>
        <v>％</v>
      </c>
      <c r="AD88" s="259">
        <f>IFERROR(__xludf.DUMMYFUNCTION("""COMPUTED_VALUE"""),311.0)</f>
        <v>311</v>
      </c>
      <c r="AE88" s="263"/>
      <c r="AF88" s="98" t="str">
        <f>IFERROR(__xludf.DUMMYFUNCTION("""COMPUTED_VALUE"""),"")</f>
        <v/>
      </c>
    </row>
    <row r="89" ht="16.5" customHeight="1">
      <c r="A89" s="61" t="str">
        <f>IFERROR(__xludf.DUMMYFUNCTION("""COMPUTED_VALUE"""),"")</f>
        <v/>
      </c>
      <c r="B89" s="367" t="str">
        <f>IFERROR(__xludf.DUMMYFUNCTION("""COMPUTED_VALUE"""),"A208")</f>
        <v>A208</v>
      </c>
      <c r="C89" s="65" t="str">
        <f>IFERROR(__xludf.DUMMYFUNCTION("""COMPUTED_VALUE"""),"Homunculus Baby")</f>
        <v>Homunculus Baby</v>
      </c>
      <c r="D89" s="67">
        <f>IFERROR(__xludf.DUMMYFUNCTION("""COMPUTED_VALUE"""),1.0)</f>
        <v>1</v>
      </c>
      <c r="E89" s="69" t="str">
        <f>IFERROR(__xludf.DUMMYFUNCTION("""COMPUTED_VALUE"""),"LDN8")</f>
        <v>LDN8</v>
      </c>
      <c r="F89" s="71" t="str">
        <f>IFERROR(__xludf.DUMMYFUNCTION("""COMPUTED_VALUE"""),"London")</f>
        <v>London</v>
      </c>
      <c r="G89" s="78" t="str">
        <f>IFERROR(__xludf.DUMMYFUNCTION("""COMPUTED_VALUE"""),"Southwark")</f>
        <v>Southwark</v>
      </c>
      <c r="H89" s="80">
        <f>IFERROR(__xludf.DUMMYFUNCTION("""COMPUTED_VALUE"""),19.0)</f>
        <v>19</v>
      </c>
      <c r="I89" s="82">
        <f>IFERROR(__xludf.DUMMYFUNCTION("""COMPUTED_VALUE"""),44.0)</f>
        <v>44</v>
      </c>
      <c r="J89" s="84">
        <f>IFERROR(__xludf.DUMMYFUNCTION("""COMPUTED_VALUE"""),61.613275205646374)</f>
        <v>61.61327521</v>
      </c>
      <c r="K89" s="86" t="str">
        <f>IFERROR(__xludf.DUMMYFUNCTION("""COMPUTED_VALUE"""),"AP")</f>
        <v>AP</v>
      </c>
      <c r="L89" s="88">
        <f>IFERROR(__xludf.DUMMYFUNCTION("""COMPUTED_VALUE"""),30.837510157646673)</f>
        <v>30.83751016</v>
      </c>
      <c r="M89" s="86" t="str">
        <f>IFERROR(__xludf.DUMMYFUNCTION("""COMPUTED_VALUE"""),"％")</f>
        <v>％</v>
      </c>
      <c r="N89" s="80">
        <f>IFERROR(__xludf.DUMMYFUNCTION("""COMPUTED_VALUE"""),6153.0)</f>
        <v>6153</v>
      </c>
      <c r="O89" s="91" t="str">
        <f>IFERROR(__xludf.DUMMYFUNCTION("""COMPUTED_VALUE"""),"Homunculus Baby")</f>
        <v>Homunculus Baby</v>
      </c>
      <c r="P89" s="362" t="str">
        <f>IFERROR(__xludf.DUMMYFUNCTION("""COMPUTED_VALUE"""),"")</f>
        <v/>
      </c>
      <c r="Q89" s="61" t="str">
        <f>IFERROR(__xludf.DUMMYFUNCTION("""COMPUTED_VALUE"""),"")</f>
        <v/>
      </c>
      <c r="R89" s="367" t="str">
        <f>IFERROR(__xludf.DUMMYFUNCTION("""COMPUTED_VALUE"""),"B123")</f>
        <v>B123</v>
      </c>
      <c r="S89" s="65" t="str">
        <f>IFERROR(__xludf.DUMMYFUNCTION("""COMPUTED_VALUE"""),"Gem of Lancer")</f>
        <v>Gem of Lancer</v>
      </c>
      <c r="T89" s="67">
        <f>IFERROR(__xludf.DUMMYFUNCTION("""COMPUTED_VALUE"""),1.0)</f>
        <v>1</v>
      </c>
      <c r="U89" s="69" t="str">
        <f>IFERROR(__xludf.DUMMYFUNCTION("""COMPUTED_VALUE"""),"TRF5")</f>
        <v>TRF5</v>
      </c>
      <c r="V89" s="71" t="str">
        <f>IFERROR(__xludf.DUMMYFUNCTION("""COMPUTED_VALUE"""),"Chaldea Gate (Tue)")</f>
        <v>Chaldea Gate (Tue)</v>
      </c>
      <c r="W89" s="71" t="str">
        <f>IFERROR(__xludf.DUMMYFUNCTION("""COMPUTED_VALUE"""),"TUE Lancer Training Ground- Nov")</f>
        <v>TUE Lancer Training Ground- Nov</v>
      </c>
      <c r="X89" s="80">
        <f>IFERROR(__xludf.DUMMYFUNCTION("""COMPUTED_VALUE"""),10.0)</f>
        <v>10</v>
      </c>
      <c r="Y89" s="82">
        <f>IFERROR(__xludf.DUMMYFUNCTION("""COMPUTED_VALUE"""),18.8)</f>
        <v>18.8</v>
      </c>
      <c r="Z89" s="84">
        <f>IFERROR(__xludf.DUMMYFUNCTION("""COMPUTED_VALUE"""),8.594779959188036)</f>
        <v>8.594779959</v>
      </c>
      <c r="AA89" s="86" t="str">
        <f>IFERROR(__xludf.DUMMYFUNCTION("""COMPUTED_VALUE"""),"AP")</f>
        <v>AP</v>
      </c>
      <c r="AB89" s="88">
        <f>IFERROR(__xludf.DUMMYFUNCTION("""COMPUTED_VALUE"""),116.3496918767507)</f>
        <v>116.3496919</v>
      </c>
      <c r="AC89" s="86" t="str">
        <f>IFERROR(__xludf.DUMMYFUNCTION("""COMPUTED_VALUE"""),"％")</f>
        <v>％</v>
      </c>
      <c r="AD89" s="80">
        <f>IFERROR(__xludf.DUMMYFUNCTION("""COMPUTED_VALUE"""),1785.0)</f>
        <v>1785</v>
      </c>
      <c r="AE89" s="91" t="str">
        <f>IFERROR(__xludf.DUMMYFUNCTION("""COMPUTED_VALUE"""),"Gem of Lancer")</f>
        <v>Gem of Lancer</v>
      </c>
      <c r="AF89" s="364" t="str">
        <f>IFERROR(__xludf.DUMMYFUNCTION("""COMPUTED_VALUE"""),"")</f>
        <v/>
      </c>
    </row>
    <row r="90" ht="16.5" customHeight="1">
      <c r="C90" s="100"/>
      <c r="D90" s="102">
        <f>IFERROR(__xludf.DUMMYFUNCTION("""COMPUTED_VALUE"""),2.0)</f>
        <v>2</v>
      </c>
      <c r="E90" s="103" t="str">
        <f>IFERROR(__xludf.DUMMYFUNCTION("""COMPUTED_VALUE"""),"LDN5")</f>
        <v>LDN5</v>
      </c>
      <c r="F90" s="104" t="str">
        <f>IFERROR(__xludf.DUMMYFUNCTION("""COMPUTED_VALUE"""),"London")</f>
        <v>London</v>
      </c>
      <c r="G90" s="108" t="str">
        <f>IFERROR(__xludf.DUMMYFUNCTION("""COMPUTED_VALUE"""),"Westminster")</f>
        <v>Westminster</v>
      </c>
      <c r="H90" s="109">
        <f>IFERROR(__xludf.DUMMYFUNCTION("""COMPUTED_VALUE"""),16.0)</f>
        <v>16</v>
      </c>
      <c r="I90" s="110">
        <f>IFERROR(__xludf.DUMMYFUNCTION("""COMPUTED_VALUE"""),37.25)</f>
        <v>37.25</v>
      </c>
      <c r="J90" s="112">
        <f>IFERROR(__xludf.DUMMYFUNCTION("""COMPUTED_VALUE"""),111.21642969984202)</f>
        <v>111.2164297</v>
      </c>
      <c r="K90" s="121" t="str">
        <f>IFERROR(__xludf.DUMMYFUNCTION("""COMPUTED_VALUE"""),"AP")</f>
        <v>AP</v>
      </c>
      <c r="L90" s="123">
        <f>IFERROR(__xludf.DUMMYFUNCTION("""COMPUTED_VALUE"""),14.386363636363637)</f>
        <v>14.38636364</v>
      </c>
      <c r="M90" s="121" t="str">
        <f>IFERROR(__xludf.DUMMYFUNCTION("""COMPUTED_VALUE"""),"％")</f>
        <v>％</v>
      </c>
      <c r="N90" s="109">
        <f>IFERROR(__xludf.DUMMYFUNCTION("""COMPUTED_VALUE"""),264.0)</f>
        <v>264</v>
      </c>
      <c r="O90" s="100"/>
      <c r="P90" s="362" t="str">
        <f>IFERROR(__xludf.DUMMYFUNCTION("""COMPUTED_VALUE"""),"")</f>
        <v/>
      </c>
      <c r="S90" s="100"/>
      <c r="T90" s="102">
        <f>IFERROR(__xludf.DUMMYFUNCTION("""COMPUTED_VALUE"""),2.0)</f>
        <v>2</v>
      </c>
      <c r="U90" s="103" t="str">
        <f>IFERROR(__xludf.DUMMYFUNCTION("""COMPUTED_VALUE"""),"TRF6")</f>
        <v>TRF6</v>
      </c>
      <c r="V90" s="104" t="str">
        <f>IFERROR(__xludf.DUMMYFUNCTION("""COMPUTED_VALUE"""),"Chaldea Gate (Tue)")</f>
        <v>Chaldea Gate (Tue)</v>
      </c>
      <c r="W90" s="104" t="str">
        <f>IFERROR(__xludf.DUMMYFUNCTION("""COMPUTED_VALUE"""),"TUE Lancer Training Ground- Int")</f>
        <v>TUE Lancer Training Ground- Int</v>
      </c>
      <c r="X90" s="109">
        <f>IFERROR(__xludf.DUMMYFUNCTION("""COMPUTED_VALUE"""),20.0)</f>
        <v>20</v>
      </c>
      <c r="Y90" s="110">
        <f>IFERROR(__xludf.DUMMYFUNCTION("""COMPUTED_VALUE"""),18.4)</f>
        <v>18.4</v>
      </c>
      <c r="Z90" s="112">
        <f>IFERROR(__xludf.DUMMYFUNCTION("""COMPUTED_VALUE"""),17.124041273740605)</f>
        <v>17.12404127</v>
      </c>
      <c r="AA90" s="121" t="str">
        <f>IFERROR(__xludf.DUMMYFUNCTION("""COMPUTED_VALUE"""),"AP")</f>
        <v>AP</v>
      </c>
      <c r="AB90" s="123">
        <f>IFERROR(__xludf.DUMMYFUNCTION("""COMPUTED_VALUE"""),116.79485981308412)</f>
        <v>116.7948598</v>
      </c>
      <c r="AC90" s="121" t="str">
        <f>IFERROR(__xludf.DUMMYFUNCTION("""COMPUTED_VALUE"""),"％")</f>
        <v>％</v>
      </c>
      <c r="AD90" s="109">
        <f>IFERROR(__xludf.DUMMYFUNCTION("""COMPUTED_VALUE"""),428.0)</f>
        <v>428</v>
      </c>
      <c r="AE90" s="100"/>
      <c r="AF90" s="364" t="str">
        <f>IFERROR(__xludf.DUMMYFUNCTION("""COMPUTED_VALUE"""),"")</f>
        <v/>
      </c>
    </row>
    <row r="91" ht="16.5" customHeight="1">
      <c r="C91" s="100"/>
      <c r="D91" s="130">
        <f>IFERROR(__xludf.DUMMYFUNCTION("""COMPUTED_VALUE"""),3.0)</f>
        <v>3</v>
      </c>
      <c r="E91" s="132" t="str">
        <f>IFERROR(__xludf.DUMMYFUNCTION("""COMPUTED_VALUE"""),"LDN3")</f>
        <v>LDN3</v>
      </c>
      <c r="F91" s="133" t="str">
        <f>IFERROR(__xludf.DUMMYFUNCTION("""COMPUTED_VALUE"""),"London")</f>
        <v>London</v>
      </c>
      <c r="G91" s="135" t="str">
        <f>IFERROR(__xludf.DUMMYFUNCTION("""COMPUTED_VALUE"""),"City of London")</f>
        <v>City of London</v>
      </c>
      <c r="H91" s="137">
        <f>IFERROR(__xludf.DUMMYFUNCTION("""COMPUTED_VALUE"""),15.0)</f>
        <v>15</v>
      </c>
      <c r="I91" s="139">
        <f>IFERROR(__xludf.DUMMYFUNCTION("""COMPUTED_VALUE"""),38.13333333333333)</f>
        <v>38.13333333</v>
      </c>
      <c r="J91" s="141">
        <f>IFERROR(__xludf.DUMMYFUNCTION("""COMPUTED_VALUE"""),122.540846948983)</f>
        <v>122.5408469</v>
      </c>
      <c r="K91" s="143" t="str">
        <f>IFERROR(__xludf.DUMMYFUNCTION("""COMPUTED_VALUE"""),"AP")</f>
        <v>AP</v>
      </c>
      <c r="L91" s="145">
        <f>IFERROR(__xludf.DUMMYFUNCTION("""COMPUTED_VALUE"""),12.240816326530611)</f>
        <v>12.24081633</v>
      </c>
      <c r="M91" s="143" t="str">
        <f>IFERROR(__xludf.DUMMYFUNCTION("""COMPUTED_VALUE"""),"％")</f>
        <v>％</v>
      </c>
      <c r="N91" s="137">
        <f>IFERROR(__xludf.DUMMYFUNCTION("""COMPUTED_VALUE"""),196.0)</f>
        <v>196</v>
      </c>
      <c r="O91" s="100"/>
      <c r="P91" s="362" t="str">
        <f>IFERROR(__xludf.DUMMYFUNCTION("""COMPUTED_VALUE"""),"")</f>
        <v/>
      </c>
      <c r="S91" s="100"/>
      <c r="T91" s="130">
        <f>IFERROR(__xludf.DUMMYFUNCTION("""COMPUTED_VALUE"""),3.0)</f>
        <v>3</v>
      </c>
      <c r="U91" s="132" t="str">
        <f>IFERROR(__xludf.DUMMYFUNCTION("""COMPUTED_VALUE"""),"ORL8")</f>
        <v>ORL8</v>
      </c>
      <c r="V91" s="133" t="str">
        <f>IFERROR(__xludf.DUMMYFUNCTION("""COMPUTED_VALUE"""),"Orleans")</f>
        <v>Orleans</v>
      </c>
      <c r="W91" s="135" t="str">
        <f>IFERROR(__xludf.DUMMYFUNCTION("""COMPUTED_VALUE"""),"Bordeaux")</f>
        <v>Bordeaux</v>
      </c>
      <c r="X91" s="137">
        <f>IFERROR(__xludf.DUMMYFUNCTION("""COMPUTED_VALUE"""),7.0)</f>
        <v>7</v>
      </c>
      <c r="Y91" s="139">
        <f>IFERROR(__xludf.DUMMYFUNCTION("""COMPUTED_VALUE"""),30.285714285714285)</f>
        <v>30.28571429</v>
      </c>
      <c r="Z91" s="141">
        <f>IFERROR(__xludf.DUMMYFUNCTION("""COMPUTED_VALUE"""),24.04215869900595)</f>
        <v>24.0421587</v>
      </c>
      <c r="AA91" s="143" t="str">
        <f>IFERROR(__xludf.DUMMYFUNCTION("""COMPUTED_VALUE"""),"AP")</f>
        <v>AP</v>
      </c>
      <c r="AB91" s="145">
        <f>IFERROR(__xludf.DUMMYFUNCTION("""COMPUTED_VALUE"""),29.115521978021977)</f>
        <v>29.11552198</v>
      </c>
      <c r="AC91" s="143" t="str">
        <f>IFERROR(__xludf.DUMMYFUNCTION("""COMPUTED_VALUE"""),"％")</f>
        <v>％</v>
      </c>
      <c r="AD91" s="137">
        <f>IFERROR(__xludf.DUMMYFUNCTION("""COMPUTED_VALUE"""),728.0)</f>
        <v>728</v>
      </c>
      <c r="AE91" s="100"/>
      <c r="AF91" s="364" t="str">
        <f>IFERROR(__xludf.DUMMYFUNCTION("""COMPUTED_VALUE"""),"")</f>
        <v/>
      </c>
    </row>
    <row r="92" ht="16.5" customHeight="1">
      <c r="C92" s="100"/>
      <c r="D92" s="146">
        <f>IFERROR(__xludf.DUMMYFUNCTION("""COMPUTED_VALUE"""),4.0)</f>
        <v>4</v>
      </c>
      <c r="E92" s="148" t="str">
        <f>IFERROR(__xludf.DUMMYFUNCTION("""COMPUTED_VALUE"""),"TRF7")</f>
        <v>TRF7</v>
      </c>
      <c r="F92" s="150" t="str">
        <f>IFERROR(__xludf.DUMMYFUNCTION("""COMPUTED_VALUE"""),"Chaldea Gate (Tue)")</f>
        <v>Chaldea Gate (Tue)</v>
      </c>
      <c r="G92" s="150" t="str">
        <f>IFERROR(__xludf.DUMMYFUNCTION("""COMPUTED_VALUE"""),"TUE Lancer Training Ground- Adv")</f>
        <v>TUE Lancer Training Ground- Adv</v>
      </c>
      <c r="H92" s="154">
        <f>IFERROR(__xludf.DUMMYFUNCTION("""COMPUTED_VALUE"""),30.0)</f>
        <v>30</v>
      </c>
      <c r="I92" s="156">
        <f>IFERROR(__xludf.DUMMYFUNCTION("""COMPUTED_VALUE"""),18.266666666666666)</f>
        <v>18.26666667</v>
      </c>
      <c r="J92" s="158">
        <f>IFERROR(__xludf.DUMMYFUNCTION("""COMPUTED_VALUE"""),171.3286010175149)</f>
        <v>171.328601</v>
      </c>
      <c r="K92" s="160" t="str">
        <f>IFERROR(__xludf.DUMMYFUNCTION("""COMPUTED_VALUE"""),"AP")</f>
        <v>AP</v>
      </c>
      <c r="L92" s="162">
        <f>IFERROR(__xludf.DUMMYFUNCTION("""COMPUTED_VALUE"""),17.510211267605637)</f>
        <v>17.51021127</v>
      </c>
      <c r="M92" s="160" t="str">
        <f>IFERROR(__xludf.DUMMYFUNCTION("""COMPUTED_VALUE"""),"％")</f>
        <v>％</v>
      </c>
      <c r="N92" s="154">
        <f>IFERROR(__xludf.DUMMYFUNCTION("""COMPUTED_VALUE"""),1136.0)</f>
        <v>1136</v>
      </c>
      <c r="O92" s="100"/>
      <c r="P92" s="362" t="str">
        <f>IFERROR(__xludf.DUMMYFUNCTION("""COMPUTED_VALUE"""),"")</f>
        <v/>
      </c>
      <c r="S92" s="100"/>
      <c r="T92" s="146">
        <f>IFERROR(__xludf.DUMMYFUNCTION("""COMPUTED_VALUE"""),4.0)</f>
        <v>4</v>
      </c>
      <c r="U92" s="148" t="str">
        <f>IFERROR(__xludf.DUMMYFUNCTION("""COMPUTED_VALUE"""),"FUY3")</f>
        <v>FUY3</v>
      </c>
      <c r="V92" s="150" t="str">
        <f>IFERROR(__xludf.DUMMYFUNCTION("""COMPUTED_VALUE"""),"Fuyuki")</f>
        <v>Fuyuki</v>
      </c>
      <c r="W92" s="152" t="str">
        <f>IFERROR(__xludf.DUMMYFUNCTION("""COMPUTED_VALUE"""),"Unknown Coordinates X-C")</f>
        <v>Unknown Coordinates X-C</v>
      </c>
      <c r="X92" s="154">
        <f>IFERROR(__xludf.DUMMYFUNCTION("""COMPUTED_VALUE"""),4.0)</f>
        <v>4</v>
      </c>
      <c r="Y92" s="156">
        <f>IFERROR(__xludf.DUMMYFUNCTION("""COMPUTED_VALUE"""),23.0)</f>
        <v>23</v>
      </c>
      <c r="Z92" s="158">
        <f>IFERROR(__xludf.DUMMYFUNCTION("""COMPUTED_VALUE"""),26.717783133427005)</f>
        <v>26.71778313</v>
      </c>
      <c r="AA92" s="160" t="str">
        <f>IFERROR(__xludf.DUMMYFUNCTION("""COMPUTED_VALUE"""),"AP")</f>
        <v>AP</v>
      </c>
      <c r="AB92" s="162">
        <f>IFERROR(__xludf.DUMMYFUNCTION("""COMPUTED_VALUE"""),14.971301997715305)</f>
        <v>14.971302</v>
      </c>
      <c r="AC92" s="160" t="str">
        <f>IFERROR(__xludf.DUMMYFUNCTION("""COMPUTED_VALUE"""),"％")</f>
        <v>％</v>
      </c>
      <c r="AD92" s="154">
        <f>IFERROR(__xludf.DUMMYFUNCTION("""COMPUTED_VALUE"""),35891.0)</f>
        <v>35891</v>
      </c>
      <c r="AE92" s="100"/>
      <c r="AF92" s="364" t="str">
        <f>IFERROR(__xludf.DUMMYFUNCTION("""COMPUTED_VALUE"""),"")</f>
        <v/>
      </c>
    </row>
    <row r="93" ht="16.5" customHeight="1">
      <c r="A93" s="166"/>
      <c r="C93" s="168"/>
      <c r="D93" s="169">
        <f>IFERROR(__xludf.DUMMYFUNCTION("""COMPUTED_VALUE"""),5.0)</f>
        <v>5</v>
      </c>
      <c r="E93" s="170" t="str">
        <f>IFERROR(__xludf.DUMMYFUNCTION("""COMPUTED_VALUE"""),"TRF8")</f>
        <v>TRF8</v>
      </c>
      <c r="F93" s="51" t="str">
        <f>IFERROR(__xludf.DUMMYFUNCTION("""COMPUTED_VALUE"""),"Chaldea Gate (Tue)")</f>
        <v>Chaldea Gate (Tue)</v>
      </c>
      <c r="G93" s="51" t="str">
        <f>IFERROR(__xludf.DUMMYFUNCTION("""COMPUTED_VALUE"""),"TUE Lancer Training Ground- Exp")</f>
        <v>TUE Lancer Training Ground- Exp</v>
      </c>
      <c r="H93" s="172">
        <f>IFERROR(__xludf.DUMMYFUNCTION("""COMPUTED_VALUE"""),40.0)</f>
        <v>40</v>
      </c>
      <c r="I93" s="173">
        <f>IFERROR(__xludf.DUMMYFUNCTION("""COMPUTED_VALUE"""),19.7)</f>
        <v>19.7</v>
      </c>
      <c r="J93" s="174">
        <f>IFERROR(__xludf.DUMMYFUNCTION("""COMPUTED_VALUE"""),187.27217496962334)</f>
        <v>187.272175</v>
      </c>
      <c r="K93" s="175" t="str">
        <f>IFERROR(__xludf.DUMMYFUNCTION("""COMPUTED_VALUE"""),"AP")</f>
        <v>AP</v>
      </c>
      <c r="L93" s="176">
        <f>IFERROR(__xludf.DUMMYFUNCTION("""COMPUTED_VALUE"""),21.359286293592863)</f>
        <v>21.35928629</v>
      </c>
      <c r="M93" s="175" t="str">
        <f>IFERROR(__xludf.DUMMYFUNCTION("""COMPUTED_VALUE"""),"％")</f>
        <v>％</v>
      </c>
      <c r="N93" s="172">
        <f>IFERROR(__xludf.DUMMYFUNCTION("""COMPUTED_VALUE"""),6165.0)</f>
        <v>6165</v>
      </c>
      <c r="O93" s="168"/>
      <c r="P93" s="362" t="str">
        <f>IFERROR(__xludf.DUMMYFUNCTION("""COMPUTED_VALUE"""),"")</f>
        <v/>
      </c>
      <c r="Q93" s="166"/>
      <c r="S93" s="168"/>
      <c r="T93" s="169">
        <f>IFERROR(__xludf.DUMMYFUNCTION("""COMPUTED_VALUE"""),5.0)</f>
        <v>5</v>
      </c>
      <c r="U93" s="170" t="str">
        <f>IFERROR(__xludf.DUMMYFUNCTION("""COMPUTED_VALUE"""),"LDN3")</f>
        <v>LDN3</v>
      </c>
      <c r="V93" s="51" t="str">
        <f>IFERROR(__xludf.DUMMYFUNCTION("""COMPUTED_VALUE"""),"London")</f>
        <v>London</v>
      </c>
      <c r="W93" s="171" t="str">
        <f>IFERROR(__xludf.DUMMYFUNCTION("""COMPUTED_VALUE"""),"City of London")</f>
        <v>City of London</v>
      </c>
      <c r="X93" s="172">
        <f>IFERROR(__xludf.DUMMYFUNCTION("""COMPUTED_VALUE"""),15.0)</f>
        <v>15</v>
      </c>
      <c r="Y93" s="173">
        <f>IFERROR(__xludf.DUMMYFUNCTION("""COMPUTED_VALUE"""),38.13333333333333)</f>
        <v>38.13333333</v>
      </c>
      <c r="Z93" s="174">
        <f>IFERROR(__xludf.DUMMYFUNCTION("""COMPUTED_VALUE"""),28.27575594367931)</f>
        <v>28.27575594</v>
      </c>
      <c r="AA93" s="175" t="str">
        <f>IFERROR(__xludf.DUMMYFUNCTION("""COMPUTED_VALUE"""),"AP")</f>
        <v>AP</v>
      </c>
      <c r="AB93" s="176">
        <f>IFERROR(__xludf.DUMMYFUNCTION("""COMPUTED_VALUE"""),53.04897959183673)</f>
        <v>53.04897959</v>
      </c>
      <c r="AC93" s="175" t="str">
        <f>IFERROR(__xludf.DUMMYFUNCTION("""COMPUTED_VALUE"""),"％")</f>
        <v>％</v>
      </c>
      <c r="AD93" s="172">
        <f>IFERROR(__xludf.DUMMYFUNCTION("""COMPUTED_VALUE"""),196.0)</f>
        <v>196</v>
      </c>
      <c r="AE93" s="168"/>
      <c r="AF93" s="364" t="str">
        <f>IFERROR(__xludf.DUMMYFUNCTION("""COMPUTED_VALUE"""),"")</f>
        <v/>
      </c>
    </row>
    <row r="94" ht="16.5" customHeight="1">
      <c r="A94" s="61" t="str">
        <f>IFERROR(__xludf.DUMMYFUNCTION("""COMPUTED_VALUE"""),"")</f>
        <v/>
      </c>
      <c r="B94" s="366" t="str">
        <f>IFERROR(__xludf.DUMMYFUNCTION("""COMPUTED_VALUE"""),"A209")</f>
        <v>A209</v>
      </c>
      <c r="C94" s="180" t="str">
        <f>IFERROR(__xludf.DUMMYFUNCTION("""COMPUTED_VALUE"""),"Meteor Horseshoe")</f>
        <v>Meteor Horseshoe</v>
      </c>
      <c r="D94" s="181">
        <f>IFERROR(__xludf.DUMMYFUNCTION("""COMPUTED_VALUE"""),1.0)</f>
        <v>1</v>
      </c>
      <c r="E94" s="182" t="str">
        <f>IFERROR(__xludf.DUMMYFUNCTION("""COMPUTED_VALUE"""),"CML13")</f>
        <v>CML13</v>
      </c>
      <c r="F94" s="184" t="str">
        <f>IFERROR(__xludf.DUMMYFUNCTION("""COMPUTED_VALUE"""),"Camelot")</f>
        <v>Camelot</v>
      </c>
      <c r="G94" s="189" t="str">
        <f>IFERROR(__xludf.DUMMYFUNCTION("""COMPUTED_VALUE"""),"Land of the Void")</f>
        <v>Land of the Void</v>
      </c>
      <c r="H94" s="190">
        <f>IFERROR(__xludf.DUMMYFUNCTION("""COMPUTED_VALUE"""),22.0)</f>
        <v>22</v>
      </c>
      <c r="I94" s="191">
        <f>IFERROR(__xludf.DUMMYFUNCTION("""COMPUTED_VALUE"""),47.81818181818182)</f>
        <v>47.81818182</v>
      </c>
      <c r="J94" s="192">
        <f>IFERROR(__xludf.DUMMYFUNCTION("""COMPUTED_VALUE"""),48.88603852504956)</f>
        <v>48.88603853</v>
      </c>
      <c r="K94" s="194" t="str">
        <f>IFERROR(__xludf.DUMMYFUNCTION("""COMPUTED_VALUE"""),"AP")</f>
        <v>AP</v>
      </c>
      <c r="L94" s="192">
        <f>IFERROR(__xludf.DUMMYFUNCTION("""COMPUTED_VALUE"""),45.00262378332628)</f>
        <v>45.00262378</v>
      </c>
      <c r="M94" s="194" t="str">
        <f>IFERROR(__xludf.DUMMYFUNCTION("""COMPUTED_VALUE"""),"％")</f>
        <v>％</v>
      </c>
      <c r="N94" s="190">
        <f>IFERROR(__xludf.DUMMYFUNCTION("""COMPUTED_VALUE"""),4726.0)</f>
        <v>4726</v>
      </c>
      <c r="O94" s="197" t="str">
        <f>IFERROR(__xludf.DUMMYFUNCTION("""COMPUTED_VALUE"""),"Meteor Horseshoe")</f>
        <v>Meteor Horseshoe</v>
      </c>
      <c r="P94" s="362" t="str">
        <f>IFERROR(__xludf.DUMMYFUNCTION("""COMPUTED_VALUE"""),"")</f>
        <v/>
      </c>
      <c r="Q94" s="61" t="str">
        <f>IFERROR(__xludf.DUMMYFUNCTION("""COMPUTED_VALUE"""),"")</f>
        <v/>
      </c>
      <c r="R94" s="366" t="str">
        <f>IFERROR(__xludf.DUMMYFUNCTION("""COMPUTED_VALUE"""),"B124")</f>
        <v>B124</v>
      </c>
      <c r="S94" s="180" t="str">
        <f>IFERROR(__xludf.DUMMYFUNCTION("""COMPUTED_VALUE"""),"Gem of Rider")</f>
        <v>Gem of Rider</v>
      </c>
      <c r="T94" s="181">
        <f>IFERROR(__xludf.DUMMYFUNCTION("""COMPUTED_VALUE"""),1.0)</f>
        <v>1</v>
      </c>
      <c r="U94" s="182" t="str">
        <f>IFERROR(__xludf.DUMMYFUNCTION("""COMPUTED_VALUE"""),"TRF13")</f>
        <v>TRF13</v>
      </c>
      <c r="V94" s="184" t="str">
        <f>IFERROR(__xludf.DUMMYFUNCTION("""COMPUTED_VALUE"""),"Chaldea Gate (Thu)")</f>
        <v>Chaldea Gate (Thu)</v>
      </c>
      <c r="W94" s="184" t="str">
        <f>IFERROR(__xludf.DUMMYFUNCTION("""COMPUTED_VALUE"""),"THU Rider Training Ground- Nov")</f>
        <v>THU Rider Training Ground- Nov</v>
      </c>
      <c r="X94" s="190">
        <f>IFERROR(__xludf.DUMMYFUNCTION("""COMPUTED_VALUE"""),10.0)</f>
        <v>10</v>
      </c>
      <c r="Y94" s="191">
        <f>IFERROR(__xludf.DUMMYFUNCTION("""COMPUTED_VALUE"""),18.8)</f>
        <v>18.8</v>
      </c>
      <c r="Z94" s="192">
        <f>IFERROR(__xludf.DUMMYFUNCTION("""COMPUTED_VALUE"""),8.519281723195936)</f>
        <v>8.519281723</v>
      </c>
      <c r="AA94" s="194" t="str">
        <f>IFERROR(__xludf.DUMMYFUNCTION("""COMPUTED_VALUE"""),"AP")</f>
        <v>AP</v>
      </c>
      <c r="AB94" s="192">
        <f>IFERROR(__xludf.DUMMYFUNCTION("""COMPUTED_VALUE"""),117.38078778135049)</f>
        <v>117.3807878</v>
      </c>
      <c r="AC94" s="194" t="str">
        <f>IFERROR(__xludf.DUMMYFUNCTION("""COMPUTED_VALUE"""),"％")</f>
        <v>％</v>
      </c>
      <c r="AD94" s="190">
        <f>IFERROR(__xludf.DUMMYFUNCTION("""COMPUTED_VALUE"""),1244.0)</f>
        <v>1244</v>
      </c>
      <c r="AE94" s="197" t="str">
        <f>IFERROR(__xludf.DUMMYFUNCTION("""COMPUTED_VALUE"""),"Gem of Rider")</f>
        <v>Gem of Rider</v>
      </c>
      <c r="AF94" s="364" t="str">
        <f>IFERROR(__xludf.DUMMYFUNCTION("""COMPUTED_VALUE"""),"")</f>
        <v/>
      </c>
    </row>
    <row r="95" ht="16.5" customHeight="1">
      <c r="C95" s="204"/>
      <c r="D95" s="205">
        <f>IFERROR(__xludf.DUMMYFUNCTION("""COMPUTED_VALUE"""),2.0)</f>
        <v>2</v>
      </c>
      <c r="E95" s="206" t="str">
        <f>IFERROR(__xludf.DUMMYFUNCTION("""COMPUTED_VALUE"""),"OKN8")</f>
        <v>OKN8</v>
      </c>
      <c r="F95" s="207" t="str">
        <f>IFERROR(__xludf.DUMMYFUNCTION("""COMPUTED_VALUE"""),"Okeanos")</f>
        <v>Okeanos</v>
      </c>
      <c r="G95" s="209" t="str">
        <f>IFERROR(__xludf.DUMMYFUNCTION("""COMPUTED_VALUE"""),"Caldera Island")</f>
        <v>Caldera Island</v>
      </c>
      <c r="H95" s="211">
        <f>IFERROR(__xludf.DUMMYFUNCTION("""COMPUTED_VALUE"""),17.0)</f>
        <v>17</v>
      </c>
      <c r="I95" s="213">
        <f>IFERROR(__xludf.DUMMYFUNCTION("""COMPUTED_VALUE"""),42.11764705882353)</f>
        <v>42.11764706</v>
      </c>
      <c r="J95" s="214">
        <f>IFERROR(__xludf.DUMMYFUNCTION("""COMPUTED_VALUE"""),136.85815129683533)</f>
        <v>136.8581513</v>
      </c>
      <c r="K95" s="215" t="str">
        <f>IFERROR(__xludf.DUMMYFUNCTION("""COMPUTED_VALUE"""),"AP")</f>
        <v>AP</v>
      </c>
      <c r="L95" s="214">
        <f>IFERROR(__xludf.DUMMYFUNCTION("""COMPUTED_VALUE"""),12.421620370370372)</f>
        <v>12.42162037</v>
      </c>
      <c r="M95" s="215" t="str">
        <f>IFERROR(__xludf.DUMMYFUNCTION("""COMPUTED_VALUE"""),"％")</f>
        <v>％</v>
      </c>
      <c r="N95" s="211">
        <f>IFERROR(__xludf.DUMMYFUNCTION("""COMPUTED_VALUE"""),2160.0)</f>
        <v>2160</v>
      </c>
      <c r="O95" s="217"/>
      <c r="P95" s="362" t="str">
        <f>IFERROR(__xludf.DUMMYFUNCTION("""COMPUTED_VALUE"""),"")</f>
        <v/>
      </c>
      <c r="S95" s="204"/>
      <c r="T95" s="205">
        <f>IFERROR(__xludf.DUMMYFUNCTION("""COMPUTED_VALUE"""),2.0)</f>
        <v>2</v>
      </c>
      <c r="U95" s="206" t="str">
        <f>IFERROR(__xludf.DUMMYFUNCTION("""COMPUTED_VALUE"""),"ORL7")</f>
        <v>ORL7</v>
      </c>
      <c r="V95" s="207" t="str">
        <f>IFERROR(__xludf.DUMMYFUNCTION("""COMPUTED_VALUE"""),"Orleans")</f>
        <v>Orleans</v>
      </c>
      <c r="W95" s="209" t="str">
        <f>IFERROR(__xludf.DUMMYFUNCTION("""COMPUTED_VALUE"""),"Thiers")</f>
        <v>Thiers</v>
      </c>
      <c r="X95" s="211">
        <f>IFERROR(__xludf.DUMMYFUNCTION("""COMPUTED_VALUE"""),7.0)</f>
        <v>7</v>
      </c>
      <c r="Y95" s="213">
        <f>IFERROR(__xludf.DUMMYFUNCTION("""COMPUTED_VALUE"""),30.285714285714285)</f>
        <v>30.28571429</v>
      </c>
      <c r="Z95" s="214">
        <f>IFERROR(__xludf.DUMMYFUNCTION("""COMPUTED_VALUE"""),20.083995176514616)</f>
        <v>20.08399518</v>
      </c>
      <c r="AA95" s="215" t="str">
        <f>IFERROR(__xludf.DUMMYFUNCTION("""COMPUTED_VALUE"""),"AP")</f>
        <v>AP</v>
      </c>
      <c r="AB95" s="214">
        <f>IFERROR(__xludf.DUMMYFUNCTION("""COMPUTED_VALUE"""),34.8536231884058)</f>
        <v>34.85362319</v>
      </c>
      <c r="AC95" s="215" t="str">
        <f>IFERROR(__xludf.DUMMYFUNCTION("""COMPUTED_VALUE"""),"％")</f>
        <v>％</v>
      </c>
      <c r="AD95" s="211">
        <f>IFERROR(__xludf.DUMMYFUNCTION("""COMPUTED_VALUE"""),1518.0)</f>
        <v>1518</v>
      </c>
      <c r="AE95" s="217"/>
      <c r="AF95" s="364" t="str">
        <f>IFERROR(__xludf.DUMMYFUNCTION("""COMPUTED_VALUE"""),"")</f>
        <v/>
      </c>
    </row>
    <row r="96" ht="16.5" customHeight="1">
      <c r="C96" s="204"/>
      <c r="D96" s="222">
        <f>IFERROR(__xludf.DUMMYFUNCTION("""COMPUTED_VALUE"""),3.0)</f>
        <v>3</v>
      </c>
      <c r="E96" s="223" t="str">
        <f>IFERROR(__xludf.DUMMYFUNCTION("""COMPUTED_VALUE"""),"TRF14")</f>
        <v>TRF14</v>
      </c>
      <c r="F96" s="224" t="str">
        <f>IFERROR(__xludf.DUMMYFUNCTION("""COMPUTED_VALUE"""),"Chaldea Gate (Thu)")</f>
        <v>Chaldea Gate (Thu)</v>
      </c>
      <c r="G96" s="224" t="str">
        <f>IFERROR(__xludf.DUMMYFUNCTION("""COMPUTED_VALUE"""),"THU Rider Training Ground- Int")</f>
        <v>THU Rider Training Ground- Int</v>
      </c>
      <c r="H96" s="228">
        <f>IFERROR(__xludf.DUMMYFUNCTION("""COMPUTED_VALUE"""),20.0)</f>
        <v>20</v>
      </c>
      <c r="I96" s="230">
        <f>IFERROR(__xludf.DUMMYFUNCTION("""COMPUTED_VALUE"""),18.4)</f>
        <v>18.4</v>
      </c>
      <c r="J96" s="231">
        <f>IFERROR(__xludf.DUMMYFUNCTION("""COMPUTED_VALUE"""),179.8592032967033)</f>
        <v>179.8592033</v>
      </c>
      <c r="K96" s="232" t="str">
        <f>IFERROR(__xludf.DUMMYFUNCTION("""COMPUTED_VALUE"""),"AP")</f>
        <v>AP</v>
      </c>
      <c r="L96" s="231">
        <f>IFERROR(__xludf.DUMMYFUNCTION("""COMPUTED_VALUE"""),11.11980906921241)</f>
        <v>11.11980907</v>
      </c>
      <c r="M96" s="232" t="str">
        <f>IFERROR(__xludf.DUMMYFUNCTION("""COMPUTED_VALUE"""),"％")</f>
        <v>％</v>
      </c>
      <c r="N96" s="228">
        <f>IFERROR(__xludf.DUMMYFUNCTION("""COMPUTED_VALUE"""),838.0)</f>
        <v>838</v>
      </c>
      <c r="O96" s="217"/>
      <c r="P96" s="362" t="str">
        <f>IFERROR(__xludf.DUMMYFUNCTION("""COMPUTED_VALUE"""),"")</f>
        <v/>
      </c>
      <c r="S96" s="204"/>
      <c r="T96" s="222">
        <f>IFERROR(__xludf.DUMMYFUNCTION("""COMPUTED_VALUE"""),3.0)</f>
        <v>3</v>
      </c>
      <c r="U96" s="223" t="str">
        <f>IFERROR(__xludf.DUMMYFUNCTION("""COMPUTED_VALUE"""),"TRF14")</f>
        <v>TRF14</v>
      </c>
      <c r="V96" s="224" t="str">
        <f>IFERROR(__xludf.DUMMYFUNCTION("""COMPUTED_VALUE"""),"Chaldea Gate (Thu)")</f>
        <v>Chaldea Gate (Thu)</v>
      </c>
      <c r="W96" s="224" t="str">
        <f>IFERROR(__xludf.DUMMYFUNCTION("""COMPUTED_VALUE"""),"THU Rider Training Ground- Int")</f>
        <v>THU Rider Training Ground- Int</v>
      </c>
      <c r="X96" s="228">
        <f>IFERROR(__xludf.DUMMYFUNCTION("""COMPUTED_VALUE"""),20.0)</f>
        <v>20</v>
      </c>
      <c r="Y96" s="230">
        <f>IFERROR(__xludf.DUMMYFUNCTION("""COMPUTED_VALUE"""),18.4)</f>
        <v>18.4</v>
      </c>
      <c r="Z96" s="231">
        <f>IFERROR(__xludf.DUMMYFUNCTION("""COMPUTED_VALUE"""),21.605288397083548)</f>
        <v>21.6052884</v>
      </c>
      <c r="AA96" s="232" t="str">
        <f>IFERROR(__xludf.DUMMYFUNCTION("""COMPUTED_VALUE"""),"AP")</f>
        <v>AP</v>
      </c>
      <c r="AB96" s="231">
        <f>IFERROR(__xludf.DUMMYFUNCTION("""COMPUTED_VALUE"""),92.56992840095464)</f>
        <v>92.5699284</v>
      </c>
      <c r="AC96" s="232" t="str">
        <f>IFERROR(__xludf.DUMMYFUNCTION("""COMPUTED_VALUE"""),"％")</f>
        <v>％</v>
      </c>
      <c r="AD96" s="228">
        <f>IFERROR(__xludf.DUMMYFUNCTION("""COMPUTED_VALUE"""),838.0)</f>
        <v>838</v>
      </c>
      <c r="AE96" s="217"/>
      <c r="AF96" s="364" t="str">
        <f>IFERROR(__xludf.DUMMYFUNCTION("""COMPUTED_VALUE"""),"")</f>
        <v/>
      </c>
    </row>
    <row r="97" ht="16.5" customHeight="1">
      <c r="C97" s="204"/>
      <c r="D97" s="238">
        <f>IFERROR(__xludf.DUMMYFUNCTION("""COMPUTED_VALUE"""),4.0)</f>
        <v>4</v>
      </c>
      <c r="E97" s="240" t="str">
        <f>IFERROR(__xludf.DUMMYFUNCTION("""COMPUTED_VALUE"""),"TRF13")</f>
        <v>TRF13</v>
      </c>
      <c r="F97" s="242" t="str">
        <f>IFERROR(__xludf.DUMMYFUNCTION("""COMPUTED_VALUE"""),"Chaldea Gate (Thu)")</f>
        <v>Chaldea Gate (Thu)</v>
      </c>
      <c r="G97" s="242" t="str">
        <f>IFERROR(__xludf.DUMMYFUNCTION("""COMPUTED_VALUE"""),"THU Rider Training Ground- Nov")</f>
        <v>THU Rider Training Ground- Nov</v>
      </c>
      <c r="H97" s="246">
        <f>IFERROR(__xludf.DUMMYFUNCTION("""COMPUTED_VALUE"""),10.0)</f>
        <v>10</v>
      </c>
      <c r="I97" s="248">
        <f>IFERROR(__xludf.DUMMYFUNCTION("""COMPUTED_VALUE"""),18.8)</f>
        <v>18.8</v>
      </c>
      <c r="J97" s="250">
        <f>IFERROR(__xludf.DUMMYFUNCTION("""COMPUTED_VALUE"""),180.30030726418923)</f>
        <v>180.3003073</v>
      </c>
      <c r="K97" s="252" t="str">
        <f>IFERROR(__xludf.DUMMYFUNCTION("""COMPUTED_VALUE"""),"AP")</f>
        <v>AP</v>
      </c>
      <c r="L97" s="250">
        <f>IFERROR(__xludf.DUMMYFUNCTION("""COMPUTED_VALUE"""),5.546302250803858)</f>
        <v>5.546302251</v>
      </c>
      <c r="M97" s="252" t="str">
        <f>IFERROR(__xludf.DUMMYFUNCTION("""COMPUTED_VALUE"""),"％")</f>
        <v>％</v>
      </c>
      <c r="N97" s="246">
        <f>IFERROR(__xludf.DUMMYFUNCTION("""COMPUTED_VALUE"""),1244.0)</f>
        <v>1244</v>
      </c>
      <c r="O97" s="217"/>
      <c r="P97" s="368" t="str">
        <f>IFERROR(__xludf.DUMMYFUNCTION("""COMPUTED_VALUE"""),"")</f>
        <v/>
      </c>
      <c r="S97" s="204"/>
      <c r="T97" s="238">
        <f>IFERROR(__xludf.DUMMYFUNCTION("""COMPUTED_VALUE"""),4.0)</f>
        <v>4</v>
      </c>
      <c r="U97" s="240" t="str">
        <f>IFERROR(__xludf.DUMMYFUNCTION("""COMPUTED_VALUE"""),"ORL3")</f>
        <v>ORL3</v>
      </c>
      <c r="V97" s="242" t="str">
        <f>IFERROR(__xludf.DUMMYFUNCTION("""COMPUTED_VALUE"""),"Orleans")</f>
        <v>Orleans</v>
      </c>
      <c r="W97" s="244" t="str">
        <f>IFERROR(__xludf.DUMMYFUNCTION("""COMPUTED_VALUE"""),"La Charite")</f>
        <v>La Charite</v>
      </c>
      <c r="X97" s="246">
        <f>IFERROR(__xludf.DUMMYFUNCTION("""COMPUTED_VALUE"""),7.0)</f>
        <v>7</v>
      </c>
      <c r="Y97" s="248">
        <f>IFERROR(__xludf.DUMMYFUNCTION("""COMPUTED_VALUE"""),26.857142857142858)</f>
        <v>26.85714286</v>
      </c>
      <c r="Z97" s="250">
        <f>IFERROR(__xludf.DUMMYFUNCTION("""COMPUTED_VALUE"""),21.88612099644128)</f>
        <v>21.886121</v>
      </c>
      <c r="AA97" s="252" t="str">
        <f>IFERROR(__xludf.DUMMYFUNCTION("""COMPUTED_VALUE"""),"AP")</f>
        <v>AP</v>
      </c>
      <c r="AB97" s="250">
        <f>IFERROR(__xludf.DUMMYFUNCTION("""COMPUTED_VALUE"""),31.983739837398375)</f>
        <v>31.98373984</v>
      </c>
      <c r="AC97" s="252" t="str">
        <f>IFERROR(__xludf.DUMMYFUNCTION("""COMPUTED_VALUE"""),"％")</f>
        <v>％</v>
      </c>
      <c r="AD97" s="246">
        <f>IFERROR(__xludf.DUMMYFUNCTION("""COMPUTED_VALUE"""),369.0)</f>
        <v>369</v>
      </c>
      <c r="AE97" s="217"/>
      <c r="AF97" s="364" t="str">
        <f>IFERROR(__xludf.DUMMYFUNCTION("""COMPUTED_VALUE"""),"")</f>
        <v/>
      </c>
    </row>
    <row r="98" ht="16.5" customHeight="1">
      <c r="A98" s="166"/>
      <c r="C98" s="255"/>
      <c r="D98" s="256">
        <f>IFERROR(__xludf.DUMMYFUNCTION("""COMPUTED_VALUE"""),5.0)</f>
        <v>5</v>
      </c>
      <c r="E98" s="257" t="str">
        <f>IFERROR(__xludf.DUMMYFUNCTION("""COMPUTED_VALUE"""),"TRF2")</f>
        <v>TRF2</v>
      </c>
      <c r="F98" s="42" t="str">
        <f>IFERROR(__xludf.DUMMYFUNCTION("""COMPUTED_VALUE"""),"Chaldea Gate (Mon)")</f>
        <v>Chaldea Gate (Mon)</v>
      </c>
      <c r="G98" s="42" t="str">
        <f>IFERROR(__xludf.DUMMYFUNCTION("""COMPUTED_VALUE"""),"MON Archer Training Ground- Int")</f>
        <v>MON Archer Training Ground- Int</v>
      </c>
      <c r="H98" s="259">
        <f>IFERROR(__xludf.DUMMYFUNCTION("""COMPUTED_VALUE"""),20.0)</f>
        <v>20</v>
      </c>
      <c r="I98" s="260">
        <f>IFERROR(__xludf.DUMMYFUNCTION("""COMPUTED_VALUE"""),18.4)</f>
        <v>18.4</v>
      </c>
      <c r="J98" s="261">
        <f>IFERROR(__xludf.DUMMYFUNCTION("""COMPUTED_VALUE"""),192.60114124511122)</f>
        <v>192.6011412</v>
      </c>
      <c r="K98" s="262" t="str">
        <f>IFERROR(__xludf.DUMMYFUNCTION("""COMPUTED_VALUE"""),"AP")</f>
        <v>AP</v>
      </c>
      <c r="L98" s="261">
        <f>IFERROR(__xludf.DUMMYFUNCTION("""COMPUTED_VALUE"""),10.384154460719042)</f>
        <v>10.38415446</v>
      </c>
      <c r="M98" s="262" t="str">
        <f>IFERROR(__xludf.DUMMYFUNCTION("""COMPUTED_VALUE"""),"％")</f>
        <v>％</v>
      </c>
      <c r="N98" s="259">
        <f>IFERROR(__xludf.DUMMYFUNCTION("""COMPUTED_VALUE"""),751.0)</f>
        <v>751</v>
      </c>
      <c r="O98" s="263"/>
      <c r="P98" s="368" t="str">
        <f>IFERROR(__xludf.DUMMYFUNCTION("""COMPUTED_VALUE"""),"")</f>
        <v/>
      </c>
      <c r="Q98" s="166"/>
      <c r="S98" s="255"/>
      <c r="T98" s="256">
        <f>IFERROR(__xludf.DUMMYFUNCTION("""COMPUTED_VALUE"""),5.0)</f>
        <v>5</v>
      </c>
      <c r="U98" s="257" t="str">
        <f>IFERROR(__xludf.DUMMYFUNCTION("""COMPUTED_VALUE"""),"OKN7")</f>
        <v>OKN7</v>
      </c>
      <c r="V98" s="42" t="str">
        <f>IFERROR(__xludf.DUMMYFUNCTION("""COMPUTED_VALUE"""),"Okeanos")</f>
        <v>Okeanos</v>
      </c>
      <c r="W98" s="258" t="str">
        <f>IFERROR(__xludf.DUMMYFUNCTION("""COMPUTED_VALUE"""),"Island of Wyverns")</f>
        <v>Island of Wyverns</v>
      </c>
      <c r="X98" s="259">
        <f>IFERROR(__xludf.DUMMYFUNCTION("""COMPUTED_VALUE"""),14.0)</f>
        <v>14</v>
      </c>
      <c r="Y98" s="260">
        <f>IFERROR(__xludf.DUMMYFUNCTION("""COMPUTED_VALUE"""),37.42857142857143)</f>
        <v>37.42857143</v>
      </c>
      <c r="Z98" s="261">
        <f>IFERROR(__xludf.DUMMYFUNCTION("""COMPUTED_VALUE"""),31.895589366802614)</f>
        <v>31.89558937</v>
      </c>
      <c r="AA98" s="262" t="str">
        <f>IFERROR(__xludf.DUMMYFUNCTION("""COMPUTED_VALUE"""),"AP")</f>
        <v>AP</v>
      </c>
      <c r="AB98" s="261">
        <f>IFERROR(__xludf.DUMMYFUNCTION("""COMPUTED_VALUE"""),43.893216203025865)</f>
        <v>43.8932162</v>
      </c>
      <c r="AC98" s="262" t="str">
        <f>IFERROR(__xludf.DUMMYFUNCTION("""COMPUTED_VALUE"""),"％")</f>
        <v>％</v>
      </c>
      <c r="AD98" s="259">
        <f>IFERROR(__xludf.DUMMYFUNCTION("""COMPUTED_VALUE"""),2049.0)</f>
        <v>2049</v>
      </c>
      <c r="AE98" s="263"/>
      <c r="AF98" s="364" t="str">
        <f>IFERROR(__xludf.DUMMYFUNCTION("""COMPUTED_VALUE"""),"")</f>
        <v/>
      </c>
    </row>
    <row r="99" ht="16.5" customHeight="1">
      <c r="A99" s="61" t="str">
        <f>IFERROR(__xludf.DUMMYFUNCTION("""COMPUTED_VALUE"""),"")</f>
        <v/>
      </c>
      <c r="B99" s="367" t="str">
        <f>IFERROR(__xludf.DUMMYFUNCTION("""COMPUTED_VALUE"""),"A210")</f>
        <v>A210</v>
      </c>
      <c r="C99" s="65" t="str">
        <f>IFERROR(__xludf.DUMMYFUNCTION("""COMPUTED_VALUE"""),"Great Knight Medal")</f>
        <v>Great Knight Medal</v>
      </c>
      <c r="D99" s="67">
        <f>IFERROR(__xludf.DUMMYFUNCTION("""COMPUTED_VALUE"""),1.0)</f>
        <v>1</v>
      </c>
      <c r="E99" s="69" t="str">
        <f>IFERROR(__xludf.DUMMYFUNCTION("""COMPUTED_VALUE"""),"CML12")</f>
        <v>CML12</v>
      </c>
      <c r="F99" s="71" t="str">
        <f>IFERROR(__xludf.DUMMYFUNCTION("""COMPUTED_VALUE"""),"Camelot")</f>
        <v>Camelot</v>
      </c>
      <c r="G99" s="78" t="str">
        <f>IFERROR(__xludf.DUMMYFUNCTION("""COMPUTED_VALUE"""),"Royal Castle")</f>
        <v>Royal Castle</v>
      </c>
      <c r="H99" s="80">
        <f>IFERROR(__xludf.DUMMYFUNCTION("""COMPUTED_VALUE"""),21.0)</f>
        <v>21</v>
      </c>
      <c r="I99" s="82">
        <f>IFERROR(__xludf.DUMMYFUNCTION("""COMPUTED_VALUE"""),48.95238095238095)</f>
        <v>48.95238095</v>
      </c>
      <c r="J99" s="84">
        <f>IFERROR(__xludf.DUMMYFUNCTION("""COMPUTED_VALUE"""),59.7426859172198)</f>
        <v>59.74268592</v>
      </c>
      <c r="K99" s="86" t="str">
        <f>IFERROR(__xludf.DUMMYFUNCTION("""COMPUTED_VALUE"""),"AP")</f>
        <v>AP</v>
      </c>
      <c r="L99" s="88">
        <f>IFERROR(__xludf.DUMMYFUNCTION("""COMPUTED_VALUE"""),35.15074636767731)</f>
        <v>35.15074637</v>
      </c>
      <c r="M99" s="86" t="str">
        <f>IFERROR(__xludf.DUMMYFUNCTION("""COMPUTED_VALUE"""),"％")</f>
        <v>％</v>
      </c>
      <c r="N99" s="80">
        <f>IFERROR(__xludf.DUMMYFUNCTION("""COMPUTED_VALUE"""),45219.0)</f>
        <v>45219</v>
      </c>
      <c r="O99" s="91" t="str">
        <f>IFERROR(__xludf.DUMMYFUNCTION("""COMPUTED_VALUE"""),"Great Knight Medal")</f>
        <v>Great Knight Medal</v>
      </c>
      <c r="P99" s="362" t="str">
        <f>IFERROR(__xludf.DUMMYFUNCTION("""COMPUTED_VALUE"""),"")</f>
        <v/>
      </c>
      <c r="Q99" s="61" t="str">
        <f>IFERROR(__xludf.DUMMYFUNCTION("""COMPUTED_VALUE"""),"")</f>
        <v/>
      </c>
      <c r="R99" s="367" t="str">
        <f>IFERROR(__xludf.DUMMYFUNCTION("""COMPUTED_VALUE"""),"B125")</f>
        <v>B125</v>
      </c>
      <c r="S99" s="65" t="str">
        <f>IFERROR(__xludf.DUMMYFUNCTION("""COMPUTED_VALUE"""),"Gem of Caster")</f>
        <v>Gem of Caster</v>
      </c>
      <c r="T99" s="67">
        <f>IFERROR(__xludf.DUMMYFUNCTION("""COMPUTED_VALUE"""),1.0)</f>
        <v>1</v>
      </c>
      <c r="U99" s="69" t="str">
        <f>IFERROR(__xludf.DUMMYFUNCTION("""COMPUTED_VALUE"""),"TRF17")</f>
        <v>TRF17</v>
      </c>
      <c r="V99" s="71" t="str">
        <f>IFERROR(__xludf.DUMMYFUNCTION("""COMPUTED_VALUE"""),"Chaldea Gate (Fri)")</f>
        <v>Chaldea Gate (Fri)</v>
      </c>
      <c r="W99" s="71" t="str">
        <f>IFERROR(__xludf.DUMMYFUNCTION("""COMPUTED_VALUE"""),"FRI Caster Training Ground- Nov")</f>
        <v>FRI Caster Training Ground- Nov</v>
      </c>
      <c r="X99" s="80">
        <f>IFERROR(__xludf.DUMMYFUNCTION("""COMPUTED_VALUE"""),10.0)</f>
        <v>10</v>
      </c>
      <c r="Y99" s="82">
        <f>IFERROR(__xludf.DUMMYFUNCTION("""COMPUTED_VALUE"""),18.8)</f>
        <v>18.8</v>
      </c>
      <c r="Z99" s="84">
        <f>IFERROR(__xludf.DUMMYFUNCTION("""COMPUTED_VALUE"""),8.05741281979421)</f>
        <v>8.05741282</v>
      </c>
      <c r="AA99" s="86" t="str">
        <f>IFERROR(__xludf.DUMMYFUNCTION("""COMPUTED_VALUE"""),"AP")</f>
        <v>AP</v>
      </c>
      <c r="AB99" s="88">
        <f>IFERROR(__xludf.DUMMYFUNCTION("""COMPUTED_VALUE"""),124.10931677018634)</f>
        <v>124.1093168</v>
      </c>
      <c r="AC99" s="86" t="str">
        <f>IFERROR(__xludf.DUMMYFUNCTION("""COMPUTED_VALUE"""),"％")</f>
        <v>％</v>
      </c>
      <c r="AD99" s="80">
        <f>IFERROR(__xludf.DUMMYFUNCTION("""COMPUTED_VALUE"""),3220.0)</f>
        <v>3220</v>
      </c>
      <c r="AE99" s="91" t="str">
        <f>IFERROR(__xludf.DUMMYFUNCTION("""COMPUTED_VALUE"""),"Gem of Caster")</f>
        <v>Gem of Caster</v>
      </c>
      <c r="AF99" s="364" t="str">
        <f>IFERROR(__xludf.DUMMYFUNCTION("""COMPUTED_VALUE"""),"")</f>
        <v/>
      </c>
    </row>
    <row r="100" ht="16.5" customHeight="1">
      <c r="C100" s="100"/>
      <c r="D100" s="102">
        <f>IFERROR(__xludf.DUMMYFUNCTION("""COMPUTED_VALUE"""),2.0)</f>
        <v>2</v>
      </c>
      <c r="E100" s="103" t="str">
        <f>IFERROR(__xludf.DUMMYFUNCTION("""COMPUTED_VALUE"""),"CML9")</f>
        <v>CML9</v>
      </c>
      <c r="F100" s="104" t="str">
        <f>IFERROR(__xludf.DUMMYFUNCTION("""COMPUTED_VALUE"""),"Camelot")</f>
        <v>Camelot</v>
      </c>
      <c r="G100" s="108" t="str">
        <f>IFERROR(__xludf.DUMMYFUNCTION("""COMPUTED_VALUE"""),"Main Gate")</f>
        <v>Main Gate</v>
      </c>
      <c r="H100" s="109">
        <f>IFERROR(__xludf.DUMMYFUNCTION("""COMPUTED_VALUE"""),20.0)</f>
        <v>20</v>
      </c>
      <c r="I100" s="110">
        <f>IFERROR(__xludf.DUMMYFUNCTION("""COMPUTED_VALUE"""),45.4)</f>
        <v>45.4</v>
      </c>
      <c r="J100" s="112">
        <f>IFERROR(__xludf.DUMMYFUNCTION("""COMPUTED_VALUE"""),64.24109865827366)</f>
        <v>64.24109866</v>
      </c>
      <c r="K100" s="121" t="str">
        <f>IFERROR(__xludf.DUMMYFUNCTION("""COMPUTED_VALUE"""),"AP")</f>
        <v>AP</v>
      </c>
      <c r="L100" s="123">
        <f>IFERROR(__xludf.DUMMYFUNCTION("""COMPUTED_VALUE"""),31.132717867091127)</f>
        <v>31.13271787</v>
      </c>
      <c r="M100" s="121" t="str">
        <f>IFERROR(__xludf.DUMMYFUNCTION("""COMPUTED_VALUE"""),"％")</f>
        <v>％</v>
      </c>
      <c r="N100" s="109">
        <f>IFERROR(__xludf.DUMMYFUNCTION("""COMPUTED_VALUE"""),12565.0)</f>
        <v>12565</v>
      </c>
      <c r="O100" s="100"/>
      <c r="P100" s="362" t="str">
        <f>IFERROR(__xludf.DUMMYFUNCTION("""COMPUTED_VALUE"""),"")</f>
        <v/>
      </c>
      <c r="S100" s="100"/>
      <c r="T100" s="102">
        <f>IFERROR(__xludf.DUMMYFUNCTION("""COMPUTED_VALUE"""),2.0)</f>
        <v>2</v>
      </c>
      <c r="U100" s="103" t="str">
        <f>IFERROR(__xludf.DUMMYFUNCTION("""COMPUTED_VALUE"""),"TRF18")</f>
        <v>TRF18</v>
      </c>
      <c r="V100" s="104" t="str">
        <f>IFERROR(__xludf.DUMMYFUNCTION("""COMPUTED_VALUE"""),"Chaldea Gate (Fri)")</f>
        <v>Chaldea Gate (Fri)</v>
      </c>
      <c r="W100" s="104" t="str">
        <f>IFERROR(__xludf.DUMMYFUNCTION("""COMPUTED_VALUE"""),"FRI Caster Training Ground- Int")</f>
        <v>FRI Caster Training Ground- Int</v>
      </c>
      <c r="X100" s="109">
        <f>IFERROR(__xludf.DUMMYFUNCTION("""COMPUTED_VALUE"""),20.0)</f>
        <v>20</v>
      </c>
      <c r="Y100" s="110">
        <f>IFERROR(__xludf.DUMMYFUNCTION("""COMPUTED_VALUE"""),18.4)</f>
        <v>18.4</v>
      </c>
      <c r="Z100" s="112">
        <f>IFERROR(__xludf.DUMMYFUNCTION("""COMPUTED_VALUE"""),20.734096350778795)</f>
        <v>20.73409635</v>
      </c>
      <c r="AA100" s="121" t="str">
        <f>IFERROR(__xludf.DUMMYFUNCTION("""COMPUTED_VALUE"""),"AP")</f>
        <v>AP</v>
      </c>
      <c r="AB100" s="123">
        <f>IFERROR(__xludf.DUMMYFUNCTION("""COMPUTED_VALUE"""),96.45947265625)</f>
        <v>96.45947266</v>
      </c>
      <c r="AC100" s="121" t="str">
        <f>IFERROR(__xludf.DUMMYFUNCTION("""COMPUTED_VALUE"""),"％")</f>
        <v>％</v>
      </c>
      <c r="AD100" s="109">
        <f>IFERROR(__xludf.DUMMYFUNCTION("""COMPUTED_VALUE"""),1024.0)</f>
        <v>1024</v>
      </c>
      <c r="AE100" s="100"/>
      <c r="AF100" s="364" t="str">
        <f>IFERROR(__xludf.DUMMYFUNCTION("""COMPUTED_VALUE"""),"")</f>
        <v/>
      </c>
    </row>
    <row r="101" ht="16.5" customHeight="1">
      <c r="C101" s="100"/>
      <c r="D101" s="130">
        <f>IFERROR(__xludf.DUMMYFUNCTION("""COMPUTED_VALUE"""),3.0)</f>
        <v>3</v>
      </c>
      <c r="E101" s="132" t="str">
        <f>IFERROR(__xludf.DUMMYFUNCTION("""COMPUTED_VALUE"""),"CML5")</f>
        <v>CML5</v>
      </c>
      <c r="F101" s="133" t="str">
        <f>IFERROR(__xludf.DUMMYFUNCTION("""COMPUTED_VALUE"""),"Camelot")</f>
        <v>Camelot</v>
      </c>
      <c r="G101" s="135" t="str">
        <f>IFERROR(__xludf.DUMMYFUNCTION("""COMPUTED_VALUE"""),"Fortress of the Round Table")</f>
        <v>Fortress of the Round Table</v>
      </c>
      <c r="H101" s="137">
        <f>IFERROR(__xludf.DUMMYFUNCTION("""COMPUTED_VALUE"""),19.0)</f>
        <v>19</v>
      </c>
      <c r="I101" s="139">
        <f>IFERROR(__xludf.DUMMYFUNCTION("""COMPUTED_VALUE"""),45.26315789473684)</f>
        <v>45.26315789</v>
      </c>
      <c r="J101" s="141">
        <f>IFERROR(__xludf.DUMMYFUNCTION("""COMPUTED_VALUE"""),100.80035089275593)</f>
        <v>100.8003509</v>
      </c>
      <c r="K101" s="143" t="str">
        <f>IFERROR(__xludf.DUMMYFUNCTION("""COMPUTED_VALUE"""),"AP")</f>
        <v>AP</v>
      </c>
      <c r="L101" s="145">
        <f>IFERROR(__xludf.DUMMYFUNCTION("""COMPUTED_VALUE"""),18.84914073385973)</f>
        <v>18.84914073</v>
      </c>
      <c r="M101" s="143" t="str">
        <f>IFERROR(__xludf.DUMMYFUNCTION("""COMPUTED_VALUE"""),"％")</f>
        <v>％</v>
      </c>
      <c r="N101" s="137">
        <f>IFERROR(__xludf.DUMMYFUNCTION("""COMPUTED_VALUE"""),2153.0)</f>
        <v>2153</v>
      </c>
      <c r="O101" s="100"/>
      <c r="P101" s="362" t="str">
        <f>IFERROR(__xludf.DUMMYFUNCTION("""COMPUTED_VALUE"""),"")</f>
        <v/>
      </c>
      <c r="S101" s="100"/>
      <c r="T101" s="130">
        <f>IFERROR(__xludf.DUMMYFUNCTION("""COMPUTED_VALUE"""),3.0)</f>
        <v>3</v>
      </c>
      <c r="U101" s="132" t="str">
        <f>IFERROR(__xludf.DUMMYFUNCTION("""COMPUTED_VALUE"""),"SJK9")</f>
        <v>SJK9</v>
      </c>
      <c r="V101" s="133" t="str">
        <f>IFERROR(__xludf.DUMMYFUNCTION("""COMPUTED_VALUE"""),"Shinjuku")</f>
        <v>Shinjuku</v>
      </c>
      <c r="W101" s="135" t="str">
        <f>IFERROR(__xludf.DUMMYFUNCTION("""COMPUTED_VALUE"""),"Shinjuku Gyoen")</f>
        <v>Shinjuku Gyoen</v>
      </c>
      <c r="X101" s="137">
        <f>IFERROR(__xludf.DUMMYFUNCTION("""COMPUTED_VALUE"""),21.0)</f>
        <v>21</v>
      </c>
      <c r="Y101" s="139">
        <f>IFERROR(__xludf.DUMMYFUNCTION("""COMPUTED_VALUE"""),48.95238095238095)</f>
        <v>48.95238095</v>
      </c>
      <c r="Z101" s="141">
        <f>IFERROR(__xludf.DUMMYFUNCTION("""COMPUTED_VALUE"""),55.06116019221291)</f>
        <v>55.06116019</v>
      </c>
      <c r="AA101" s="143" t="str">
        <f>IFERROR(__xludf.DUMMYFUNCTION("""COMPUTED_VALUE"""),"AP")</f>
        <v>AP</v>
      </c>
      <c r="AB101" s="145">
        <f>IFERROR(__xludf.DUMMYFUNCTION("""COMPUTED_VALUE"""),38.139407027914295)</f>
        <v>38.13940703</v>
      </c>
      <c r="AC101" s="143" t="str">
        <f>IFERROR(__xludf.DUMMYFUNCTION("""COMPUTED_VALUE"""),"％")</f>
        <v>％</v>
      </c>
      <c r="AD101" s="137">
        <f>IFERROR(__xludf.DUMMYFUNCTION("""COMPUTED_VALUE"""),45673.0)</f>
        <v>45673</v>
      </c>
      <c r="AE101" s="100"/>
      <c r="AF101" s="364" t="str">
        <f>IFERROR(__xludf.DUMMYFUNCTION("""COMPUTED_VALUE"""),"")</f>
        <v/>
      </c>
    </row>
    <row r="102" ht="16.5" customHeight="1">
      <c r="C102" s="100"/>
      <c r="D102" s="146">
        <f>IFERROR(__xludf.DUMMYFUNCTION("""COMPUTED_VALUE"""),4.0)</f>
        <v>4</v>
      </c>
      <c r="E102" s="148" t="str">
        <f>IFERROR(__xludf.DUMMYFUNCTION("""COMPUTED_VALUE"""),"")</f>
        <v/>
      </c>
      <c r="F102" s="150" t="str">
        <f>IFERROR(__xludf.DUMMYFUNCTION("""COMPUTED_VALUE"""),"")</f>
        <v/>
      </c>
      <c r="G102" s="150" t="str">
        <f>IFERROR(__xludf.DUMMYFUNCTION("""COMPUTED_VALUE"""),"")</f>
        <v/>
      </c>
      <c r="H102" s="154" t="str">
        <f>IFERROR(__xludf.DUMMYFUNCTION("""COMPUTED_VALUE"""),"")</f>
        <v/>
      </c>
      <c r="I102" s="156" t="str">
        <f>IFERROR(__xludf.DUMMYFUNCTION("""COMPUTED_VALUE"""),"")</f>
        <v/>
      </c>
      <c r="J102" s="158" t="str">
        <f>IFERROR(__xludf.DUMMYFUNCTION("""COMPUTED_VALUE"""),"")</f>
        <v/>
      </c>
      <c r="K102" s="160" t="str">
        <f>IFERROR(__xludf.DUMMYFUNCTION("""COMPUTED_VALUE"""),"AP")</f>
        <v>AP</v>
      </c>
      <c r="L102" s="162" t="str">
        <f>IFERROR(__xludf.DUMMYFUNCTION("""COMPUTED_VALUE"""),"")</f>
        <v/>
      </c>
      <c r="M102" s="160" t="str">
        <f>IFERROR(__xludf.DUMMYFUNCTION("""COMPUTED_VALUE"""),"％")</f>
        <v>％</v>
      </c>
      <c r="N102" s="154" t="str">
        <f>IFERROR(__xludf.DUMMYFUNCTION("""COMPUTED_VALUE"""),"")</f>
        <v/>
      </c>
      <c r="O102" s="100"/>
      <c r="P102" s="362" t="str">
        <f>IFERROR(__xludf.DUMMYFUNCTION("""COMPUTED_VALUE"""),"")</f>
        <v/>
      </c>
      <c r="S102" s="100"/>
      <c r="T102" s="146">
        <f>IFERROR(__xludf.DUMMYFUNCTION("""COMPUTED_VALUE"""),4.0)</f>
        <v>4</v>
      </c>
      <c r="U102" s="148" t="str">
        <f>IFERROR(__xludf.DUMMYFUNCTION("""COMPUTED_VALUE"""),"SJK1")</f>
        <v>SJK1</v>
      </c>
      <c r="V102" s="150" t="str">
        <f>IFERROR(__xludf.DUMMYFUNCTION("""COMPUTED_VALUE"""),"Shinjuku")</f>
        <v>Shinjuku</v>
      </c>
      <c r="W102" s="152" t="str">
        <f>IFERROR(__xludf.DUMMYFUNCTION("""COMPUTED_VALUE"""),"Yoyogi 2-Chome")</f>
        <v>Yoyogi 2-Chome</v>
      </c>
      <c r="X102" s="154">
        <f>IFERROR(__xludf.DUMMYFUNCTION("""COMPUTED_VALUE"""),20.0)</f>
        <v>20</v>
      </c>
      <c r="Y102" s="156">
        <f>IFERROR(__xludf.DUMMYFUNCTION("""COMPUTED_VALUE"""),46.6)</f>
        <v>46.6</v>
      </c>
      <c r="Z102" s="158">
        <f>IFERROR(__xludf.DUMMYFUNCTION("""COMPUTED_VALUE"""),63.65336305082825)</f>
        <v>63.65336305</v>
      </c>
      <c r="AA102" s="160" t="str">
        <f>IFERROR(__xludf.DUMMYFUNCTION("""COMPUTED_VALUE"""),"AP")</f>
        <v>AP</v>
      </c>
      <c r="AB102" s="162">
        <f>IFERROR(__xludf.DUMMYFUNCTION("""COMPUTED_VALUE"""),31.42017804154303)</f>
        <v>31.42017804</v>
      </c>
      <c r="AC102" s="160" t="str">
        <f>IFERROR(__xludf.DUMMYFUNCTION("""COMPUTED_VALUE"""),"％")</f>
        <v>％</v>
      </c>
      <c r="AD102" s="154">
        <f>IFERROR(__xludf.DUMMYFUNCTION("""COMPUTED_VALUE"""),337.0)</f>
        <v>337</v>
      </c>
      <c r="AE102" s="100"/>
      <c r="AF102" s="364" t="str">
        <f>IFERROR(__xludf.DUMMYFUNCTION("""COMPUTED_VALUE"""),"")</f>
        <v/>
      </c>
    </row>
    <row r="103" ht="16.5" customHeight="1">
      <c r="A103" s="166"/>
      <c r="C103" s="168"/>
      <c r="D103" s="169">
        <f>IFERROR(__xludf.DUMMYFUNCTION("""COMPUTED_VALUE"""),5.0)</f>
        <v>5</v>
      </c>
      <c r="E103" s="170" t="str">
        <f>IFERROR(__xludf.DUMMYFUNCTION("""COMPUTED_VALUE"""),"")</f>
        <v/>
      </c>
      <c r="F103" s="51" t="str">
        <f>IFERROR(__xludf.DUMMYFUNCTION("""COMPUTED_VALUE"""),"")</f>
        <v/>
      </c>
      <c r="G103" s="51" t="str">
        <f>IFERROR(__xludf.DUMMYFUNCTION("""COMPUTED_VALUE"""),"")</f>
        <v/>
      </c>
      <c r="H103" s="172" t="str">
        <f>IFERROR(__xludf.DUMMYFUNCTION("""COMPUTED_VALUE"""),"")</f>
        <v/>
      </c>
      <c r="I103" s="173" t="str">
        <f>IFERROR(__xludf.DUMMYFUNCTION("""COMPUTED_VALUE"""),"")</f>
        <v/>
      </c>
      <c r="J103" s="174" t="str">
        <f>IFERROR(__xludf.DUMMYFUNCTION("""COMPUTED_VALUE"""),"")</f>
        <v/>
      </c>
      <c r="K103" s="175" t="str">
        <f>IFERROR(__xludf.DUMMYFUNCTION("""COMPUTED_VALUE"""),"AP")</f>
        <v>AP</v>
      </c>
      <c r="L103" s="176" t="str">
        <f>IFERROR(__xludf.DUMMYFUNCTION("""COMPUTED_VALUE"""),"")</f>
        <v/>
      </c>
      <c r="M103" s="175" t="str">
        <f>IFERROR(__xludf.DUMMYFUNCTION("""COMPUTED_VALUE"""),"％")</f>
        <v>％</v>
      </c>
      <c r="N103" s="172" t="str">
        <f>IFERROR(__xludf.DUMMYFUNCTION("""COMPUTED_VALUE"""),"")</f>
        <v/>
      </c>
      <c r="O103" s="168"/>
      <c r="P103" s="362" t="str">
        <f>IFERROR(__xludf.DUMMYFUNCTION("""COMPUTED_VALUE"""),"")</f>
        <v/>
      </c>
      <c r="Q103" s="166"/>
      <c r="S103" s="168"/>
      <c r="T103" s="169">
        <f>IFERROR(__xludf.DUMMYFUNCTION("""COMPUTED_VALUE"""),5.0)</f>
        <v>5</v>
      </c>
      <c r="U103" s="170" t="str">
        <f>IFERROR(__xludf.DUMMYFUNCTION("""COMPUTED_VALUE"""),"LDN6")</f>
        <v>LDN6</v>
      </c>
      <c r="V103" s="51" t="str">
        <f>IFERROR(__xludf.DUMMYFUNCTION("""COMPUTED_VALUE"""),"London")</f>
        <v>London</v>
      </c>
      <c r="W103" s="171" t="str">
        <f>IFERROR(__xludf.DUMMYFUNCTION("""COMPUTED_VALUE"""),"Regent Park")</f>
        <v>Regent Park</v>
      </c>
      <c r="X103" s="172">
        <f>IFERROR(__xludf.DUMMYFUNCTION("""COMPUTED_VALUE"""),16.0)</f>
        <v>16</v>
      </c>
      <c r="Y103" s="173">
        <f>IFERROR(__xludf.DUMMYFUNCTION("""COMPUTED_VALUE"""),37.25)</f>
        <v>37.25</v>
      </c>
      <c r="Z103" s="174">
        <f>IFERROR(__xludf.DUMMYFUNCTION("""COMPUTED_VALUE"""),78.56972586412397)</f>
        <v>78.56972586</v>
      </c>
      <c r="AA103" s="175" t="str">
        <f>IFERROR(__xludf.DUMMYFUNCTION("""COMPUTED_VALUE"""),"AP")</f>
        <v>AP</v>
      </c>
      <c r="AB103" s="176">
        <f>IFERROR(__xludf.DUMMYFUNCTION("""COMPUTED_VALUE"""),20.364077669902912)</f>
        <v>20.36407767</v>
      </c>
      <c r="AC103" s="175" t="str">
        <f>IFERROR(__xludf.DUMMYFUNCTION("""COMPUTED_VALUE"""),"％")</f>
        <v>％</v>
      </c>
      <c r="AD103" s="172">
        <f>IFERROR(__xludf.DUMMYFUNCTION("""COMPUTED_VALUE"""),309.0)</f>
        <v>309</v>
      </c>
      <c r="AE103" s="168"/>
      <c r="AF103" s="364" t="str">
        <f>IFERROR(__xludf.DUMMYFUNCTION("""COMPUTED_VALUE"""),"")</f>
        <v/>
      </c>
    </row>
    <row r="104" ht="16.5" customHeight="1">
      <c r="A104" s="61" t="str">
        <f>IFERROR(__xludf.DUMMYFUNCTION("""COMPUTED_VALUE"""),"")</f>
        <v/>
      </c>
      <c r="B104" s="366" t="str">
        <f>IFERROR(__xludf.DUMMYFUNCTION("""COMPUTED_VALUE"""),"A211")</f>
        <v>A211</v>
      </c>
      <c r="C104" s="197" t="str">
        <f>IFERROR(__xludf.DUMMYFUNCTION("""COMPUTED_VALUE"""),"Shell of Reminiscense")</f>
        <v>Shell of Reminiscense</v>
      </c>
      <c r="D104" s="181">
        <f>IFERROR(__xludf.DUMMYFUNCTION("""COMPUTED_VALUE"""),1.0)</f>
        <v>1</v>
      </c>
      <c r="E104" s="182" t="str">
        <f>IFERROR(__xludf.DUMMYFUNCTION("""COMPUTED_VALUE"""),"BBL8")</f>
        <v>BBL8</v>
      </c>
      <c r="F104" s="184" t="str">
        <f>IFERROR(__xludf.DUMMYFUNCTION("""COMPUTED_VALUE"""),"Babylonia")</f>
        <v>Babylonia</v>
      </c>
      <c r="G104" s="189" t="str">
        <f>IFERROR(__xludf.DUMMYFUNCTION("""COMPUTED_VALUE"""),"Observatory")</f>
        <v>Observatory</v>
      </c>
      <c r="H104" s="190">
        <f>IFERROR(__xludf.DUMMYFUNCTION("""COMPUTED_VALUE"""),21.0)</f>
        <v>21</v>
      </c>
      <c r="I104" s="191">
        <f>IFERROR(__xludf.DUMMYFUNCTION("""COMPUTED_VALUE"""),46.666666666666664)</f>
        <v>46.66666667</v>
      </c>
      <c r="J104" s="192">
        <f>IFERROR(__xludf.DUMMYFUNCTION("""COMPUTED_VALUE"""),52.245164706077)</f>
        <v>52.24516471</v>
      </c>
      <c r="K104" s="194" t="str">
        <f>IFERROR(__xludf.DUMMYFUNCTION("""COMPUTED_VALUE"""),"AP")</f>
        <v>AP</v>
      </c>
      <c r="L104" s="192">
        <f>IFERROR(__xludf.DUMMYFUNCTION("""COMPUTED_VALUE"""),40.19510727575014)</f>
        <v>40.19510728</v>
      </c>
      <c r="M104" s="194" t="str">
        <f>IFERROR(__xludf.DUMMYFUNCTION("""COMPUTED_VALUE"""),"％")</f>
        <v>％</v>
      </c>
      <c r="N104" s="190">
        <f>IFERROR(__xludf.DUMMYFUNCTION("""COMPUTED_VALUE"""),25262.0)</f>
        <v>25262</v>
      </c>
      <c r="O104" s="197" t="str">
        <f>IFERROR(__xludf.DUMMYFUNCTION("""COMPUTED_VALUE"""),"Shell of Reminiscense")</f>
        <v>Shell of Reminiscense</v>
      </c>
      <c r="P104" s="362" t="str">
        <f>IFERROR(__xludf.DUMMYFUNCTION("""COMPUTED_VALUE"""),"")</f>
        <v/>
      </c>
      <c r="Q104" s="61" t="str">
        <f>IFERROR(__xludf.DUMMYFUNCTION("""COMPUTED_VALUE"""),"")</f>
        <v/>
      </c>
      <c r="R104" s="366" t="str">
        <f>IFERROR(__xludf.DUMMYFUNCTION("""COMPUTED_VALUE"""),"B126")</f>
        <v>B126</v>
      </c>
      <c r="S104" s="197" t="str">
        <f>IFERROR(__xludf.DUMMYFUNCTION("""COMPUTED_VALUE"""),"Gem of Assassin")</f>
        <v>Gem of Assassin</v>
      </c>
      <c r="T104" s="181">
        <f>IFERROR(__xludf.DUMMYFUNCTION("""COMPUTED_VALUE"""),1.0)</f>
        <v>1</v>
      </c>
      <c r="U104" s="182" t="str">
        <f>IFERROR(__xludf.DUMMYFUNCTION("""COMPUTED_VALUE"""),"TRF21")</f>
        <v>TRF21</v>
      </c>
      <c r="V104" s="184" t="str">
        <f>IFERROR(__xludf.DUMMYFUNCTION("""COMPUTED_VALUE"""),"Chaldea Gate (Sat)")</f>
        <v>Chaldea Gate (Sat)</v>
      </c>
      <c r="W104" s="184" t="str">
        <f>IFERROR(__xludf.DUMMYFUNCTION("""COMPUTED_VALUE"""),"SAT Assassin Training Ground- Nov")</f>
        <v>SAT Assassin Training Ground- Nov</v>
      </c>
      <c r="X104" s="190">
        <f>IFERROR(__xludf.DUMMYFUNCTION("""COMPUTED_VALUE"""),10.0)</f>
        <v>10</v>
      </c>
      <c r="Y104" s="191">
        <f>IFERROR(__xludf.DUMMYFUNCTION("""COMPUTED_VALUE"""),18.8)</f>
        <v>18.8</v>
      </c>
      <c r="Z104" s="192">
        <f>IFERROR(__xludf.DUMMYFUNCTION("""COMPUTED_VALUE"""),7.637102969645061)</f>
        <v>7.63710297</v>
      </c>
      <c r="AA104" s="194" t="str">
        <f>IFERROR(__xludf.DUMMYFUNCTION("""COMPUTED_VALUE"""),"AP")</f>
        <v>AP</v>
      </c>
      <c r="AB104" s="192">
        <f>IFERROR(__xludf.DUMMYFUNCTION("""COMPUTED_VALUE"""),130.9397037037037)</f>
        <v>130.9397037</v>
      </c>
      <c r="AC104" s="194" t="str">
        <f>IFERROR(__xludf.DUMMYFUNCTION("""COMPUTED_VALUE"""),"％")</f>
        <v>％</v>
      </c>
      <c r="AD104" s="190">
        <f>IFERROR(__xludf.DUMMYFUNCTION("""COMPUTED_VALUE"""),1350.0)</f>
        <v>1350</v>
      </c>
      <c r="AE104" s="197" t="str">
        <f>IFERROR(__xludf.DUMMYFUNCTION("""COMPUTED_VALUE"""),"Gem of Assassin")</f>
        <v>Gem of Assassin</v>
      </c>
      <c r="AF104" s="364" t="str">
        <f>IFERROR(__xludf.DUMMYFUNCTION("""COMPUTED_VALUE"""),"")</f>
        <v/>
      </c>
    </row>
    <row r="105" ht="16.5" customHeight="1">
      <c r="C105" s="217"/>
      <c r="D105" s="205">
        <f>IFERROR(__xludf.DUMMYFUNCTION("""COMPUTED_VALUE"""),2.0)</f>
        <v>2</v>
      </c>
      <c r="E105" s="206" t="str">
        <f>IFERROR(__xludf.DUMMYFUNCTION("""COMPUTED_VALUE"""),"OKN11")</f>
        <v>OKN11</v>
      </c>
      <c r="F105" s="207" t="str">
        <f>IFERROR(__xludf.DUMMYFUNCTION("""COMPUTED_VALUE"""),"Okeanos")</f>
        <v>Okeanos</v>
      </c>
      <c r="G105" s="209" t="str">
        <f>IFERROR(__xludf.DUMMYFUNCTION("""COMPUTED_VALUE"""),"Archipelago (Hidden island)")</f>
        <v>Archipelago (Hidden island)</v>
      </c>
      <c r="H105" s="211">
        <f>IFERROR(__xludf.DUMMYFUNCTION("""COMPUTED_VALUE"""),16.0)</f>
        <v>16</v>
      </c>
      <c r="I105" s="213">
        <f>IFERROR(__xludf.DUMMYFUNCTION("""COMPUTED_VALUE"""),38.75)</f>
        <v>38.75</v>
      </c>
      <c r="J105" s="214">
        <f>IFERROR(__xludf.DUMMYFUNCTION("""COMPUTED_VALUE"""),60.18808777429468)</f>
        <v>60.18808777</v>
      </c>
      <c r="K105" s="215" t="str">
        <f>IFERROR(__xludf.DUMMYFUNCTION("""COMPUTED_VALUE"""),"AP")</f>
        <v>AP</v>
      </c>
      <c r="L105" s="214">
        <f>IFERROR(__xludf.DUMMYFUNCTION("""COMPUTED_VALUE"""),26.583333333333332)</f>
        <v>26.58333333</v>
      </c>
      <c r="M105" s="215" t="str">
        <f>IFERROR(__xludf.DUMMYFUNCTION("""COMPUTED_VALUE"""),"％")</f>
        <v>％</v>
      </c>
      <c r="N105" s="211">
        <f>IFERROR(__xludf.DUMMYFUNCTION("""COMPUTED_VALUE"""),804.0)</f>
        <v>804</v>
      </c>
      <c r="O105" s="217"/>
      <c r="P105" s="362" t="str">
        <f>IFERROR(__xludf.DUMMYFUNCTION("""COMPUTED_VALUE"""),"")</f>
        <v/>
      </c>
      <c r="S105" s="217"/>
      <c r="T105" s="205">
        <f>IFERROR(__xludf.DUMMYFUNCTION("""COMPUTED_VALUE"""),2.0)</f>
        <v>2</v>
      </c>
      <c r="U105" s="206" t="str">
        <f>IFERROR(__xludf.DUMMYFUNCTION("""COMPUTED_VALUE"""),"TRF22")</f>
        <v>TRF22</v>
      </c>
      <c r="V105" s="207" t="str">
        <f>IFERROR(__xludf.DUMMYFUNCTION("""COMPUTED_VALUE"""),"Chaldea Gate (Sat)")</f>
        <v>Chaldea Gate (Sat)</v>
      </c>
      <c r="W105" s="207" t="str">
        <f>IFERROR(__xludf.DUMMYFUNCTION("""COMPUTED_VALUE"""),"SAT Assassin Training Ground- Int")</f>
        <v>SAT Assassin Training Ground- Int</v>
      </c>
      <c r="X105" s="211">
        <f>IFERROR(__xludf.DUMMYFUNCTION("""COMPUTED_VALUE"""),20.0)</f>
        <v>20</v>
      </c>
      <c r="Y105" s="213">
        <f>IFERROR(__xludf.DUMMYFUNCTION("""COMPUTED_VALUE"""),18.4)</f>
        <v>18.4</v>
      </c>
      <c r="Z105" s="214">
        <f>IFERROR(__xludf.DUMMYFUNCTION("""COMPUTED_VALUE"""),23.592432646432652)</f>
        <v>23.59243265</v>
      </c>
      <c r="AA105" s="215" t="str">
        <f>IFERROR(__xludf.DUMMYFUNCTION("""COMPUTED_VALUE"""),"AP")</f>
        <v>AP</v>
      </c>
      <c r="AB105" s="214">
        <f>IFERROR(__xludf.DUMMYFUNCTION("""COMPUTED_VALUE"""),84.77294520547946)</f>
        <v>84.77294521</v>
      </c>
      <c r="AC105" s="215" t="str">
        <f>IFERROR(__xludf.DUMMYFUNCTION("""COMPUTED_VALUE"""),"％")</f>
        <v>％</v>
      </c>
      <c r="AD105" s="211">
        <f>IFERROR(__xludf.DUMMYFUNCTION("""COMPUTED_VALUE"""),584.0)</f>
        <v>584</v>
      </c>
      <c r="AE105" s="217"/>
      <c r="AF105" s="364" t="str">
        <f>IFERROR(__xludf.DUMMYFUNCTION("""COMPUTED_VALUE"""),"")</f>
        <v/>
      </c>
    </row>
    <row r="106" ht="16.5" customHeight="1">
      <c r="C106" s="217"/>
      <c r="D106" s="222">
        <f>IFERROR(__xludf.DUMMYFUNCTION("""COMPUTED_VALUE"""),3.0)</f>
        <v>3</v>
      </c>
      <c r="E106" s="223" t="str">
        <f>IFERROR(__xludf.DUMMYFUNCTION("""COMPUTED_VALUE"""),"TRF26")</f>
        <v>TRF26</v>
      </c>
      <c r="F106" s="224" t="str">
        <f>IFERROR(__xludf.DUMMYFUNCTION("""COMPUTED_VALUE"""),"Chaldea Gate (Sun)")</f>
        <v>Chaldea Gate (Sun)</v>
      </c>
      <c r="G106" s="224" t="str">
        <f>IFERROR(__xludf.DUMMYFUNCTION("""COMPUTED_VALUE"""),"SUN Saber Training Ground- Int")</f>
        <v>SUN Saber Training Ground- Int</v>
      </c>
      <c r="H106" s="228">
        <f>IFERROR(__xludf.DUMMYFUNCTION("""COMPUTED_VALUE"""),20.0)</f>
        <v>20</v>
      </c>
      <c r="I106" s="230">
        <f>IFERROR(__xludf.DUMMYFUNCTION("""COMPUTED_VALUE"""),18.4)</f>
        <v>18.4</v>
      </c>
      <c r="J106" s="231">
        <f>IFERROR(__xludf.DUMMYFUNCTION("""COMPUTED_VALUE"""),164.1193595342067)</f>
        <v>164.1193595</v>
      </c>
      <c r="K106" s="232" t="str">
        <f>IFERROR(__xludf.DUMMYFUNCTION("""COMPUTED_VALUE"""),"AP")</f>
        <v>AP</v>
      </c>
      <c r="L106" s="231">
        <f>IFERROR(__xludf.DUMMYFUNCTION("""COMPUTED_VALUE"""),12.186252771618625)</f>
        <v>12.18625277</v>
      </c>
      <c r="M106" s="232" t="str">
        <f>IFERROR(__xludf.DUMMYFUNCTION("""COMPUTED_VALUE"""),"％")</f>
        <v>％</v>
      </c>
      <c r="N106" s="228">
        <f>IFERROR(__xludf.DUMMYFUNCTION("""COMPUTED_VALUE"""),451.0)</f>
        <v>451</v>
      </c>
      <c r="O106" s="217"/>
      <c r="P106" s="362" t="str">
        <f>IFERROR(__xludf.DUMMYFUNCTION("""COMPUTED_VALUE"""),"")</f>
        <v/>
      </c>
      <c r="S106" s="217"/>
      <c r="T106" s="222">
        <f>IFERROR(__xludf.DUMMYFUNCTION("""COMPUTED_VALUE"""),3.0)</f>
        <v>3</v>
      </c>
      <c r="U106" s="223" t="str">
        <f>IFERROR(__xludf.DUMMYFUNCTION("""COMPUTED_VALUE"""),"SEP3")</f>
        <v>SEP3</v>
      </c>
      <c r="V106" s="224" t="str">
        <f>IFERROR(__xludf.DUMMYFUNCTION("""COMPUTED_VALUE"""),"Septem")</f>
        <v>Septem</v>
      </c>
      <c r="W106" s="226" t="str">
        <f>IFERROR(__xludf.DUMMYFUNCTION("""COMPUTED_VALUE"""),"Mt. Etna")</f>
        <v>Mt. Etna</v>
      </c>
      <c r="X106" s="228">
        <f>IFERROR(__xludf.DUMMYFUNCTION("""COMPUTED_VALUE"""),9.0)</f>
        <v>9</v>
      </c>
      <c r="Y106" s="230">
        <f>IFERROR(__xludf.DUMMYFUNCTION("""COMPUTED_VALUE"""),28.88888888888889)</f>
        <v>28.88888889</v>
      </c>
      <c r="Z106" s="231">
        <f>IFERROR(__xludf.DUMMYFUNCTION("""COMPUTED_VALUE"""),26.68028685790527)</f>
        <v>26.68028686</v>
      </c>
      <c r="AA106" s="232" t="str">
        <f>IFERROR(__xludf.DUMMYFUNCTION("""COMPUTED_VALUE"""),"AP")</f>
        <v>AP</v>
      </c>
      <c r="AB106" s="231">
        <f>IFERROR(__xludf.DUMMYFUNCTION("""COMPUTED_VALUE"""),33.73277074542897)</f>
        <v>33.73277075</v>
      </c>
      <c r="AC106" s="232" t="str">
        <f>IFERROR(__xludf.DUMMYFUNCTION("""COMPUTED_VALUE"""),"％")</f>
        <v>％</v>
      </c>
      <c r="AD106" s="228">
        <f>IFERROR(__xludf.DUMMYFUNCTION("""COMPUTED_VALUE"""),711.0)</f>
        <v>711</v>
      </c>
      <c r="AE106" s="217"/>
      <c r="AF106" s="364" t="str">
        <f>IFERROR(__xludf.DUMMYFUNCTION("""COMPUTED_VALUE"""),"")</f>
        <v/>
      </c>
    </row>
    <row r="107" ht="16.5" customHeight="1">
      <c r="C107" s="217"/>
      <c r="D107" s="238">
        <f>IFERROR(__xludf.DUMMYFUNCTION("""COMPUTED_VALUE"""),4.0)</f>
        <v>4</v>
      </c>
      <c r="E107" s="240" t="str">
        <f>IFERROR(__xludf.DUMMYFUNCTION("""COMPUTED_VALUE"""),"TRF28")</f>
        <v>TRF28</v>
      </c>
      <c r="F107" s="242" t="str">
        <f>IFERROR(__xludf.DUMMYFUNCTION("""COMPUTED_VALUE"""),"Chaldea Gate (Sun)")</f>
        <v>Chaldea Gate (Sun)</v>
      </c>
      <c r="G107" s="242" t="str">
        <f>IFERROR(__xludf.DUMMYFUNCTION("""COMPUTED_VALUE"""),"SUN Saber Training Ground- Exp")</f>
        <v>SUN Saber Training Ground- Exp</v>
      </c>
      <c r="H107" s="246">
        <f>IFERROR(__xludf.DUMMYFUNCTION("""COMPUTED_VALUE"""),40.0)</f>
        <v>40</v>
      </c>
      <c r="I107" s="248">
        <f>IFERROR(__xludf.DUMMYFUNCTION("""COMPUTED_VALUE"""),19.7)</f>
        <v>19.7</v>
      </c>
      <c r="J107" s="250">
        <f>IFERROR(__xludf.DUMMYFUNCTION("""COMPUTED_VALUE"""),193.34664259226145)</f>
        <v>193.3466426</v>
      </c>
      <c r="K107" s="252" t="str">
        <f>IFERROR(__xludf.DUMMYFUNCTION("""COMPUTED_VALUE"""),"AP")</f>
        <v>AP</v>
      </c>
      <c r="L107" s="250">
        <f>IFERROR(__xludf.DUMMYFUNCTION("""COMPUTED_VALUE"""),20.688230974020012)</f>
        <v>20.68823097</v>
      </c>
      <c r="M107" s="252" t="str">
        <f>IFERROR(__xludf.DUMMYFUNCTION("""COMPUTED_VALUE"""),"％")</f>
        <v>％</v>
      </c>
      <c r="N107" s="246">
        <f>IFERROR(__xludf.DUMMYFUNCTION("""COMPUTED_VALUE"""),21786.0)</f>
        <v>21786</v>
      </c>
      <c r="O107" s="217"/>
      <c r="P107" s="362" t="str">
        <f>IFERROR(__xludf.DUMMYFUNCTION("""COMPUTED_VALUE"""),"")</f>
        <v/>
      </c>
      <c r="S107" s="217"/>
      <c r="T107" s="238">
        <f>IFERROR(__xludf.DUMMYFUNCTION("""COMPUTED_VALUE"""),4.0)</f>
        <v>4</v>
      </c>
      <c r="U107" s="240" t="str">
        <f>IFERROR(__xludf.DUMMYFUNCTION("""COMPUTED_VALUE"""),"LDN1")</f>
        <v>LDN1</v>
      </c>
      <c r="V107" s="242" t="str">
        <f>IFERROR(__xludf.DUMMYFUNCTION("""COMPUTED_VALUE"""),"London")</f>
        <v>London</v>
      </c>
      <c r="W107" s="244" t="str">
        <f>IFERROR(__xludf.DUMMYFUNCTION("""COMPUTED_VALUE"""),"Old Street")</f>
        <v>Old Street</v>
      </c>
      <c r="X107" s="246">
        <f>IFERROR(__xludf.DUMMYFUNCTION("""COMPUTED_VALUE"""),15.0)</f>
        <v>15</v>
      </c>
      <c r="Y107" s="248">
        <f>IFERROR(__xludf.DUMMYFUNCTION("""COMPUTED_VALUE"""),38.13333333333333)</f>
        <v>38.13333333</v>
      </c>
      <c r="Z107" s="250">
        <f>IFERROR(__xludf.DUMMYFUNCTION("""COMPUTED_VALUE"""),27.540447191419744)</f>
        <v>27.54044719</v>
      </c>
      <c r="AA107" s="252" t="str">
        <f>IFERROR(__xludf.DUMMYFUNCTION("""COMPUTED_VALUE"""),"AP")</f>
        <v>AP</v>
      </c>
      <c r="AB107" s="250">
        <f>IFERROR(__xludf.DUMMYFUNCTION("""COMPUTED_VALUE"""),54.46534653465346)</f>
        <v>54.46534653</v>
      </c>
      <c r="AC107" s="252" t="str">
        <f>IFERROR(__xludf.DUMMYFUNCTION("""COMPUTED_VALUE"""),"％")</f>
        <v>％</v>
      </c>
      <c r="AD107" s="246">
        <f>IFERROR(__xludf.DUMMYFUNCTION("""COMPUTED_VALUE"""),202.0)</f>
        <v>202</v>
      </c>
      <c r="AE107" s="217"/>
      <c r="AF107" s="364" t="str">
        <f>IFERROR(__xludf.DUMMYFUNCTION("""COMPUTED_VALUE"""),"")</f>
        <v/>
      </c>
    </row>
    <row r="108" ht="16.5" customHeight="1">
      <c r="A108" s="166"/>
      <c r="C108" s="263"/>
      <c r="D108" s="256">
        <f>IFERROR(__xludf.DUMMYFUNCTION("""COMPUTED_VALUE"""),5.0)</f>
        <v>5</v>
      </c>
      <c r="E108" s="257" t="str">
        <f>IFERROR(__xludf.DUMMYFUNCTION("""COMPUTED_VALUE"""),"TRF27")</f>
        <v>TRF27</v>
      </c>
      <c r="F108" s="42" t="str">
        <f>IFERROR(__xludf.DUMMYFUNCTION("""COMPUTED_VALUE"""),"Chaldea Gate (Sun)")</f>
        <v>Chaldea Gate (Sun)</v>
      </c>
      <c r="G108" s="42" t="str">
        <f>IFERROR(__xludf.DUMMYFUNCTION("""COMPUTED_VALUE"""),"SUN Saber Training Ground- Adv")</f>
        <v>SUN Saber Training Ground- Adv</v>
      </c>
      <c r="H108" s="259">
        <f>IFERROR(__xludf.DUMMYFUNCTION("""COMPUTED_VALUE"""),30.0)</f>
        <v>30</v>
      </c>
      <c r="I108" s="260">
        <f>IFERROR(__xludf.DUMMYFUNCTION("""COMPUTED_VALUE"""),18.266666666666666)</f>
        <v>18.26666667</v>
      </c>
      <c r="J108" s="261">
        <f>IFERROR(__xludf.DUMMYFUNCTION("""COMPUTED_VALUE"""),193.93757947628984)</f>
        <v>193.9375795</v>
      </c>
      <c r="K108" s="262" t="str">
        <f>IFERROR(__xludf.DUMMYFUNCTION("""COMPUTED_VALUE"""),"AP")</f>
        <v>AP</v>
      </c>
      <c r="L108" s="261">
        <f>IFERROR(__xludf.DUMMYFUNCTION("""COMPUTED_VALUE"""),15.46889472427787)</f>
        <v>15.46889472</v>
      </c>
      <c r="M108" s="262" t="str">
        <f>IFERROR(__xludf.DUMMYFUNCTION("""COMPUTED_VALUE"""),"％")</f>
        <v>％</v>
      </c>
      <c r="N108" s="259">
        <f>IFERROR(__xludf.DUMMYFUNCTION("""COMPUTED_VALUE"""),4189.0)</f>
        <v>4189</v>
      </c>
      <c r="O108" s="263"/>
      <c r="P108" s="362" t="str">
        <f>IFERROR(__xludf.DUMMYFUNCTION("""COMPUTED_VALUE"""),"")</f>
        <v/>
      </c>
      <c r="Q108" s="166"/>
      <c r="S108" s="263"/>
      <c r="T108" s="256">
        <f>IFERROR(__xludf.DUMMYFUNCTION("""COMPUTED_VALUE"""),5.0)</f>
        <v>5</v>
      </c>
      <c r="U108" s="257" t="str">
        <f>IFERROR(__xludf.DUMMYFUNCTION("""COMPUTED_VALUE"""),"ORL8")</f>
        <v>ORL8</v>
      </c>
      <c r="V108" s="42" t="str">
        <f>IFERROR(__xludf.DUMMYFUNCTION("""COMPUTED_VALUE"""),"Orleans")</f>
        <v>Orleans</v>
      </c>
      <c r="W108" s="258" t="str">
        <f>IFERROR(__xludf.DUMMYFUNCTION("""COMPUTED_VALUE"""),"Bordeaux")</f>
        <v>Bordeaux</v>
      </c>
      <c r="X108" s="259">
        <f>IFERROR(__xludf.DUMMYFUNCTION("""COMPUTED_VALUE"""),7.0)</f>
        <v>7</v>
      </c>
      <c r="Y108" s="260">
        <f>IFERROR(__xludf.DUMMYFUNCTION("""COMPUTED_VALUE"""),30.285714285714285)</f>
        <v>30.28571429</v>
      </c>
      <c r="Z108" s="261">
        <f>IFERROR(__xludf.DUMMYFUNCTION("""COMPUTED_VALUE"""),28.626157882023826)</f>
        <v>28.62615788</v>
      </c>
      <c r="AA108" s="262" t="str">
        <f>IFERROR(__xludf.DUMMYFUNCTION("""COMPUTED_VALUE"""),"AP")</f>
        <v>AP</v>
      </c>
      <c r="AB108" s="261">
        <f>IFERROR(__xludf.DUMMYFUNCTION("""COMPUTED_VALUE"""),24.453159340659344)</f>
        <v>24.45315934</v>
      </c>
      <c r="AC108" s="262" t="str">
        <f>IFERROR(__xludf.DUMMYFUNCTION("""COMPUTED_VALUE"""),"％")</f>
        <v>％</v>
      </c>
      <c r="AD108" s="259">
        <f>IFERROR(__xludf.DUMMYFUNCTION("""COMPUTED_VALUE"""),728.0)</f>
        <v>728</v>
      </c>
      <c r="AE108" s="263"/>
      <c r="AF108" s="364" t="str">
        <f>IFERROR(__xludf.DUMMYFUNCTION("""COMPUTED_VALUE"""),"")</f>
        <v/>
      </c>
    </row>
    <row r="109" ht="16.5" customHeight="1">
      <c r="A109" s="61" t="str">
        <f>IFERROR(__xludf.DUMMYFUNCTION("""COMPUTED_VALUE"""),"")</f>
        <v/>
      </c>
      <c r="B109" s="367" t="str">
        <f>IFERROR(__xludf.DUMMYFUNCTION("""COMPUTED_VALUE"""),"A212")</f>
        <v>A212</v>
      </c>
      <c r="C109" s="65" t="str">
        <f>IFERROR(__xludf.DUMMYFUNCTION("""COMPUTED_VALUE"""),"Refined Magatama")</f>
        <v>Refined Magatama</v>
      </c>
      <c r="D109" s="67">
        <f>IFERROR(__xludf.DUMMYFUNCTION("""COMPUTED_VALUE"""),1.0)</f>
        <v>1</v>
      </c>
      <c r="E109" s="69" t="str">
        <f>IFERROR(__xludf.DUMMYFUNCTION("""COMPUTED_VALUE"""),"SMS4")</f>
        <v>SMS4</v>
      </c>
      <c r="F109" s="71" t="str">
        <f>IFERROR(__xludf.DUMMYFUNCTION("""COMPUTED_VALUE"""),"Shimosa")</f>
        <v>Shimosa</v>
      </c>
      <c r="G109" s="78" t="str">
        <f>IFERROR(__xludf.DUMMYFUNCTION("""COMPUTED_VALUE"""),"Castle Town")</f>
        <v>Castle Town</v>
      </c>
      <c r="H109" s="80">
        <f>IFERROR(__xludf.DUMMYFUNCTION("""COMPUTED_VALUE"""),21.0)</f>
        <v>21</v>
      </c>
      <c r="I109" s="82">
        <f>IFERROR(__xludf.DUMMYFUNCTION("""COMPUTED_VALUE"""),46.666666666666664)</f>
        <v>46.66666667</v>
      </c>
      <c r="J109" s="84">
        <f>IFERROR(__xludf.DUMMYFUNCTION("""COMPUTED_VALUE"""),51.84797924726525)</f>
        <v>51.84797925</v>
      </c>
      <c r="K109" s="86" t="str">
        <f>IFERROR(__xludf.DUMMYFUNCTION("""COMPUTED_VALUE"""),"AP")</f>
        <v>AP</v>
      </c>
      <c r="L109" s="88">
        <f>IFERROR(__xludf.DUMMYFUNCTION("""COMPUTED_VALUE"""),40.50302500672224)</f>
        <v>40.50302501</v>
      </c>
      <c r="M109" s="86" t="str">
        <f>IFERROR(__xludf.DUMMYFUNCTION("""COMPUTED_VALUE"""),"％")</f>
        <v>％</v>
      </c>
      <c r="N109" s="80">
        <f>IFERROR(__xludf.DUMMYFUNCTION("""COMPUTED_VALUE"""),7438.0)</f>
        <v>7438</v>
      </c>
      <c r="O109" s="91" t="str">
        <f>IFERROR(__xludf.DUMMYFUNCTION("""COMPUTED_VALUE"""),"Refined Magatama")</f>
        <v>Refined Magatama</v>
      </c>
      <c r="P109" s="93" t="str">
        <f>IFERROR(__xludf.DUMMYFUNCTION("""COMPUTED_VALUE"""),"")</f>
        <v/>
      </c>
      <c r="Q109" s="61" t="str">
        <f>IFERROR(__xludf.DUMMYFUNCTION("""COMPUTED_VALUE"""),"")</f>
        <v/>
      </c>
      <c r="R109" s="367" t="str">
        <f>IFERROR(__xludf.DUMMYFUNCTION("""COMPUTED_VALUE"""),"B127")</f>
        <v>B127</v>
      </c>
      <c r="S109" s="65" t="str">
        <f>IFERROR(__xludf.DUMMYFUNCTION("""COMPUTED_VALUE"""),"Gem of Berserker")</f>
        <v>Gem of Berserker</v>
      </c>
      <c r="T109" s="67">
        <f>IFERROR(__xludf.DUMMYFUNCTION("""COMPUTED_VALUE"""),1.0)</f>
        <v>1</v>
      </c>
      <c r="U109" s="69" t="str">
        <f>IFERROR(__xludf.DUMMYFUNCTION("""COMPUTED_VALUE"""),"TRF9")</f>
        <v>TRF9</v>
      </c>
      <c r="V109" s="71" t="str">
        <f>IFERROR(__xludf.DUMMYFUNCTION("""COMPUTED_VALUE"""),"Chaldea Gate (Wed)")</f>
        <v>Chaldea Gate (Wed)</v>
      </c>
      <c r="W109" s="71" t="str">
        <f>IFERROR(__xludf.DUMMYFUNCTION("""COMPUTED_VALUE"""),"WED Berserker Training Ground- Nov")</f>
        <v>WED Berserker Training Ground- Nov</v>
      </c>
      <c r="X109" s="80">
        <f>IFERROR(__xludf.DUMMYFUNCTION("""COMPUTED_VALUE"""),10.0)</f>
        <v>10</v>
      </c>
      <c r="Y109" s="82">
        <f>IFERROR(__xludf.DUMMYFUNCTION("""COMPUTED_VALUE"""),18.8)</f>
        <v>18.8</v>
      </c>
      <c r="Z109" s="84">
        <f>IFERROR(__xludf.DUMMYFUNCTION("""COMPUTED_VALUE"""),7.561136706707916)</f>
        <v>7.561136707</v>
      </c>
      <c r="AA109" s="86" t="str">
        <f>IFERROR(__xludf.DUMMYFUNCTION("""COMPUTED_VALUE"""),"AP")</f>
        <v>AP</v>
      </c>
      <c r="AB109" s="88">
        <f>IFERROR(__xludf.DUMMYFUNCTION("""COMPUTED_VALUE"""),132.2552466367713)</f>
        <v>132.2552466</v>
      </c>
      <c r="AC109" s="86" t="str">
        <f>IFERROR(__xludf.DUMMYFUNCTION("""COMPUTED_VALUE"""),"％")</f>
        <v>％</v>
      </c>
      <c r="AD109" s="80">
        <f>IFERROR(__xludf.DUMMYFUNCTION("""COMPUTED_VALUE"""),1115.0)</f>
        <v>1115</v>
      </c>
      <c r="AE109" s="91" t="str">
        <f>IFERROR(__xludf.DUMMYFUNCTION("""COMPUTED_VALUE"""),"Gem of Berserker")</f>
        <v>Gem of Berserker</v>
      </c>
      <c r="AF109" s="98" t="str">
        <f>IFERROR(__xludf.DUMMYFUNCTION("""COMPUTED_VALUE"""),"")</f>
        <v/>
      </c>
    </row>
    <row r="110" ht="16.5" customHeight="1">
      <c r="C110" s="100"/>
      <c r="D110" s="102">
        <f>IFERROR(__xludf.DUMMYFUNCTION("""COMPUTED_VALUE"""),2.0)</f>
        <v>2</v>
      </c>
      <c r="E110" s="103" t="str">
        <f>IFERROR(__xludf.DUMMYFUNCTION("""COMPUTED_VALUE"""),"SMS6")</f>
        <v>SMS6</v>
      </c>
      <c r="F110" s="104" t="str">
        <f>IFERROR(__xludf.DUMMYFUNCTION("""COMPUTED_VALUE"""),"Shimosa")</f>
        <v>Shimosa</v>
      </c>
      <c r="G110" s="108" t="str">
        <f>IFERROR(__xludf.DUMMYFUNCTION("""COMPUTED_VALUE"""),"Toke Castle")</f>
        <v>Toke Castle</v>
      </c>
      <c r="H110" s="109">
        <f>IFERROR(__xludf.DUMMYFUNCTION("""COMPUTED_VALUE"""),21.0)</f>
        <v>21</v>
      </c>
      <c r="I110" s="110">
        <f>IFERROR(__xludf.DUMMYFUNCTION("""COMPUTED_VALUE"""),47.80952380952381)</f>
        <v>47.80952381</v>
      </c>
      <c r="J110" s="112">
        <f>IFERROR(__xludf.DUMMYFUNCTION("""COMPUTED_VALUE"""),78.99951492883903)</f>
        <v>78.99951493</v>
      </c>
      <c r="K110" s="121" t="str">
        <f>IFERROR(__xludf.DUMMYFUNCTION("""COMPUTED_VALUE"""),"AP")</f>
        <v>AP</v>
      </c>
      <c r="L110" s="123">
        <f>IFERROR(__xludf.DUMMYFUNCTION("""COMPUTED_VALUE"""),26.58244170096022)</f>
        <v>26.5824417</v>
      </c>
      <c r="M110" s="121" t="str">
        <f>IFERROR(__xludf.DUMMYFUNCTION("""COMPUTED_VALUE"""),"％")</f>
        <v>％</v>
      </c>
      <c r="N110" s="109">
        <f>IFERROR(__xludf.DUMMYFUNCTION("""COMPUTED_VALUE"""),2187.0)</f>
        <v>2187</v>
      </c>
      <c r="O110" s="100"/>
      <c r="P110" s="93" t="str">
        <f>IFERROR(__xludf.DUMMYFUNCTION("""COMPUTED_VALUE"""),"")</f>
        <v/>
      </c>
      <c r="S110" s="100"/>
      <c r="T110" s="102">
        <f>IFERROR(__xludf.DUMMYFUNCTION("""COMPUTED_VALUE"""),2.0)</f>
        <v>2</v>
      </c>
      <c r="U110" s="103" t="str">
        <f>IFERROR(__xludf.DUMMYFUNCTION("""COMPUTED_VALUE"""),"TRF10")</f>
        <v>TRF10</v>
      </c>
      <c r="V110" s="104" t="str">
        <f>IFERROR(__xludf.DUMMYFUNCTION("""COMPUTED_VALUE"""),"Chaldea Gate (Wed)")</f>
        <v>Chaldea Gate (Wed)</v>
      </c>
      <c r="W110" s="104" t="str">
        <f>IFERROR(__xludf.DUMMYFUNCTION("""COMPUTED_VALUE"""),"WED Berserker Training Ground- Int")</f>
        <v>WED Berserker Training Ground- Int</v>
      </c>
      <c r="X110" s="109">
        <f>IFERROR(__xludf.DUMMYFUNCTION("""COMPUTED_VALUE"""),20.0)</f>
        <v>20</v>
      </c>
      <c r="Y110" s="110">
        <f>IFERROR(__xludf.DUMMYFUNCTION("""COMPUTED_VALUE"""),18.4)</f>
        <v>18.4</v>
      </c>
      <c r="Z110" s="112">
        <f>IFERROR(__xludf.DUMMYFUNCTION("""COMPUTED_VALUE"""),16.154364980166683)</f>
        <v>16.15436498</v>
      </c>
      <c r="AA110" s="121" t="str">
        <f>IFERROR(__xludf.DUMMYFUNCTION("""COMPUTED_VALUE"""),"AP")</f>
        <v>AP</v>
      </c>
      <c r="AB110" s="123">
        <f>IFERROR(__xludf.DUMMYFUNCTION("""COMPUTED_VALUE"""),123.80554744525548)</f>
        <v>123.8055474</v>
      </c>
      <c r="AC110" s="121" t="str">
        <f>IFERROR(__xludf.DUMMYFUNCTION("""COMPUTED_VALUE"""),"％")</f>
        <v>％</v>
      </c>
      <c r="AD110" s="109">
        <f>IFERROR(__xludf.DUMMYFUNCTION("""COMPUTED_VALUE"""),685.0)</f>
        <v>685</v>
      </c>
      <c r="AE110" s="100"/>
      <c r="AF110" s="98" t="str">
        <f>IFERROR(__xludf.DUMMYFUNCTION("""COMPUTED_VALUE"""),"")</f>
        <v/>
      </c>
    </row>
    <row r="111" ht="16.5" customHeight="1">
      <c r="C111" s="100"/>
      <c r="D111" s="130">
        <f>IFERROR(__xludf.DUMMYFUNCTION("""COMPUTED_VALUE"""),3.0)</f>
        <v>3</v>
      </c>
      <c r="E111" s="132" t="str">
        <f>IFERROR(__xludf.DUMMYFUNCTION("""COMPUTED_VALUE"""),"SMS2")</f>
        <v>SMS2</v>
      </c>
      <c r="F111" s="133" t="str">
        <f>IFERROR(__xludf.DUMMYFUNCTION("""COMPUTED_VALUE"""),"Shimosa")</f>
        <v>Shimosa</v>
      </c>
      <c r="G111" s="135" t="str">
        <f>IFERROR(__xludf.DUMMYFUNCTION("""COMPUTED_VALUE"""),"Village")</f>
        <v>Village</v>
      </c>
      <c r="H111" s="137">
        <f>IFERROR(__xludf.DUMMYFUNCTION("""COMPUTED_VALUE"""),21.0)</f>
        <v>21</v>
      </c>
      <c r="I111" s="139">
        <f>IFERROR(__xludf.DUMMYFUNCTION("""COMPUTED_VALUE"""),45.523809523809526)</f>
        <v>45.52380952</v>
      </c>
      <c r="J111" s="141">
        <f>IFERROR(__xludf.DUMMYFUNCTION("""COMPUTED_VALUE"""),81.54524152733416)</f>
        <v>81.54524153</v>
      </c>
      <c r="K111" s="143" t="str">
        <f>IFERROR(__xludf.DUMMYFUNCTION("""COMPUTED_VALUE"""),"AP")</f>
        <v>AP</v>
      </c>
      <c r="L111" s="145">
        <f>IFERROR(__xludf.DUMMYFUNCTION("""COMPUTED_VALUE"""),25.752575633687652)</f>
        <v>25.75257563</v>
      </c>
      <c r="M111" s="143" t="str">
        <f>IFERROR(__xludf.DUMMYFUNCTION("""COMPUTED_VALUE"""),"％")</f>
        <v>％</v>
      </c>
      <c r="N111" s="137">
        <f>IFERROR(__xludf.DUMMYFUNCTION("""COMPUTED_VALUE"""),8561.0)</f>
        <v>8561</v>
      </c>
      <c r="O111" s="100"/>
      <c r="P111" s="93" t="str">
        <f>IFERROR(__xludf.DUMMYFUNCTION("""COMPUTED_VALUE"""),"")</f>
        <v/>
      </c>
      <c r="S111" s="100"/>
      <c r="T111" s="130">
        <f>IFERROR(__xludf.DUMMYFUNCTION("""COMPUTED_VALUE"""),3.0)</f>
        <v>3</v>
      </c>
      <c r="U111" s="132" t="str">
        <f>IFERROR(__xludf.DUMMYFUNCTION("""COMPUTED_VALUE"""),"SEP8")</f>
        <v>SEP8</v>
      </c>
      <c r="V111" s="133" t="str">
        <f>IFERROR(__xludf.DUMMYFUNCTION("""COMPUTED_VALUE"""),"Septem")</f>
        <v>Septem</v>
      </c>
      <c r="W111" s="135" t="str">
        <f>IFERROR(__xludf.DUMMYFUNCTION("""COMPUTED_VALUE"""),"Gaul")</f>
        <v>Gaul</v>
      </c>
      <c r="X111" s="137">
        <f>IFERROR(__xludf.DUMMYFUNCTION("""COMPUTED_VALUE"""),9.0)</f>
        <v>9</v>
      </c>
      <c r="Y111" s="139">
        <f>IFERROR(__xludf.DUMMYFUNCTION("""COMPUTED_VALUE"""),31.555555555555557)</f>
        <v>31.55555556</v>
      </c>
      <c r="Z111" s="141">
        <f>IFERROR(__xludf.DUMMYFUNCTION("""COMPUTED_VALUE"""),58.290091561142134)</f>
        <v>58.29009156</v>
      </c>
      <c r="AA111" s="143" t="str">
        <f>IFERROR(__xludf.DUMMYFUNCTION("""COMPUTED_VALUE"""),"AP")</f>
        <v>AP</v>
      </c>
      <c r="AB111" s="145">
        <f>IFERROR(__xludf.DUMMYFUNCTION("""COMPUTED_VALUE"""),15.440016920473772)</f>
        <v>15.44001692</v>
      </c>
      <c r="AC111" s="143" t="str">
        <f>IFERROR(__xludf.DUMMYFUNCTION("""COMPUTED_VALUE"""),"％")</f>
        <v>％</v>
      </c>
      <c r="AD111" s="137">
        <f>IFERROR(__xludf.DUMMYFUNCTION("""COMPUTED_VALUE"""),2364.0)</f>
        <v>2364</v>
      </c>
      <c r="AE111" s="100"/>
      <c r="AF111" s="98" t="str">
        <f>IFERROR(__xludf.DUMMYFUNCTION("""COMPUTED_VALUE"""),"")</f>
        <v/>
      </c>
    </row>
    <row r="112" ht="16.5" customHeight="1">
      <c r="C112" s="100"/>
      <c r="D112" s="146">
        <f>IFERROR(__xludf.DUMMYFUNCTION("""COMPUTED_VALUE"""),4.0)</f>
        <v>4</v>
      </c>
      <c r="E112" s="148" t="str">
        <f>IFERROR(__xludf.DUMMYFUNCTION("""COMPUTED_VALUE"""),"SMS5")</f>
        <v>SMS5</v>
      </c>
      <c r="F112" s="150" t="str">
        <f>IFERROR(__xludf.DUMMYFUNCTION("""COMPUTED_VALUE"""),"Shimosa")</f>
        <v>Shimosa</v>
      </c>
      <c r="G112" s="152" t="str">
        <f>IFERROR(__xludf.DUMMYFUNCTION("""COMPUTED_VALUE"""),"Battlefield")</f>
        <v>Battlefield</v>
      </c>
      <c r="H112" s="154">
        <f>IFERROR(__xludf.DUMMYFUNCTION("""COMPUTED_VALUE"""),21.0)</f>
        <v>21</v>
      </c>
      <c r="I112" s="156">
        <f>IFERROR(__xludf.DUMMYFUNCTION("""COMPUTED_VALUE"""),46.666666666666664)</f>
        <v>46.66666667</v>
      </c>
      <c r="J112" s="158">
        <f>IFERROR(__xludf.DUMMYFUNCTION("""COMPUTED_VALUE"""),83.25908766928012)</f>
        <v>83.25908767</v>
      </c>
      <c r="K112" s="160" t="str">
        <f>IFERROR(__xludf.DUMMYFUNCTION("""COMPUTED_VALUE"""),"AP")</f>
        <v>AP</v>
      </c>
      <c r="L112" s="162">
        <f>IFERROR(__xludf.DUMMYFUNCTION("""COMPUTED_VALUE"""),25.222471910112358)</f>
        <v>25.22247191</v>
      </c>
      <c r="M112" s="160" t="str">
        <f>IFERROR(__xludf.DUMMYFUNCTION("""COMPUTED_VALUE"""),"％")</f>
        <v>％</v>
      </c>
      <c r="N112" s="154">
        <f>IFERROR(__xludf.DUMMYFUNCTION("""COMPUTED_VALUE"""),55892.0)</f>
        <v>55892</v>
      </c>
      <c r="O112" s="100"/>
      <c r="P112" s="93" t="str">
        <f>IFERROR(__xludf.DUMMYFUNCTION("""COMPUTED_VALUE"""),"")</f>
        <v/>
      </c>
      <c r="S112" s="100"/>
      <c r="T112" s="146">
        <f>IFERROR(__xludf.DUMMYFUNCTION("""COMPUTED_VALUE"""),4.0)</f>
        <v>4</v>
      </c>
      <c r="U112" s="148" t="str">
        <f>IFERROR(__xludf.DUMMYFUNCTION("""COMPUTED_VALUE"""),"AGT4")</f>
        <v>AGT4</v>
      </c>
      <c r="V112" s="150" t="str">
        <f>IFERROR(__xludf.DUMMYFUNCTION("""COMPUTED_VALUE"""),"Agartha")</f>
        <v>Agartha</v>
      </c>
      <c r="W112" s="152" t="str">
        <f>IFERROR(__xludf.DUMMYFUNCTION("""COMPUTED_VALUE"""),"Peach Blossom Shangri-La")</f>
        <v>Peach Blossom Shangri-La</v>
      </c>
      <c r="X112" s="154">
        <f>IFERROR(__xludf.DUMMYFUNCTION("""COMPUTED_VALUE"""),21.0)</f>
        <v>21</v>
      </c>
      <c r="Y112" s="156">
        <f>IFERROR(__xludf.DUMMYFUNCTION("""COMPUTED_VALUE"""),45.523809523809526)</f>
        <v>45.52380952</v>
      </c>
      <c r="Z112" s="158">
        <f>IFERROR(__xludf.DUMMYFUNCTION("""COMPUTED_VALUE"""),68.26866293813178)</f>
        <v>68.26866294</v>
      </c>
      <c r="AA112" s="160" t="str">
        <f>IFERROR(__xludf.DUMMYFUNCTION("""COMPUTED_VALUE"""),"AP")</f>
        <v>AP</v>
      </c>
      <c r="AB112" s="162">
        <f>IFERROR(__xludf.DUMMYFUNCTION("""COMPUTED_VALUE"""),30.760819234194123)</f>
        <v>30.76081923</v>
      </c>
      <c r="AC112" s="160" t="str">
        <f>IFERROR(__xludf.DUMMYFUNCTION("""COMPUTED_VALUE"""),"％")</f>
        <v>％</v>
      </c>
      <c r="AD112" s="154">
        <f>IFERROR(__xludf.DUMMYFUNCTION("""COMPUTED_VALUE"""),12353.0)</f>
        <v>12353</v>
      </c>
      <c r="AE112" s="100"/>
      <c r="AF112" s="98" t="str">
        <f>IFERROR(__xludf.DUMMYFUNCTION("""COMPUTED_VALUE"""),"")</f>
        <v/>
      </c>
    </row>
    <row r="113" ht="16.5" customHeight="1">
      <c r="A113" s="166"/>
      <c r="C113" s="168"/>
      <c r="D113" s="169">
        <f>IFERROR(__xludf.DUMMYFUNCTION("""COMPUTED_VALUE"""),5.0)</f>
        <v>5</v>
      </c>
      <c r="E113" s="170" t="str">
        <f>IFERROR(__xludf.DUMMYFUNCTION("""COMPUTED_VALUE"""),"SMS3")</f>
        <v>SMS3</v>
      </c>
      <c r="F113" s="51" t="str">
        <f>IFERROR(__xludf.DUMMYFUNCTION("""COMPUTED_VALUE"""),"Shimosa")</f>
        <v>Shimosa</v>
      </c>
      <c r="G113" s="171" t="str">
        <f>IFERROR(__xludf.DUMMYFUNCTION("""COMPUTED_VALUE"""),"Monastery")</f>
        <v>Monastery</v>
      </c>
      <c r="H113" s="172">
        <f>IFERROR(__xludf.DUMMYFUNCTION("""COMPUTED_VALUE"""),21.0)</f>
        <v>21</v>
      </c>
      <c r="I113" s="173">
        <f>IFERROR(__xludf.DUMMYFUNCTION("""COMPUTED_VALUE"""),45.523809523809526)</f>
        <v>45.52380952</v>
      </c>
      <c r="J113" s="174">
        <f>IFERROR(__xludf.DUMMYFUNCTION("""COMPUTED_VALUE"""),83.33496959016675)</f>
        <v>83.33496959</v>
      </c>
      <c r="K113" s="175" t="str">
        <f>IFERROR(__xludf.DUMMYFUNCTION("""COMPUTED_VALUE"""),"AP")</f>
        <v>AP</v>
      </c>
      <c r="L113" s="176">
        <f>IFERROR(__xludf.DUMMYFUNCTION("""COMPUTED_VALUE"""),25.1995052056489)</f>
        <v>25.19950521</v>
      </c>
      <c r="M113" s="175" t="str">
        <f>IFERROR(__xludf.DUMMYFUNCTION("""COMPUTED_VALUE"""),"％")</f>
        <v>％</v>
      </c>
      <c r="N113" s="172">
        <f>IFERROR(__xludf.DUMMYFUNCTION("""COMPUTED_VALUE"""),9701.0)</f>
        <v>9701</v>
      </c>
      <c r="O113" s="168"/>
      <c r="P113" s="93" t="str">
        <f>IFERROR(__xludf.DUMMYFUNCTION("""COMPUTED_VALUE"""),"")</f>
        <v/>
      </c>
      <c r="Q113" s="166"/>
      <c r="S113" s="168"/>
      <c r="T113" s="169">
        <f>IFERROR(__xludf.DUMMYFUNCTION("""COMPUTED_VALUE"""),5.0)</f>
        <v>5</v>
      </c>
      <c r="U113" s="170" t="str">
        <f>IFERROR(__xludf.DUMMYFUNCTION("""COMPUTED_VALUE"""),"OKN6")</f>
        <v>OKN6</v>
      </c>
      <c r="V113" s="51" t="str">
        <f>IFERROR(__xludf.DUMMYFUNCTION("""COMPUTED_VALUE"""),"Okeanos")</f>
        <v>Okeanos</v>
      </c>
      <c r="W113" s="171" t="str">
        <f>IFERROR(__xludf.DUMMYFUNCTION("""COMPUTED_VALUE"""),"Two-Current Sea")</f>
        <v>Two-Current Sea</v>
      </c>
      <c r="X113" s="172">
        <f>IFERROR(__xludf.DUMMYFUNCTION("""COMPUTED_VALUE"""),14.0)</f>
        <v>14</v>
      </c>
      <c r="Y113" s="173">
        <f>IFERROR(__xludf.DUMMYFUNCTION("""COMPUTED_VALUE"""),35.714285714285715)</f>
        <v>35.71428571</v>
      </c>
      <c r="Z113" s="174">
        <f>IFERROR(__xludf.DUMMYFUNCTION("""COMPUTED_VALUE"""),72.8400954653938)</f>
        <v>72.84009547</v>
      </c>
      <c r="AA113" s="175" t="str">
        <f>IFERROR(__xludf.DUMMYFUNCTION("""COMPUTED_VALUE"""),"AP")</f>
        <v>AP</v>
      </c>
      <c r="AB113" s="176">
        <f>IFERROR(__xludf.DUMMYFUNCTION("""COMPUTED_VALUE"""),19.220183486238533)</f>
        <v>19.22018349</v>
      </c>
      <c r="AC113" s="175" t="str">
        <f>IFERROR(__xludf.DUMMYFUNCTION("""COMPUTED_VALUE"""),"％")</f>
        <v>％</v>
      </c>
      <c r="AD113" s="172">
        <f>IFERROR(__xludf.DUMMYFUNCTION("""COMPUTED_VALUE"""),1635.0)</f>
        <v>1635</v>
      </c>
      <c r="AE113" s="168"/>
      <c r="AF113" s="98" t="str">
        <f>IFERROR(__xludf.DUMMYFUNCTION("""COMPUTED_VALUE"""),"")</f>
        <v/>
      </c>
    </row>
    <row r="114" ht="16.5" customHeight="1">
      <c r="A114" s="25" t="str">
        <f>IFERROR(__xludf.DUMMYFUNCTION("""COMPUTED_VALUE"""),"Item")</f>
        <v>Item</v>
      </c>
      <c r="B114" s="27"/>
      <c r="C114" s="28"/>
      <c r="D114" s="30" t="str">
        <f>IFERROR(__xludf.DUMMYFUNCTION("""COMPUTED_VALUE"""),"No.")</f>
        <v>No.</v>
      </c>
      <c r="E114" s="31" t="str">
        <f>IFERROR(__xludf.DUMMYFUNCTION("""COMPUTED_VALUE"""),"Node Code")</f>
        <v>Node Code</v>
      </c>
      <c r="F114" s="31" t="str">
        <f>IFERROR(__xludf.DUMMYFUNCTION("""COMPUTED_VALUE"""),"Area")</f>
        <v>Area</v>
      </c>
      <c r="G114" s="31" t="str">
        <f>IFERROR(__xludf.DUMMYFUNCTION("""COMPUTED_VALUE"""),"Quest")</f>
        <v>Quest</v>
      </c>
      <c r="H114" s="30" t="str">
        <f>IFERROR(__xludf.DUMMYFUNCTION("""COMPUTED_VALUE"""),"AP")</f>
        <v>AP</v>
      </c>
      <c r="I114" s="34" t="str">
        <f>IFERROR(__xludf.DUMMYFUNCTION("""COMPUTED_VALUE"""),"BP/AP")</f>
        <v>BP/AP</v>
      </c>
      <c r="J114" s="36" t="str">
        <f>IFERROR(__xludf.DUMMYFUNCTION("""COMPUTED_VALUE"""),"AP/Drop")</f>
        <v>AP/Drop</v>
      </c>
      <c r="K114" s="28"/>
      <c r="L114" s="36" t="str">
        <f>IFERROR(__xludf.DUMMYFUNCTION("""COMPUTED_VALUE"""),"Drop Chance")</f>
        <v>Drop Chance</v>
      </c>
      <c r="M114" s="28"/>
      <c r="N114" s="38" t="str">
        <f>IFERROR(__xludf.DUMMYFUNCTION("""COMPUTED_VALUE"""),"Runs")</f>
        <v>Runs</v>
      </c>
      <c r="O114" s="40" t="str">
        <f>IFERROR(__xludf.DUMMYFUNCTION("""COMPUTED_VALUE"""),"")</f>
        <v/>
      </c>
      <c r="P114" s="42" t="str">
        <f>IFERROR(__xludf.DUMMYFUNCTION("""COMPUTED_VALUE"""),"")</f>
        <v/>
      </c>
      <c r="Q114" s="25" t="str">
        <f>IFERROR(__xludf.DUMMYFUNCTION("""COMPUTED_VALUE"""),"Item")</f>
        <v>Item</v>
      </c>
      <c r="R114" s="27"/>
      <c r="S114" s="28"/>
      <c r="T114" s="30" t="str">
        <f>IFERROR(__xludf.DUMMYFUNCTION("""COMPUTED_VALUE"""),"No.")</f>
        <v>No.</v>
      </c>
      <c r="U114" s="31" t="str">
        <f>IFERROR(__xludf.DUMMYFUNCTION("""COMPUTED_VALUE"""),"Node Code")</f>
        <v>Node Code</v>
      </c>
      <c r="V114" s="31" t="str">
        <f>IFERROR(__xludf.DUMMYFUNCTION("""COMPUTED_VALUE"""),"Area")</f>
        <v>Area</v>
      </c>
      <c r="W114" s="31" t="str">
        <f>IFERROR(__xludf.DUMMYFUNCTION("""COMPUTED_VALUE"""),"Quest")</f>
        <v>Quest</v>
      </c>
      <c r="X114" s="30" t="str">
        <f>IFERROR(__xludf.DUMMYFUNCTION("""COMPUTED_VALUE"""),"AP")</f>
        <v>AP</v>
      </c>
      <c r="Y114" s="34" t="str">
        <f>IFERROR(__xludf.DUMMYFUNCTION("""COMPUTED_VALUE"""),"BP/AP")</f>
        <v>BP/AP</v>
      </c>
      <c r="Z114" s="36" t="str">
        <f>IFERROR(__xludf.DUMMYFUNCTION("""COMPUTED_VALUE"""),"AP/Drop")</f>
        <v>AP/Drop</v>
      </c>
      <c r="AA114" s="28"/>
      <c r="AB114" s="36" t="str">
        <f>IFERROR(__xludf.DUMMYFUNCTION("""COMPUTED_VALUE"""),"Drop Chance")</f>
        <v>Drop Chance</v>
      </c>
      <c r="AC114" s="28"/>
      <c r="AD114" s="369" t="str">
        <f>IFERROR(__xludf.DUMMYFUNCTION("""COMPUTED_VALUE"""),"Runs")</f>
        <v>Runs</v>
      </c>
      <c r="AE114" s="369" t="str">
        <f>IFERROR(__xludf.DUMMYFUNCTION("""COMPUTED_VALUE"""),"")</f>
        <v/>
      </c>
      <c r="AF114" s="51" t="str">
        <f>IFERROR(__xludf.DUMMYFUNCTION("""COMPUTED_VALUE"""),"")</f>
        <v/>
      </c>
    </row>
    <row r="115" ht="16.5" customHeight="1">
      <c r="A115" s="54"/>
      <c r="B115" s="55"/>
      <c r="C115" s="57"/>
      <c r="D115" s="57"/>
      <c r="E115" s="57"/>
      <c r="F115" s="57"/>
      <c r="G115" s="57"/>
      <c r="H115" s="57"/>
      <c r="I115" s="58" t="str">
        <f>IFERROR(__xludf.DUMMYFUNCTION("""COMPUTED_VALUE"""),"1P+2L")</f>
        <v>1P+2L</v>
      </c>
      <c r="J115" s="55"/>
      <c r="K115" s="57"/>
      <c r="L115" s="55"/>
      <c r="M115" s="57"/>
      <c r="N115" s="57"/>
      <c r="O115" s="57"/>
      <c r="P115" s="42" t="str">
        <f>IFERROR(__xludf.DUMMYFUNCTION("""COMPUTED_VALUE"""),"")</f>
        <v/>
      </c>
      <c r="Q115" s="54"/>
      <c r="R115" s="55"/>
      <c r="S115" s="57"/>
      <c r="T115" s="57"/>
      <c r="U115" s="57"/>
      <c r="V115" s="57"/>
      <c r="W115" s="57"/>
      <c r="X115" s="57"/>
      <c r="Y115" s="58" t="str">
        <f>IFERROR(__xludf.DUMMYFUNCTION("""COMPUTED_VALUE"""),"1P+2L")</f>
        <v>1P+2L</v>
      </c>
      <c r="Z115" s="55"/>
      <c r="AA115" s="57"/>
      <c r="AB115" s="55"/>
      <c r="AC115" s="57"/>
      <c r="AD115" s="370"/>
      <c r="AE115" s="370"/>
      <c r="AF115" s="51" t="str">
        <f>IFERROR(__xludf.DUMMYFUNCTION("""COMPUTED_VALUE"""),"")</f>
        <v/>
      </c>
    </row>
    <row r="116" ht="16.5" customHeight="1">
      <c r="A116" s="61" t="str">
        <f>IFERROR(__xludf.DUMMYFUNCTION("""COMPUTED_VALUE"""),"")</f>
        <v/>
      </c>
      <c r="B116" s="366" t="str">
        <f>IFERROR(__xludf.DUMMYFUNCTION("""COMPUTED_VALUE"""),"A213")</f>
        <v>A213</v>
      </c>
      <c r="C116" s="180" t="str">
        <f>IFERROR(__xludf.DUMMYFUNCTION("""COMPUTED_VALUE"""),"Eternal Ice")</f>
        <v>Eternal Ice</v>
      </c>
      <c r="D116" s="181">
        <f>IFERROR(__xludf.DUMMYFUNCTION("""COMPUTED_VALUE"""),1.0)</f>
        <v>1</v>
      </c>
      <c r="E116" s="182" t="str">
        <f>IFERROR(__xludf.DUMMYFUNCTION("""COMPUTED_VALUE"""),"")</f>
        <v/>
      </c>
      <c r="F116" s="184" t="str">
        <f>IFERROR(__xludf.DUMMYFUNCTION("""COMPUTED_VALUE"""),"")</f>
        <v/>
      </c>
      <c r="G116" s="184" t="str">
        <f>IFERROR(__xludf.DUMMYFUNCTION("""COMPUTED_VALUE"""),"")</f>
        <v/>
      </c>
      <c r="H116" s="190" t="str">
        <f>IFERROR(__xludf.DUMMYFUNCTION("""COMPUTED_VALUE"""),"")</f>
        <v/>
      </c>
      <c r="I116" s="191" t="str">
        <f>IFERROR(__xludf.DUMMYFUNCTION("""COMPUTED_VALUE"""),"")</f>
        <v/>
      </c>
      <c r="J116" s="192" t="str">
        <f>IFERROR(__xludf.DUMMYFUNCTION("""COMPUTED_VALUE"""),"")</f>
        <v/>
      </c>
      <c r="K116" s="194" t="str">
        <f>IFERROR(__xludf.DUMMYFUNCTION("""COMPUTED_VALUE"""),"AP")</f>
        <v>AP</v>
      </c>
      <c r="L116" s="192" t="str">
        <f>IFERROR(__xludf.DUMMYFUNCTION("""COMPUTED_VALUE"""),"")</f>
        <v/>
      </c>
      <c r="M116" s="194" t="str">
        <f>IFERROR(__xludf.DUMMYFUNCTION("""COMPUTED_VALUE"""),"％")</f>
        <v>％</v>
      </c>
      <c r="N116" s="190" t="str">
        <f>IFERROR(__xludf.DUMMYFUNCTION("""COMPUTED_VALUE"""),"")</f>
        <v/>
      </c>
      <c r="O116" s="197" t="str">
        <f>IFERROR(__xludf.DUMMYFUNCTION("""COMPUTED_VALUE"""),"Eternal Ice")</f>
        <v>Eternal Ice</v>
      </c>
      <c r="P116" s="371" t="str">
        <f>IFERROR(__xludf.DUMMYFUNCTION("""COMPUTED_VALUE"""),"")</f>
        <v/>
      </c>
      <c r="Q116" s="61" t="str">
        <f>IFERROR(__xludf.DUMMYFUNCTION("""COMPUTED_VALUE"""),"")</f>
        <v/>
      </c>
      <c r="R116" s="202" t="str">
        <f>IFERROR(__xludf.DUMMYFUNCTION("""COMPUTED_VALUE"""),"B201")</f>
        <v>B201</v>
      </c>
      <c r="S116" s="180" t="str">
        <f>IFERROR(__xludf.DUMMYFUNCTION("""COMPUTED_VALUE"""),"Saber Monument")</f>
        <v>Saber Monument</v>
      </c>
      <c r="T116" s="181">
        <f>IFERROR(__xludf.DUMMYFUNCTION("""COMPUTED_VALUE"""),1.0)</f>
        <v>1</v>
      </c>
      <c r="U116" s="182" t="str">
        <f>IFERROR(__xludf.DUMMYFUNCTION("""COMPUTED_VALUE"""),"TRF28")</f>
        <v>TRF28</v>
      </c>
      <c r="V116" s="184" t="str">
        <f>IFERROR(__xludf.DUMMYFUNCTION("""COMPUTED_VALUE"""),"Chaldea Gate (Sun)")</f>
        <v>Chaldea Gate (Sun)</v>
      </c>
      <c r="W116" s="184" t="str">
        <f>IFERROR(__xludf.DUMMYFUNCTION("""COMPUTED_VALUE"""),"SUN Saber Training Ground- Exp")</f>
        <v>SUN Saber Training Ground- Exp</v>
      </c>
      <c r="X116" s="190">
        <f>IFERROR(__xludf.DUMMYFUNCTION("""COMPUTED_VALUE"""),40.0)</f>
        <v>40</v>
      </c>
      <c r="Y116" s="191">
        <f>IFERROR(__xludf.DUMMYFUNCTION("""COMPUTED_VALUE"""),19.7)</f>
        <v>19.7</v>
      </c>
      <c r="Z116" s="192">
        <f>IFERROR(__xludf.DUMMYFUNCTION("""COMPUTED_VALUE"""),74.5397020674136)</f>
        <v>74.53970207</v>
      </c>
      <c r="AA116" s="194" t="str">
        <f>IFERROR(__xludf.DUMMYFUNCTION("""COMPUTED_VALUE"""),"AP")</f>
        <v>AP</v>
      </c>
      <c r="AB116" s="192">
        <f>IFERROR(__xludf.DUMMYFUNCTION("""COMPUTED_VALUE"""),53.662677594047885)</f>
        <v>53.66267759</v>
      </c>
      <c r="AC116" s="194" t="str">
        <f>IFERROR(__xludf.DUMMYFUNCTION("""COMPUTED_VALUE"""),"％")</f>
        <v>％</v>
      </c>
      <c r="AD116" s="190">
        <f>IFERROR(__xludf.DUMMYFUNCTION("""COMPUTED_VALUE"""),21786.0)</f>
        <v>21786</v>
      </c>
      <c r="AE116" s="197" t="str">
        <f>IFERROR(__xludf.DUMMYFUNCTION("""COMPUTED_VALUE"""),"Saber Monument")</f>
        <v>Saber Monument</v>
      </c>
      <c r="AF116" s="372" t="str">
        <f>IFERROR(__xludf.DUMMYFUNCTION("""COMPUTED_VALUE"""),"")</f>
        <v/>
      </c>
    </row>
    <row r="117" ht="16.5" customHeight="1">
      <c r="C117" s="204"/>
      <c r="D117" s="205">
        <f>IFERROR(__xludf.DUMMYFUNCTION("""COMPUTED_VALUE"""),2.0)</f>
        <v>2</v>
      </c>
      <c r="E117" s="206" t="str">
        <f>IFERROR(__xludf.DUMMYFUNCTION("""COMPUTED_VALUE"""),"")</f>
        <v/>
      </c>
      <c r="F117" s="207" t="str">
        <f>IFERROR(__xludf.DUMMYFUNCTION("""COMPUTED_VALUE"""),"")</f>
        <v/>
      </c>
      <c r="G117" s="207" t="str">
        <f>IFERROR(__xludf.DUMMYFUNCTION("""COMPUTED_VALUE"""),"")</f>
        <v/>
      </c>
      <c r="H117" s="211" t="str">
        <f>IFERROR(__xludf.DUMMYFUNCTION("""COMPUTED_VALUE"""),"")</f>
        <v/>
      </c>
      <c r="I117" s="213" t="str">
        <f>IFERROR(__xludf.DUMMYFUNCTION("""COMPUTED_VALUE"""),"")</f>
        <v/>
      </c>
      <c r="J117" s="214" t="str">
        <f>IFERROR(__xludf.DUMMYFUNCTION("""COMPUTED_VALUE"""),"")</f>
        <v/>
      </c>
      <c r="K117" s="215" t="str">
        <f>IFERROR(__xludf.DUMMYFUNCTION("""COMPUTED_VALUE"""),"AP")</f>
        <v>AP</v>
      </c>
      <c r="L117" s="214" t="str">
        <f>IFERROR(__xludf.DUMMYFUNCTION("""COMPUTED_VALUE"""),"")</f>
        <v/>
      </c>
      <c r="M117" s="215" t="str">
        <f>IFERROR(__xludf.DUMMYFUNCTION("""COMPUTED_VALUE"""),"％")</f>
        <v>％</v>
      </c>
      <c r="N117" s="211" t="str">
        <f>IFERROR(__xludf.DUMMYFUNCTION("""COMPUTED_VALUE"""),"")</f>
        <v/>
      </c>
      <c r="O117" s="217"/>
      <c r="P117" s="371" t="str">
        <f>IFERROR(__xludf.DUMMYFUNCTION("""COMPUTED_VALUE"""),"")</f>
        <v/>
      </c>
      <c r="R117" s="203"/>
      <c r="S117" s="204"/>
      <c r="T117" s="205">
        <f>IFERROR(__xludf.DUMMYFUNCTION("""COMPUTED_VALUE"""),2.0)</f>
        <v>2</v>
      </c>
      <c r="U117" s="206" t="str">
        <f>IFERROR(__xludf.DUMMYFUNCTION("""COMPUTED_VALUE"""),"TRF27")</f>
        <v>TRF27</v>
      </c>
      <c r="V117" s="207" t="str">
        <f>IFERROR(__xludf.DUMMYFUNCTION("""COMPUTED_VALUE"""),"Chaldea Gate (Sun)")</f>
        <v>Chaldea Gate (Sun)</v>
      </c>
      <c r="W117" s="207" t="str">
        <f>IFERROR(__xludf.DUMMYFUNCTION("""COMPUTED_VALUE"""),"SUN Saber Training Ground- Adv")</f>
        <v>SUN Saber Training Ground- Adv</v>
      </c>
      <c r="X117" s="211">
        <f>IFERROR(__xludf.DUMMYFUNCTION("""COMPUTED_VALUE"""),30.0)</f>
        <v>30</v>
      </c>
      <c r="Y117" s="213">
        <f>IFERROR(__xludf.DUMMYFUNCTION("""COMPUTED_VALUE"""),18.266666666666666)</f>
        <v>18.26666667</v>
      </c>
      <c r="Z117" s="214">
        <f>IFERROR(__xludf.DUMMYFUNCTION("""COMPUTED_VALUE"""),87.09696060302605)</f>
        <v>87.0969606</v>
      </c>
      <c r="AA117" s="215" t="str">
        <f>IFERROR(__xludf.DUMMYFUNCTION("""COMPUTED_VALUE"""),"AP")</f>
        <v>AP</v>
      </c>
      <c r="AB117" s="214">
        <f>IFERROR(__xludf.DUMMYFUNCTION("""COMPUTED_VALUE"""),34.44437072464007)</f>
        <v>34.44437072</v>
      </c>
      <c r="AC117" s="215" t="str">
        <f>IFERROR(__xludf.DUMMYFUNCTION("""COMPUTED_VALUE"""),"％")</f>
        <v>％</v>
      </c>
      <c r="AD117" s="211">
        <f>IFERROR(__xludf.DUMMYFUNCTION("""COMPUTED_VALUE"""),4189.0)</f>
        <v>4189</v>
      </c>
      <c r="AE117" s="217"/>
      <c r="AF117" s="372" t="str">
        <f>IFERROR(__xludf.DUMMYFUNCTION("""COMPUTED_VALUE"""),"")</f>
        <v/>
      </c>
    </row>
    <row r="118" ht="16.5" customHeight="1">
      <c r="C118" s="204"/>
      <c r="D118" s="222">
        <f>IFERROR(__xludf.DUMMYFUNCTION("""COMPUTED_VALUE"""),3.0)</f>
        <v>3</v>
      </c>
      <c r="E118" s="223" t="str">
        <f>IFERROR(__xludf.DUMMYFUNCTION("""COMPUTED_VALUE"""),"")</f>
        <v/>
      </c>
      <c r="F118" s="224" t="str">
        <f>IFERROR(__xludf.DUMMYFUNCTION("""COMPUTED_VALUE"""),"")</f>
        <v/>
      </c>
      <c r="G118" s="224" t="str">
        <f>IFERROR(__xludf.DUMMYFUNCTION("""COMPUTED_VALUE"""),"")</f>
        <v/>
      </c>
      <c r="H118" s="228" t="str">
        <f>IFERROR(__xludf.DUMMYFUNCTION("""COMPUTED_VALUE"""),"")</f>
        <v/>
      </c>
      <c r="I118" s="230" t="str">
        <f>IFERROR(__xludf.DUMMYFUNCTION("""COMPUTED_VALUE"""),"")</f>
        <v/>
      </c>
      <c r="J118" s="231" t="str">
        <f>IFERROR(__xludf.DUMMYFUNCTION("""COMPUTED_VALUE"""),"")</f>
        <v/>
      </c>
      <c r="K118" s="232" t="str">
        <f>IFERROR(__xludf.DUMMYFUNCTION("""COMPUTED_VALUE"""),"AP")</f>
        <v>AP</v>
      </c>
      <c r="L118" s="231" t="str">
        <f>IFERROR(__xludf.DUMMYFUNCTION("""COMPUTED_VALUE"""),"")</f>
        <v/>
      </c>
      <c r="M118" s="232" t="str">
        <f>IFERROR(__xludf.DUMMYFUNCTION("""COMPUTED_VALUE"""),"％")</f>
        <v>％</v>
      </c>
      <c r="N118" s="228" t="str">
        <f>IFERROR(__xludf.DUMMYFUNCTION("""COMPUTED_VALUE"""),"")</f>
        <v/>
      </c>
      <c r="O118" s="217"/>
      <c r="P118" s="371" t="str">
        <f>IFERROR(__xludf.DUMMYFUNCTION("""COMPUTED_VALUE"""),"")</f>
        <v/>
      </c>
      <c r="R118" s="203"/>
      <c r="S118" s="204"/>
      <c r="T118" s="222">
        <f>IFERROR(__xludf.DUMMYFUNCTION("""COMPUTED_VALUE"""),3.0)</f>
        <v>3</v>
      </c>
      <c r="U118" s="223" t="str">
        <f>IFERROR(__xludf.DUMMYFUNCTION("""COMPUTED_VALUE"""),"TRF26")</f>
        <v>TRF26</v>
      </c>
      <c r="V118" s="224" t="str">
        <f>IFERROR(__xludf.DUMMYFUNCTION("""COMPUTED_VALUE"""),"Chaldea Gate (Sun)")</f>
        <v>Chaldea Gate (Sun)</v>
      </c>
      <c r="W118" s="224" t="str">
        <f>IFERROR(__xludf.DUMMYFUNCTION("""COMPUTED_VALUE"""),"SUN Saber Training Ground- Int")</f>
        <v>SUN Saber Training Ground- Int</v>
      </c>
      <c r="X118" s="228">
        <f>IFERROR(__xludf.DUMMYFUNCTION("""COMPUTED_VALUE"""),20.0)</f>
        <v>20</v>
      </c>
      <c r="Y118" s="230">
        <f>IFERROR(__xludf.DUMMYFUNCTION("""COMPUTED_VALUE"""),18.4)</f>
        <v>18.4</v>
      </c>
      <c r="Z118" s="231">
        <f>IFERROR(__xludf.DUMMYFUNCTION("""COMPUTED_VALUE"""),257.530335474661)</f>
        <v>257.5303355</v>
      </c>
      <c r="AA118" s="232" t="str">
        <f>IFERROR(__xludf.DUMMYFUNCTION("""COMPUTED_VALUE"""),"AP")</f>
        <v>AP</v>
      </c>
      <c r="AB118" s="231">
        <f>IFERROR(__xludf.DUMMYFUNCTION("""COMPUTED_VALUE"""),7.766075388026607)</f>
        <v>7.766075388</v>
      </c>
      <c r="AC118" s="232" t="str">
        <f>IFERROR(__xludf.DUMMYFUNCTION("""COMPUTED_VALUE"""),"％")</f>
        <v>％</v>
      </c>
      <c r="AD118" s="228">
        <f>IFERROR(__xludf.DUMMYFUNCTION("""COMPUTED_VALUE"""),451.0)</f>
        <v>451</v>
      </c>
      <c r="AE118" s="217"/>
      <c r="AF118" s="372" t="str">
        <f>IFERROR(__xludf.DUMMYFUNCTION("""COMPUTED_VALUE"""),"")</f>
        <v/>
      </c>
    </row>
    <row r="119" ht="16.5" customHeight="1">
      <c r="C119" s="204"/>
      <c r="D119" s="238">
        <f>IFERROR(__xludf.DUMMYFUNCTION("""COMPUTED_VALUE"""),4.0)</f>
        <v>4</v>
      </c>
      <c r="E119" s="240" t="str">
        <f>IFERROR(__xludf.DUMMYFUNCTION("""COMPUTED_VALUE"""),"")</f>
        <v/>
      </c>
      <c r="F119" s="242" t="str">
        <f>IFERROR(__xludf.DUMMYFUNCTION("""COMPUTED_VALUE"""),"")</f>
        <v/>
      </c>
      <c r="G119" s="242" t="str">
        <f>IFERROR(__xludf.DUMMYFUNCTION("""COMPUTED_VALUE"""),"")</f>
        <v/>
      </c>
      <c r="H119" s="246" t="str">
        <f>IFERROR(__xludf.DUMMYFUNCTION("""COMPUTED_VALUE"""),"")</f>
        <v/>
      </c>
      <c r="I119" s="248" t="str">
        <f>IFERROR(__xludf.DUMMYFUNCTION("""COMPUTED_VALUE"""),"")</f>
        <v/>
      </c>
      <c r="J119" s="250" t="str">
        <f>IFERROR(__xludf.DUMMYFUNCTION("""COMPUTED_VALUE"""),"")</f>
        <v/>
      </c>
      <c r="K119" s="252" t="str">
        <f>IFERROR(__xludf.DUMMYFUNCTION("""COMPUTED_VALUE"""),"AP")</f>
        <v>AP</v>
      </c>
      <c r="L119" s="250" t="str">
        <f>IFERROR(__xludf.DUMMYFUNCTION("""COMPUTED_VALUE"""),"")</f>
        <v/>
      </c>
      <c r="M119" s="252" t="str">
        <f>IFERROR(__xludf.DUMMYFUNCTION("""COMPUTED_VALUE"""),"％")</f>
        <v>％</v>
      </c>
      <c r="N119" s="246" t="str">
        <f>IFERROR(__xludf.DUMMYFUNCTION("""COMPUTED_VALUE"""),"")</f>
        <v/>
      </c>
      <c r="O119" s="217"/>
      <c r="P119" s="371" t="str">
        <f>IFERROR(__xludf.DUMMYFUNCTION("""COMPUTED_VALUE"""),"")</f>
        <v/>
      </c>
      <c r="R119" s="203"/>
      <c r="S119" s="204"/>
      <c r="T119" s="238">
        <f>IFERROR(__xludf.DUMMYFUNCTION("""COMPUTED_VALUE"""),4.0)</f>
        <v>4</v>
      </c>
      <c r="U119" s="240" t="str">
        <f>IFERROR(__xludf.DUMMYFUNCTION("""COMPUTED_VALUE"""),"TRF25")</f>
        <v>TRF25</v>
      </c>
      <c r="V119" s="242" t="str">
        <f>IFERROR(__xludf.DUMMYFUNCTION("""COMPUTED_VALUE"""),"Chaldea Gate (Sun)")</f>
        <v>Chaldea Gate (Sun)</v>
      </c>
      <c r="W119" s="242" t="str">
        <f>IFERROR(__xludf.DUMMYFUNCTION("""COMPUTED_VALUE"""),"SUN Saber Training Ground- Nov")</f>
        <v>SUN Saber Training Ground- Nov</v>
      </c>
      <c r="X119" s="246">
        <f>IFERROR(__xludf.DUMMYFUNCTION("""COMPUTED_VALUE"""),10.0)</f>
        <v>10</v>
      </c>
      <c r="Y119" s="248">
        <f>IFERROR(__xludf.DUMMYFUNCTION("""COMPUTED_VALUE"""),18.8)</f>
        <v>18.8</v>
      </c>
      <c r="Z119" s="250">
        <f>IFERROR(__xludf.DUMMYFUNCTION("""COMPUTED_VALUE"""),459.4371693520809)</f>
        <v>459.4371694</v>
      </c>
      <c r="AA119" s="252" t="str">
        <f>IFERROR(__xludf.DUMMYFUNCTION("""COMPUTED_VALUE"""),"AP")</f>
        <v>AP</v>
      </c>
      <c r="AB119" s="250">
        <f>IFERROR(__xludf.DUMMYFUNCTION("""COMPUTED_VALUE"""),2.1765761821366025)</f>
        <v>2.176576182</v>
      </c>
      <c r="AC119" s="252" t="str">
        <f>IFERROR(__xludf.DUMMYFUNCTION("""COMPUTED_VALUE"""),"％")</f>
        <v>％</v>
      </c>
      <c r="AD119" s="246">
        <f>IFERROR(__xludf.DUMMYFUNCTION("""COMPUTED_VALUE"""),4568.0)</f>
        <v>4568</v>
      </c>
      <c r="AE119" s="217"/>
      <c r="AF119" s="372" t="str">
        <f>IFERROR(__xludf.DUMMYFUNCTION("""COMPUTED_VALUE"""),"")</f>
        <v/>
      </c>
    </row>
    <row r="120" ht="16.5" customHeight="1">
      <c r="A120" s="166"/>
      <c r="C120" s="255"/>
      <c r="D120" s="256">
        <f>IFERROR(__xludf.DUMMYFUNCTION("""COMPUTED_VALUE"""),5.0)</f>
        <v>5</v>
      </c>
      <c r="E120" s="257" t="str">
        <f>IFERROR(__xludf.DUMMYFUNCTION("""COMPUTED_VALUE"""),"")</f>
        <v/>
      </c>
      <c r="F120" s="42" t="str">
        <f>IFERROR(__xludf.DUMMYFUNCTION("""COMPUTED_VALUE"""),"")</f>
        <v/>
      </c>
      <c r="G120" s="42" t="str">
        <f>IFERROR(__xludf.DUMMYFUNCTION("""COMPUTED_VALUE"""),"")</f>
        <v/>
      </c>
      <c r="H120" s="259" t="str">
        <f>IFERROR(__xludf.DUMMYFUNCTION("""COMPUTED_VALUE"""),"")</f>
        <v/>
      </c>
      <c r="I120" s="260" t="str">
        <f>IFERROR(__xludf.DUMMYFUNCTION("""COMPUTED_VALUE"""),"")</f>
        <v/>
      </c>
      <c r="J120" s="261" t="str">
        <f>IFERROR(__xludf.DUMMYFUNCTION("""COMPUTED_VALUE"""),"")</f>
        <v/>
      </c>
      <c r="K120" s="262" t="str">
        <f>IFERROR(__xludf.DUMMYFUNCTION("""COMPUTED_VALUE"""),"AP")</f>
        <v>AP</v>
      </c>
      <c r="L120" s="261" t="str">
        <f>IFERROR(__xludf.DUMMYFUNCTION("""COMPUTED_VALUE"""),"")</f>
        <v/>
      </c>
      <c r="M120" s="262" t="str">
        <f>IFERROR(__xludf.DUMMYFUNCTION("""COMPUTED_VALUE"""),"％")</f>
        <v>％</v>
      </c>
      <c r="N120" s="259" t="str">
        <f>IFERROR(__xludf.DUMMYFUNCTION("""COMPUTED_VALUE"""),"")</f>
        <v/>
      </c>
      <c r="O120" s="263"/>
      <c r="P120" s="371" t="str">
        <f>IFERROR(__xludf.DUMMYFUNCTION("""COMPUTED_VALUE"""),"")</f>
        <v/>
      </c>
      <c r="Q120" s="166"/>
      <c r="R120" s="254"/>
      <c r="S120" s="255"/>
      <c r="T120" s="256">
        <f>IFERROR(__xludf.DUMMYFUNCTION("""COMPUTED_VALUE"""),5.0)</f>
        <v>5</v>
      </c>
      <c r="U120" s="257" t="str">
        <f>IFERROR(__xludf.DUMMYFUNCTION("""COMPUTED_VALUE"""),"CML12")</f>
        <v>CML12</v>
      </c>
      <c r="V120" s="42" t="str">
        <f>IFERROR(__xludf.DUMMYFUNCTION("""COMPUTED_VALUE"""),"Camelot")</f>
        <v>Camelot</v>
      </c>
      <c r="W120" s="258" t="str">
        <f>IFERROR(__xludf.DUMMYFUNCTION("""COMPUTED_VALUE"""),"Royal Castle")</f>
        <v>Royal Castle</v>
      </c>
      <c r="X120" s="259">
        <f>IFERROR(__xludf.DUMMYFUNCTION("""COMPUTED_VALUE"""),21.0)</f>
        <v>21</v>
      </c>
      <c r="Y120" s="260">
        <f>IFERROR(__xludf.DUMMYFUNCTION("""COMPUTED_VALUE"""),48.95238095238095)</f>
        <v>48.95238095</v>
      </c>
      <c r="Z120" s="261">
        <f>IFERROR(__xludf.DUMMYFUNCTION("""COMPUTED_VALUE"""),508.967040794921)</f>
        <v>508.9670408</v>
      </c>
      <c r="AA120" s="262" t="str">
        <f>IFERROR(__xludf.DUMMYFUNCTION("""COMPUTED_VALUE"""),"AP")</f>
        <v>AP</v>
      </c>
      <c r="AB120" s="261">
        <f>IFERROR(__xludf.DUMMYFUNCTION("""COMPUTED_VALUE"""),4.1260039092514775)</f>
        <v>4.126003909</v>
      </c>
      <c r="AC120" s="262" t="str">
        <f>IFERROR(__xludf.DUMMYFUNCTION("""COMPUTED_VALUE"""),"％")</f>
        <v>％</v>
      </c>
      <c r="AD120" s="259">
        <f>IFERROR(__xludf.DUMMYFUNCTION("""COMPUTED_VALUE"""),45219.0)</f>
        <v>45219</v>
      </c>
      <c r="AE120" s="263"/>
      <c r="AF120" s="372" t="str">
        <f>IFERROR(__xludf.DUMMYFUNCTION("""COMPUTED_VALUE"""),"")</f>
        <v/>
      </c>
    </row>
    <row r="121" ht="16.5" customHeight="1">
      <c r="A121" s="61" t="str">
        <f>IFERROR(__xludf.DUMMYFUNCTION("""COMPUTED_VALUE"""),"")</f>
        <v/>
      </c>
      <c r="B121" s="367" t="str">
        <f>IFERROR(__xludf.DUMMYFUNCTION("""COMPUTED_VALUE"""),"A214")</f>
        <v>A214</v>
      </c>
      <c r="C121" s="65" t="str">
        <f>IFERROR(__xludf.DUMMYFUNCTION("""COMPUTED_VALUE"""),"Giant's Ring")</f>
        <v>Giant's Ring</v>
      </c>
      <c r="D121" s="67">
        <f>IFERROR(__xludf.DUMMYFUNCTION("""COMPUTED_VALUE"""),1.0)</f>
        <v>1</v>
      </c>
      <c r="E121" s="69" t="str">
        <f>IFERROR(__xludf.DUMMYFUNCTION("""COMPUTED_VALUE"""),"")</f>
        <v/>
      </c>
      <c r="F121" s="71" t="str">
        <f>IFERROR(__xludf.DUMMYFUNCTION("""COMPUTED_VALUE"""),"")</f>
        <v/>
      </c>
      <c r="G121" s="71" t="str">
        <f>IFERROR(__xludf.DUMMYFUNCTION("""COMPUTED_VALUE"""),"")</f>
        <v/>
      </c>
      <c r="H121" s="80" t="str">
        <f>IFERROR(__xludf.DUMMYFUNCTION("""COMPUTED_VALUE"""),"")</f>
        <v/>
      </c>
      <c r="I121" s="82" t="str">
        <f>IFERROR(__xludf.DUMMYFUNCTION("""COMPUTED_VALUE"""),"")</f>
        <v/>
      </c>
      <c r="J121" s="84" t="str">
        <f>IFERROR(__xludf.DUMMYFUNCTION("""COMPUTED_VALUE"""),"")</f>
        <v/>
      </c>
      <c r="K121" s="86" t="str">
        <f>IFERROR(__xludf.DUMMYFUNCTION("""COMPUTED_VALUE"""),"AP")</f>
        <v>AP</v>
      </c>
      <c r="L121" s="88" t="str">
        <f>IFERROR(__xludf.DUMMYFUNCTION("""COMPUTED_VALUE"""),"")</f>
        <v/>
      </c>
      <c r="M121" s="86" t="str">
        <f>IFERROR(__xludf.DUMMYFUNCTION("""COMPUTED_VALUE"""),"％")</f>
        <v>％</v>
      </c>
      <c r="N121" s="80" t="str">
        <f>IFERROR(__xludf.DUMMYFUNCTION("""COMPUTED_VALUE"""),"")</f>
        <v/>
      </c>
      <c r="O121" s="91" t="str">
        <f>IFERROR(__xludf.DUMMYFUNCTION("""COMPUTED_VALUE"""),"Giant's Ring")</f>
        <v>Giant's Ring</v>
      </c>
      <c r="P121" s="371" t="str">
        <f>IFERROR(__xludf.DUMMYFUNCTION("""COMPUTED_VALUE"""),"")</f>
        <v/>
      </c>
      <c r="Q121" s="61" t="str">
        <f>IFERROR(__xludf.DUMMYFUNCTION("""COMPUTED_VALUE"""),"")</f>
        <v/>
      </c>
      <c r="R121" s="357" t="str">
        <f>IFERROR(__xludf.DUMMYFUNCTION("""COMPUTED_VALUE"""),"B202")</f>
        <v>B202</v>
      </c>
      <c r="S121" s="65" t="str">
        <f>IFERROR(__xludf.DUMMYFUNCTION("""COMPUTED_VALUE"""),"Archer Monument")</f>
        <v>Archer Monument</v>
      </c>
      <c r="T121" s="67">
        <f>IFERROR(__xludf.DUMMYFUNCTION("""COMPUTED_VALUE"""),1.0)</f>
        <v>1</v>
      </c>
      <c r="U121" s="69" t="str">
        <f>IFERROR(__xludf.DUMMYFUNCTION("""COMPUTED_VALUE"""),"TRF4")</f>
        <v>TRF4</v>
      </c>
      <c r="V121" s="71" t="str">
        <f>IFERROR(__xludf.DUMMYFUNCTION("""COMPUTED_VALUE"""),"Chaldea Gate (Mon)")</f>
        <v>Chaldea Gate (Mon)</v>
      </c>
      <c r="W121" s="71" t="str">
        <f>IFERROR(__xludf.DUMMYFUNCTION("""COMPUTED_VALUE"""),"MON Archer Training Ground- Exp")</f>
        <v>MON Archer Training Ground- Exp</v>
      </c>
      <c r="X121" s="80">
        <f>IFERROR(__xludf.DUMMYFUNCTION("""COMPUTED_VALUE"""),40.0)</f>
        <v>40</v>
      </c>
      <c r="Y121" s="82">
        <f>IFERROR(__xludf.DUMMYFUNCTION("""COMPUTED_VALUE"""),19.7)</f>
        <v>19.7</v>
      </c>
      <c r="Z121" s="84">
        <f>IFERROR(__xludf.DUMMYFUNCTION("""COMPUTED_VALUE"""),69.35015157412198)</f>
        <v>69.35015157</v>
      </c>
      <c r="AA121" s="86" t="str">
        <f>IFERROR(__xludf.DUMMYFUNCTION("""COMPUTED_VALUE"""),"AP")</f>
        <v>AP</v>
      </c>
      <c r="AB121" s="88">
        <f>IFERROR(__xludf.DUMMYFUNCTION("""COMPUTED_VALUE"""),57.678316618021654)</f>
        <v>57.67831662</v>
      </c>
      <c r="AC121" s="86" t="str">
        <f>IFERROR(__xludf.DUMMYFUNCTION("""COMPUTED_VALUE"""),"％")</f>
        <v>％</v>
      </c>
      <c r="AD121" s="80">
        <f>IFERROR(__xludf.DUMMYFUNCTION("""COMPUTED_VALUE"""),9762.0)</f>
        <v>9762</v>
      </c>
      <c r="AE121" s="91" t="str">
        <f>IFERROR(__xludf.DUMMYFUNCTION("""COMPUTED_VALUE"""),"Archer Monument")</f>
        <v>Archer Monument</v>
      </c>
      <c r="AF121" s="372" t="str">
        <f>IFERROR(__xludf.DUMMYFUNCTION("""COMPUTED_VALUE"""),"")</f>
        <v/>
      </c>
    </row>
    <row r="122" ht="16.5" customHeight="1">
      <c r="C122" s="100"/>
      <c r="D122" s="102">
        <f>IFERROR(__xludf.DUMMYFUNCTION("""COMPUTED_VALUE"""),2.0)</f>
        <v>2</v>
      </c>
      <c r="E122" s="103" t="str">
        <f>IFERROR(__xludf.DUMMYFUNCTION("""COMPUTED_VALUE"""),"")</f>
        <v/>
      </c>
      <c r="F122" s="104" t="str">
        <f>IFERROR(__xludf.DUMMYFUNCTION("""COMPUTED_VALUE"""),"")</f>
        <v/>
      </c>
      <c r="G122" s="104" t="str">
        <f>IFERROR(__xludf.DUMMYFUNCTION("""COMPUTED_VALUE"""),"")</f>
        <v/>
      </c>
      <c r="H122" s="109" t="str">
        <f>IFERROR(__xludf.DUMMYFUNCTION("""COMPUTED_VALUE"""),"")</f>
        <v/>
      </c>
      <c r="I122" s="110" t="str">
        <f>IFERROR(__xludf.DUMMYFUNCTION("""COMPUTED_VALUE"""),"")</f>
        <v/>
      </c>
      <c r="J122" s="112" t="str">
        <f>IFERROR(__xludf.DUMMYFUNCTION("""COMPUTED_VALUE"""),"")</f>
        <v/>
      </c>
      <c r="K122" s="121" t="str">
        <f>IFERROR(__xludf.DUMMYFUNCTION("""COMPUTED_VALUE"""),"AP")</f>
        <v>AP</v>
      </c>
      <c r="L122" s="123" t="str">
        <f>IFERROR(__xludf.DUMMYFUNCTION("""COMPUTED_VALUE"""),"")</f>
        <v/>
      </c>
      <c r="M122" s="121" t="str">
        <f>IFERROR(__xludf.DUMMYFUNCTION("""COMPUTED_VALUE"""),"％")</f>
        <v>％</v>
      </c>
      <c r="N122" s="109" t="str">
        <f>IFERROR(__xludf.DUMMYFUNCTION("""COMPUTED_VALUE"""),"")</f>
        <v/>
      </c>
      <c r="O122" s="100"/>
      <c r="P122" s="371" t="str">
        <f>IFERROR(__xludf.DUMMYFUNCTION("""COMPUTED_VALUE"""),"")</f>
        <v/>
      </c>
      <c r="R122" s="358"/>
      <c r="S122" s="100"/>
      <c r="T122" s="102">
        <f>IFERROR(__xludf.DUMMYFUNCTION("""COMPUTED_VALUE"""),2.0)</f>
        <v>2</v>
      </c>
      <c r="U122" s="103" t="str">
        <f>IFERROR(__xludf.DUMMYFUNCTION("""COMPUTED_VALUE"""),"TRF3")</f>
        <v>TRF3</v>
      </c>
      <c r="V122" s="104" t="str">
        <f>IFERROR(__xludf.DUMMYFUNCTION("""COMPUTED_VALUE"""),"Chaldea Gate (Mon)")</f>
        <v>Chaldea Gate (Mon)</v>
      </c>
      <c r="W122" s="104" t="str">
        <f>IFERROR(__xludf.DUMMYFUNCTION("""COMPUTED_VALUE"""),"MON Archer Training Ground- Adv")</f>
        <v>MON Archer Training Ground- Adv</v>
      </c>
      <c r="X122" s="109">
        <f>IFERROR(__xludf.DUMMYFUNCTION("""COMPUTED_VALUE"""),30.0)</f>
        <v>30</v>
      </c>
      <c r="Y122" s="110">
        <f>IFERROR(__xludf.DUMMYFUNCTION("""COMPUTED_VALUE"""),18.266666666666666)</f>
        <v>18.26666667</v>
      </c>
      <c r="Z122" s="112">
        <f>IFERROR(__xludf.DUMMYFUNCTION("""COMPUTED_VALUE"""),86.61321922807558)</f>
        <v>86.61321923</v>
      </c>
      <c r="AA122" s="121" t="str">
        <f>IFERROR(__xludf.DUMMYFUNCTION("""COMPUTED_VALUE"""),"AP")</f>
        <v>AP</v>
      </c>
      <c r="AB122" s="123">
        <f>IFERROR(__xludf.DUMMYFUNCTION("""COMPUTED_VALUE"""),34.63674513817809)</f>
        <v>34.63674514</v>
      </c>
      <c r="AC122" s="121" t="str">
        <f>IFERROR(__xludf.DUMMYFUNCTION("""COMPUTED_VALUE"""),"％")</f>
        <v>％</v>
      </c>
      <c r="AD122" s="109">
        <f>IFERROR(__xludf.DUMMYFUNCTION("""COMPUTED_VALUE"""),977.0)</f>
        <v>977</v>
      </c>
      <c r="AE122" s="100"/>
      <c r="AF122" s="372" t="str">
        <f>IFERROR(__xludf.DUMMYFUNCTION("""COMPUTED_VALUE"""),"")</f>
        <v/>
      </c>
    </row>
    <row r="123" ht="16.5" customHeight="1">
      <c r="C123" s="100"/>
      <c r="D123" s="130">
        <f>IFERROR(__xludf.DUMMYFUNCTION("""COMPUTED_VALUE"""),3.0)</f>
        <v>3</v>
      </c>
      <c r="E123" s="132" t="str">
        <f>IFERROR(__xludf.DUMMYFUNCTION("""COMPUTED_VALUE"""),"")</f>
        <v/>
      </c>
      <c r="F123" s="133" t="str">
        <f>IFERROR(__xludf.DUMMYFUNCTION("""COMPUTED_VALUE"""),"")</f>
        <v/>
      </c>
      <c r="G123" s="133" t="str">
        <f>IFERROR(__xludf.DUMMYFUNCTION("""COMPUTED_VALUE"""),"")</f>
        <v/>
      </c>
      <c r="H123" s="137" t="str">
        <f>IFERROR(__xludf.DUMMYFUNCTION("""COMPUTED_VALUE"""),"")</f>
        <v/>
      </c>
      <c r="I123" s="139" t="str">
        <f>IFERROR(__xludf.DUMMYFUNCTION("""COMPUTED_VALUE"""),"")</f>
        <v/>
      </c>
      <c r="J123" s="141" t="str">
        <f>IFERROR(__xludf.DUMMYFUNCTION("""COMPUTED_VALUE"""),"")</f>
        <v/>
      </c>
      <c r="K123" s="143" t="str">
        <f>IFERROR(__xludf.DUMMYFUNCTION("""COMPUTED_VALUE"""),"AP")</f>
        <v>AP</v>
      </c>
      <c r="L123" s="145" t="str">
        <f>IFERROR(__xludf.DUMMYFUNCTION("""COMPUTED_VALUE"""),"")</f>
        <v/>
      </c>
      <c r="M123" s="143" t="str">
        <f>IFERROR(__xludf.DUMMYFUNCTION("""COMPUTED_VALUE"""),"％")</f>
        <v>％</v>
      </c>
      <c r="N123" s="137" t="str">
        <f>IFERROR(__xludf.DUMMYFUNCTION("""COMPUTED_VALUE"""),"")</f>
        <v/>
      </c>
      <c r="O123" s="100"/>
      <c r="P123" s="371" t="str">
        <f>IFERROR(__xludf.DUMMYFUNCTION("""COMPUTED_VALUE"""),"")</f>
        <v/>
      </c>
      <c r="R123" s="358"/>
      <c r="S123" s="100"/>
      <c r="T123" s="130">
        <f>IFERROR(__xludf.DUMMYFUNCTION("""COMPUTED_VALUE"""),3.0)</f>
        <v>3</v>
      </c>
      <c r="U123" s="132" t="str">
        <f>IFERROR(__xludf.DUMMYFUNCTION("""COMPUTED_VALUE"""),"TRF2")</f>
        <v>TRF2</v>
      </c>
      <c r="V123" s="133" t="str">
        <f>IFERROR(__xludf.DUMMYFUNCTION("""COMPUTED_VALUE"""),"Chaldea Gate (Mon)")</f>
        <v>Chaldea Gate (Mon)</v>
      </c>
      <c r="W123" s="133" t="str">
        <f>IFERROR(__xludf.DUMMYFUNCTION("""COMPUTED_VALUE"""),"MON Archer Training Ground- Int")</f>
        <v>MON Archer Training Ground- Int</v>
      </c>
      <c r="X123" s="137">
        <f>IFERROR(__xludf.DUMMYFUNCTION("""COMPUTED_VALUE"""),20.0)</f>
        <v>20</v>
      </c>
      <c r="Y123" s="139">
        <f>IFERROR(__xludf.DUMMYFUNCTION("""COMPUTED_VALUE"""),18.4)</f>
        <v>18.4</v>
      </c>
      <c r="Z123" s="141">
        <f>IFERROR(__xludf.DUMMYFUNCTION("""COMPUTED_VALUE"""),321.5929771973022)</f>
        <v>321.5929772</v>
      </c>
      <c r="AA123" s="143" t="str">
        <f>IFERROR(__xludf.DUMMYFUNCTION("""COMPUTED_VALUE"""),"AP")</f>
        <v>AP</v>
      </c>
      <c r="AB123" s="145">
        <f>IFERROR(__xludf.DUMMYFUNCTION("""COMPUTED_VALUE"""),6.219041278295606)</f>
        <v>6.219041278</v>
      </c>
      <c r="AC123" s="143" t="str">
        <f>IFERROR(__xludf.DUMMYFUNCTION("""COMPUTED_VALUE"""),"％")</f>
        <v>％</v>
      </c>
      <c r="AD123" s="137">
        <f>IFERROR(__xludf.DUMMYFUNCTION("""COMPUTED_VALUE"""),751.0)</f>
        <v>751</v>
      </c>
      <c r="AE123" s="100"/>
      <c r="AF123" s="372" t="str">
        <f>IFERROR(__xludf.DUMMYFUNCTION("""COMPUTED_VALUE"""),"")</f>
        <v/>
      </c>
    </row>
    <row r="124" ht="16.5" customHeight="1">
      <c r="C124" s="100"/>
      <c r="D124" s="146">
        <f>IFERROR(__xludf.DUMMYFUNCTION("""COMPUTED_VALUE"""),4.0)</f>
        <v>4</v>
      </c>
      <c r="E124" s="148" t="str">
        <f>IFERROR(__xludf.DUMMYFUNCTION("""COMPUTED_VALUE"""),"")</f>
        <v/>
      </c>
      <c r="F124" s="150" t="str">
        <f>IFERROR(__xludf.DUMMYFUNCTION("""COMPUTED_VALUE"""),"")</f>
        <v/>
      </c>
      <c r="G124" s="150" t="str">
        <f>IFERROR(__xludf.DUMMYFUNCTION("""COMPUTED_VALUE"""),"")</f>
        <v/>
      </c>
      <c r="H124" s="154" t="str">
        <f>IFERROR(__xludf.DUMMYFUNCTION("""COMPUTED_VALUE"""),"")</f>
        <v/>
      </c>
      <c r="I124" s="156" t="str">
        <f>IFERROR(__xludf.DUMMYFUNCTION("""COMPUTED_VALUE"""),"")</f>
        <v/>
      </c>
      <c r="J124" s="158" t="str">
        <f>IFERROR(__xludf.DUMMYFUNCTION("""COMPUTED_VALUE"""),"")</f>
        <v/>
      </c>
      <c r="K124" s="160" t="str">
        <f>IFERROR(__xludf.DUMMYFUNCTION("""COMPUTED_VALUE"""),"AP")</f>
        <v>AP</v>
      </c>
      <c r="L124" s="162" t="str">
        <f>IFERROR(__xludf.DUMMYFUNCTION("""COMPUTED_VALUE"""),"")</f>
        <v/>
      </c>
      <c r="M124" s="160" t="str">
        <f>IFERROR(__xludf.DUMMYFUNCTION("""COMPUTED_VALUE"""),"％")</f>
        <v>％</v>
      </c>
      <c r="N124" s="154" t="str">
        <f>IFERROR(__xludf.DUMMYFUNCTION("""COMPUTED_VALUE"""),"")</f>
        <v/>
      </c>
      <c r="O124" s="100"/>
      <c r="P124" s="371" t="str">
        <f>IFERROR(__xludf.DUMMYFUNCTION("""COMPUTED_VALUE"""),"")</f>
        <v/>
      </c>
      <c r="R124" s="358"/>
      <c r="S124" s="100"/>
      <c r="T124" s="146">
        <f>IFERROR(__xludf.DUMMYFUNCTION("""COMPUTED_VALUE"""),4.0)</f>
        <v>4</v>
      </c>
      <c r="U124" s="148" t="str">
        <f>IFERROR(__xludf.DUMMYFUNCTION("""COMPUTED_VALUE"""),"EPU8")</f>
        <v>EPU8</v>
      </c>
      <c r="V124" s="150" t="str">
        <f>IFERROR(__xludf.DUMMYFUNCTION("""COMPUTED_VALUE"""),"E Pluribus Unum")</f>
        <v>E Pluribus Unum</v>
      </c>
      <c r="W124" s="152" t="str">
        <f>IFERROR(__xludf.DUMMYFUNCTION("""COMPUTED_VALUE"""),"Montgomery")</f>
        <v>Montgomery</v>
      </c>
      <c r="X124" s="154">
        <f>IFERROR(__xludf.DUMMYFUNCTION("""COMPUTED_VALUE"""),18.0)</f>
        <v>18</v>
      </c>
      <c r="Y124" s="156">
        <f>IFERROR(__xludf.DUMMYFUNCTION("""COMPUTED_VALUE"""),42.44444444444444)</f>
        <v>42.44444444</v>
      </c>
      <c r="Z124" s="158">
        <f>IFERROR(__xludf.DUMMYFUNCTION("""COMPUTED_VALUE"""),406.56651629925943)</f>
        <v>406.5665163</v>
      </c>
      <c r="AA124" s="160" t="str">
        <f>IFERROR(__xludf.DUMMYFUNCTION("""COMPUTED_VALUE"""),"AP")</f>
        <v>AP</v>
      </c>
      <c r="AB124" s="162">
        <f>IFERROR(__xludf.DUMMYFUNCTION("""COMPUTED_VALUE"""),4.427319830428639)</f>
        <v>4.42731983</v>
      </c>
      <c r="AC124" s="160" t="str">
        <f>IFERROR(__xludf.DUMMYFUNCTION("""COMPUTED_VALUE"""),"％")</f>
        <v>％</v>
      </c>
      <c r="AD124" s="154">
        <f>IFERROR(__xludf.DUMMYFUNCTION("""COMPUTED_VALUE"""),2123.0)</f>
        <v>2123</v>
      </c>
      <c r="AE124" s="100"/>
      <c r="AF124" s="372" t="str">
        <f>IFERROR(__xludf.DUMMYFUNCTION("""COMPUTED_VALUE"""),"")</f>
        <v/>
      </c>
    </row>
    <row r="125" ht="16.5" customHeight="1">
      <c r="A125" s="166"/>
      <c r="C125" s="168"/>
      <c r="D125" s="169">
        <f>IFERROR(__xludf.DUMMYFUNCTION("""COMPUTED_VALUE"""),5.0)</f>
        <v>5</v>
      </c>
      <c r="E125" s="170" t="str">
        <f>IFERROR(__xludf.DUMMYFUNCTION("""COMPUTED_VALUE"""),"")</f>
        <v/>
      </c>
      <c r="F125" s="51" t="str">
        <f>IFERROR(__xludf.DUMMYFUNCTION("""COMPUTED_VALUE"""),"")</f>
        <v/>
      </c>
      <c r="G125" s="51" t="str">
        <f>IFERROR(__xludf.DUMMYFUNCTION("""COMPUTED_VALUE"""),"")</f>
        <v/>
      </c>
      <c r="H125" s="172" t="str">
        <f>IFERROR(__xludf.DUMMYFUNCTION("""COMPUTED_VALUE"""),"")</f>
        <v/>
      </c>
      <c r="I125" s="173" t="str">
        <f>IFERROR(__xludf.DUMMYFUNCTION("""COMPUTED_VALUE"""),"")</f>
        <v/>
      </c>
      <c r="J125" s="174" t="str">
        <f>IFERROR(__xludf.DUMMYFUNCTION("""COMPUTED_VALUE"""),"")</f>
        <v/>
      </c>
      <c r="K125" s="175" t="str">
        <f>IFERROR(__xludf.DUMMYFUNCTION("""COMPUTED_VALUE"""),"AP")</f>
        <v>AP</v>
      </c>
      <c r="L125" s="176" t="str">
        <f>IFERROR(__xludf.DUMMYFUNCTION("""COMPUTED_VALUE"""),"")</f>
        <v/>
      </c>
      <c r="M125" s="175" t="str">
        <f>IFERROR(__xludf.DUMMYFUNCTION("""COMPUTED_VALUE"""),"％")</f>
        <v>％</v>
      </c>
      <c r="N125" s="172" t="str">
        <f>IFERROR(__xludf.DUMMYFUNCTION("""COMPUTED_VALUE"""),"")</f>
        <v/>
      </c>
      <c r="O125" s="168"/>
      <c r="P125" s="371" t="str">
        <f>IFERROR(__xludf.DUMMYFUNCTION("""COMPUTED_VALUE"""),"")</f>
        <v/>
      </c>
      <c r="Q125" s="166"/>
      <c r="R125" s="359"/>
      <c r="S125" s="168"/>
      <c r="T125" s="169">
        <f>IFERROR(__xludf.DUMMYFUNCTION("""COMPUTED_VALUE"""),5.0)</f>
        <v>5</v>
      </c>
      <c r="U125" s="170" t="str">
        <f>IFERROR(__xludf.DUMMYFUNCTION("""COMPUTED_VALUE"""),"TRF1")</f>
        <v>TRF1</v>
      </c>
      <c r="V125" s="51" t="str">
        <f>IFERROR(__xludf.DUMMYFUNCTION("""COMPUTED_VALUE"""),"Chaldea Gate (Mon)")</f>
        <v>Chaldea Gate (Mon)</v>
      </c>
      <c r="W125" s="51" t="str">
        <f>IFERROR(__xludf.DUMMYFUNCTION("""COMPUTED_VALUE"""),"MON Archer Training Ground- Nov")</f>
        <v>MON Archer Training Ground- Nov</v>
      </c>
      <c r="X125" s="172">
        <f>IFERROR(__xludf.DUMMYFUNCTION("""COMPUTED_VALUE"""),10.0)</f>
        <v>10</v>
      </c>
      <c r="Y125" s="173">
        <f>IFERROR(__xludf.DUMMYFUNCTION("""COMPUTED_VALUE"""),18.8)</f>
        <v>18.8</v>
      </c>
      <c r="Z125" s="174">
        <f>IFERROR(__xludf.DUMMYFUNCTION("""COMPUTED_VALUE"""),553.1077429209258)</f>
        <v>553.1077429</v>
      </c>
      <c r="AA125" s="175" t="str">
        <f>IFERROR(__xludf.DUMMYFUNCTION("""COMPUTED_VALUE"""),"AP")</f>
        <v>AP</v>
      </c>
      <c r="AB125" s="176">
        <f>IFERROR(__xludf.DUMMYFUNCTION("""COMPUTED_VALUE"""),1.807966011683484)</f>
        <v>1.807966012</v>
      </c>
      <c r="AC125" s="175" t="str">
        <f>IFERROR(__xludf.DUMMYFUNCTION("""COMPUTED_VALUE"""),"％")</f>
        <v>％</v>
      </c>
      <c r="AD125" s="172">
        <f>IFERROR(__xludf.DUMMYFUNCTION("""COMPUTED_VALUE"""),1883.0)</f>
        <v>1883</v>
      </c>
      <c r="AE125" s="168"/>
      <c r="AF125" s="372" t="str">
        <f>IFERROR(__xludf.DUMMYFUNCTION("""COMPUTED_VALUE"""),"")</f>
        <v/>
      </c>
    </row>
    <row r="126" ht="16.5" customHeight="1">
      <c r="A126" s="61" t="str">
        <f>IFERROR(__xludf.DUMMYFUNCTION("""COMPUTED_VALUE"""),"")</f>
        <v/>
      </c>
      <c r="B126" s="366" t="str">
        <f>IFERROR(__xludf.DUMMYFUNCTION("""COMPUTED_VALUE"""),"A215")</f>
        <v>A215</v>
      </c>
      <c r="C126" s="180" t="str">
        <f>IFERROR(__xludf.DUMMYFUNCTION("""COMPUTED_VALUE"""),"Aurora Steel")</f>
        <v>Aurora Steel</v>
      </c>
      <c r="D126" s="181">
        <f>IFERROR(__xludf.DUMMYFUNCTION("""COMPUTED_VALUE"""),1.0)</f>
        <v>1</v>
      </c>
      <c r="E126" s="182" t="str">
        <f>IFERROR(__xludf.DUMMYFUNCTION("""COMPUTED_VALUE"""),"")</f>
        <v/>
      </c>
      <c r="F126" s="184" t="str">
        <f>IFERROR(__xludf.DUMMYFUNCTION("""COMPUTED_VALUE"""),"")</f>
        <v/>
      </c>
      <c r="G126" s="184" t="str">
        <f>IFERROR(__xludf.DUMMYFUNCTION("""COMPUTED_VALUE"""),"")</f>
        <v/>
      </c>
      <c r="H126" s="190" t="str">
        <f>IFERROR(__xludf.DUMMYFUNCTION("""COMPUTED_VALUE"""),"")</f>
        <v/>
      </c>
      <c r="I126" s="191" t="str">
        <f>IFERROR(__xludf.DUMMYFUNCTION("""COMPUTED_VALUE"""),"")</f>
        <v/>
      </c>
      <c r="J126" s="192" t="str">
        <f>IFERROR(__xludf.DUMMYFUNCTION("""COMPUTED_VALUE"""),"")</f>
        <v/>
      </c>
      <c r="K126" s="194" t="str">
        <f>IFERROR(__xludf.DUMMYFUNCTION("""COMPUTED_VALUE"""),"AP")</f>
        <v>AP</v>
      </c>
      <c r="L126" s="192" t="str">
        <f>IFERROR(__xludf.DUMMYFUNCTION("""COMPUTED_VALUE"""),"")</f>
        <v/>
      </c>
      <c r="M126" s="194" t="str">
        <f>IFERROR(__xludf.DUMMYFUNCTION("""COMPUTED_VALUE"""),"％")</f>
        <v>％</v>
      </c>
      <c r="N126" s="190" t="str">
        <f>IFERROR(__xludf.DUMMYFUNCTION("""COMPUTED_VALUE"""),"")</f>
        <v/>
      </c>
      <c r="O126" s="197" t="str">
        <f>IFERROR(__xludf.DUMMYFUNCTION("""COMPUTED_VALUE"""),"Aurora Steel")</f>
        <v>Aurora Steel</v>
      </c>
      <c r="P126" s="371" t="str">
        <f>IFERROR(__xludf.DUMMYFUNCTION("""COMPUTED_VALUE"""),"")</f>
        <v/>
      </c>
      <c r="Q126" s="61" t="str">
        <f>IFERROR(__xludf.DUMMYFUNCTION("""COMPUTED_VALUE"""),"")</f>
        <v/>
      </c>
      <c r="R126" s="199" t="str">
        <f>IFERROR(__xludf.DUMMYFUNCTION("""COMPUTED_VALUE"""),"B203")</f>
        <v>B203</v>
      </c>
      <c r="S126" s="180" t="str">
        <f>IFERROR(__xludf.DUMMYFUNCTION("""COMPUTED_VALUE"""),"Lancer Monument")</f>
        <v>Lancer Monument</v>
      </c>
      <c r="T126" s="181">
        <f>IFERROR(__xludf.DUMMYFUNCTION("""COMPUTED_VALUE"""),1.0)</f>
        <v>1</v>
      </c>
      <c r="U126" s="182" t="str">
        <f>IFERROR(__xludf.DUMMYFUNCTION("""COMPUTED_VALUE"""),"TRF8")</f>
        <v>TRF8</v>
      </c>
      <c r="V126" s="184" t="str">
        <f>IFERROR(__xludf.DUMMYFUNCTION("""COMPUTED_VALUE"""),"Chaldea Gate (Tue)")</f>
        <v>Chaldea Gate (Tue)</v>
      </c>
      <c r="W126" s="184" t="str">
        <f>IFERROR(__xludf.DUMMYFUNCTION("""COMPUTED_VALUE"""),"TUE Lancer Training Ground- Exp")</f>
        <v>TUE Lancer Training Ground- Exp</v>
      </c>
      <c r="X126" s="190">
        <f>IFERROR(__xludf.DUMMYFUNCTION("""COMPUTED_VALUE"""),40.0)</f>
        <v>40</v>
      </c>
      <c r="Y126" s="191">
        <f>IFERROR(__xludf.DUMMYFUNCTION("""COMPUTED_VALUE"""),19.7)</f>
        <v>19.7</v>
      </c>
      <c r="Z126" s="192">
        <f>IFERROR(__xludf.DUMMYFUNCTION("""COMPUTED_VALUE"""),71.97688333673857)</f>
        <v>71.97688334</v>
      </c>
      <c r="AA126" s="194" t="str">
        <f>IFERROR(__xludf.DUMMYFUNCTION("""COMPUTED_VALUE"""),"AP")</f>
        <v>AP</v>
      </c>
      <c r="AB126" s="192">
        <f>IFERROR(__xludf.DUMMYFUNCTION("""COMPUTED_VALUE"""),55.57339821573398)</f>
        <v>55.57339822</v>
      </c>
      <c r="AC126" s="194" t="str">
        <f>IFERROR(__xludf.DUMMYFUNCTION("""COMPUTED_VALUE"""),"％")</f>
        <v>％</v>
      </c>
      <c r="AD126" s="190">
        <f>IFERROR(__xludf.DUMMYFUNCTION("""COMPUTED_VALUE"""),6165.0)</f>
        <v>6165</v>
      </c>
      <c r="AE126" s="197" t="str">
        <f>IFERROR(__xludf.DUMMYFUNCTION("""COMPUTED_VALUE"""),"Lancer Monument")</f>
        <v>Lancer Monument</v>
      </c>
      <c r="AF126" s="372" t="str">
        <f>IFERROR(__xludf.DUMMYFUNCTION("""COMPUTED_VALUE"""),"")</f>
        <v/>
      </c>
    </row>
    <row r="127" ht="16.5" customHeight="1">
      <c r="C127" s="204"/>
      <c r="D127" s="205">
        <f>IFERROR(__xludf.DUMMYFUNCTION("""COMPUTED_VALUE"""),2.0)</f>
        <v>2</v>
      </c>
      <c r="E127" s="206" t="str">
        <f>IFERROR(__xludf.DUMMYFUNCTION("""COMPUTED_VALUE"""),"")</f>
        <v/>
      </c>
      <c r="F127" s="207" t="str">
        <f>IFERROR(__xludf.DUMMYFUNCTION("""COMPUTED_VALUE"""),"")</f>
        <v/>
      </c>
      <c r="G127" s="207" t="str">
        <f>IFERROR(__xludf.DUMMYFUNCTION("""COMPUTED_VALUE"""),"")</f>
        <v/>
      </c>
      <c r="H127" s="211" t="str">
        <f>IFERROR(__xludf.DUMMYFUNCTION("""COMPUTED_VALUE"""),"")</f>
        <v/>
      </c>
      <c r="I127" s="213" t="str">
        <f>IFERROR(__xludf.DUMMYFUNCTION("""COMPUTED_VALUE"""),"")</f>
        <v/>
      </c>
      <c r="J127" s="214" t="str">
        <f>IFERROR(__xludf.DUMMYFUNCTION("""COMPUTED_VALUE"""),"")</f>
        <v/>
      </c>
      <c r="K127" s="215" t="str">
        <f>IFERROR(__xludf.DUMMYFUNCTION("""COMPUTED_VALUE"""),"AP")</f>
        <v>AP</v>
      </c>
      <c r="L127" s="214" t="str">
        <f>IFERROR(__xludf.DUMMYFUNCTION("""COMPUTED_VALUE"""),"")</f>
        <v/>
      </c>
      <c r="M127" s="215" t="str">
        <f>IFERROR(__xludf.DUMMYFUNCTION("""COMPUTED_VALUE"""),"％")</f>
        <v>％</v>
      </c>
      <c r="N127" s="211" t="str">
        <f>IFERROR(__xludf.DUMMYFUNCTION("""COMPUTED_VALUE"""),"")</f>
        <v/>
      </c>
      <c r="O127" s="217"/>
      <c r="P127" s="371" t="str">
        <f>IFERROR(__xludf.DUMMYFUNCTION("""COMPUTED_VALUE"""),"")</f>
        <v/>
      </c>
      <c r="R127" s="203"/>
      <c r="S127" s="204"/>
      <c r="T127" s="205">
        <f>IFERROR(__xludf.DUMMYFUNCTION("""COMPUTED_VALUE"""),2.0)</f>
        <v>2</v>
      </c>
      <c r="U127" s="206" t="str">
        <f>IFERROR(__xludf.DUMMYFUNCTION("""COMPUTED_VALUE"""),"TRF7")</f>
        <v>TRF7</v>
      </c>
      <c r="V127" s="207" t="str">
        <f>IFERROR(__xludf.DUMMYFUNCTION("""COMPUTED_VALUE"""),"Chaldea Gate (Tue)")</f>
        <v>Chaldea Gate (Tue)</v>
      </c>
      <c r="W127" s="207" t="str">
        <f>IFERROR(__xludf.DUMMYFUNCTION("""COMPUTED_VALUE"""),"TUE Lancer Training Ground- Adv")</f>
        <v>TUE Lancer Training Ground- Adv</v>
      </c>
      <c r="X127" s="211">
        <f>IFERROR(__xludf.DUMMYFUNCTION("""COMPUTED_VALUE"""),30.0)</f>
        <v>30</v>
      </c>
      <c r="Y127" s="213">
        <f>IFERROR(__xludf.DUMMYFUNCTION("""COMPUTED_VALUE"""),18.266666666666666)</f>
        <v>18.26666667</v>
      </c>
      <c r="Z127" s="214">
        <f>IFERROR(__xludf.DUMMYFUNCTION("""COMPUTED_VALUE"""),86.5536998659027)</f>
        <v>86.55369987</v>
      </c>
      <c r="AA127" s="215" t="str">
        <f>IFERROR(__xludf.DUMMYFUNCTION("""COMPUTED_VALUE"""),"AP")</f>
        <v>AP</v>
      </c>
      <c r="AB127" s="214">
        <f>IFERROR(__xludf.DUMMYFUNCTION("""COMPUTED_VALUE"""),34.660563380281694)</f>
        <v>34.66056338</v>
      </c>
      <c r="AC127" s="215" t="str">
        <f>IFERROR(__xludf.DUMMYFUNCTION("""COMPUTED_VALUE"""),"％")</f>
        <v>％</v>
      </c>
      <c r="AD127" s="211">
        <f>IFERROR(__xludf.DUMMYFUNCTION("""COMPUTED_VALUE"""),1136.0)</f>
        <v>1136</v>
      </c>
      <c r="AE127" s="217"/>
      <c r="AF127" s="372" t="str">
        <f>IFERROR(__xludf.DUMMYFUNCTION("""COMPUTED_VALUE"""),"")</f>
        <v/>
      </c>
    </row>
    <row r="128" ht="16.5" customHeight="1">
      <c r="C128" s="204"/>
      <c r="D128" s="222">
        <f>IFERROR(__xludf.DUMMYFUNCTION("""COMPUTED_VALUE"""),3.0)</f>
        <v>3</v>
      </c>
      <c r="E128" s="223" t="str">
        <f>IFERROR(__xludf.DUMMYFUNCTION("""COMPUTED_VALUE"""),"")</f>
        <v/>
      </c>
      <c r="F128" s="224" t="str">
        <f>IFERROR(__xludf.DUMMYFUNCTION("""COMPUTED_VALUE"""),"")</f>
        <v/>
      </c>
      <c r="G128" s="224" t="str">
        <f>IFERROR(__xludf.DUMMYFUNCTION("""COMPUTED_VALUE"""),"")</f>
        <v/>
      </c>
      <c r="H128" s="228" t="str">
        <f>IFERROR(__xludf.DUMMYFUNCTION("""COMPUTED_VALUE"""),"")</f>
        <v/>
      </c>
      <c r="I128" s="230" t="str">
        <f>IFERROR(__xludf.DUMMYFUNCTION("""COMPUTED_VALUE"""),"")</f>
        <v/>
      </c>
      <c r="J128" s="231" t="str">
        <f>IFERROR(__xludf.DUMMYFUNCTION("""COMPUTED_VALUE"""),"")</f>
        <v/>
      </c>
      <c r="K128" s="232" t="str">
        <f>IFERROR(__xludf.DUMMYFUNCTION("""COMPUTED_VALUE"""),"AP")</f>
        <v>AP</v>
      </c>
      <c r="L128" s="231" t="str">
        <f>IFERROR(__xludf.DUMMYFUNCTION("""COMPUTED_VALUE"""),"")</f>
        <v/>
      </c>
      <c r="M128" s="232" t="str">
        <f>IFERROR(__xludf.DUMMYFUNCTION("""COMPUTED_VALUE"""),"％")</f>
        <v>％</v>
      </c>
      <c r="N128" s="228" t="str">
        <f>IFERROR(__xludf.DUMMYFUNCTION("""COMPUTED_VALUE"""),"")</f>
        <v/>
      </c>
      <c r="O128" s="217"/>
      <c r="P128" s="371" t="str">
        <f>IFERROR(__xludf.DUMMYFUNCTION("""COMPUTED_VALUE"""),"")</f>
        <v/>
      </c>
      <c r="R128" s="203"/>
      <c r="S128" s="204"/>
      <c r="T128" s="222">
        <f>IFERROR(__xludf.DUMMYFUNCTION("""COMPUTED_VALUE"""),3.0)</f>
        <v>3</v>
      </c>
      <c r="U128" s="223" t="str">
        <f>IFERROR(__xludf.DUMMYFUNCTION("""COMPUTED_VALUE"""),"EPU2")</f>
        <v>EPU2</v>
      </c>
      <c r="V128" s="224" t="str">
        <f>IFERROR(__xludf.DUMMYFUNCTION("""COMPUTED_VALUE"""),"E Pluribus Unum")</f>
        <v>E Pluribus Unum</v>
      </c>
      <c r="W128" s="226" t="str">
        <f>IFERROR(__xludf.DUMMYFUNCTION("""COMPUTED_VALUE"""),"Riverton")</f>
        <v>Riverton</v>
      </c>
      <c r="X128" s="228">
        <f>IFERROR(__xludf.DUMMYFUNCTION("""COMPUTED_VALUE"""),17.0)</f>
        <v>17</v>
      </c>
      <c r="Y128" s="230">
        <f>IFERROR(__xludf.DUMMYFUNCTION("""COMPUTED_VALUE"""),40.705882352941174)</f>
        <v>40.70588235</v>
      </c>
      <c r="Z128" s="231">
        <f>IFERROR(__xludf.DUMMYFUNCTION("""COMPUTED_VALUE"""),243.96838602329453)</f>
        <v>243.968386</v>
      </c>
      <c r="AA128" s="232" t="str">
        <f>IFERROR(__xludf.DUMMYFUNCTION("""COMPUTED_VALUE"""),"AP")</f>
        <v>AP</v>
      </c>
      <c r="AB128" s="231">
        <f>IFERROR(__xludf.DUMMYFUNCTION("""COMPUTED_VALUE"""),6.968115942028985)</f>
        <v>6.968115942</v>
      </c>
      <c r="AC128" s="232" t="str">
        <f>IFERROR(__xludf.DUMMYFUNCTION("""COMPUTED_VALUE"""),"％")</f>
        <v>％</v>
      </c>
      <c r="AD128" s="228">
        <f>IFERROR(__xludf.DUMMYFUNCTION("""COMPUTED_VALUE"""),414.0)</f>
        <v>414</v>
      </c>
      <c r="AE128" s="217"/>
      <c r="AF128" s="372" t="str">
        <f>IFERROR(__xludf.DUMMYFUNCTION("""COMPUTED_VALUE"""),"")</f>
        <v/>
      </c>
    </row>
    <row r="129" ht="16.5" customHeight="1">
      <c r="C129" s="204"/>
      <c r="D129" s="238">
        <f>IFERROR(__xludf.DUMMYFUNCTION("""COMPUTED_VALUE"""),4.0)</f>
        <v>4</v>
      </c>
      <c r="E129" s="240" t="str">
        <f>IFERROR(__xludf.DUMMYFUNCTION("""COMPUTED_VALUE"""),"")</f>
        <v/>
      </c>
      <c r="F129" s="242" t="str">
        <f>IFERROR(__xludf.DUMMYFUNCTION("""COMPUTED_VALUE"""),"")</f>
        <v/>
      </c>
      <c r="G129" s="242" t="str">
        <f>IFERROR(__xludf.DUMMYFUNCTION("""COMPUTED_VALUE"""),"")</f>
        <v/>
      </c>
      <c r="H129" s="246" t="str">
        <f>IFERROR(__xludf.DUMMYFUNCTION("""COMPUTED_VALUE"""),"")</f>
        <v/>
      </c>
      <c r="I129" s="248" t="str">
        <f>IFERROR(__xludf.DUMMYFUNCTION("""COMPUTED_VALUE"""),"")</f>
        <v/>
      </c>
      <c r="J129" s="250" t="str">
        <f>IFERROR(__xludf.DUMMYFUNCTION("""COMPUTED_VALUE"""),"")</f>
        <v/>
      </c>
      <c r="K129" s="252" t="str">
        <f>IFERROR(__xludf.DUMMYFUNCTION("""COMPUTED_VALUE"""),"AP")</f>
        <v>AP</v>
      </c>
      <c r="L129" s="250" t="str">
        <f>IFERROR(__xludf.DUMMYFUNCTION("""COMPUTED_VALUE"""),"")</f>
        <v/>
      </c>
      <c r="M129" s="252" t="str">
        <f>IFERROR(__xludf.DUMMYFUNCTION("""COMPUTED_VALUE"""),"％")</f>
        <v>％</v>
      </c>
      <c r="N129" s="246" t="str">
        <f>IFERROR(__xludf.DUMMYFUNCTION("""COMPUTED_VALUE"""),"")</f>
        <v/>
      </c>
      <c r="O129" s="217"/>
      <c r="P129" s="371" t="str">
        <f>IFERROR(__xludf.DUMMYFUNCTION("""COMPUTED_VALUE"""),"")</f>
        <v/>
      </c>
      <c r="R129" s="203"/>
      <c r="S129" s="204"/>
      <c r="T129" s="238">
        <f>IFERROR(__xludf.DUMMYFUNCTION("""COMPUTED_VALUE"""),4.0)</f>
        <v>4</v>
      </c>
      <c r="U129" s="240" t="str">
        <f>IFERROR(__xludf.DUMMYFUNCTION("""COMPUTED_VALUE"""),"TRF6")</f>
        <v>TRF6</v>
      </c>
      <c r="V129" s="242" t="str">
        <f>IFERROR(__xludf.DUMMYFUNCTION("""COMPUTED_VALUE"""),"Chaldea Gate (Tue)")</f>
        <v>Chaldea Gate (Tue)</v>
      </c>
      <c r="W129" s="242" t="str">
        <f>IFERROR(__xludf.DUMMYFUNCTION("""COMPUTED_VALUE"""),"TUE Lancer Training Ground- Int")</f>
        <v>TUE Lancer Training Ground- Int</v>
      </c>
      <c r="X129" s="246">
        <f>IFERROR(__xludf.DUMMYFUNCTION("""COMPUTED_VALUE"""),20.0)</f>
        <v>20</v>
      </c>
      <c r="Y129" s="248">
        <f>IFERROR(__xludf.DUMMYFUNCTION("""COMPUTED_VALUE"""),18.4)</f>
        <v>18.4</v>
      </c>
      <c r="Z129" s="250">
        <f>IFERROR(__xludf.DUMMYFUNCTION("""COMPUTED_VALUE"""),258.9701700248079)</f>
        <v>258.97017</v>
      </c>
      <c r="AA129" s="252" t="str">
        <f>IFERROR(__xludf.DUMMYFUNCTION("""COMPUTED_VALUE"""),"AP")</f>
        <v>AP</v>
      </c>
      <c r="AB129" s="250">
        <f>IFERROR(__xludf.DUMMYFUNCTION("""COMPUTED_VALUE"""),7.722897196261682)</f>
        <v>7.722897196</v>
      </c>
      <c r="AC129" s="252" t="str">
        <f>IFERROR(__xludf.DUMMYFUNCTION("""COMPUTED_VALUE"""),"％")</f>
        <v>％</v>
      </c>
      <c r="AD129" s="246">
        <f>IFERROR(__xludf.DUMMYFUNCTION("""COMPUTED_VALUE"""),428.0)</f>
        <v>428</v>
      </c>
      <c r="AE129" s="217"/>
      <c r="AF129" s="372" t="str">
        <f>IFERROR(__xludf.DUMMYFUNCTION("""COMPUTED_VALUE"""),"")</f>
        <v/>
      </c>
    </row>
    <row r="130" ht="16.5" customHeight="1">
      <c r="A130" s="166"/>
      <c r="C130" s="255"/>
      <c r="D130" s="256">
        <f>IFERROR(__xludf.DUMMYFUNCTION("""COMPUTED_VALUE"""),5.0)</f>
        <v>5</v>
      </c>
      <c r="E130" s="257" t="str">
        <f>IFERROR(__xludf.DUMMYFUNCTION("""COMPUTED_VALUE"""),"")</f>
        <v/>
      </c>
      <c r="F130" s="42" t="str">
        <f>IFERROR(__xludf.DUMMYFUNCTION("""COMPUTED_VALUE"""),"")</f>
        <v/>
      </c>
      <c r="G130" s="42" t="str">
        <f>IFERROR(__xludf.DUMMYFUNCTION("""COMPUTED_VALUE"""),"")</f>
        <v/>
      </c>
      <c r="H130" s="259" t="str">
        <f>IFERROR(__xludf.DUMMYFUNCTION("""COMPUTED_VALUE"""),"")</f>
        <v/>
      </c>
      <c r="I130" s="260" t="str">
        <f>IFERROR(__xludf.DUMMYFUNCTION("""COMPUTED_VALUE"""),"")</f>
        <v/>
      </c>
      <c r="J130" s="261" t="str">
        <f>IFERROR(__xludf.DUMMYFUNCTION("""COMPUTED_VALUE"""),"")</f>
        <v/>
      </c>
      <c r="K130" s="262" t="str">
        <f>IFERROR(__xludf.DUMMYFUNCTION("""COMPUTED_VALUE"""),"AP")</f>
        <v>AP</v>
      </c>
      <c r="L130" s="261" t="str">
        <f>IFERROR(__xludf.DUMMYFUNCTION("""COMPUTED_VALUE"""),"")</f>
        <v/>
      </c>
      <c r="M130" s="262" t="str">
        <f>IFERROR(__xludf.DUMMYFUNCTION("""COMPUTED_VALUE"""),"％")</f>
        <v>％</v>
      </c>
      <c r="N130" s="259" t="str">
        <f>IFERROR(__xludf.DUMMYFUNCTION("""COMPUTED_VALUE"""),"")</f>
        <v/>
      </c>
      <c r="O130" s="263"/>
      <c r="P130" s="371" t="str">
        <f>IFERROR(__xludf.DUMMYFUNCTION("""COMPUTED_VALUE"""),"")</f>
        <v/>
      </c>
      <c r="Q130" s="166"/>
      <c r="R130" s="254"/>
      <c r="S130" s="255"/>
      <c r="T130" s="256">
        <f>IFERROR(__xludf.DUMMYFUNCTION("""COMPUTED_VALUE"""),5.0)</f>
        <v>5</v>
      </c>
      <c r="U130" s="257" t="str">
        <f>IFERROR(__xludf.DUMMYFUNCTION("""COMPUTED_VALUE"""),"EPU7")</f>
        <v>EPU7</v>
      </c>
      <c r="V130" s="42" t="str">
        <f>IFERROR(__xludf.DUMMYFUNCTION("""COMPUTED_VALUE"""),"E Pluribus Unum")</f>
        <v>E Pluribus Unum</v>
      </c>
      <c r="W130" s="258" t="str">
        <f>IFERROR(__xludf.DUMMYFUNCTION("""COMPUTED_VALUE"""),"Des Moines")</f>
        <v>Des Moines</v>
      </c>
      <c r="X130" s="259">
        <f>IFERROR(__xludf.DUMMYFUNCTION("""COMPUTED_VALUE"""),18.0)</f>
        <v>18</v>
      </c>
      <c r="Y130" s="260">
        <f>IFERROR(__xludf.DUMMYFUNCTION("""COMPUTED_VALUE"""),41.111111111111114)</f>
        <v>41.11111111</v>
      </c>
      <c r="Z130" s="261">
        <f>IFERROR(__xludf.DUMMYFUNCTION("""COMPUTED_VALUE"""),355.94243902799377)</f>
        <v>355.942439</v>
      </c>
      <c r="AA130" s="262" t="str">
        <f>IFERROR(__xludf.DUMMYFUNCTION("""COMPUTED_VALUE"""),"AP")</f>
        <v>AP</v>
      </c>
      <c r="AB130" s="261">
        <f>IFERROR(__xludf.DUMMYFUNCTION("""COMPUTED_VALUE"""),5.056997431706748)</f>
        <v>5.056997432</v>
      </c>
      <c r="AC130" s="262" t="str">
        <f>IFERROR(__xludf.DUMMYFUNCTION("""COMPUTED_VALUE"""),"％")</f>
        <v>％</v>
      </c>
      <c r="AD130" s="259">
        <f>IFERROR(__xludf.DUMMYFUNCTION("""COMPUTED_VALUE"""),21415.0)</f>
        <v>21415</v>
      </c>
      <c r="AE130" s="263"/>
      <c r="AF130" s="372" t="str">
        <f>IFERROR(__xludf.DUMMYFUNCTION("""COMPUTED_VALUE"""),"")</f>
        <v/>
      </c>
    </row>
    <row r="131" ht="16.5" customHeight="1">
      <c r="A131" s="61" t="str">
        <f>IFERROR(__xludf.DUMMYFUNCTION("""COMPUTED_VALUE"""),"")</f>
        <v/>
      </c>
      <c r="B131" s="367" t="str">
        <f>IFERROR(__xludf.DUMMYFUNCTION("""COMPUTED_VALUE"""),"A216")</f>
        <v>A216</v>
      </c>
      <c r="C131" s="65" t="str">
        <f>IFERROR(__xludf.DUMMYFUNCTION("""COMPUTED_VALUE"""),"Ancient Bell of Tranquility")</f>
        <v>Ancient Bell of Tranquility</v>
      </c>
      <c r="D131" s="67">
        <f>IFERROR(__xludf.DUMMYFUNCTION("""COMPUTED_VALUE"""),1.0)</f>
        <v>1</v>
      </c>
      <c r="E131" s="69" t="str">
        <f>IFERROR(__xludf.DUMMYFUNCTION("""COMPUTED_VALUE"""),"")</f>
        <v/>
      </c>
      <c r="F131" s="71" t="str">
        <f>IFERROR(__xludf.DUMMYFUNCTION("""COMPUTED_VALUE"""),"")</f>
        <v/>
      </c>
      <c r="G131" s="71" t="str">
        <f>IFERROR(__xludf.DUMMYFUNCTION("""COMPUTED_VALUE"""),"")</f>
        <v/>
      </c>
      <c r="H131" s="80" t="str">
        <f>IFERROR(__xludf.DUMMYFUNCTION("""COMPUTED_VALUE"""),"")</f>
        <v/>
      </c>
      <c r="I131" s="82" t="str">
        <f>IFERROR(__xludf.DUMMYFUNCTION("""COMPUTED_VALUE"""),"")</f>
        <v/>
      </c>
      <c r="J131" s="84" t="str">
        <f>IFERROR(__xludf.DUMMYFUNCTION("""COMPUTED_VALUE"""),"")</f>
        <v/>
      </c>
      <c r="K131" s="86" t="str">
        <f>IFERROR(__xludf.DUMMYFUNCTION("""COMPUTED_VALUE"""),"AP")</f>
        <v>AP</v>
      </c>
      <c r="L131" s="88" t="str">
        <f>IFERROR(__xludf.DUMMYFUNCTION("""COMPUTED_VALUE"""),"")</f>
        <v/>
      </c>
      <c r="M131" s="86" t="str">
        <f>IFERROR(__xludf.DUMMYFUNCTION("""COMPUTED_VALUE"""),"％")</f>
        <v>％</v>
      </c>
      <c r="N131" s="80" t="str">
        <f>IFERROR(__xludf.DUMMYFUNCTION("""COMPUTED_VALUE"""),"")</f>
        <v/>
      </c>
      <c r="O131" s="91" t="str">
        <f>IFERROR(__xludf.DUMMYFUNCTION("""COMPUTED_VALUE"""),"Ancient Bell of Tranquility")</f>
        <v>Ancient Bell of Tranquility</v>
      </c>
      <c r="P131" s="371" t="str">
        <f>IFERROR(__xludf.DUMMYFUNCTION("""COMPUTED_VALUE"""),"")</f>
        <v/>
      </c>
      <c r="Q131" s="61" t="str">
        <f>IFERROR(__xludf.DUMMYFUNCTION("""COMPUTED_VALUE"""),"")</f>
        <v/>
      </c>
      <c r="R131" s="357" t="str">
        <f>IFERROR(__xludf.DUMMYFUNCTION("""COMPUTED_VALUE"""),"B204")</f>
        <v>B204</v>
      </c>
      <c r="S131" s="65" t="str">
        <f>IFERROR(__xludf.DUMMYFUNCTION("""COMPUTED_VALUE"""),"Rider Monument")</f>
        <v>Rider Monument</v>
      </c>
      <c r="T131" s="67">
        <f>IFERROR(__xludf.DUMMYFUNCTION("""COMPUTED_VALUE"""),1.0)</f>
        <v>1</v>
      </c>
      <c r="U131" s="69" t="str">
        <f>IFERROR(__xludf.DUMMYFUNCTION("""COMPUTED_VALUE"""),"TRF16")</f>
        <v>TRF16</v>
      </c>
      <c r="V131" s="71" t="str">
        <f>IFERROR(__xludf.DUMMYFUNCTION("""COMPUTED_VALUE"""),"Chaldea Gate (Thu)")</f>
        <v>Chaldea Gate (Thu)</v>
      </c>
      <c r="W131" s="71" t="str">
        <f>IFERROR(__xludf.DUMMYFUNCTION("""COMPUTED_VALUE"""),"THU Rider Training Ground- Exp")</f>
        <v>THU Rider Training Ground- Exp</v>
      </c>
      <c r="X131" s="80">
        <f>IFERROR(__xludf.DUMMYFUNCTION("""COMPUTED_VALUE"""),40.0)</f>
        <v>40</v>
      </c>
      <c r="Y131" s="82">
        <f>IFERROR(__xludf.DUMMYFUNCTION("""COMPUTED_VALUE"""),19.7)</f>
        <v>19.7</v>
      </c>
      <c r="Z131" s="84">
        <f>IFERROR(__xludf.DUMMYFUNCTION("""COMPUTED_VALUE"""),69.32841862307731)</f>
        <v>69.32841862</v>
      </c>
      <c r="AA131" s="86" t="str">
        <f>IFERROR(__xludf.DUMMYFUNCTION("""COMPUTED_VALUE"""),"AP")</f>
        <v>AP</v>
      </c>
      <c r="AB131" s="88">
        <f>IFERROR(__xludf.DUMMYFUNCTION("""COMPUTED_VALUE"""),57.69639751552795)</f>
        <v>57.69639752</v>
      </c>
      <c r="AC131" s="86" t="str">
        <f>IFERROR(__xludf.DUMMYFUNCTION("""COMPUTED_VALUE"""),"％")</f>
        <v>％</v>
      </c>
      <c r="AD131" s="80">
        <f>IFERROR(__xludf.DUMMYFUNCTION("""COMPUTED_VALUE"""),4025.0)</f>
        <v>4025</v>
      </c>
      <c r="AE131" s="91" t="str">
        <f>IFERROR(__xludf.DUMMYFUNCTION("""COMPUTED_VALUE"""),"Rider Monument")</f>
        <v>Rider Monument</v>
      </c>
      <c r="AF131" s="372" t="str">
        <f>IFERROR(__xludf.DUMMYFUNCTION("""COMPUTED_VALUE"""),"")</f>
        <v/>
      </c>
    </row>
    <row r="132" ht="16.5" customHeight="1">
      <c r="C132" s="100"/>
      <c r="D132" s="102">
        <f>IFERROR(__xludf.DUMMYFUNCTION("""COMPUTED_VALUE"""),2.0)</f>
        <v>2</v>
      </c>
      <c r="E132" s="103" t="str">
        <f>IFERROR(__xludf.DUMMYFUNCTION("""COMPUTED_VALUE"""),"")</f>
        <v/>
      </c>
      <c r="F132" s="104" t="str">
        <f>IFERROR(__xludf.DUMMYFUNCTION("""COMPUTED_VALUE"""),"")</f>
        <v/>
      </c>
      <c r="G132" s="104" t="str">
        <f>IFERROR(__xludf.DUMMYFUNCTION("""COMPUTED_VALUE"""),"")</f>
        <v/>
      </c>
      <c r="H132" s="109" t="str">
        <f>IFERROR(__xludf.DUMMYFUNCTION("""COMPUTED_VALUE"""),"")</f>
        <v/>
      </c>
      <c r="I132" s="110" t="str">
        <f>IFERROR(__xludf.DUMMYFUNCTION("""COMPUTED_VALUE"""),"")</f>
        <v/>
      </c>
      <c r="J132" s="112" t="str">
        <f>IFERROR(__xludf.DUMMYFUNCTION("""COMPUTED_VALUE"""),"")</f>
        <v/>
      </c>
      <c r="K132" s="121" t="str">
        <f>IFERROR(__xludf.DUMMYFUNCTION("""COMPUTED_VALUE"""),"AP")</f>
        <v>AP</v>
      </c>
      <c r="L132" s="123" t="str">
        <f>IFERROR(__xludf.DUMMYFUNCTION("""COMPUTED_VALUE"""),"")</f>
        <v/>
      </c>
      <c r="M132" s="121" t="str">
        <f>IFERROR(__xludf.DUMMYFUNCTION("""COMPUTED_VALUE"""),"％")</f>
        <v>％</v>
      </c>
      <c r="N132" s="109" t="str">
        <f>IFERROR(__xludf.DUMMYFUNCTION("""COMPUTED_VALUE"""),"")</f>
        <v/>
      </c>
      <c r="O132" s="100"/>
      <c r="P132" s="371" t="str">
        <f>IFERROR(__xludf.DUMMYFUNCTION("""COMPUTED_VALUE"""),"")</f>
        <v/>
      </c>
      <c r="R132" s="358"/>
      <c r="S132" s="100"/>
      <c r="T132" s="102">
        <f>IFERROR(__xludf.DUMMYFUNCTION("""COMPUTED_VALUE"""),2.0)</f>
        <v>2</v>
      </c>
      <c r="U132" s="103" t="str">
        <f>IFERROR(__xludf.DUMMYFUNCTION("""COMPUTED_VALUE"""),"TRF15")</f>
        <v>TRF15</v>
      </c>
      <c r="V132" s="104" t="str">
        <f>IFERROR(__xludf.DUMMYFUNCTION("""COMPUTED_VALUE"""),"Chaldea Gate (Thu)")</f>
        <v>Chaldea Gate (Thu)</v>
      </c>
      <c r="W132" s="104" t="str">
        <f>IFERROR(__xludf.DUMMYFUNCTION("""COMPUTED_VALUE"""),"THU Rider Training Ground- Adv")</f>
        <v>THU Rider Training Ground- Adv</v>
      </c>
      <c r="X132" s="109">
        <f>IFERROR(__xludf.DUMMYFUNCTION("""COMPUTED_VALUE"""),30.0)</f>
        <v>30</v>
      </c>
      <c r="Y132" s="110">
        <f>IFERROR(__xludf.DUMMYFUNCTION("""COMPUTED_VALUE"""),18.266666666666666)</f>
        <v>18.26666667</v>
      </c>
      <c r="Z132" s="112">
        <f>IFERROR(__xludf.DUMMYFUNCTION("""COMPUTED_VALUE"""),72.57616551372453)</f>
        <v>72.57616551</v>
      </c>
      <c r="AA132" s="121" t="str">
        <f>IFERROR(__xludf.DUMMYFUNCTION("""COMPUTED_VALUE"""),"AP")</f>
        <v>AP</v>
      </c>
      <c r="AB132" s="123">
        <f>IFERROR(__xludf.DUMMYFUNCTION("""COMPUTED_VALUE"""),41.33588456712672)</f>
        <v>41.33588457</v>
      </c>
      <c r="AC132" s="121" t="str">
        <f>IFERROR(__xludf.DUMMYFUNCTION("""COMPUTED_VALUE"""),"％")</f>
        <v>％</v>
      </c>
      <c r="AD132" s="109">
        <f>IFERROR(__xludf.DUMMYFUNCTION("""COMPUTED_VALUE"""),797.0)</f>
        <v>797</v>
      </c>
      <c r="AE132" s="100"/>
      <c r="AF132" s="372" t="str">
        <f>IFERROR(__xludf.DUMMYFUNCTION("""COMPUTED_VALUE"""),"")</f>
        <v/>
      </c>
    </row>
    <row r="133" ht="16.5" customHeight="1">
      <c r="C133" s="100"/>
      <c r="D133" s="130">
        <f>IFERROR(__xludf.DUMMYFUNCTION("""COMPUTED_VALUE"""),3.0)</f>
        <v>3</v>
      </c>
      <c r="E133" s="132" t="str">
        <f>IFERROR(__xludf.DUMMYFUNCTION("""COMPUTED_VALUE"""),"")</f>
        <v/>
      </c>
      <c r="F133" s="133" t="str">
        <f>IFERROR(__xludf.DUMMYFUNCTION("""COMPUTED_VALUE"""),"")</f>
        <v/>
      </c>
      <c r="G133" s="133" t="str">
        <f>IFERROR(__xludf.DUMMYFUNCTION("""COMPUTED_VALUE"""),"")</f>
        <v/>
      </c>
      <c r="H133" s="137" t="str">
        <f>IFERROR(__xludf.DUMMYFUNCTION("""COMPUTED_VALUE"""),"")</f>
        <v/>
      </c>
      <c r="I133" s="139" t="str">
        <f>IFERROR(__xludf.DUMMYFUNCTION("""COMPUTED_VALUE"""),"")</f>
        <v/>
      </c>
      <c r="J133" s="141" t="str">
        <f>IFERROR(__xludf.DUMMYFUNCTION("""COMPUTED_VALUE"""),"")</f>
        <v/>
      </c>
      <c r="K133" s="143" t="str">
        <f>IFERROR(__xludf.DUMMYFUNCTION("""COMPUTED_VALUE"""),"AP")</f>
        <v>AP</v>
      </c>
      <c r="L133" s="145" t="str">
        <f>IFERROR(__xludf.DUMMYFUNCTION("""COMPUTED_VALUE"""),"")</f>
        <v/>
      </c>
      <c r="M133" s="143" t="str">
        <f>IFERROR(__xludf.DUMMYFUNCTION("""COMPUTED_VALUE"""),"％")</f>
        <v>％</v>
      </c>
      <c r="N133" s="137" t="str">
        <f>IFERROR(__xludf.DUMMYFUNCTION("""COMPUTED_VALUE"""),"")</f>
        <v/>
      </c>
      <c r="O133" s="100"/>
      <c r="P133" s="371" t="str">
        <f>IFERROR(__xludf.DUMMYFUNCTION("""COMPUTED_VALUE"""),"")</f>
        <v/>
      </c>
      <c r="R133" s="358"/>
      <c r="S133" s="100"/>
      <c r="T133" s="130">
        <f>IFERROR(__xludf.DUMMYFUNCTION("""COMPUTED_VALUE"""),3.0)</f>
        <v>3</v>
      </c>
      <c r="U133" s="132" t="str">
        <f>IFERROR(__xludf.DUMMYFUNCTION("""COMPUTED_VALUE"""),"TRF14")</f>
        <v>TRF14</v>
      </c>
      <c r="V133" s="133" t="str">
        <f>IFERROR(__xludf.DUMMYFUNCTION("""COMPUTED_VALUE"""),"Chaldea Gate (Thu)")</f>
        <v>Chaldea Gate (Thu)</v>
      </c>
      <c r="W133" s="133" t="str">
        <f>IFERROR(__xludf.DUMMYFUNCTION("""COMPUTED_VALUE"""),"THU Rider Training Ground- Int")</f>
        <v>THU Rider Training Ground- Int</v>
      </c>
      <c r="X133" s="137">
        <f>IFERROR(__xludf.DUMMYFUNCTION("""COMPUTED_VALUE"""),20.0)</f>
        <v>20</v>
      </c>
      <c r="Y133" s="139">
        <f>IFERROR(__xludf.DUMMYFUNCTION("""COMPUTED_VALUE"""),18.4)</f>
        <v>18.4</v>
      </c>
      <c r="Z133" s="141">
        <f>IFERROR(__xludf.DUMMYFUNCTION("""COMPUTED_VALUE"""),278.738690792975)</f>
        <v>278.7386908</v>
      </c>
      <c r="AA133" s="143" t="str">
        <f>IFERROR(__xludf.DUMMYFUNCTION("""COMPUTED_VALUE"""),"AP")</f>
        <v>AP</v>
      </c>
      <c r="AB133" s="145">
        <f>IFERROR(__xludf.DUMMYFUNCTION("""COMPUTED_VALUE"""),7.175178997613365)</f>
        <v>7.175178998</v>
      </c>
      <c r="AC133" s="143" t="str">
        <f>IFERROR(__xludf.DUMMYFUNCTION("""COMPUTED_VALUE"""),"％")</f>
        <v>％</v>
      </c>
      <c r="AD133" s="137">
        <f>IFERROR(__xludf.DUMMYFUNCTION("""COMPUTED_VALUE"""),838.0)</f>
        <v>838</v>
      </c>
      <c r="AE133" s="100"/>
      <c r="AF133" s="372" t="str">
        <f>IFERROR(__xludf.DUMMYFUNCTION("""COMPUTED_VALUE"""),"")</f>
        <v/>
      </c>
    </row>
    <row r="134" ht="16.5" customHeight="1">
      <c r="C134" s="100"/>
      <c r="D134" s="146">
        <f>IFERROR(__xludf.DUMMYFUNCTION("""COMPUTED_VALUE"""),4.0)</f>
        <v>4</v>
      </c>
      <c r="E134" s="148" t="str">
        <f>IFERROR(__xludf.DUMMYFUNCTION("""COMPUTED_VALUE"""),"")</f>
        <v/>
      </c>
      <c r="F134" s="150" t="str">
        <f>IFERROR(__xludf.DUMMYFUNCTION("""COMPUTED_VALUE"""),"")</f>
        <v/>
      </c>
      <c r="G134" s="150" t="str">
        <f>IFERROR(__xludf.DUMMYFUNCTION("""COMPUTED_VALUE"""),"")</f>
        <v/>
      </c>
      <c r="H134" s="154" t="str">
        <f>IFERROR(__xludf.DUMMYFUNCTION("""COMPUTED_VALUE"""),"")</f>
        <v/>
      </c>
      <c r="I134" s="156" t="str">
        <f>IFERROR(__xludf.DUMMYFUNCTION("""COMPUTED_VALUE"""),"")</f>
        <v/>
      </c>
      <c r="J134" s="158" t="str">
        <f>IFERROR(__xludf.DUMMYFUNCTION("""COMPUTED_VALUE"""),"")</f>
        <v/>
      </c>
      <c r="K134" s="160" t="str">
        <f>IFERROR(__xludf.DUMMYFUNCTION("""COMPUTED_VALUE"""),"AP")</f>
        <v>AP</v>
      </c>
      <c r="L134" s="162" t="str">
        <f>IFERROR(__xludf.DUMMYFUNCTION("""COMPUTED_VALUE"""),"")</f>
        <v/>
      </c>
      <c r="M134" s="160" t="str">
        <f>IFERROR(__xludf.DUMMYFUNCTION("""COMPUTED_VALUE"""),"％")</f>
        <v>％</v>
      </c>
      <c r="N134" s="154" t="str">
        <f>IFERROR(__xludf.DUMMYFUNCTION("""COMPUTED_VALUE"""),"")</f>
        <v/>
      </c>
      <c r="O134" s="100"/>
      <c r="P134" s="371" t="str">
        <f>IFERROR(__xludf.DUMMYFUNCTION("""COMPUTED_VALUE"""),"")</f>
        <v/>
      </c>
      <c r="R134" s="358"/>
      <c r="S134" s="100"/>
      <c r="T134" s="146">
        <f>IFERROR(__xludf.DUMMYFUNCTION("""COMPUTED_VALUE"""),4.0)</f>
        <v>4</v>
      </c>
      <c r="U134" s="148" t="str">
        <f>IFERROR(__xludf.DUMMYFUNCTION("""COMPUTED_VALUE"""),"TRF13")</f>
        <v>TRF13</v>
      </c>
      <c r="V134" s="150" t="str">
        <f>IFERROR(__xludf.DUMMYFUNCTION("""COMPUTED_VALUE"""),"Chaldea Gate (Thu)")</f>
        <v>Chaldea Gate (Thu)</v>
      </c>
      <c r="W134" s="150" t="str">
        <f>IFERROR(__xludf.DUMMYFUNCTION("""COMPUTED_VALUE"""),"THU Rider Training Ground- Nov")</f>
        <v>THU Rider Training Ground- Nov</v>
      </c>
      <c r="X134" s="154">
        <f>IFERROR(__xludf.DUMMYFUNCTION("""COMPUTED_VALUE"""),10.0)</f>
        <v>10</v>
      </c>
      <c r="Y134" s="156">
        <f>IFERROR(__xludf.DUMMYFUNCTION("""COMPUTED_VALUE"""),18.8)</f>
        <v>18.8</v>
      </c>
      <c r="Z134" s="158">
        <f>IFERROR(__xludf.DUMMYFUNCTION("""COMPUTED_VALUE"""),575.5528823910428)</f>
        <v>575.5528824</v>
      </c>
      <c r="AA134" s="160" t="str">
        <f>IFERROR(__xludf.DUMMYFUNCTION("""COMPUTED_VALUE"""),"AP")</f>
        <v>AP</v>
      </c>
      <c r="AB134" s="162">
        <f>IFERROR(__xludf.DUMMYFUNCTION("""COMPUTED_VALUE"""),1.737459807073955)</f>
        <v>1.737459807</v>
      </c>
      <c r="AC134" s="160" t="str">
        <f>IFERROR(__xludf.DUMMYFUNCTION("""COMPUTED_VALUE"""),"％")</f>
        <v>％</v>
      </c>
      <c r="AD134" s="154">
        <f>IFERROR(__xludf.DUMMYFUNCTION("""COMPUTED_VALUE"""),1244.0)</f>
        <v>1244</v>
      </c>
      <c r="AE134" s="100"/>
      <c r="AF134" s="372" t="str">
        <f>IFERROR(__xludf.DUMMYFUNCTION("""COMPUTED_VALUE"""),"")</f>
        <v/>
      </c>
    </row>
    <row r="135" ht="16.5" customHeight="1">
      <c r="A135" s="166"/>
      <c r="C135" s="168"/>
      <c r="D135" s="169">
        <f>IFERROR(__xludf.DUMMYFUNCTION("""COMPUTED_VALUE"""),5.0)</f>
        <v>5</v>
      </c>
      <c r="E135" s="170" t="str">
        <f>IFERROR(__xludf.DUMMYFUNCTION("""COMPUTED_VALUE"""),"")</f>
        <v/>
      </c>
      <c r="F135" s="51" t="str">
        <f>IFERROR(__xludf.DUMMYFUNCTION("""COMPUTED_VALUE"""),"")</f>
        <v/>
      </c>
      <c r="G135" s="51" t="str">
        <f>IFERROR(__xludf.DUMMYFUNCTION("""COMPUTED_VALUE"""),"")</f>
        <v/>
      </c>
      <c r="H135" s="172" t="str">
        <f>IFERROR(__xludf.DUMMYFUNCTION("""COMPUTED_VALUE"""),"")</f>
        <v/>
      </c>
      <c r="I135" s="173" t="str">
        <f>IFERROR(__xludf.DUMMYFUNCTION("""COMPUTED_VALUE"""),"")</f>
        <v/>
      </c>
      <c r="J135" s="174" t="str">
        <f>IFERROR(__xludf.DUMMYFUNCTION("""COMPUTED_VALUE"""),"")</f>
        <v/>
      </c>
      <c r="K135" s="175" t="str">
        <f>IFERROR(__xludf.DUMMYFUNCTION("""COMPUTED_VALUE"""),"AP")</f>
        <v>AP</v>
      </c>
      <c r="L135" s="176" t="str">
        <f>IFERROR(__xludf.DUMMYFUNCTION("""COMPUTED_VALUE"""),"")</f>
        <v/>
      </c>
      <c r="M135" s="175" t="str">
        <f>IFERROR(__xludf.DUMMYFUNCTION("""COMPUTED_VALUE"""),"％")</f>
        <v>％</v>
      </c>
      <c r="N135" s="172" t="str">
        <f>IFERROR(__xludf.DUMMYFUNCTION("""COMPUTED_VALUE"""),"")</f>
        <v/>
      </c>
      <c r="O135" s="168"/>
      <c r="P135" s="371" t="str">
        <f>IFERROR(__xludf.DUMMYFUNCTION("""COMPUTED_VALUE"""),"")</f>
        <v/>
      </c>
      <c r="Q135" s="166"/>
      <c r="R135" s="359"/>
      <c r="S135" s="168"/>
      <c r="T135" s="169">
        <f>IFERROR(__xludf.DUMMYFUNCTION("""COMPUTED_VALUE"""),5.0)</f>
        <v>5</v>
      </c>
      <c r="U135" s="170" t="str">
        <f>IFERROR(__xludf.DUMMYFUNCTION("""COMPUTED_VALUE"""),"OKN2")</f>
        <v>OKN2</v>
      </c>
      <c r="V135" s="51" t="str">
        <f>IFERROR(__xludf.DUMMYFUNCTION("""COMPUTED_VALUE"""),"Okeanos")</f>
        <v>Okeanos</v>
      </c>
      <c r="W135" s="171" t="str">
        <f>IFERROR(__xludf.DUMMYFUNCTION("""COMPUTED_VALUE"""),"Pirate Island")</f>
        <v>Pirate Island</v>
      </c>
      <c r="X135" s="172">
        <f>IFERROR(__xludf.DUMMYFUNCTION("""COMPUTED_VALUE"""),13.0)</f>
        <v>13</v>
      </c>
      <c r="Y135" s="173">
        <f>IFERROR(__xludf.DUMMYFUNCTION("""COMPUTED_VALUE"""),32.92307692307692)</f>
        <v>32.92307692</v>
      </c>
      <c r="Z135" s="174">
        <f>IFERROR(__xludf.DUMMYFUNCTION("""COMPUTED_VALUE"""),618.7637564196624)</f>
        <v>618.7637564</v>
      </c>
      <c r="AA135" s="175" t="str">
        <f>IFERROR(__xludf.DUMMYFUNCTION("""COMPUTED_VALUE"""),"AP")</f>
        <v>AP</v>
      </c>
      <c r="AB135" s="176">
        <f>IFERROR(__xludf.DUMMYFUNCTION("""COMPUTED_VALUE"""),2.1009633911368018)</f>
        <v>2.100963391</v>
      </c>
      <c r="AC135" s="175" t="str">
        <f>IFERROR(__xludf.DUMMYFUNCTION("""COMPUTED_VALUE"""),"％")</f>
        <v>％</v>
      </c>
      <c r="AD135" s="172">
        <f>IFERROR(__xludf.DUMMYFUNCTION("""COMPUTED_VALUE"""),519.0)</f>
        <v>519</v>
      </c>
      <c r="AE135" s="168"/>
      <c r="AF135" s="372" t="str">
        <f>IFERROR(__xludf.DUMMYFUNCTION("""COMPUTED_VALUE"""),"")</f>
        <v/>
      </c>
    </row>
    <row r="136" ht="16.5" customHeight="1">
      <c r="A136" s="61" t="str">
        <f>IFERROR(__xludf.DUMMYFUNCTION("""COMPUTED_VALUE"""),"")</f>
        <v/>
      </c>
      <c r="B136" s="366" t="str">
        <f>IFERROR(__xludf.DUMMYFUNCTION("""COMPUTED_VALUE"""),"A217")</f>
        <v>A217</v>
      </c>
      <c r="C136" s="180" t="str">
        <f>IFERROR(__xludf.DUMMYFUNCTION("""COMPUTED_VALUE"""),"Arrowhead of Disastrous Sin")</f>
        <v>Arrowhead of Disastrous Sin</v>
      </c>
      <c r="D136" s="181">
        <f>IFERROR(__xludf.DUMMYFUNCTION("""COMPUTED_VALUE"""),1.0)</f>
        <v>1</v>
      </c>
      <c r="E136" s="182" t="str">
        <f>IFERROR(__xludf.DUMMYFUNCTION("""COMPUTED_VALUE"""),"")</f>
        <v/>
      </c>
      <c r="F136" s="184" t="str">
        <f>IFERROR(__xludf.DUMMYFUNCTION("""COMPUTED_VALUE"""),"")</f>
        <v/>
      </c>
      <c r="G136" s="184" t="str">
        <f>IFERROR(__xludf.DUMMYFUNCTION("""COMPUTED_VALUE"""),"")</f>
        <v/>
      </c>
      <c r="H136" s="190" t="str">
        <f>IFERROR(__xludf.DUMMYFUNCTION("""COMPUTED_VALUE"""),"")</f>
        <v/>
      </c>
      <c r="I136" s="191" t="str">
        <f>IFERROR(__xludf.DUMMYFUNCTION("""COMPUTED_VALUE"""),"")</f>
        <v/>
      </c>
      <c r="J136" s="192" t="str">
        <f>IFERROR(__xludf.DUMMYFUNCTION("""COMPUTED_VALUE"""),"")</f>
        <v/>
      </c>
      <c r="K136" s="194" t="str">
        <f>IFERROR(__xludf.DUMMYFUNCTION("""COMPUTED_VALUE"""),"AP")</f>
        <v>AP</v>
      </c>
      <c r="L136" s="192" t="str">
        <f>IFERROR(__xludf.DUMMYFUNCTION("""COMPUTED_VALUE"""),"")</f>
        <v/>
      </c>
      <c r="M136" s="194" t="str">
        <f>IFERROR(__xludf.DUMMYFUNCTION("""COMPUTED_VALUE"""),"％")</f>
        <v>％</v>
      </c>
      <c r="N136" s="190" t="str">
        <f>IFERROR(__xludf.DUMMYFUNCTION("""COMPUTED_VALUE"""),"")</f>
        <v/>
      </c>
      <c r="O136" s="197" t="str">
        <f>IFERROR(__xludf.DUMMYFUNCTION("""COMPUTED_VALUE"""),"Arrowhead of Disastrous Sin")</f>
        <v>Arrowhead of Disastrous Sin</v>
      </c>
      <c r="P136" s="371" t="str">
        <f>IFERROR(__xludf.DUMMYFUNCTION("""COMPUTED_VALUE"""),"")</f>
        <v/>
      </c>
      <c r="Q136" s="61" t="str">
        <f>IFERROR(__xludf.DUMMYFUNCTION("""COMPUTED_VALUE"""),"")</f>
        <v/>
      </c>
      <c r="R136" s="199" t="str">
        <f>IFERROR(__xludf.DUMMYFUNCTION("""COMPUTED_VALUE"""),"B205")</f>
        <v>B205</v>
      </c>
      <c r="S136" s="180" t="str">
        <f>IFERROR(__xludf.DUMMYFUNCTION("""COMPUTED_VALUE"""),"Caster Monument")</f>
        <v>Caster Monument</v>
      </c>
      <c r="T136" s="181">
        <f>IFERROR(__xludf.DUMMYFUNCTION("""COMPUTED_VALUE"""),1.0)</f>
        <v>1</v>
      </c>
      <c r="U136" s="182" t="str">
        <f>IFERROR(__xludf.DUMMYFUNCTION("""COMPUTED_VALUE"""),"TRF20")</f>
        <v>TRF20</v>
      </c>
      <c r="V136" s="184" t="str">
        <f>IFERROR(__xludf.DUMMYFUNCTION("""COMPUTED_VALUE"""),"Chaldea Gate (Fri)")</f>
        <v>Chaldea Gate (Fri)</v>
      </c>
      <c r="W136" s="184" t="str">
        <f>IFERROR(__xludf.DUMMYFUNCTION("""COMPUTED_VALUE"""),"FRI Caster Training Ground- Exp")</f>
        <v>FRI Caster Training Ground- Exp</v>
      </c>
      <c r="X136" s="190">
        <f>IFERROR(__xludf.DUMMYFUNCTION("""COMPUTED_VALUE"""),40.0)</f>
        <v>40</v>
      </c>
      <c r="Y136" s="191">
        <f>IFERROR(__xludf.DUMMYFUNCTION("""COMPUTED_VALUE"""),19.7)</f>
        <v>19.7</v>
      </c>
      <c r="Z136" s="192">
        <f>IFERROR(__xludf.DUMMYFUNCTION("""COMPUTED_VALUE"""),70.4545678542597)</f>
        <v>70.45456785</v>
      </c>
      <c r="AA136" s="194" t="str">
        <f>IFERROR(__xludf.DUMMYFUNCTION("""COMPUTED_VALUE"""),"AP")</f>
        <v>AP</v>
      </c>
      <c r="AB136" s="192">
        <f>IFERROR(__xludf.DUMMYFUNCTION("""COMPUTED_VALUE"""),56.77417549809241)</f>
        <v>56.7741755</v>
      </c>
      <c r="AC136" s="194" t="str">
        <f>IFERROR(__xludf.DUMMYFUNCTION("""COMPUTED_VALUE"""),"％")</f>
        <v>％</v>
      </c>
      <c r="AD136" s="190">
        <f>IFERROR(__xludf.DUMMYFUNCTION("""COMPUTED_VALUE"""),11795.0)</f>
        <v>11795</v>
      </c>
      <c r="AE136" s="197" t="str">
        <f>IFERROR(__xludf.DUMMYFUNCTION("""COMPUTED_VALUE"""),"Caster Monument")</f>
        <v>Caster Monument</v>
      </c>
      <c r="AF136" s="372" t="str">
        <f>IFERROR(__xludf.DUMMYFUNCTION("""COMPUTED_VALUE"""),"")</f>
        <v/>
      </c>
    </row>
    <row r="137" ht="16.5" customHeight="1">
      <c r="C137" s="204"/>
      <c r="D137" s="205">
        <f>IFERROR(__xludf.DUMMYFUNCTION("""COMPUTED_VALUE"""),2.0)</f>
        <v>2</v>
      </c>
      <c r="E137" s="206" t="str">
        <f>IFERROR(__xludf.DUMMYFUNCTION("""COMPUTED_VALUE"""),"")</f>
        <v/>
      </c>
      <c r="F137" s="207" t="str">
        <f>IFERROR(__xludf.DUMMYFUNCTION("""COMPUTED_VALUE"""),"")</f>
        <v/>
      </c>
      <c r="G137" s="207" t="str">
        <f>IFERROR(__xludf.DUMMYFUNCTION("""COMPUTED_VALUE"""),"")</f>
        <v/>
      </c>
      <c r="H137" s="211" t="str">
        <f>IFERROR(__xludf.DUMMYFUNCTION("""COMPUTED_VALUE"""),"")</f>
        <v/>
      </c>
      <c r="I137" s="213" t="str">
        <f>IFERROR(__xludf.DUMMYFUNCTION("""COMPUTED_VALUE"""),"")</f>
        <v/>
      </c>
      <c r="J137" s="214" t="str">
        <f>IFERROR(__xludf.DUMMYFUNCTION("""COMPUTED_VALUE"""),"")</f>
        <v/>
      </c>
      <c r="K137" s="215" t="str">
        <f>IFERROR(__xludf.DUMMYFUNCTION("""COMPUTED_VALUE"""),"AP")</f>
        <v>AP</v>
      </c>
      <c r="L137" s="214" t="str">
        <f>IFERROR(__xludf.DUMMYFUNCTION("""COMPUTED_VALUE"""),"")</f>
        <v/>
      </c>
      <c r="M137" s="215" t="str">
        <f>IFERROR(__xludf.DUMMYFUNCTION("""COMPUTED_VALUE"""),"％")</f>
        <v>％</v>
      </c>
      <c r="N137" s="211" t="str">
        <f>IFERROR(__xludf.DUMMYFUNCTION("""COMPUTED_VALUE"""),"")</f>
        <v/>
      </c>
      <c r="O137" s="217"/>
      <c r="P137" s="371" t="str">
        <f>IFERROR(__xludf.DUMMYFUNCTION("""COMPUTED_VALUE"""),"")</f>
        <v/>
      </c>
      <c r="R137" s="203"/>
      <c r="S137" s="204"/>
      <c r="T137" s="205">
        <f>IFERROR(__xludf.DUMMYFUNCTION("""COMPUTED_VALUE"""),2.0)</f>
        <v>2</v>
      </c>
      <c r="U137" s="206" t="str">
        <f>IFERROR(__xludf.DUMMYFUNCTION("""COMPUTED_VALUE"""),"TRF19")</f>
        <v>TRF19</v>
      </c>
      <c r="V137" s="207" t="str">
        <f>IFERROR(__xludf.DUMMYFUNCTION("""COMPUTED_VALUE"""),"Chaldea Gate (Fri)")</f>
        <v>Chaldea Gate (Fri)</v>
      </c>
      <c r="W137" s="207" t="str">
        <f>IFERROR(__xludf.DUMMYFUNCTION("""COMPUTED_VALUE"""),"FRI Caster Training Ground- Adv")</f>
        <v>FRI Caster Training Ground- Adv</v>
      </c>
      <c r="X137" s="211">
        <f>IFERROR(__xludf.DUMMYFUNCTION("""COMPUTED_VALUE"""),30.0)</f>
        <v>30</v>
      </c>
      <c r="Y137" s="213">
        <f>IFERROR(__xludf.DUMMYFUNCTION("""COMPUTED_VALUE"""),18.266666666666666)</f>
        <v>18.26666667</v>
      </c>
      <c r="Z137" s="214">
        <f>IFERROR(__xludf.DUMMYFUNCTION("""COMPUTED_VALUE"""),91.68972396600071)</f>
        <v>91.68972397</v>
      </c>
      <c r="AA137" s="215" t="str">
        <f>IFERROR(__xludf.DUMMYFUNCTION("""COMPUTED_VALUE"""),"AP")</f>
        <v>AP</v>
      </c>
      <c r="AB137" s="214">
        <f>IFERROR(__xludf.DUMMYFUNCTION("""COMPUTED_VALUE"""),32.71904276985744)</f>
        <v>32.71904277</v>
      </c>
      <c r="AC137" s="215" t="str">
        <f>IFERROR(__xludf.DUMMYFUNCTION("""COMPUTED_VALUE"""),"％")</f>
        <v>％</v>
      </c>
      <c r="AD137" s="211">
        <f>IFERROR(__xludf.DUMMYFUNCTION("""COMPUTED_VALUE"""),1964.0)</f>
        <v>1964</v>
      </c>
      <c r="AE137" s="217"/>
      <c r="AF137" s="372" t="str">
        <f>IFERROR(__xludf.DUMMYFUNCTION("""COMPUTED_VALUE"""),"")</f>
        <v/>
      </c>
    </row>
    <row r="138" ht="16.5" customHeight="1">
      <c r="C138" s="204"/>
      <c r="D138" s="222">
        <f>IFERROR(__xludf.DUMMYFUNCTION("""COMPUTED_VALUE"""),3.0)</f>
        <v>3</v>
      </c>
      <c r="E138" s="223" t="str">
        <f>IFERROR(__xludf.DUMMYFUNCTION("""COMPUTED_VALUE"""),"")</f>
        <v/>
      </c>
      <c r="F138" s="224" t="str">
        <f>IFERROR(__xludf.DUMMYFUNCTION("""COMPUTED_VALUE"""),"")</f>
        <v/>
      </c>
      <c r="G138" s="224" t="str">
        <f>IFERROR(__xludf.DUMMYFUNCTION("""COMPUTED_VALUE"""),"")</f>
        <v/>
      </c>
      <c r="H138" s="228" t="str">
        <f>IFERROR(__xludf.DUMMYFUNCTION("""COMPUTED_VALUE"""),"")</f>
        <v/>
      </c>
      <c r="I138" s="230" t="str">
        <f>IFERROR(__xludf.DUMMYFUNCTION("""COMPUTED_VALUE"""),"")</f>
        <v/>
      </c>
      <c r="J138" s="231" t="str">
        <f>IFERROR(__xludf.DUMMYFUNCTION("""COMPUTED_VALUE"""),"")</f>
        <v/>
      </c>
      <c r="K138" s="232" t="str">
        <f>IFERROR(__xludf.DUMMYFUNCTION("""COMPUTED_VALUE"""),"AP")</f>
        <v>AP</v>
      </c>
      <c r="L138" s="231" t="str">
        <f>IFERROR(__xludf.DUMMYFUNCTION("""COMPUTED_VALUE"""),"")</f>
        <v/>
      </c>
      <c r="M138" s="232" t="str">
        <f>IFERROR(__xludf.DUMMYFUNCTION("""COMPUTED_VALUE"""),"％")</f>
        <v>％</v>
      </c>
      <c r="N138" s="228" t="str">
        <f>IFERROR(__xludf.DUMMYFUNCTION("""COMPUTED_VALUE"""),"")</f>
        <v/>
      </c>
      <c r="O138" s="217"/>
      <c r="P138" s="371" t="str">
        <f>IFERROR(__xludf.DUMMYFUNCTION("""COMPUTED_VALUE"""),"")</f>
        <v/>
      </c>
      <c r="R138" s="203"/>
      <c r="S138" s="204"/>
      <c r="T138" s="222">
        <f>IFERROR(__xludf.DUMMYFUNCTION("""COMPUTED_VALUE"""),3.0)</f>
        <v>3</v>
      </c>
      <c r="U138" s="223" t="str">
        <f>IFERROR(__xludf.DUMMYFUNCTION("""COMPUTED_VALUE"""),"TRF18")</f>
        <v>TRF18</v>
      </c>
      <c r="V138" s="224" t="str">
        <f>IFERROR(__xludf.DUMMYFUNCTION("""COMPUTED_VALUE"""),"Chaldea Gate (Fri)")</f>
        <v>Chaldea Gate (Fri)</v>
      </c>
      <c r="W138" s="224" t="str">
        <f>IFERROR(__xludf.DUMMYFUNCTION("""COMPUTED_VALUE"""),"FRI Caster Training Ground- Int")</f>
        <v>FRI Caster Training Ground- Int</v>
      </c>
      <c r="X138" s="228">
        <f>IFERROR(__xludf.DUMMYFUNCTION("""COMPUTED_VALUE"""),20.0)</f>
        <v>20</v>
      </c>
      <c r="Y138" s="230">
        <f>IFERROR(__xludf.DUMMYFUNCTION("""COMPUTED_VALUE"""),18.4)</f>
        <v>18.4</v>
      </c>
      <c r="Z138" s="231">
        <f>IFERROR(__xludf.DUMMYFUNCTION("""COMPUTED_VALUE"""),275.65414019597284)</f>
        <v>275.6541402</v>
      </c>
      <c r="AA138" s="232" t="str">
        <f>IFERROR(__xludf.DUMMYFUNCTION("""COMPUTED_VALUE"""),"AP")</f>
        <v>AP</v>
      </c>
      <c r="AB138" s="231">
        <f>IFERROR(__xludf.DUMMYFUNCTION("""COMPUTED_VALUE"""),7.25546875)</f>
        <v>7.25546875</v>
      </c>
      <c r="AC138" s="232" t="str">
        <f>IFERROR(__xludf.DUMMYFUNCTION("""COMPUTED_VALUE"""),"％")</f>
        <v>％</v>
      </c>
      <c r="AD138" s="228">
        <f>IFERROR(__xludf.DUMMYFUNCTION("""COMPUTED_VALUE"""),1024.0)</f>
        <v>1024</v>
      </c>
      <c r="AE138" s="217"/>
      <c r="AF138" s="372" t="str">
        <f>IFERROR(__xludf.DUMMYFUNCTION("""COMPUTED_VALUE"""),"")</f>
        <v/>
      </c>
    </row>
    <row r="139" ht="16.5" customHeight="1">
      <c r="C139" s="204"/>
      <c r="D139" s="238">
        <f>IFERROR(__xludf.DUMMYFUNCTION("""COMPUTED_VALUE"""),4.0)</f>
        <v>4</v>
      </c>
      <c r="E139" s="240" t="str">
        <f>IFERROR(__xludf.DUMMYFUNCTION("""COMPUTED_VALUE"""),"")</f>
        <v/>
      </c>
      <c r="F139" s="242" t="str">
        <f>IFERROR(__xludf.DUMMYFUNCTION("""COMPUTED_VALUE"""),"")</f>
        <v/>
      </c>
      <c r="G139" s="242" t="str">
        <f>IFERROR(__xludf.DUMMYFUNCTION("""COMPUTED_VALUE"""),"")</f>
        <v/>
      </c>
      <c r="H139" s="246" t="str">
        <f>IFERROR(__xludf.DUMMYFUNCTION("""COMPUTED_VALUE"""),"")</f>
        <v/>
      </c>
      <c r="I139" s="248" t="str">
        <f>IFERROR(__xludf.DUMMYFUNCTION("""COMPUTED_VALUE"""),"")</f>
        <v/>
      </c>
      <c r="J139" s="250" t="str">
        <f>IFERROR(__xludf.DUMMYFUNCTION("""COMPUTED_VALUE"""),"")</f>
        <v/>
      </c>
      <c r="K139" s="252" t="str">
        <f>IFERROR(__xludf.DUMMYFUNCTION("""COMPUTED_VALUE"""),"AP")</f>
        <v>AP</v>
      </c>
      <c r="L139" s="250" t="str">
        <f>IFERROR(__xludf.DUMMYFUNCTION("""COMPUTED_VALUE"""),"")</f>
        <v/>
      </c>
      <c r="M139" s="252" t="str">
        <f>IFERROR(__xludf.DUMMYFUNCTION("""COMPUTED_VALUE"""),"％")</f>
        <v>％</v>
      </c>
      <c r="N139" s="246" t="str">
        <f>IFERROR(__xludf.DUMMYFUNCTION("""COMPUTED_VALUE"""),"")</f>
        <v/>
      </c>
      <c r="O139" s="217"/>
      <c r="P139" s="371" t="str">
        <f>IFERROR(__xludf.DUMMYFUNCTION("""COMPUTED_VALUE"""),"")</f>
        <v/>
      </c>
      <c r="R139" s="203"/>
      <c r="S139" s="204"/>
      <c r="T139" s="238">
        <f>IFERROR(__xludf.DUMMYFUNCTION("""COMPUTED_VALUE"""),4.0)</f>
        <v>4</v>
      </c>
      <c r="U139" s="240" t="str">
        <f>IFERROR(__xludf.DUMMYFUNCTION("""COMPUTED_VALUE"""),"LDN5")</f>
        <v>LDN5</v>
      </c>
      <c r="V139" s="242" t="str">
        <f>IFERROR(__xludf.DUMMYFUNCTION("""COMPUTED_VALUE"""),"London")</f>
        <v>London</v>
      </c>
      <c r="W139" s="244" t="str">
        <f>IFERROR(__xludf.DUMMYFUNCTION("""COMPUTED_VALUE"""),"Westminster")</f>
        <v>Westminster</v>
      </c>
      <c r="X139" s="246">
        <f>IFERROR(__xludf.DUMMYFUNCTION("""COMPUTED_VALUE"""),16.0)</f>
        <v>16</v>
      </c>
      <c r="Y139" s="248">
        <f>IFERROR(__xludf.DUMMYFUNCTION("""COMPUTED_VALUE"""),37.25)</f>
        <v>37.25</v>
      </c>
      <c r="Z139" s="250">
        <f>IFERROR(__xludf.DUMMYFUNCTION("""COMPUTED_VALUE"""),282.1643286573146)</f>
        <v>282.1643287</v>
      </c>
      <c r="AA139" s="252" t="str">
        <f>IFERROR(__xludf.DUMMYFUNCTION("""COMPUTED_VALUE"""),"AP")</f>
        <v>AP</v>
      </c>
      <c r="AB139" s="250">
        <f>IFERROR(__xludf.DUMMYFUNCTION("""COMPUTED_VALUE"""),5.670454545454546)</f>
        <v>5.670454545</v>
      </c>
      <c r="AC139" s="252" t="str">
        <f>IFERROR(__xludf.DUMMYFUNCTION("""COMPUTED_VALUE"""),"％")</f>
        <v>％</v>
      </c>
      <c r="AD139" s="246">
        <f>IFERROR(__xludf.DUMMYFUNCTION("""COMPUTED_VALUE"""),264.0)</f>
        <v>264</v>
      </c>
      <c r="AE139" s="217"/>
      <c r="AF139" s="372" t="str">
        <f>IFERROR(__xludf.DUMMYFUNCTION("""COMPUTED_VALUE"""),"")</f>
        <v/>
      </c>
    </row>
    <row r="140" ht="16.5" customHeight="1">
      <c r="A140" s="166"/>
      <c r="C140" s="255"/>
      <c r="D140" s="256">
        <f>IFERROR(__xludf.DUMMYFUNCTION("""COMPUTED_VALUE"""),5.0)</f>
        <v>5</v>
      </c>
      <c r="E140" s="257" t="str">
        <f>IFERROR(__xludf.DUMMYFUNCTION("""COMPUTED_VALUE"""),"")</f>
        <v/>
      </c>
      <c r="F140" s="42" t="str">
        <f>IFERROR(__xludf.DUMMYFUNCTION("""COMPUTED_VALUE"""),"")</f>
        <v/>
      </c>
      <c r="G140" s="42" t="str">
        <f>IFERROR(__xludf.DUMMYFUNCTION("""COMPUTED_VALUE"""),"")</f>
        <v/>
      </c>
      <c r="H140" s="259" t="str">
        <f>IFERROR(__xludf.DUMMYFUNCTION("""COMPUTED_VALUE"""),"")</f>
        <v/>
      </c>
      <c r="I140" s="260" t="str">
        <f>IFERROR(__xludf.DUMMYFUNCTION("""COMPUTED_VALUE"""),"")</f>
        <v/>
      </c>
      <c r="J140" s="261" t="str">
        <f>IFERROR(__xludf.DUMMYFUNCTION("""COMPUTED_VALUE"""),"")</f>
        <v/>
      </c>
      <c r="K140" s="262" t="str">
        <f>IFERROR(__xludf.DUMMYFUNCTION("""COMPUTED_VALUE"""),"AP")</f>
        <v>AP</v>
      </c>
      <c r="L140" s="261" t="str">
        <f>IFERROR(__xludf.DUMMYFUNCTION("""COMPUTED_VALUE"""),"")</f>
        <v/>
      </c>
      <c r="M140" s="262" t="str">
        <f>IFERROR(__xludf.DUMMYFUNCTION("""COMPUTED_VALUE"""),"％")</f>
        <v>％</v>
      </c>
      <c r="N140" s="259" t="str">
        <f>IFERROR(__xludf.DUMMYFUNCTION("""COMPUTED_VALUE"""),"")</f>
        <v/>
      </c>
      <c r="O140" s="263"/>
      <c r="P140" s="371" t="str">
        <f>IFERROR(__xludf.DUMMYFUNCTION("""COMPUTED_VALUE"""),"")</f>
        <v/>
      </c>
      <c r="Q140" s="166"/>
      <c r="R140" s="254"/>
      <c r="S140" s="255"/>
      <c r="T140" s="256">
        <f>IFERROR(__xludf.DUMMYFUNCTION("""COMPUTED_VALUE"""),5.0)</f>
        <v>5</v>
      </c>
      <c r="U140" s="257" t="str">
        <f>IFERROR(__xludf.DUMMYFUNCTION("""COMPUTED_VALUE"""),"LDN4")</f>
        <v>LDN4</v>
      </c>
      <c r="V140" s="42" t="str">
        <f>IFERROR(__xludf.DUMMYFUNCTION("""COMPUTED_VALUE"""),"London")</f>
        <v>London</v>
      </c>
      <c r="W140" s="258" t="str">
        <f>IFERROR(__xludf.DUMMYFUNCTION("""COMPUTED_VALUE"""),"Soho")</f>
        <v>Soho</v>
      </c>
      <c r="X140" s="259">
        <f>IFERROR(__xludf.DUMMYFUNCTION("""COMPUTED_VALUE"""),16.0)</f>
        <v>16</v>
      </c>
      <c r="Y140" s="260">
        <f>IFERROR(__xludf.DUMMYFUNCTION("""COMPUTED_VALUE"""),37.25)</f>
        <v>37.25</v>
      </c>
      <c r="Z140" s="261">
        <f>IFERROR(__xludf.DUMMYFUNCTION("""COMPUTED_VALUE"""),328.8650580875782)</f>
        <v>328.8650581</v>
      </c>
      <c r="AA140" s="262" t="str">
        <f>IFERROR(__xludf.DUMMYFUNCTION("""COMPUTED_VALUE"""),"AP")</f>
        <v>AP</v>
      </c>
      <c r="AB140" s="261">
        <f>IFERROR(__xludf.DUMMYFUNCTION("""COMPUTED_VALUE"""),4.865217391304348)</f>
        <v>4.865217391</v>
      </c>
      <c r="AC140" s="262" t="str">
        <f>IFERROR(__xludf.DUMMYFUNCTION("""COMPUTED_VALUE"""),"％")</f>
        <v>％</v>
      </c>
      <c r="AD140" s="259">
        <f>IFERROR(__xludf.DUMMYFUNCTION("""COMPUTED_VALUE"""),368.0)</f>
        <v>368</v>
      </c>
      <c r="AE140" s="263"/>
      <c r="AF140" s="372" t="str">
        <f>IFERROR(__xludf.DUMMYFUNCTION("""COMPUTED_VALUE"""),"")</f>
        <v/>
      </c>
    </row>
    <row r="141" ht="16.5" customHeight="1">
      <c r="A141" s="61" t="str">
        <f>IFERROR(__xludf.DUMMYFUNCTION("""COMPUTED_VALUE"""),"")</f>
        <v/>
      </c>
      <c r="B141" s="367" t="str">
        <f>IFERROR(__xludf.DUMMYFUNCTION("""COMPUTED_VALUE"""),"A101")</f>
        <v>A101</v>
      </c>
      <c r="C141" s="65" t="str">
        <f>IFERROR(__xludf.DUMMYFUNCTION("""COMPUTED_VALUE"""),"Claw of Chaos")</f>
        <v>Claw of Chaos</v>
      </c>
      <c r="D141" s="67">
        <f>IFERROR(__xludf.DUMMYFUNCTION("""COMPUTED_VALUE"""),1.0)</f>
        <v>1</v>
      </c>
      <c r="E141" s="69" t="str">
        <f>IFERROR(__xludf.DUMMYFUNCTION("""COMPUTED_VALUE"""),"EPU7")</f>
        <v>EPU7</v>
      </c>
      <c r="F141" s="71" t="str">
        <f>IFERROR(__xludf.DUMMYFUNCTION("""COMPUTED_VALUE"""),"E Pluribus Unum")</f>
        <v>E Pluribus Unum</v>
      </c>
      <c r="G141" s="78" t="str">
        <f>IFERROR(__xludf.DUMMYFUNCTION("""COMPUTED_VALUE"""),"Des Moines")</f>
        <v>Des Moines</v>
      </c>
      <c r="H141" s="80">
        <f>IFERROR(__xludf.DUMMYFUNCTION("""COMPUTED_VALUE"""),18.0)</f>
        <v>18</v>
      </c>
      <c r="I141" s="82">
        <f>IFERROR(__xludf.DUMMYFUNCTION("""COMPUTED_VALUE"""),41.111111111111114)</f>
        <v>41.11111111</v>
      </c>
      <c r="J141" s="84">
        <f>IFERROR(__xludf.DUMMYFUNCTION("""COMPUTED_VALUE"""),89.58077119360155)</f>
        <v>89.58077119</v>
      </c>
      <c r="K141" s="86" t="str">
        <f>IFERROR(__xludf.DUMMYFUNCTION("""COMPUTED_VALUE"""),"AP")</f>
        <v>AP</v>
      </c>
      <c r="L141" s="88">
        <f>IFERROR(__xludf.DUMMYFUNCTION("""COMPUTED_VALUE"""),20.0935979453654)</f>
        <v>20.09359795</v>
      </c>
      <c r="M141" s="86" t="str">
        <f>IFERROR(__xludf.DUMMYFUNCTION("""COMPUTED_VALUE"""),"％")</f>
        <v>％</v>
      </c>
      <c r="N141" s="80">
        <f>IFERROR(__xludf.DUMMYFUNCTION("""COMPUTED_VALUE"""),21415.0)</f>
        <v>21415</v>
      </c>
      <c r="O141" s="91" t="str">
        <f>IFERROR(__xludf.DUMMYFUNCTION("""COMPUTED_VALUE"""),"Claw of Chaos")</f>
        <v>Claw of Chaos</v>
      </c>
      <c r="P141" s="371" t="str">
        <f>IFERROR(__xludf.DUMMYFUNCTION("""COMPUTED_VALUE"""),"")</f>
        <v/>
      </c>
      <c r="Q141" s="61" t="str">
        <f>IFERROR(__xludf.DUMMYFUNCTION("""COMPUTED_VALUE"""),"")</f>
        <v/>
      </c>
      <c r="R141" s="357" t="str">
        <f>IFERROR(__xludf.DUMMYFUNCTION("""COMPUTED_VALUE"""),"B206")</f>
        <v>B206</v>
      </c>
      <c r="S141" s="65" t="str">
        <f>IFERROR(__xludf.DUMMYFUNCTION("""COMPUTED_VALUE"""),"Assassin Monument")</f>
        <v>Assassin Monument</v>
      </c>
      <c r="T141" s="67">
        <f>IFERROR(__xludf.DUMMYFUNCTION("""COMPUTED_VALUE"""),1.0)</f>
        <v>1</v>
      </c>
      <c r="U141" s="69" t="str">
        <f>IFERROR(__xludf.DUMMYFUNCTION("""COMPUTED_VALUE"""),"TRF24")</f>
        <v>TRF24</v>
      </c>
      <c r="V141" s="71" t="str">
        <f>IFERROR(__xludf.DUMMYFUNCTION("""COMPUTED_VALUE"""),"Chaldea Gate (Sat)")</f>
        <v>Chaldea Gate (Sat)</v>
      </c>
      <c r="W141" s="71" t="str">
        <f>IFERROR(__xludf.DUMMYFUNCTION("""COMPUTED_VALUE"""),"SAT Assassin Training Ground- Exp")</f>
        <v>SAT Assassin Training Ground- Exp</v>
      </c>
      <c r="X141" s="80">
        <f>IFERROR(__xludf.DUMMYFUNCTION("""COMPUTED_VALUE"""),40.0)</f>
        <v>40</v>
      </c>
      <c r="Y141" s="82">
        <f>IFERROR(__xludf.DUMMYFUNCTION("""COMPUTED_VALUE"""),19.7)</f>
        <v>19.7</v>
      </c>
      <c r="Z141" s="84">
        <f>IFERROR(__xludf.DUMMYFUNCTION("""COMPUTED_VALUE"""),69.8020569097639)</f>
        <v>69.80205691</v>
      </c>
      <c r="AA141" s="86" t="str">
        <f>IFERROR(__xludf.DUMMYFUNCTION("""COMPUTED_VALUE"""),"AP")</f>
        <v>AP</v>
      </c>
      <c r="AB141" s="88">
        <f>IFERROR(__xludf.DUMMYFUNCTION("""COMPUTED_VALUE"""),57.30490156143924)</f>
        <v>57.30490156</v>
      </c>
      <c r="AC141" s="86" t="str">
        <f>IFERROR(__xludf.DUMMYFUNCTION("""COMPUTED_VALUE"""),"％")</f>
        <v>％</v>
      </c>
      <c r="AD141" s="80">
        <f>IFERROR(__xludf.DUMMYFUNCTION("""COMPUTED_VALUE"""),7365.0)</f>
        <v>7365</v>
      </c>
      <c r="AE141" s="91" t="str">
        <f>IFERROR(__xludf.DUMMYFUNCTION("""COMPUTED_VALUE"""),"Assassin Monument")</f>
        <v>Assassin Monument</v>
      </c>
      <c r="AF141" s="372" t="str">
        <f>IFERROR(__xludf.DUMMYFUNCTION("""COMPUTED_VALUE"""),"")</f>
        <v/>
      </c>
    </row>
    <row r="142" ht="16.5" customHeight="1">
      <c r="C142" s="100"/>
      <c r="D142" s="102">
        <f>IFERROR(__xludf.DUMMYFUNCTION("""COMPUTED_VALUE"""),2.0)</f>
        <v>2</v>
      </c>
      <c r="E142" s="103" t="str">
        <f>IFERROR(__xludf.DUMMYFUNCTION("""COMPUTED_VALUE"""),"AGT1")</f>
        <v>AGT1</v>
      </c>
      <c r="F142" s="104" t="str">
        <f>IFERROR(__xludf.DUMMYFUNCTION("""COMPUTED_VALUE"""),"Agartha")</f>
        <v>Agartha</v>
      </c>
      <c r="G142" s="108" t="str">
        <f>IFERROR(__xludf.DUMMYFUNCTION("""COMPUTED_VALUE"""),"Underground Plains")</f>
        <v>Underground Plains</v>
      </c>
      <c r="H142" s="109">
        <f>IFERROR(__xludf.DUMMYFUNCTION("""COMPUTED_VALUE"""),20.0)</f>
        <v>20</v>
      </c>
      <c r="I142" s="110">
        <f>IFERROR(__xludf.DUMMYFUNCTION("""COMPUTED_VALUE"""),46.6)</f>
        <v>46.6</v>
      </c>
      <c r="J142" s="112">
        <f>IFERROR(__xludf.DUMMYFUNCTION("""COMPUTED_VALUE"""),96.88231591343018)</f>
        <v>96.88231591</v>
      </c>
      <c r="K142" s="121" t="str">
        <f>IFERROR(__xludf.DUMMYFUNCTION("""COMPUTED_VALUE"""),"AP")</f>
        <v>AP</v>
      </c>
      <c r="L142" s="123">
        <f>IFERROR(__xludf.DUMMYFUNCTION("""COMPUTED_VALUE"""),20.643602303924208)</f>
        <v>20.6436023</v>
      </c>
      <c r="M142" s="121" t="str">
        <f>IFERROR(__xludf.DUMMYFUNCTION("""COMPUTED_VALUE"""),"％")</f>
        <v>％</v>
      </c>
      <c r="N142" s="109">
        <f>IFERROR(__xludf.DUMMYFUNCTION("""COMPUTED_VALUE"""),18577.0)</f>
        <v>18577</v>
      </c>
      <c r="O142" s="100"/>
      <c r="P142" s="371" t="str">
        <f>IFERROR(__xludf.DUMMYFUNCTION("""COMPUTED_VALUE"""),"")</f>
        <v/>
      </c>
      <c r="R142" s="358"/>
      <c r="S142" s="100"/>
      <c r="T142" s="102">
        <f>IFERROR(__xludf.DUMMYFUNCTION("""COMPUTED_VALUE"""),2.0)</f>
        <v>2</v>
      </c>
      <c r="U142" s="103" t="str">
        <f>IFERROR(__xludf.DUMMYFUNCTION("""COMPUTED_VALUE"""),"TRF23")</f>
        <v>TRF23</v>
      </c>
      <c r="V142" s="104" t="str">
        <f>IFERROR(__xludf.DUMMYFUNCTION("""COMPUTED_VALUE"""),"Chaldea Gate (Sat)")</f>
        <v>Chaldea Gate (Sat)</v>
      </c>
      <c r="W142" s="104" t="str">
        <f>IFERROR(__xludf.DUMMYFUNCTION("""COMPUTED_VALUE"""),"SAT Assassin Training Ground- Adv")</f>
        <v>SAT Assassin Training Ground- Adv</v>
      </c>
      <c r="X142" s="109">
        <f>IFERROR(__xludf.DUMMYFUNCTION("""COMPUTED_VALUE"""),30.0)</f>
        <v>30</v>
      </c>
      <c r="Y142" s="110">
        <f>IFERROR(__xludf.DUMMYFUNCTION("""COMPUTED_VALUE"""),18.266666666666666)</f>
        <v>18.26666667</v>
      </c>
      <c r="Z142" s="112">
        <f>IFERROR(__xludf.DUMMYFUNCTION("""COMPUTED_VALUE"""),79.26259602853929)</f>
        <v>79.26259603</v>
      </c>
      <c r="AA142" s="121" t="str">
        <f>IFERROR(__xludf.DUMMYFUNCTION("""COMPUTED_VALUE"""),"AP")</f>
        <v>AP</v>
      </c>
      <c r="AB142" s="123">
        <f>IFERROR(__xludf.DUMMYFUNCTION("""COMPUTED_VALUE"""),37.84887387387388)</f>
        <v>37.84887387</v>
      </c>
      <c r="AC142" s="121" t="str">
        <f>IFERROR(__xludf.DUMMYFUNCTION("""COMPUTED_VALUE"""),"％")</f>
        <v>％</v>
      </c>
      <c r="AD142" s="109">
        <f>IFERROR(__xludf.DUMMYFUNCTION("""COMPUTED_VALUE"""),888.0)</f>
        <v>888</v>
      </c>
      <c r="AE142" s="100"/>
      <c r="AF142" s="372" t="str">
        <f>IFERROR(__xludf.DUMMYFUNCTION("""COMPUTED_VALUE"""),"")</f>
        <v/>
      </c>
    </row>
    <row r="143" ht="16.5" customHeight="1">
      <c r="C143" s="100"/>
      <c r="D143" s="130">
        <f>IFERROR(__xludf.DUMMYFUNCTION("""COMPUTED_VALUE"""),3.0)</f>
        <v>3</v>
      </c>
      <c r="E143" s="132" t="str">
        <f>IFERROR(__xludf.DUMMYFUNCTION("""COMPUTED_VALUE"""),"SJK4")</f>
        <v>SJK4</v>
      </c>
      <c r="F143" s="133" t="str">
        <f>IFERROR(__xludf.DUMMYFUNCTION("""COMPUTED_VALUE"""),"Shinjuku")</f>
        <v>Shinjuku</v>
      </c>
      <c r="G143" s="135" t="str">
        <f>IFERROR(__xludf.DUMMYFUNCTION("""COMPUTED_VALUE"""),"Shinjuku 4-Chome")</f>
        <v>Shinjuku 4-Chome</v>
      </c>
      <c r="H143" s="137">
        <f>IFERROR(__xludf.DUMMYFUNCTION("""COMPUTED_VALUE"""),21.0)</f>
        <v>21</v>
      </c>
      <c r="I143" s="139">
        <f>IFERROR(__xludf.DUMMYFUNCTION("""COMPUTED_VALUE"""),45.523809523809526)</f>
        <v>45.52380952</v>
      </c>
      <c r="J143" s="141">
        <f>IFERROR(__xludf.DUMMYFUNCTION("""COMPUTED_VALUE"""),115.7015882983153)</f>
        <v>115.7015883</v>
      </c>
      <c r="K143" s="143" t="str">
        <f>IFERROR(__xludf.DUMMYFUNCTION("""COMPUTED_VALUE"""),"AP")</f>
        <v>AP</v>
      </c>
      <c r="L143" s="145">
        <f>IFERROR(__xludf.DUMMYFUNCTION("""COMPUTED_VALUE"""),18.150139776694644)</f>
        <v>18.15013978</v>
      </c>
      <c r="M143" s="143" t="str">
        <f>IFERROR(__xludf.DUMMYFUNCTION("""COMPUTED_VALUE"""),"％")</f>
        <v>％</v>
      </c>
      <c r="N143" s="137">
        <f>IFERROR(__xludf.DUMMYFUNCTION("""COMPUTED_VALUE"""),37176.0)</f>
        <v>37176</v>
      </c>
      <c r="O143" s="100"/>
      <c r="P143" s="371" t="str">
        <f>IFERROR(__xludf.DUMMYFUNCTION("""COMPUTED_VALUE"""),"")</f>
        <v/>
      </c>
      <c r="R143" s="358"/>
      <c r="S143" s="100"/>
      <c r="T143" s="130">
        <f>IFERROR(__xludf.DUMMYFUNCTION("""COMPUTED_VALUE"""),3.0)</f>
        <v>3</v>
      </c>
      <c r="U143" s="132" t="str">
        <f>IFERROR(__xludf.DUMMYFUNCTION("""COMPUTED_VALUE"""),"TRF22")</f>
        <v>TRF22</v>
      </c>
      <c r="V143" s="133" t="str">
        <f>IFERROR(__xludf.DUMMYFUNCTION("""COMPUTED_VALUE"""),"Chaldea Gate (Sat)")</f>
        <v>Chaldea Gate (Sat)</v>
      </c>
      <c r="W143" s="133" t="str">
        <f>IFERROR(__xludf.DUMMYFUNCTION("""COMPUTED_VALUE"""),"SAT Assassin Training Ground- Int")</f>
        <v>SAT Assassin Training Ground- Int</v>
      </c>
      <c r="X143" s="137">
        <f>IFERROR(__xludf.DUMMYFUNCTION("""COMPUTED_VALUE"""),20.0)</f>
        <v>20</v>
      </c>
      <c r="Y143" s="139">
        <f>IFERROR(__xludf.DUMMYFUNCTION("""COMPUTED_VALUE"""),18.4)</f>
        <v>18.4</v>
      </c>
      <c r="Z143" s="141">
        <f>IFERROR(__xludf.DUMMYFUNCTION("""COMPUTED_VALUE"""),244.31057563587683)</f>
        <v>244.3105756</v>
      </c>
      <c r="AA143" s="143" t="str">
        <f>IFERROR(__xludf.DUMMYFUNCTION("""COMPUTED_VALUE"""),"AP")</f>
        <v>AP</v>
      </c>
      <c r="AB143" s="145">
        <f>IFERROR(__xludf.DUMMYFUNCTION("""COMPUTED_VALUE"""),8.186301369863013)</f>
        <v>8.18630137</v>
      </c>
      <c r="AC143" s="143" t="str">
        <f>IFERROR(__xludf.DUMMYFUNCTION("""COMPUTED_VALUE"""),"％")</f>
        <v>％</v>
      </c>
      <c r="AD143" s="137">
        <f>IFERROR(__xludf.DUMMYFUNCTION("""COMPUTED_VALUE"""),584.0)</f>
        <v>584</v>
      </c>
      <c r="AE143" s="100"/>
      <c r="AF143" s="372" t="str">
        <f>IFERROR(__xludf.DUMMYFUNCTION("""COMPUTED_VALUE"""),"")</f>
        <v/>
      </c>
    </row>
    <row r="144" ht="16.5" customHeight="1">
      <c r="C144" s="100"/>
      <c r="D144" s="146">
        <f>IFERROR(__xludf.DUMMYFUNCTION("""COMPUTED_VALUE"""),4.0)</f>
        <v>4</v>
      </c>
      <c r="E144" s="148" t="str">
        <f>IFERROR(__xludf.DUMMYFUNCTION("""COMPUTED_VALUE"""),"BBL6")</f>
        <v>BBL6</v>
      </c>
      <c r="F144" s="150" t="str">
        <f>IFERROR(__xludf.DUMMYFUNCTION("""COMPUTED_VALUE"""),"Babylonia")</f>
        <v>Babylonia</v>
      </c>
      <c r="G144" s="152" t="str">
        <f>IFERROR(__xludf.DUMMYFUNCTION("""COMPUTED_VALUE"""),"Ur")</f>
        <v>Ur</v>
      </c>
      <c r="H144" s="154">
        <f>IFERROR(__xludf.DUMMYFUNCTION("""COMPUTED_VALUE"""),21.0)</f>
        <v>21</v>
      </c>
      <c r="I144" s="156">
        <f>IFERROR(__xludf.DUMMYFUNCTION("""COMPUTED_VALUE"""),45.523809523809526)</f>
        <v>45.52380952</v>
      </c>
      <c r="J144" s="158">
        <f>IFERROR(__xludf.DUMMYFUNCTION("""COMPUTED_VALUE"""),117.28860613692292)</f>
        <v>117.2886061</v>
      </c>
      <c r="K144" s="160" t="str">
        <f>IFERROR(__xludf.DUMMYFUNCTION("""COMPUTED_VALUE"""),"AP")</f>
        <v>AP</v>
      </c>
      <c r="L144" s="162">
        <f>IFERROR(__xludf.DUMMYFUNCTION("""COMPUTED_VALUE"""),17.904552446880103)</f>
        <v>17.90455245</v>
      </c>
      <c r="M144" s="160" t="str">
        <f>IFERROR(__xludf.DUMMYFUNCTION("""COMPUTED_VALUE"""),"％")</f>
        <v>％</v>
      </c>
      <c r="N144" s="154">
        <f>IFERROR(__xludf.DUMMYFUNCTION("""COMPUTED_VALUE"""),20802.0)</f>
        <v>20802</v>
      </c>
      <c r="O144" s="100"/>
      <c r="P144" s="371" t="str">
        <f>IFERROR(__xludf.DUMMYFUNCTION("""COMPUTED_VALUE"""),"")</f>
        <v/>
      </c>
      <c r="R144" s="358"/>
      <c r="S144" s="100"/>
      <c r="T144" s="146">
        <f>IFERROR(__xludf.DUMMYFUNCTION("""COMPUTED_VALUE"""),4.0)</f>
        <v>4</v>
      </c>
      <c r="U144" s="148" t="str">
        <f>IFERROR(__xludf.DUMMYFUNCTION("""COMPUTED_VALUE"""),"TRF21")</f>
        <v>TRF21</v>
      </c>
      <c r="V144" s="150" t="str">
        <f>IFERROR(__xludf.DUMMYFUNCTION("""COMPUTED_VALUE"""),"Chaldea Gate (Sat)")</f>
        <v>Chaldea Gate (Sat)</v>
      </c>
      <c r="W144" s="150" t="str">
        <f>IFERROR(__xludf.DUMMYFUNCTION("""COMPUTED_VALUE"""),"SAT Assassin Training Ground- Nov")</f>
        <v>SAT Assassin Training Ground- Nov</v>
      </c>
      <c r="X144" s="154">
        <f>IFERROR(__xludf.DUMMYFUNCTION("""COMPUTED_VALUE"""),10.0)</f>
        <v>10</v>
      </c>
      <c r="Y144" s="156">
        <f>IFERROR(__xludf.DUMMYFUNCTION("""COMPUTED_VALUE"""),18.8)</f>
        <v>18.8</v>
      </c>
      <c r="Z144" s="158">
        <f>IFERROR(__xludf.DUMMYFUNCTION("""COMPUTED_VALUE"""),361.44578313253015)</f>
        <v>361.4457831</v>
      </c>
      <c r="AA144" s="160" t="str">
        <f>IFERROR(__xludf.DUMMYFUNCTION("""COMPUTED_VALUE"""),"AP")</f>
        <v>AP</v>
      </c>
      <c r="AB144" s="162">
        <f>IFERROR(__xludf.DUMMYFUNCTION("""COMPUTED_VALUE"""),2.7666666666666666)</f>
        <v>2.766666667</v>
      </c>
      <c r="AC144" s="160" t="str">
        <f>IFERROR(__xludf.DUMMYFUNCTION("""COMPUTED_VALUE"""),"％")</f>
        <v>％</v>
      </c>
      <c r="AD144" s="154">
        <f>IFERROR(__xludf.DUMMYFUNCTION("""COMPUTED_VALUE"""),1350.0)</f>
        <v>1350</v>
      </c>
      <c r="AE144" s="100"/>
      <c r="AF144" s="372" t="str">
        <f>IFERROR(__xludf.DUMMYFUNCTION("""COMPUTED_VALUE"""),"")</f>
        <v/>
      </c>
    </row>
    <row r="145" ht="16.5" customHeight="1">
      <c r="A145" s="166"/>
      <c r="C145" s="168"/>
      <c r="D145" s="169">
        <f>IFERROR(__xludf.DUMMYFUNCTION("""COMPUTED_VALUE"""),5.0)</f>
        <v>5</v>
      </c>
      <c r="E145" s="170" t="str">
        <f>IFERROR(__xludf.DUMMYFUNCTION("""COMPUTED_VALUE"""),"TRF11")</f>
        <v>TRF11</v>
      </c>
      <c r="F145" s="51" t="str">
        <f>IFERROR(__xludf.DUMMYFUNCTION("""COMPUTED_VALUE"""),"Chaldea Gate (Wed)")</f>
        <v>Chaldea Gate (Wed)</v>
      </c>
      <c r="G145" s="51" t="str">
        <f>IFERROR(__xludf.DUMMYFUNCTION("""COMPUTED_VALUE"""),"WED Berserker Training Ground- Adv")</f>
        <v>WED Berserker Training Ground- Adv</v>
      </c>
      <c r="H145" s="172">
        <f>IFERROR(__xludf.DUMMYFUNCTION("""COMPUTED_VALUE"""),30.0)</f>
        <v>30</v>
      </c>
      <c r="I145" s="173">
        <f>IFERROR(__xludf.DUMMYFUNCTION("""COMPUTED_VALUE"""),18.266666666666666)</f>
        <v>18.26666667</v>
      </c>
      <c r="J145" s="174">
        <f>IFERROR(__xludf.DUMMYFUNCTION("""COMPUTED_VALUE"""),339.5651290388132)</f>
        <v>339.565129</v>
      </c>
      <c r="K145" s="175" t="str">
        <f>IFERROR(__xludf.DUMMYFUNCTION("""COMPUTED_VALUE"""),"AP")</f>
        <v>AP</v>
      </c>
      <c r="L145" s="176">
        <f>IFERROR(__xludf.DUMMYFUNCTION("""COMPUTED_VALUE"""),8.834829443447038)</f>
        <v>8.834829443</v>
      </c>
      <c r="M145" s="175" t="str">
        <f>IFERROR(__xludf.DUMMYFUNCTION("""COMPUTED_VALUE"""),"％")</f>
        <v>％</v>
      </c>
      <c r="N145" s="172">
        <f>IFERROR(__xludf.DUMMYFUNCTION("""COMPUTED_VALUE"""),557.0)</f>
        <v>557</v>
      </c>
      <c r="O145" s="168"/>
      <c r="P145" s="371" t="str">
        <f>IFERROR(__xludf.DUMMYFUNCTION("""COMPUTED_VALUE"""),"")</f>
        <v/>
      </c>
      <c r="Q145" s="166"/>
      <c r="R145" s="359"/>
      <c r="S145" s="168"/>
      <c r="T145" s="169">
        <f>IFERROR(__xludf.DUMMYFUNCTION("""COMPUTED_VALUE"""),5.0)</f>
        <v>5</v>
      </c>
      <c r="U145" s="170" t="str">
        <f>IFERROR(__xludf.DUMMYFUNCTION("""COMPUTED_VALUE"""),"CML7")</f>
        <v>CML7</v>
      </c>
      <c r="V145" s="51" t="str">
        <f>IFERROR(__xludf.DUMMYFUNCTION("""COMPUTED_VALUE"""),"Camelot")</f>
        <v>Camelot</v>
      </c>
      <c r="W145" s="171" t="str">
        <f>IFERROR(__xludf.DUMMYFUNCTION("""COMPUTED_VALUE"""),"West Village Ruins")</f>
        <v>West Village Ruins</v>
      </c>
      <c r="X145" s="172">
        <f>IFERROR(__xludf.DUMMYFUNCTION("""COMPUTED_VALUE"""),20.0)</f>
        <v>20</v>
      </c>
      <c r="Y145" s="173">
        <f>IFERROR(__xludf.DUMMYFUNCTION("""COMPUTED_VALUE"""),43.0)</f>
        <v>43</v>
      </c>
      <c r="Z145" s="174">
        <f>IFERROR(__xludf.DUMMYFUNCTION("""COMPUTED_VALUE"""),567.4480378536466)</f>
        <v>567.4480379</v>
      </c>
      <c r="AA145" s="175" t="str">
        <f>IFERROR(__xludf.DUMMYFUNCTION("""COMPUTED_VALUE"""),"AP")</f>
        <v>AP</v>
      </c>
      <c r="AB145" s="176">
        <f>IFERROR(__xludf.DUMMYFUNCTION("""COMPUTED_VALUE"""),3.524551794319236)</f>
        <v>3.524551794</v>
      </c>
      <c r="AC145" s="175" t="str">
        <f>IFERROR(__xludf.DUMMYFUNCTION("""COMPUTED_VALUE"""),"％")</f>
        <v>％</v>
      </c>
      <c r="AD145" s="172">
        <f>IFERROR(__xludf.DUMMYFUNCTION("""COMPUTED_VALUE"""),777.0)</f>
        <v>777</v>
      </c>
      <c r="AE145" s="168"/>
      <c r="AF145" s="372" t="str">
        <f>IFERROR(__xludf.DUMMYFUNCTION("""COMPUTED_VALUE"""),"")</f>
        <v/>
      </c>
    </row>
    <row r="146" ht="16.5" customHeight="1">
      <c r="A146" s="61" t="str">
        <f>IFERROR(__xludf.DUMMYFUNCTION("""COMPUTED_VALUE"""),"")</f>
        <v/>
      </c>
      <c r="B146" s="366" t="str">
        <f>IFERROR(__xludf.DUMMYFUNCTION("""COMPUTED_VALUE"""),"A102")</f>
        <v>A102</v>
      </c>
      <c r="C146" s="197" t="str">
        <f>IFERROR(__xludf.DUMMYFUNCTION("""COMPUTED_VALUE"""),"Heart of the Foreign God")</f>
        <v>Heart of the Foreign God</v>
      </c>
      <c r="D146" s="181">
        <f>IFERROR(__xludf.DUMMYFUNCTION("""COMPUTED_VALUE"""),1.0)</f>
        <v>1</v>
      </c>
      <c r="E146" s="182" t="str">
        <f>IFERROR(__xludf.DUMMYFUNCTION("""COMPUTED_VALUE"""),"SJK9")</f>
        <v>SJK9</v>
      </c>
      <c r="F146" s="184" t="str">
        <f>IFERROR(__xludf.DUMMYFUNCTION("""COMPUTED_VALUE"""),"Shinjuku")</f>
        <v>Shinjuku</v>
      </c>
      <c r="G146" s="189" t="str">
        <f>IFERROR(__xludf.DUMMYFUNCTION("""COMPUTED_VALUE"""),"Shinjuku Gyoen")</f>
        <v>Shinjuku Gyoen</v>
      </c>
      <c r="H146" s="190">
        <f>IFERROR(__xludf.DUMMYFUNCTION("""COMPUTED_VALUE"""),21.0)</f>
        <v>21</v>
      </c>
      <c r="I146" s="191">
        <f>IFERROR(__xludf.DUMMYFUNCTION("""COMPUTED_VALUE"""),48.95238095238095)</f>
        <v>48.95238095</v>
      </c>
      <c r="J146" s="192">
        <f>IFERROR(__xludf.DUMMYFUNCTION("""COMPUTED_VALUE"""),175.36860697281523)</f>
        <v>175.368607</v>
      </c>
      <c r="K146" s="194" t="str">
        <f>IFERROR(__xludf.DUMMYFUNCTION("""COMPUTED_VALUE"""),"AP")</f>
        <v>AP</v>
      </c>
      <c r="L146" s="192">
        <f>IFERROR(__xludf.DUMMYFUNCTION("""COMPUTED_VALUE"""),11.974777220677424)</f>
        <v>11.97477722</v>
      </c>
      <c r="M146" s="194" t="str">
        <f>IFERROR(__xludf.DUMMYFUNCTION("""COMPUTED_VALUE"""),"％")</f>
        <v>％</v>
      </c>
      <c r="N146" s="190">
        <f>IFERROR(__xludf.DUMMYFUNCTION("""COMPUTED_VALUE"""),45673.0)</f>
        <v>45673</v>
      </c>
      <c r="O146" s="197" t="str">
        <f>IFERROR(__xludf.DUMMYFUNCTION("""COMPUTED_VALUE"""),"Heart of the Foreign God")</f>
        <v>Heart of the Foreign God</v>
      </c>
      <c r="P146" s="371" t="str">
        <f>IFERROR(__xludf.DUMMYFUNCTION("""COMPUTED_VALUE"""),"")</f>
        <v/>
      </c>
      <c r="Q146" s="61" t="str">
        <f>IFERROR(__xludf.DUMMYFUNCTION("""COMPUTED_VALUE"""),"")</f>
        <v/>
      </c>
      <c r="R146" s="199" t="str">
        <f>IFERROR(__xludf.DUMMYFUNCTION("""COMPUTED_VALUE"""),"B207")</f>
        <v>B207</v>
      </c>
      <c r="S146" s="197" t="str">
        <f>IFERROR(__xludf.DUMMYFUNCTION("""COMPUTED_VALUE"""),"Berserker Monument")</f>
        <v>Berserker Monument</v>
      </c>
      <c r="T146" s="181">
        <f>IFERROR(__xludf.DUMMYFUNCTION("""COMPUTED_VALUE"""),1.0)</f>
        <v>1</v>
      </c>
      <c r="U146" s="182" t="str">
        <f>IFERROR(__xludf.DUMMYFUNCTION("""COMPUTED_VALUE"""),"TRF12")</f>
        <v>TRF12</v>
      </c>
      <c r="V146" s="184" t="str">
        <f>IFERROR(__xludf.DUMMYFUNCTION("""COMPUTED_VALUE"""),"Chaldea Gate (Wed)")</f>
        <v>Chaldea Gate (Wed)</v>
      </c>
      <c r="W146" s="184" t="str">
        <f>IFERROR(__xludf.DUMMYFUNCTION("""COMPUTED_VALUE"""),"WED Berserker Training Ground- Exp")</f>
        <v>WED Berserker Training Ground- Exp</v>
      </c>
      <c r="X146" s="190">
        <f>IFERROR(__xludf.DUMMYFUNCTION("""COMPUTED_VALUE"""),40.0)</f>
        <v>40</v>
      </c>
      <c r="Y146" s="191">
        <f>IFERROR(__xludf.DUMMYFUNCTION("""COMPUTED_VALUE"""),19.7)</f>
        <v>19.7</v>
      </c>
      <c r="Z146" s="192">
        <f>IFERROR(__xludf.DUMMYFUNCTION("""COMPUTED_VALUE"""),72.4844522611243)</f>
        <v>72.48445226</v>
      </c>
      <c r="AA146" s="194" t="str">
        <f>IFERROR(__xludf.DUMMYFUNCTION("""COMPUTED_VALUE"""),"AP")</f>
        <v>AP</v>
      </c>
      <c r="AB146" s="192">
        <f>IFERROR(__xludf.DUMMYFUNCTION("""COMPUTED_VALUE"""),55.18424814179531)</f>
        <v>55.18424814</v>
      </c>
      <c r="AC146" s="194" t="str">
        <f>IFERROR(__xludf.DUMMYFUNCTION("""COMPUTED_VALUE"""),"％")</f>
        <v>％</v>
      </c>
      <c r="AD146" s="190">
        <f>IFERROR(__xludf.DUMMYFUNCTION("""COMPUTED_VALUE"""),3498.0)</f>
        <v>3498</v>
      </c>
      <c r="AE146" s="197" t="str">
        <f>IFERROR(__xludf.DUMMYFUNCTION("""COMPUTED_VALUE"""),"Berserker Monument")</f>
        <v>Berserker Monument</v>
      </c>
      <c r="AF146" s="372" t="str">
        <f>IFERROR(__xludf.DUMMYFUNCTION("""COMPUTED_VALUE"""),"")</f>
        <v/>
      </c>
    </row>
    <row r="147" ht="16.5" customHeight="1">
      <c r="C147" s="217"/>
      <c r="D147" s="205">
        <f>IFERROR(__xludf.DUMMYFUNCTION("""COMPUTED_VALUE"""),2.0)</f>
        <v>2</v>
      </c>
      <c r="E147" s="206" t="str">
        <f>IFERROR(__xludf.DUMMYFUNCTION("""COMPUTED_VALUE"""),"TRF20")</f>
        <v>TRF20</v>
      </c>
      <c r="F147" s="207" t="str">
        <f>IFERROR(__xludf.DUMMYFUNCTION("""COMPUTED_VALUE"""),"Chaldea Gate (Fri)")</f>
        <v>Chaldea Gate (Fri)</v>
      </c>
      <c r="G147" s="207" t="str">
        <f>IFERROR(__xludf.DUMMYFUNCTION("""COMPUTED_VALUE"""),"FRI Caster Training Ground- Exp")</f>
        <v>FRI Caster Training Ground- Exp</v>
      </c>
      <c r="H147" s="211">
        <f>IFERROR(__xludf.DUMMYFUNCTION("""COMPUTED_VALUE"""),40.0)</f>
        <v>40</v>
      </c>
      <c r="I147" s="213">
        <f>IFERROR(__xludf.DUMMYFUNCTION("""COMPUTED_VALUE"""),19.7)</f>
        <v>19.7</v>
      </c>
      <c r="J147" s="214">
        <f>IFERROR(__xludf.DUMMYFUNCTION("""COMPUTED_VALUE"""),638.3629332763253)</f>
        <v>638.3629333</v>
      </c>
      <c r="K147" s="215" t="str">
        <f>IFERROR(__xludf.DUMMYFUNCTION("""COMPUTED_VALUE"""),"AP")</f>
        <v>AP</v>
      </c>
      <c r="L147" s="214">
        <f>IFERROR(__xludf.DUMMYFUNCTION("""COMPUTED_VALUE"""),6.266027977956762)</f>
        <v>6.266027978</v>
      </c>
      <c r="M147" s="215" t="str">
        <f>IFERROR(__xludf.DUMMYFUNCTION("""COMPUTED_VALUE"""),"％")</f>
        <v>％</v>
      </c>
      <c r="N147" s="211">
        <f>IFERROR(__xludf.DUMMYFUNCTION("""COMPUTED_VALUE"""),11795.0)</f>
        <v>11795</v>
      </c>
      <c r="O147" s="217"/>
      <c r="P147" s="371" t="str">
        <f>IFERROR(__xludf.DUMMYFUNCTION("""COMPUTED_VALUE"""),"")</f>
        <v/>
      </c>
      <c r="R147" s="203"/>
      <c r="S147" s="217"/>
      <c r="T147" s="205">
        <f>IFERROR(__xludf.DUMMYFUNCTION("""COMPUTED_VALUE"""),2.0)</f>
        <v>2</v>
      </c>
      <c r="U147" s="206" t="str">
        <f>IFERROR(__xludf.DUMMYFUNCTION("""COMPUTED_VALUE"""),"TRF11")</f>
        <v>TRF11</v>
      </c>
      <c r="V147" s="207" t="str">
        <f>IFERROR(__xludf.DUMMYFUNCTION("""COMPUTED_VALUE"""),"Chaldea Gate (Wed)")</f>
        <v>Chaldea Gate (Wed)</v>
      </c>
      <c r="W147" s="207" t="str">
        <f>IFERROR(__xludf.DUMMYFUNCTION("""COMPUTED_VALUE"""),"WED Berserker Training Ground- Adv")</f>
        <v>WED Berserker Training Ground- Adv</v>
      </c>
      <c r="X147" s="211">
        <f>IFERROR(__xludf.DUMMYFUNCTION("""COMPUTED_VALUE"""),30.0)</f>
        <v>30</v>
      </c>
      <c r="Y147" s="213">
        <f>IFERROR(__xludf.DUMMYFUNCTION("""COMPUTED_VALUE"""),18.266666666666666)</f>
        <v>18.26666667</v>
      </c>
      <c r="Z147" s="214">
        <f>IFERROR(__xludf.DUMMYFUNCTION("""COMPUTED_VALUE"""),75.99496095650868)</f>
        <v>75.99496096</v>
      </c>
      <c r="AA147" s="215" t="str">
        <f>IFERROR(__xludf.DUMMYFUNCTION("""COMPUTED_VALUE"""),"AP")</f>
        <v>AP</v>
      </c>
      <c r="AB147" s="214">
        <f>IFERROR(__xludf.DUMMYFUNCTION("""COMPUTED_VALUE"""),39.47630161579893)</f>
        <v>39.47630162</v>
      </c>
      <c r="AC147" s="215" t="str">
        <f>IFERROR(__xludf.DUMMYFUNCTION("""COMPUTED_VALUE"""),"％")</f>
        <v>％</v>
      </c>
      <c r="AD147" s="211">
        <f>IFERROR(__xludf.DUMMYFUNCTION("""COMPUTED_VALUE"""),557.0)</f>
        <v>557</v>
      </c>
      <c r="AE147" s="217"/>
      <c r="AF147" s="372" t="str">
        <f>IFERROR(__xludf.DUMMYFUNCTION("""COMPUTED_VALUE"""),"")</f>
        <v/>
      </c>
    </row>
    <row r="148" ht="16.5" customHeight="1">
      <c r="C148" s="217"/>
      <c r="D148" s="222">
        <f>IFERROR(__xludf.DUMMYFUNCTION("""COMPUTED_VALUE"""),3.0)</f>
        <v>3</v>
      </c>
      <c r="E148" s="223" t="str">
        <f>IFERROR(__xludf.DUMMYFUNCTION("""COMPUTED_VALUE"""),"TRF19")</f>
        <v>TRF19</v>
      </c>
      <c r="F148" s="224" t="str">
        <f>IFERROR(__xludf.DUMMYFUNCTION("""COMPUTED_VALUE"""),"Chaldea Gate (Fri)")</f>
        <v>Chaldea Gate (Fri)</v>
      </c>
      <c r="G148" s="224" t="str">
        <f>IFERROR(__xludf.DUMMYFUNCTION("""COMPUTED_VALUE"""),"FRI Caster Training Ground- Adv")</f>
        <v>FRI Caster Training Ground- Adv</v>
      </c>
      <c r="H148" s="228">
        <f>IFERROR(__xludf.DUMMYFUNCTION("""COMPUTED_VALUE"""),30.0)</f>
        <v>30</v>
      </c>
      <c r="I148" s="230">
        <f>IFERROR(__xludf.DUMMYFUNCTION("""COMPUTED_VALUE"""),18.266666666666666)</f>
        <v>18.26666667</v>
      </c>
      <c r="J148" s="231">
        <f>IFERROR(__xludf.DUMMYFUNCTION("""COMPUTED_VALUE"""),706.4832911665608)</f>
        <v>706.4832912</v>
      </c>
      <c r="K148" s="232" t="str">
        <f>IFERROR(__xludf.DUMMYFUNCTION("""COMPUTED_VALUE"""),"AP")</f>
        <v>AP</v>
      </c>
      <c r="L148" s="231">
        <f>IFERROR(__xludf.DUMMYFUNCTION("""COMPUTED_VALUE"""),4.246384928716904)</f>
        <v>4.246384929</v>
      </c>
      <c r="M148" s="232" t="str">
        <f>IFERROR(__xludf.DUMMYFUNCTION("""COMPUTED_VALUE"""),"％")</f>
        <v>％</v>
      </c>
      <c r="N148" s="228">
        <f>IFERROR(__xludf.DUMMYFUNCTION("""COMPUTED_VALUE"""),1964.0)</f>
        <v>1964</v>
      </c>
      <c r="O148" s="217"/>
      <c r="P148" s="371" t="str">
        <f>IFERROR(__xludf.DUMMYFUNCTION("""COMPUTED_VALUE"""),"")</f>
        <v/>
      </c>
      <c r="R148" s="203"/>
      <c r="S148" s="217"/>
      <c r="T148" s="222">
        <f>IFERROR(__xludf.DUMMYFUNCTION("""COMPUTED_VALUE"""),3.0)</f>
        <v>3</v>
      </c>
      <c r="U148" s="223" t="str">
        <f>IFERROR(__xludf.DUMMYFUNCTION("""COMPUTED_VALUE"""),"EPU12")</f>
        <v>EPU12</v>
      </c>
      <c r="V148" s="224" t="str">
        <f>IFERROR(__xludf.DUMMYFUNCTION("""COMPUTED_VALUE"""),"E Pluribus Unum")</f>
        <v>E Pluribus Unum</v>
      </c>
      <c r="W148" s="226" t="str">
        <f>IFERROR(__xludf.DUMMYFUNCTION("""COMPUTED_VALUE"""),"Charlotte")</f>
        <v>Charlotte</v>
      </c>
      <c r="X148" s="228">
        <f>IFERROR(__xludf.DUMMYFUNCTION("""COMPUTED_VALUE"""),20.0)</f>
        <v>20</v>
      </c>
      <c r="Y148" s="230">
        <f>IFERROR(__xludf.DUMMYFUNCTION("""COMPUTED_VALUE"""),45.4)</f>
        <v>45.4</v>
      </c>
      <c r="Z148" s="231">
        <f>IFERROR(__xludf.DUMMYFUNCTION("""COMPUTED_VALUE"""),156.28013387680437)</f>
        <v>156.2801339</v>
      </c>
      <c r="AA148" s="232" t="str">
        <f>IFERROR(__xludf.DUMMYFUNCTION("""COMPUTED_VALUE"""),"AP")</f>
        <v>AP</v>
      </c>
      <c r="AB148" s="231">
        <f>IFERROR(__xludf.DUMMYFUNCTION("""COMPUTED_VALUE"""),12.797531908800385)</f>
        <v>12.79753191</v>
      </c>
      <c r="AC148" s="232" t="str">
        <f>IFERROR(__xludf.DUMMYFUNCTION("""COMPUTED_VALUE"""),"％")</f>
        <v>％</v>
      </c>
      <c r="AD148" s="228">
        <f>IFERROR(__xludf.DUMMYFUNCTION("""COMPUTED_VALUE"""),153641.0)</f>
        <v>153641</v>
      </c>
      <c r="AE148" s="217"/>
      <c r="AF148" s="372" t="str">
        <f>IFERROR(__xludf.DUMMYFUNCTION("""COMPUTED_VALUE"""),"")</f>
        <v/>
      </c>
    </row>
    <row r="149" ht="16.5" customHeight="1">
      <c r="C149" s="217"/>
      <c r="D149" s="238">
        <f>IFERROR(__xludf.DUMMYFUNCTION("""COMPUTED_VALUE"""),4.0)</f>
        <v>4</v>
      </c>
      <c r="E149" s="240" t="str">
        <f>IFERROR(__xludf.DUMMYFUNCTION("""COMPUTED_VALUE"""),"")</f>
        <v/>
      </c>
      <c r="F149" s="242" t="str">
        <f>IFERROR(__xludf.DUMMYFUNCTION("""COMPUTED_VALUE"""),"")</f>
        <v/>
      </c>
      <c r="G149" s="242" t="str">
        <f>IFERROR(__xludf.DUMMYFUNCTION("""COMPUTED_VALUE"""),"")</f>
        <v/>
      </c>
      <c r="H149" s="246" t="str">
        <f>IFERROR(__xludf.DUMMYFUNCTION("""COMPUTED_VALUE"""),"")</f>
        <v/>
      </c>
      <c r="I149" s="248" t="str">
        <f>IFERROR(__xludf.DUMMYFUNCTION("""COMPUTED_VALUE"""),"")</f>
        <v/>
      </c>
      <c r="J149" s="250" t="str">
        <f>IFERROR(__xludf.DUMMYFUNCTION("""COMPUTED_VALUE"""),"")</f>
        <v/>
      </c>
      <c r="K149" s="252" t="str">
        <f>IFERROR(__xludf.DUMMYFUNCTION("""COMPUTED_VALUE"""),"AP")</f>
        <v>AP</v>
      </c>
      <c r="L149" s="250" t="str">
        <f>IFERROR(__xludf.DUMMYFUNCTION("""COMPUTED_VALUE"""),"")</f>
        <v/>
      </c>
      <c r="M149" s="252" t="str">
        <f>IFERROR(__xludf.DUMMYFUNCTION("""COMPUTED_VALUE"""),"％")</f>
        <v>％</v>
      </c>
      <c r="N149" s="246" t="str">
        <f>IFERROR(__xludf.DUMMYFUNCTION("""COMPUTED_VALUE"""),"")</f>
        <v/>
      </c>
      <c r="O149" s="217"/>
      <c r="P149" s="371" t="str">
        <f>IFERROR(__xludf.DUMMYFUNCTION("""COMPUTED_VALUE"""),"")</f>
        <v/>
      </c>
      <c r="R149" s="203"/>
      <c r="S149" s="217"/>
      <c r="T149" s="238">
        <f>IFERROR(__xludf.DUMMYFUNCTION("""COMPUTED_VALUE"""),4.0)</f>
        <v>4</v>
      </c>
      <c r="U149" s="240" t="str">
        <f>IFERROR(__xludf.DUMMYFUNCTION("""COMPUTED_VALUE"""),"TRF10")</f>
        <v>TRF10</v>
      </c>
      <c r="V149" s="242" t="str">
        <f>IFERROR(__xludf.DUMMYFUNCTION("""COMPUTED_VALUE"""),"Chaldea Gate (Wed)")</f>
        <v>Chaldea Gate (Wed)</v>
      </c>
      <c r="W149" s="242" t="str">
        <f>IFERROR(__xludf.DUMMYFUNCTION("""COMPUTED_VALUE"""),"WED Berserker Training Ground- Int")</f>
        <v>WED Berserker Training Ground- Int</v>
      </c>
      <c r="X149" s="246">
        <f>IFERROR(__xludf.DUMMYFUNCTION("""COMPUTED_VALUE"""),20.0)</f>
        <v>20</v>
      </c>
      <c r="Y149" s="248">
        <f>IFERROR(__xludf.DUMMYFUNCTION("""COMPUTED_VALUE"""),18.4)</f>
        <v>18.4</v>
      </c>
      <c r="Z149" s="250">
        <f>IFERROR(__xludf.DUMMYFUNCTION("""COMPUTED_VALUE"""),216.7310004429539)</f>
        <v>216.7310004</v>
      </c>
      <c r="AA149" s="252" t="str">
        <f>IFERROR(__xludf.DUMMYFUNCTION("""COMPUTED_VALUE"""),"AP")</f>
        <v>AP</v>
      </c>
      <c r="AB149" s="250">
        <f>IFERROR(__xludf.DUMMYFUNCTION("""COMPUTED_VALUE"""),9.228029197080291)</f>
        <v>9.228029197</v>
      </c>
      <c r="AC149" s="252" t="str">
        <f>IFERROR(__xludf.DUMMYFUNCTION("""COMPUTED_VALUE"""),"％")</f>
        <v>％</v>
      </c>
      <c r="AD149" s="246">
        <f>IFERROR(__xludf.DUMMYFUNCTION("""COMPUTED_VALUE"""),685.0)</f>
        <v>685</v>
      </c>
      <c r="AE149" s="217"/>
      <c r="AF149" s="372" t="str">
        <f>IFERROR(__xludf.DUMMYFUNCTION("""COMPUTED_VALUE"""),"")</f>
        <v/>
      </c>
    </row>
    <row r="150" ht="16.5" customHeight="1">
      <c r="A150" s="166"/>
      <c r="C150" s="263"/>
      <c r="D150" s="256">
        <f>IFERROR(__xludf.DUMMYFUNCTION("""COMPUTED_VALUE"""),5.0)</f>
        <v>5</v>
      </c>
      <c r="E150" s="257" t="str">
        <f>IFERROR(__xludf.DUMMYFUNCTION("""COMPUTED_VALUE"""),"")</f>
        <v/>
      </c>
      <c r="F150" s="42" t="str">
        <f>IFERROR(__xludf.DUMMYFUNCTION("""COMPUTED_VALUE"""),"")</f>
        <v/>
      </c>
      <c r="G150" s="42" t="str">
        <f>IFERROR(__xludf.DUMMYFUNCTION("""COMPUTED_VALUE"""),"")</f>
        <v/>
      </c>
      <c r="H150" s="259" t="str">
        <f>IFERROR(__xludf.DUMMYFUNCTION("""COMPUTED_VALUE"""),"")</f>
        <v/>
      </c>
      <c r="I150" s="260" t="str">
        <f>IFERROR(__xludf.DUMMYFUNCTION("""COMPUTED_VALUE"""),"")</f>
        <v/>
      </c>
      <c r="J150" s="261" t="str">
        <f>IFERROR(__xludf.DUMMYFUNCTION("""COMPUTED_VALUE"""),"")</f>
        <v/>
      </c>
      <c r="K150" s="262" t="str">
        <f>IFERROR(__xludf.DUMMYFUNCTION("""COMPUTED_VALUE"""),"AP")</f>
        <v>AP</v>
      </c>
      <c r="L150" s="261" t="str">
        <f>IFERROR(__xludf.DUMMYFUNCTION("""COMPUTED_VALUE"""),"")</f>
        <v/>
      </c>
      <c r="M150" s="262" t="str">
        <f>IFERROR(__xludf.DUMMYFUNCTION("""COMPUTED_VALUE"""),"％")</f>
        <v>％</v>
      </c>
      <c r="N150" s="259" t="str">
        <f>IFERROR(__xludf.DUMMYFUNCTION("""COMPUTED_VALUE"""),"")</f>
        <v/>
      </c>
      <c r="O150" s="263"/>
      <c r="P150" s="371" t="str">
        <f>IFERROR(__xludf.DUMMYFUNCTION("""COMPUTED_VALUE"""),"")</f>
        <v/>
      </c>
      <c r="Q150" s="166"/>
      <c r="R150" s="254"/>
      <c r="S150" s="263"/>
      <c r="T150" s="374">
        <f>IFERROR(__xludf.DUMMYFUNCTION("""COMPUTED_VALUE"""),5.0)</f>
        <v>5</v>
      </c>
      <c r="U150" s="257" t="str">
        <f>IFERROR(__xludf.DUMMYFUNCTION("""COMPUTED_VALUE"""),"TRF9")</f>
        <v>TRF9</v>
      </c>
      <c r="V150" s="42" t="str">
        <f>IFERROR(__xludf.DUMMYFUNCTION("""COMPUTED_VALUE"""),"Chaldea Gate (Wed)")</f>
        <v>Chaldea Gate (Wed)</v>
      </c>
      <c r="W150" s="42" t="str">
        <f>IFERROR(__xludf.DUMMYFUNCTION("""COMPUTED_VALUE"""),"WED Berserker Training Ground- Nov")</f>
        <v>WED Berserker Training Ground- Nov</v>
      </c>
      <c r="X150" s="259">
        <f>IFERROR(__xludf.DUMMYFUNCTION("""COMPUTED_VALUE"""),10.0)</f>
        <v>10</v>
      </c>
      <c r="Y150" s="260">
        <f>IFERROR(__xludf.DUMMYFUNCTION("""COMPUTED_VALUE"""),18.8)</f>
        <v>18.8</v>
      </c>
      <c r="Z150" s="261">
        <f>IFERROR(__xludf.DUMMYFUNCTION("""COMPUTED_VALUE"""),527.5359576078727)</f>
        <v>527.5359576</v>
      </c>
      <c r="AA150" s="262" t="str">
        <f>IFERROR(__xludf.DUMMYFUNCTION("""COMPUTED_VALUE"""),"AP")</f>
        <v>AP</v>
      </c>
      <c r="AB150" s="261">
        <f>IFERROR(__xludf.DUMMYFUNCTION("""COMPUTED_VALUE"""),1.8956053811659197)</f>
        <v>1.895605381</v>
      </c>
      <c r="AC150" s="262" t="str">
        <f>IFERROR(__xludf.DUMMYFUNCTION("""COMPUTED_VALUE"""),"％")</f>
        <v>％</v>
      </c>
      <c r="AD150" s="259">
        <f>IFERROR(__xludf.DUMMYFUNCTION("""COMPUTED_VALUE"""),1115.0)</f>
        <v>1115</v>
      </c>
      <c r="AE150" s="263"/>
      <c r="AF150" s="372" t="str">
        <f>IFERROR(__xludf.DUMMYFUNCTION("""COMPUTED_VALUE"""),"")</f>
        <v/>
      </c>
    </row>
    <row r="151" ht="16.5" customHeight="1">
      <c r="A151" s="25" t="str">
        <f>IFERROR(__xludf.DUMMYFUNCTION("""COMPUTED_VALUE"""),"Item")</f>
        <v>Item</v>
      </c>
      <c r="B151" s="27"/>
      <c r="C151" s="28"/>
      <c r="D151" s="30" t="str">
        <f>IFERROR(__xludf.DUMMYFUNCTION("""COMPUTED_VALUE"""),"No.")</f>
        <v>No.</v>
      </c>
      <c r="E151" s="31" t="str">
        <f>IFERROR(__xludf.DUMMYFUNCTION("""COMPUTED_VALUE"""),"Node Code")</f>
        <v>Node Code</v>
      </c>
      <c r="F151" s="31" t="str">
        <f>IFERROR(__xludf.DUMMYFUNCTION("""COMPUTED_VALUE"""),"Area")</f>
        <v>Area</v>
      </c>
      <c r="G151" s="31" t="str">
        <f>IFERROR(__xludf.DUMMYFUNCTION("""COMPUTED_VALUE"""),"Quest")</f>
        <v>Quest</v>
      </c>
      <c r="H151" s="30" t="str">
        <f>IFERROR(__xludf.DUMMYFUNCTION("""COMPUTED_VALUE"""),"AP")</f>
        <v>AP</v>
      </c>
      <c r="I151" s="34" t="str">
        <f>IFERROR(__xludf.DUMMYFUNCTION("""COMPUTED_VALUE"""),"BP/AP")</f>
        <v>BP/AP</v>
      </c>
      <c r="J151" s="36" t="str">
        <f>IFERROR(__xludf.DUMMYFUNCTION("""COMPUTED_VALUE"""),"AP/Drop")</f>
        <v>AP/Drop</v>
      </c>
      <c r="K151" s="28"/>
      <c r="L151" s="36" t="str">
        <f>IFERROR(__xludf.DUMMYFUNCTION("""COMPUTED_VALUE"""),"Drop Chance")</f>
        <v>Drop Chance</v>
      </c>
      <c r="M151" s="28"/>
      <c r="N151" s="38" t="str">
        <f>IFERROR(__xludf.DUMMYFUNCTION("""COMPUTED_VALUE"""),"Runs")</f>
        <v>Runs</v>
      </c>
      <c r="O151" s="40" t="str">
        <f>IFERROR(__xludf.DUMMYFUNCTION("""COMPUTED_VALUE"""),"")</f>
        <v/>
      </c>
      <c r="P151" s="42" t="str">
        <f>IFERROR(__xludf.DUMMYFUNCTION("""COMPUTED_VALUE"""),"")</f>
        <v/>
      </c>
      <c r="Q151" s="25" t="str">
        <f>IFERROR(__xludf.DUMMYFUNCTION("""COMPUTED_VALUE"""),"Item")</f>
        <v>Item</v>
      </c>
      <c r="R151" s="27"/>
      <c r="S151" s="28"/>
      <c r="T151" s="30" t="str">
        <f>IFERROR(__xludf.DUMMYFUNCTION("""COMPUTED_VALUE"""),"No.")</f>
        <v>No.</v>
      </c>
      <c r="U151" s="31" t="str">
        <f>IFERROR(__xludf.DUMMYFUNCTION("""COMPUTED_VALUE"""),"Node Code")</f>
        <v>Node Code</v>
      </c>
      <c r="V151" s="31" t="str">
        <f>IFERROR(__xludf.DUMMYFUNCTION("""COMPUTED_VALUE"""),"Area")</f>
        <v>Area</v>
      </c>
      <c r="W151" s="31" t="str">
        <f>IFERROR(__xludf.DUMMYFUNCTION("""COMPUTED_VALUE"""),"Quest")</f>
        <v>Quest</v>
      </c>
      <c r="X151" s="30" t="str">
        <f>IFERROR(__xludf.DUMMYFUNCTION("""COMPUTED_VALUE"""),"AP")</f>
        <v>AP</v>
      </c>
      <c r="Y151" s="34" t="str">
        <f>IFERROR(__xludf.DUMMYFUNCTION("""COMPUTED_VALUE"""),"BP/AP")</f>
        <v>BP/AP</v>
      </c>
      <c r="Z151" s="36" t="str">
        <f>IFERROR(__xludf.DUMMYFUNCTION("""COMPUTED_VALUE"""),"AP/Drop")</f>
        <v>AP/Drop</v>
      </c>
      <c r="AA151" s="28"/>
      <c r="AB151" s="36" t="str">
        <f>IFERROR(__xludf.DUMMYFUNCTION("""COMPUTED_VALUE"""),"Drop Chance")</f>
        <v>Drop Chance</v>
      </c>
      <c r="AC151" s="28"/>
      <c r="AD151" s="369" t="str">
        <f>IFERROR(__xludf.DUMMYFUNCTION("""COMPUTED_VALUE"""),"Runs")</f>
        <v>Runs</v>
      </c>
      <c r="AE151" s="369" t="str">
        <f>IFERROR(__xludf.DUMMYFUNCTION("""COMPUTED_VALUE"""),"")</f>
        <v/>
      </c>
      <c r="AF151" s="51" t="str">
        <f>IFERROR(__xludf.DUMMYFUNCTION("""COMPUTED_VALUE"""),"")</f>
        <v/>
      </c>
    </row>
    <row r="152" ht="16.5" customHeight="1">
      <c r="A152" s="54"/>
      <c r="B152" s="55"/>
      <c r="C152" s="57"/>
      <c r="D152" s="57"/>
      <c r="E152" s="57"/>
      <c r="F152" s="57"/>
      <c r="G152" s="57"/>
      <c r="H152" s="57"/>
      <c r="I152" s="58" t="str">
        <f>IFERROR(__xludf.DUMMYFUNCTION("""COMPUTED_VALUE"""),"1P+2L")</f>
        <v>1P+2L</v>
      </c>
      <c r="J152" s="55"/>
      <c r="K152" s="57"/>
      <c r="L152" s="55"/>
      <c r="M152" s="57"/>
      <c r="N152" s="57"/>
      <c r="O152" s="57"/>
      <c r="P152" s="42" t="str">
        <f>IFERROR(__xludf.DUMMYFUNCTION("""COMPUTED_VALUE"""),"")</f>
        <v/>
      </c>
      <c r="Q152" s="54"/>
      <c r="R152" s="55"/>
      <c r="S152" s="57"/>
      <c r="T152" s="57"/>
      <c r="U152" s="57"/>
      <c r="V152" s="57"/>
      <c r="W152" s="57"/>
      <c r="X152" s="57"/>
      <c r="Y152" s="58" t="str">
        <f>IFERROR(__xludf.DUMMYFUNCTION("""COMPUTED_VALUE"""),"1P+2L")</f>
        <v>1P+2L</v>
      </c>
      <c r="Z152" s="55"/>
      <c r="AA152" s="57"/>
      <c r="AB152" s="55"/>
      <c r="AC152" s="57"/>
      <c r="AD152" s="370"/>
      <c r="AE152" s="370"/>
      <c r="AF152" s="51" t="str">
        <f>IFERROR(__xludf.DUMMYFUNCTION("""COMPUTED_VALUE"""),"")</f>
        <v/>
      </c>
    </row>
    <row r="153" ht="16.5" customHeight="1">
      <c r="A153" s="61" t="str">
        <f>IFERROR(__xludf.DUMMYFUNCTION("""COMPUTED_VALUE"""),"")</f>
        <v/>
      </c>
      <c r="B153" s="363" t="str">
        <f>IFERROR(__xludf.DUMMYFUNCTION("""COMPUTED_VALUE"""),"A103")</f>
        <v>A103</v>
      </c>
      <c r="C153" s="65" t="str">
        <f>IFERROR(__xludf.DUMMYFUNCTION("""COMPUTED_VALUE"""),"Dragon's Reverse Scale")</f>
        <v>Dragon's Reverse Scale</v>
      </c>
      <c r="D153" s="67">
        <f>IFERROR(__xludf.DUMMYFUNCTION("""COMPUTED_VALUE"""),1.0)</f>
        <v>1</v>
      </c>
      <c r="E153" s="69" t="str">
        <f>IFERROR(__xludf.DUMMYFUNCTION("""COMPUTED_VALUE"""),"BBL12")</f>
        <v>BBL12</v>
      </c>
      <c r="F153" s="71" t="str">
        <f>IFERROR(__xludf.DUMMYFUNCTION("""COMPUTED_VALUE"""),"Babylonia")</f>
        <v>Babylonia</v>
      </c>
      <c r="G153" s="78" t="str">
        <f>IFERROR(__xludf.DUMMYFUNCTION("""COMPUTED_VALUE"""),"Nippur")</f>
        <v>Nippur</v>
      </c>
      <c r="H153" s="80">
        <f>IFERROR(__xludf.DUMMYFUNCTION("""COMPUTED_VALUE"""),21.0)</f>
        <v>21</v>
      </c>
      <c r="I153" s="82">
        <f>IFERROR(__xludf.DUMMYFUNCTION("""COMPUTED_VALUE"""),48.95238095238095)</f>
        <v>48.95238095</v>
      </c>
      <c r="J153" s="84">
        <f>IFERROR(__xludf.DUMMYFUNCTION("""COMPUTED_VALUE"""),166.80886472267542)</f>
        <v>166.8088647</v>
      </c>
      <c r="K153" s="86" t="str">
        <f>IFERROR(__xludf.DUMMYFUNCTION("""COMPUTED_VALUE"""),"AP")</f>
        <v>AP</v>
      </c>
      <c r="L153" s="88">
        <f>IFERROR(__xludf.DUMMYFUNCTION("""COMPUTED_VALUE"""),12.589258991069274)</f>
        <v>12.58925899</v>
      </c>
      <c r="M153" s="86" t="str">
        <f>IFERROR(__xludf.DUMMYFUNCTION("""COMPUTED_VALUE"""),"％")</f>
        <v>％</v>
      </c>
      <c r="N153" s="80">
        <f>IFERROR(__xludf.DUMMYFUNCTION("""COMPUTED_VALUE"""),24858.0)</f>
        <v>24858</v>
      </c>
      <c r="O153" s="97" t="str">
        <f>IFERROR(__xludf.DUMMYFUNCTION("""COMPUTED_VALUE"""),"Dragon's Reverse Scale")</f>
        <v>Dragon's Reverse Scale</v>
      </c>
      <c r="P153" s="371" t="str">
        <f>IFERROR(__xludf.DUMMYFUNCTION("""COMPUTED_VALUE"""),"")</f>
        <v/>
      </c>
      <c r="Q153" s="61" t="str">
        <f>IFERROR(__xludf.DUMMYFUNCTION("""COMPUTED_VALUE"""),"")</f>
        <v/>
      </c>
      <c r="R153" s="363" t="str">
        <f>IFERROR(__xludf.DUMMYFUNCTION("""COMPUTED_VALUE"""),"B211")</f>
        <v>B211</v>
      </c>
      <c r="S153" s="65" t="str">
        <f>IFERROR(__xludf.DUMMYFUNCTION("""COMPUTED_VALUE"""),"Saber Piece")</f>
        <v>Saber Piece</v>
      </c>
      <c r="T153" s="67">
        <f>IFERROR(__xludf.DUMMYFUNCTION("""COMPUTED_VALUE"""),1.0)</f>
        <v>1</v>
      </c>
      <c r="U153" s="69" t="str">
        <f>IFERROR(__xludf.DUMMYFUNCTION("""COMPUTED_VALUE"""),"TRF26")</f>
        <v>TRF26</v>
      </c>
      <c r="V153" s="71" t="str">
        <f>IFERROR(__xludf.DUMMYFUNCTION("""COMPUTED_VALUE"""),"Chaldea Gate (Sun)")</f>
        <v>Chaldea Gate (Sun)</v>
      </c>
      <c r="W153" s="71" t="str">
        <f>IFERROR(__xludf.DUMMYFUNCTION("""COMPUTED_VALUE"""),"SUN Saber Training Ground- Int")</f>
        <v>SUN Saber Training Ground- Int</v>
      </c>
      <c r="X153" s="80">
        <f>IFERROR(__xludf.DUMMYFUNCTION("""COMPUTED_VALUE"""),20.0)</f>
        <v>20</v>
      </c>
      <c r="Y153" s="82">
        <f>IFERROR(__xludf.DUMMYFUNCTION("""COMPUTED_VALUE"""),18.4)</f>
        <v>18.4</v>
      </c>
      <c r="Z153" s="84">
        <f>IFERROR(__xludf.DUMMYFUNCTION("""COMPUTED_VALUE"""),28.459196390540946)</f>
        <v>28.45919639</v>
      </c>
      <c r="AA153" s="86" t="str">
        <f>IFERROR(__xludf.DUMMYFUNCTION("""COMPUTED_VALUE"""),"AP")</f>
        <v>AP</v>
      </c>
      <c r="AB153" s="88">
        <f>IFERROR(__xludf.DUMMYFUNCTION("""COMPUTED_VALUE"""),70.27605321507761)</f>
        <v>70.27605322</v>
      </c>
      <c r="AC153" s="86" t="str">
        <f>IFERROR(__xludf.DUMMYFUNCTION("""COMPUTED_VALUE"""),"％")</f>
        <v>％</v>
      </c>
      <c r="AD153" s="80">
        <f>IFERROR(__xludf.DUMMYFUNCTION("""COMPUTED_VALUE"""),451.0)</f>
        <v>451</v>
      </c>
      <c r="AE153" s="97" t="str">
        <f>IFERROR(__xludf.DUMMYFUNCTION("""COMPUTED_VALUE"""),"Saber Piece")</f>
        <v>Saber Piece</v>
      </c>
      <c r="AF153" s="372" t="str">
        <f>IFERROR(__xludf.DUMMYFUNCTION("""COMPUTED_VALUE"""),"")</f>
        <v/>
      </c>
    </row>
    <row r="154" ht="16.5" customHeight="1">
      <c r="B154" s="99"/>
      <c r="C154" s="100"/>
      <c r="D154" s="102">
        <f>IFERROR(__xludf.DUMMYFUNCTION("""COMPUTED_VALUE"""),2.0)</f>
        <v>2</v>
      </c>
      <c r="E154" s="103" t="str">
        <f>IFERROR(__xludf.DUMMYFUNCTION("""COMPUTED_VALUE"""),"TRF16")</f>
        <v>TRF16</v>
      </c>
      <c r="F154" s="104" t="str">
        <f>IFERROR(__xludf.DUMMYFUNCTION("""COMPUTED_VALUE"""),"Chaldea Gate (Thu)")</f>
        <v>Chaldea Gate (Thu)</v>
      </c>
      <c r="G154" s="104" t="str">
        <f>IFERROR(__xludf.DUMMYFUNCTION("""COMPUTED_VALUE"""),"THU Rider Training Ground- Exp")</f>
        <v>THU Rider Training Ground- Exp</v>
      </c>
      <c r="H154" s="109">
        <f>IFERROR(__xludf.DUMMYFUNCTION("""COMPUTED_VALUE"""),40.0)</f>
        <v>40</v>
      </c>
      <c r="I154" s="110">
        <f>IFERROR(__xludf.DUMMYFUNCTION("""COMPUTED_VALUE"""),19.7)</f>
        <v>19.7</v>
      </c>
      <c r="J154" s="112">
        <f>IFERROR(__xludf.DUMMYFUNCTION("""COMPUTED_VALUE"""),544.839255499154)</f>
        <v>544.8392555</v>
      </c>
      <c r="K154" s="121" t="str">
        <f>IFERROR(__xludf.DUMMYFUNCTION("""COMPUTED_VALUE"""),"AP")</f>
        <v>AP</v>
      </c>
      <c r="L154" s="123">
        <f>IFERROR(__xludf.DUMMYFUNCTION("""COMPUTED_VALUE"""),7.341614906832298)</f>
        <v>7.341614907</v>
      </c>
      <c r="M154" s="121" t="str">
        <f>IFERROR(__xludf.DUMMYFUNCTION("""COMPUTED_VALUE"""),"％")</f>
        <v>％</v>
      </c>
      <c r="N154" s="109">
        <f>IFERROR(__xludf.DUMMYFUNCTION("""COMPUTED_VALUE"""),4025.0)</f>
        <v>4025</v>
      </c>
      <c r="O154" s="100"/>
      <c r="P154" s="371" t="str">
        <f>IFERROR(__xludf.DUMMYFUNCTION("""COMPUTED_VALUE"""),"")</f>
        <v/>
      </c>
      <c r="R154" s="99"/>
      <c r="S154" s="100"/>
      <c r="T154" s="102">
        <f>IFERROR(__xludf.DUMMYFUNCTION("""COMPUTED_VALUE"""),2.0)</f>
        <v>2</v>
      </c>
      <c r="U154" s="103" t="str">
        <f>IFERROR(__xludf.DUMMYFUNCTION("""COMPUTED_VALUE"""),"TRF27")</f>
        <v>TRF27</v>
      </c>
      <c r="V154" s="104" t="str">
        <f>IFERROR(__xludf.DUMMYFUNCTION("""COMPUTED_VALUE"""),"Chaldea Gate (Sun)")</f>
        <v>Chaldea Gate (Sun)</v>
      </c>
      <c r="W154" s="104" t="str">
        <f>IFERROR(__xludf.DUMMYFUNCTION("""COMPUTED_VALUE"""),"SUN Saber Training Ground- Adv")</f>
        <v>SUN Saber Training Ground- Adv</v>
      </c>
      <c r="X154" s="109">
        <f>IFERROR(__xludf.DUMMYFUNCTION("""COMPUTED_VALUE"""),30.0)</f>
        <v>30</v>
      </c>
      <c r="Y154" s="110">
        <f>IFERROR(__xludf.DUMMYFUNCTION("""COMPUTED_VALUE"""),18.266666666666666)</f>
        <v>18.26666667</v>
      </c>
      <c r="Z154" s="112">
        <f>IFERROR(__xludf.DUMMYFUNCTION("""COMPUTED_VALUE"""),30.067870024053036)</f>
        <v>30.06787002</v>
      </c>
      <c r="AA154" s="121" t="str">
        <f>IFERROR(__xludf.DUMMYFUNCTION("""COMPUTED_VALUE"""),"AP")</f>
        <v>AP</v>
      </c>
      <c r="AB154" s="123">
        <f>IFERROR(__xludf.DUMMYFUNCTION("""COMPUTED_VALUE"""),99.77427724677956)</f>
        <v>99.77427725</v>
      </c>
      <c r="AC154" s="121" t="str">
        <f>IFERROR(__xludf.DUMMYFUNCTION("""COMPUTED_VALUE"""),"％")</f>
        <v>％</v>
      </c>
      <c r="AD154" s="109">
        <f>IFERROR(__xludf.DUMMYFUNCTION("""COMPUTED_VALUE"""),4189.0)</f>
        <v>4189</v>
      </c>
      <c r="AE154" s="100"/>
      <c r="AF154" s="372" t="str">
        <f>IFERROR(__xludf.DUMMYFUNCTION("""COMPUTED_VALUE"""),"")</f>
        <v/>
      </c>
    </row>
    <row r="155" ht="16.5" customHeight="1">
      <c r="B155" s="99"/>
      <c r="C155" s="100"/>
      <c r="D155" s="130">
        <f>IFERROR(__xludf.DUMMYFUNCTION("""COMPUTED_VALUE"""),3.0)</f>
        <v>3</v>
      </c>
      <c r="E155" s="132" t="str">
        <f>IFERROR(__xludf.DUMMYFUNCTION("""COMPUTED_VALUE"""),"TRF15")</f>
        <v>TRF15</v>
      </c>
      <c r="F155" s="133" t="str">
        <f>IFERROR(__xludf.DUMMYFUNCTION("""COMPUTED_VALUE"""),"Chaldea Gate (Thu)")</f>
        <v>Chaldea Gate (Thu)</v>
      </c>
      <c r="G155" s="133" t="str">
        <f>IFERROR(__xludf.DUMMYFUNCTION("""COMPUTED_VALUE"""),"THU Rider Training Ground- Adv")</f>
        <v>THU Rider Training Ground- Adv</v>
      </c>
      <c r="H155" s="137">
        <f>IFERROR(__xludf.DUMMYFUNCTION("""COMPUTED_VALUE"""),30.0)</f>
        <v>30</v>
      </c>
      <c r="I155" s="139">
        <f>IFERROR(__xludf.DUMMYFUNCTION("""COMPUTED_VALUE"""),18.266666666666666)</f>
        <v>18.26666667</v>
      </c>
      <c r="J155" s="141">
        <f>IFERROR(__xludf.DUMMYFUNCTION("""COMPUTED_VALUE"""),838.5354562670968)</f>
        <v>838.5354563</v>
      </c>
      <c r="K155" s="143" t="str">
        <f>IFERROR(__xludf.DUMMYFUNCTION("""COMPUTED_VALUE"""),"AP")</f>
        <v>AP</v>
      </c>
      <c r="L155" s="145">
        <f>IFERROR(__xludf.DUMMYFUNCTION("""COMPUTED_VALUE"""),3.5776662484316186)</f>
        <v>3.577666248</v>
      </c>
      <c r="M155" s="143" t="str">
        <f>IFERROR(__xludf.DUMMYFUNCTION("""COMPUTED_VALUE"""),"％")</f>
        <v>％</v>
      </c>
      <c r="N155" s="137">
        <f>IFERROR(__xludf.DUMMYFUNCTION("""COMPUTED_VALUE"""),797.0)</f>
        <v>797</v>
      </c>
      <c r="O155" s="100"/>
      <c r="P155" s="371" t="str">
        <f>IFERROR(__xludf.DUMMYFUNCTION("""COMPUTED_VALUE"""),"")</f>
        <v/>
      </c>
      <c r="R155" s="99"/>
      <c r="S155" s="100"/>
      <c r="T155" s="130">
        <f>IFERROR(__xludf.DUMMYFUNCTION("""COMPUTED_VALUE"""),3.0)</f>
        <v>3</v>
      </c>
      <c r="U155" s="132" t="str">
        <f>IFERROR(__xludf.DUMMYFUNCTION("""COMPUTED_VALUE"""),"TRF25")</f>
        <v>TRF25</v>
      </c>
      <c r="V155" s="133" t="str">
        <f>IFERROR(__xludf.DUMMYFUNCTION("""COMPUTED_VALUE"""),"Chaldea Gate (Sun)")</f>
        <v>Chaldea Gate (Sun)</v>
      </c>
      <c r="W155" s="133" t="str">
        <f>IFERROR(__xludf.DUMMYFUNCTION("""COMPUTED_VALUE"""),"SUN Saber Training Ground- Nov")</f>
        <v>SUN Saber Training Ground- Nov</v>
      </c>
      <c r="X155" s="137">
        <f>IFERROR(__xludf.DUMMYFUNCTION("""COMPUTED_VALUE"""),10.0)</f>
        <v>10</v>
      </c>
      <c r="Y155" s="139">
        <f>IFERROR(__xludf.DUMMYFUNCTION("""COMPUTED_VALUE"""),18.8)</f>
        <v>18.8</v>
      </c>
      <c r="Z155" s="141">
        <f>IFERROR(__xludf.DUMMYFUNCTION("""COMPUTED_VALUE"""),43.94581042885647)</f>
        <v>43.94581043</v>
      </c>
      <c r="AA155" s="143" t="str">
        <f>IFERROR(__xludf.DUMMYFUNCTION("""COMPUTED_VALUE"""),"AP")</f>
        <v>AP</v>
      </c>
      <c r="AB155" s="145">
        <f>IFERROR(__xludf.DUMMYFUNCTION("""COMPUTED_VALUE"""),22.75529772329247)</f>
        <v>22.75529772</v>
      </c>
      <c r="AC155" s="143" t="str">
        <f>IFERROR(__xludf.DUMMYFUNCTION("""COMPUTED_VALUE"""),"％")</f>
        <v>％</v>
      </c>
      <c r="AD155" s="137">
        <f>IFERROR(__xludf.DUMMYFUNCTION("""COMPUTED_VALUE"""),4568.0)</f>
        <v>4568</v>
      </c>
      <c r="AE155" s="100"/>
      <c r="AF155" s="372" t="str">
        <f>IFERROR(__xludf.DUMMYFUNCTION("""COMPUTED_VALUE"""),"")</f>
        <v/>
      </c>
    </row>
    <row r="156" ht="16.5" customHeight="1">
      <c r="B156" s="99"/>
      <c r="C156" s="100"/>
      <c r="D156" s="146">
        <f>IFERROR(__xludf.DUMMYFUNCTION("""COMPUTED_VALUE"""),4.0)</f>
        <v>4</v>
      </c>
      <c r="E156" s="148" t="str">
        <f>IFERROR(__xludf.DUMMYFUNCTION("""COMPUTED_VALUE"""),"")</f>
        <v/>
      </c>
      <c r="F156" s="150" t="str">
        <f>IFERROR(__xludf.DUMMYFUNCTION("""COMPUTED_VALUE"""),"")</f>
        <v/>
      </c>
      <c r="G156" s="150" t="str">
        <f>IFERROR(__xludf.DUMMYFUNCTION("""COMPUTED_VALUE"""),"")</f>
        <v/>
      </c>
      <c r="H156" s="154" t="str">
        <f>IFERROR(__xludf.DUMMYFUNCTION("""COMPUTED_VALUE"""),"")</f>
        <v/>
      </c>
      <c r="I156" s="156" t="str">
        <f>IFERROR(__xludf.DUMMYFUNCTION("""COMPUTED_VALUE"""),"")</f>
        <v/>
      </c>
      <c r="J156" s="158" t="str">
        <f>IFERROR(__xludf.DUMMYFUNCTION("""COMPUTED_VALUE"""),"")</f>
        <v/>
      </c>
      <c r="K156" s="160" t="str">
        <f>IFERROR(__xludf.DUMMYFUNCTION("""COMPUTED_VALUE"""),"AP")</f>
        <v>AP</v>
      </c>
      <c r="L156" s="162" t="str">
        <f>IFERROR(__xludf.DUMMYFUNCTION("""COMPUTED_VALUE"""),"")</f>
        <v/>
      </c>
      <c r="M156" s="160" t="str">
        <f>IFERROR(__xludf.DUMMYFUNCTION("""COMPUTED_VALUE"""),"％")</f>
        <v>％</v>
      </c>
      <c r="N156" s="154" t="str">
        <f>IFERROR(__xludf.DUMMYFUNCTION("""COMPUTED_VALUE"""),"")</f>
        <v/>
      </c>
      <c r="O156" s="100"/>
      <c r="P156" s="371" t="str">
        <f>IFERROR(__xludf.DUMMYFUNCTION("""COMPUTED_VALUE"""),"")</f>
        <v/>
      </c>
      <c r="R156" s="99"/>
      <c r="S156" s="100"/>
      <c r="T156" s="146">
        <f>IFERROR(__xludf.DUMMYFUNCTION("""COMPUTED_VALUE"""),4.0)</f>
        <v>4</v>
      </c>
      <c r="U156" s="148" t="str">
        <f>IFERROR(__xludf.DUMMYFUNCTION("""COMPUTED_VALUE"""),"TRF28")</f>
        <v>TRF28</v>
      </c>
      <c r="V156" s="150" t="str">
        <f>IFERROR(__xludf.DUMMYFUNCTION("""COMPUTED_VALUE"""),"Chaldea Gate (Sun)")</f>
        <v>Chaldea Gate (Sun)</v>
      </c>
      <c r="W156" s="150" t="str">
        <f>IFERROR(__xludf.DUMMYFUNCTION("""COMPUTED_VALUE"""),"SUN Saber Training Ground- Exp")</f>
        <v>SUN Saber Training Ground- Exp</v>
      </c>
      <c r="X156" s="154">
        <f>IFERROR(__xludf.DUMMYFUNCTION("""COMPUTED_VALUE"""),40.0)</f>
        <v>40</v>
      </c>
      <c r="Y156" s="156">
        <f>IFERROR(__xludf.DUMMYFUNCTION("""COMPUTED_VALUE"""),19.7)</f>
        <v>19.7</v>
      </c>
      <c r="Z156" s="158">
        <f>IFERROR(__xludf.DUMMYFUNCTION("""COMPUTED_VALUE"""),54.23720719842522)</f>
        <v>54.2372072</v>
      </c>
      <c r="AA156" s="160" t="str">
        <f>IFERROR(__xludf.DUMMYFUNCTION("""COMPUTED_VALUE"""),"AP")</f>
        <v>AP</v>
      </c>
      <c r="AB156" s="162">
        <f>IFERROR(__xludf.DUMMYFUNCTION("""COMPUTED_VALUE"""),73.75011005574306)</f>
        <v>73.75011006</v>
      </c>
      <c r="AC156" s="160" t="str">
        <f>IFERROR(__xludf.DUMMYFUNCTION("""COMPUTED_VALUE"""),"％")</f>
        <v>％</v>
      </c>
      <c r="AD156" s="154">
        <f>IFERROR(__xludf.DUMMYFUNCTION("""COMPUTED_VALUE"""),21786.0)</f>
        <v>21786</v>
      </c>
      <c r="AE156" s="100"/>
      <c r="AF156" s="372" t="str">
        <f>IFERROR(__xludf.DUMMYFUNCTION("""COMPUTED_VALUE"""),"")</f>
        <v/>
      </c>
    </row>
    <row r="157" ht="16.5" customHeight="1">
      <c r="A157" s="166"/>
      <c r="B157" s="167"/>
      <c r="C157" s="168"/>
      <c r="D157" s="169">
        <f>IFERROR(__xludf.DUMMYFUNCTION("""COMPUTED_VALUE"""),5.0)</f>
        <v>5</v>
      </c>
      <c r="E157" s="170" t="str">
        <f>IFERROR(__xludf.DUMMYFUNCTION("""COMPUTED_VALUE"""),"")</f>
        <v/>
      </c>
      <c r="F157" s="51" t="str">
        <f>IFERROR(__xludf.DUMMYFUNCTION("""COMPUTED_VALUE"""),"")</f>
        <v/>
      </c>
      <c r="G157" s="51" t="str">
        <f>IFERROR(__xludf.DUMMYFUNCTION("""COMPUTED_VALUE"""),"")</f>
        <v/>
      </c>
      <c r="H157" s="172" t="str">
        <f>IFERROR(__xludf.DUMMYFUNCTION("""COMPUTED_VALUE"""),"")</f>
        <v/>
      </c>
      <c r="I157" s="173" t="str">
        <f>IFERROR(__xludf.DUMMYFUNCTION("""COMPUTED_VALUE"""),"")</f>
        <v/>
      </c>
      <c r="J157" s="174" t="str">
        <f>IFERROR(__xludf.DUMMYFUNCTION("""COMPUTED_VALUE"""),"")</f>
        <v/>
      </c>
      <c r="K157" s="175" t="str">
        <f>IFERROR(__xludf.DUMMYFUNCTION("""COMPUTED_VALUE"""),"AP")</f>
        <v>AP</v>
      </c>
      <c r="L157" s="176" t="str">
        <f>IFERROR(__xludf.DUMMYFUNCTION("""COMPUTED_VALUE"""),"")</f>
        <v/>
      </c>
      <c r="M157" s="175" t="str">
        <f>IFERROR(__xludf.DUMMYFUNCTION("""COMPUTED_VALUE"""),"％")</f>
        <v>％</v>
      </c>
      <c r="N157" s="172" t="str">
        <f>IFERROR(__xludf.DUMMYFUNCTION("""COMPUTED_VALUE"""),"")</f>
        <v/>
      </c>
      <c r="O157" s="168"/>
      <c r="P157" s="371" t="str">
        <f>IFERROR(__xludf.DUMMYFUNCTION("""COMPUTED_VALUE"""),"")</f>
        <v/>
      </c>
      <c r="Q157" s="166"/>
      <c r="R157" s="167"/>
      <c r="S157" s="168"/>
      <c r="T157" s="169">
        <f>IFERROR(__xludf.DUMMYFUNCTION("""COMPUTED_VALUE"""),5.0)</f>
        <v>5</v>
      </c>
      <c r="U157" s="170" t="str">
        <f>IFERROR(__xludf.DUMMYFUNCTION("""COMPUTED_VALUE"""),"FUY8")</f>
        <v>FUY8</v>
      </c>
      <c r="V157" s="51" t="str">
        <f>IFERROR(__xludf.DUMMYFUNCTION("""COMPUTED_VALUE"""),"Fuyuki")</f>
        <v>Fuyuki</v>
      </c>
      <c r="W157" s="171" t="str">
        <f>IFERROR(__xludf.DUMMYFUNCTION("""COMPUTED_VALUE"""),"Mobile Coordinate No.0")</f>
        <v>Mobile Coordinate No.0</v>
      </c>
      <c r="X157" s="172">
        <f>IFERROR(__xludf.DUMMYFUNCTION("""COMPUTED_VALUE"""),7.0)</f>
        <v>7</v>
      </c>
      <c r="Y157" s="173">
        <f>IFERROR(__xludf.DUMMYFUNCTION("""COMPUTED_VALUE"""),26.857142857142858)</f>
        <v>26.85714286</v>
      </c>
      <c r="Z157" s="174">
        <f>IFERROR(__xludf.DUMMYFUNCTION("""COMPUTED_VALUE"""),76.93814776356263)</f>
        <v>76.93814776</v>
      </c>
      <c r="AA157" s="175" t="str">
        <f>IFERROR(__xludf.DUMMYFUNCTION("""COMPUTED_VALUE"""),"AP")</f>
        <v>AP</v>
      </c>
      <c r="AB157" s="176">
        <f>IFERROR(__xludf.DUMMYFUNCTION("""COMPUTED_VALUE"""),9.098217468805704)</f>
        <v>9.098217469</v>
      </c>
      <c r="AC157" s="175" t="str">
        <f>IFERROR(__xludf.DUMMYFUNCTION("""COMPUTED_VALUE"""),"％")</f>
        <v>％</v>
      </c>
      <c r="AD157" s="172">
        <f>IFERROR(__xludf.DUMMYFUNCTION("""COMPUTED_VALUE"""),561.0)</f>
        <v>561</v>
      </c>
      <c r="AE157" s="168"/>
      <c r="AF157" s="372" t="str">
        <f>IFERROR(__xludf.DUMMYFUNCTION("""COMPUTED_VALUE"""),"")</f>
        <v/>
      </c>
    </row>
    <row r="158" ht="16.5" customHeight="1">
      <c r="A158" s="61" t="str">
        <f>IFERROR(__xludf.DUMMYFUNCTION("""COMPUTED_VALUE"""),"")</f>
        <v/>
      </c>
      <c r="B158" s="366" t="str">
        <f>IFERROR(__xludf.DUMMYFUNCTION("""COMPUTED_VALUE"""),"A104")</f>
        <v>A104</v>
      </c>
      <c r="C158" s="180" t="str">
        <f>IFERROR(__xludf.DUMMYFUNCTION("""COMPUTED_VALUE"""),"Spirit Root")</f>
        <v>Spirit Root</v>
      </c>
      <c r="D158" s="181">
        <f>IFERROR(__xludf.DUMMYFUNCTION("""COMPUTED_VALUE"""),1.0)</f>
        <v>1</v>
      </c>
      <c r="E158" s="182" t="str">
        <f>IFERROR(__xludf.DUMMYFUNCTION("""COMPUTED_VALUE"""),"CML10")</f>
        <v>CML10</v>
      </c>
      <c r="F158" s="184" t="str">
        <f>IFERROR(__xludf.DUMMYFUNCTION("""COMPUTED_VALUE"""),"Camelot")</f>
        <v>Camelot</v>
      </c>
      <c r="G158" s="189" t="str">
        <f>IFERROR(__xludf.DUMMYFUNCTION("""COMPUTED_VALUE"""),"Holy City")</f>
        <v>Holy City</v>
      </c>
      <c r="H158" s="190">
        <f>IFERROR(__xludf.DUMMYFUNCTION("""COMPUTED_VALUE"""),20.0)</f>
        <v>20</v>
      </c>
      <c r="I158" s="191">
        <f>IFERROR(__xludf.DUMMYFUNCTION("""COMPUTED_VALUE"""),45.4)</f>
        <v>45.4</v>
      </c>
      <c r="J158" s="192">
        <f>IFERROR(__xludf.DUMMYFUNCTION("""COMPUTED_VALUE"""),166.01660231647563)</f>
        <v>166.0166023</v>
      </c>
      <c r="K158" s="194" t="str">
        <f>IFERROR(__xludf.DUMMYFUNCTION("""COMPUTED_VALUE"""),"AP")</f>
        <v>AP</v>
      </c>
      <c r="L158" s="192">
        <f>IFERROR(__xludf.DUMMYFUNCTION("""COMPUTED_VALUE"""),12.04698790418215)</f>
        <v>12.0469879</v>
      </c>
      <c r="M158" s="194" t="str">
        <f>IFERROR(__xludf.DUMMYFUNCTION("""COMPUTED_VALUE"""),"％")</f>
        <v>％</v>
      </c>
      <c r="N158" s="190">
        <f>IFERROR(__xludf.DUMMYFUNCTION("""COMPUTED_VALUE"""),25298.0)</f>
        <v>25298</v>
      </c>
      <c r="O158" s="197" t="str">
        <f>IFERROR(__xludf.DUMMYFUNCTION("""COMPUTED_VALUE"""),"Spirit Root")</f>
        <v>Spirit Root</v>
      </c>
      <c r="P158" s="371" t="str">
        <f>IFERROR(__xludf.DUMMYFUNCTION("""COMPUTED_VALUE"""),"")</f>
        <v/>
      </c>
      <c r="Q158" s="61" t="str">
        <f>IFERROR(__xludf.DUMMYFUNCTION("""COMPUTED_VALUE"""),"")</f>
        <v/>
      </c>
      <c r="R158" s="366" t="str">
        <f>IFERROR(__xludf.DUMMYFUNCTION("""COMPUTED_VALUE"""),"B212")</f>
        <v>B212</v>
      </c>
      <c r="S158" s="180" t="str">
        <f>IFERROR(__xludf.DUMMYFUNCTION("""COMPUTED_VALUE"""),"Archer Piece")</f>
        <v>Archer Piece</v>
      </c>
      <c r="T158" s="181">
        <f>IFERROR(__xludf.DUMMYFUNCTION("""COMPUTED_VALUE"""),1.0)</f>
        <v>1</v>
      </c>
      <c r="U158" s="182" t="str">
        <f>IFERROR(__xludf.DUMMYFUNCTION("""COMPUTED_VALUE"""),"TRF3")</f>
        <v>TRF3</v>
      </c>
      <c r="V158" s="184" t="str">
        <f>IFERROR(__xludf.DUMMYFUNCTION("""COMPUTED_VALUE"""),"Chaldea Gate (Mon)")</f>
        <v>Chaldea Gate (Mon)</v>
      </c>
      <c r="W158" s="184" t="str">
        <f>IFERROR(__xludf.DUMMYFUNCTION("""COMPUTED_VALUE"""),"MON Archer Training Ground- Adv")</f>
        <v>MON Archer Training Ground- Adv</v>
      </c>
      <c r="X158" s="190">
        <f>IFERROR(__xludf.DUMMYFUNCTION("""COMPUTED_VALUE"""),30.0)</f>
        <v>30</v>
      </c>
      <c r="Y158" s="191">
        <f>IFERROR(__xludf.DUMMYFUNCTION("""COMPUTED_VALUE"""),18.266666666666666)</f>
        <v>18.26666667</v>
      </c>
      <c r="Z158" s="192">
        <f>IFERROR(__xludf.DUMMYFUNCTION("""COMPUTED_VALUE"""),28.37976796562281)</f>
        <v>28.37976797</v>
      </c>
      <c r="AA158" s="194" t="str">
        <f>IFERROR(__xludf.DUMMYFUNCTION("""COMPUTED_VALUE"""),"AP")</f>
        <v>AP</v>
      </c>
      <c r="AB158" s="192">
        <f>IFERROR(__xludf.DUMMYFUNCTION("""COMPUTED_VALUE"""),105.70910951893552)</f>
        <v>105.7091095</v>
      </c>
      <c r="AC158" s="194" t="str">
        <f>IFERROR(__xludf.DUMMYFUNCTION("""COMPUTED_VALUE"""),"％")</f>
        <v>％</v>
      </c>
      <c r="AD158" s="190">
        <f>IFERROR(__xludf.DUMMYFUNCTION("""COMPUTED_VALUE"""),977.0)</f>
        <v>977</v>
      </c>
      <c r="AE158" s="197" t="str">
        <f>IFERROR(__xludf.DUMMYFUNCTION("""COMPUTED_VALUE"""),"Archer Piece")</f>
        <v>Archer Piece</v>
      </c>
      <c r="AF158" s="372" t="str">
        <f>IFERROR(__xludf.DUMMYFUNCTION("""COMPUTED_VALUE"""),"")</f>
        <v/>
      </c>
    </row>
    <row r="159" ht="16.5" customHeight="1">
      <c r="C159" s="204"/>
      <c r="D159" s="205">
        <f>IFERROR(__xludf.DUMMYFUNCTION("""COMPUTED_VALUE"""),2.0)</f>
        <v>2</v>
      </c>
      <c r="E159" s="206" t="str">
        <f>IFERROR(__xludf.DUMMYFUNCTION("""COMPUTED_VALUE"""),"SJK8")</f>
        <v>SJK8</v>
      </c>
      <c r="F159" s="207" t="str">
        <f>IFERROR(__xludf.DUMMYFUNCTION("""COMPUTED_VALUE"""),"Shinjuku")</f>
        <v>Shinjuku</v>
      </c>
      <c r="G159" s="209" t="str">
        <f>IFERROR(__xludf.DUMMYFUNCTION("""COMPUTED_VALUE"""),"Tower - Top Floor")</f>
        <v>Tower - Top Floor</v>
      </c>
      <c r="H159" s="211">
        <f>IFERROR(__xludf.DUMMYFUNCTION("""COMPUTED_VALUE"""),21.0)</f>
        <v>21</v>
      </c>
      <c r="I159" s="213">
        <f>IFERROR(__xludf.DUMMYFUNCTION("""COMPUTED_VALUE"""),47.80952380952381)</f>
        <v>47.80952381</v>
      </c>
      <c r="J159" s="214">
        <f>IFERROR(__xludf.DUMMYFUNCTION("""COMPUTED_VALUE"""),176.44777662874873)</f>
        <v>176.4477766</v>
      </c>
      <c r="K159" s="215" t="str">
        <f>IFERROR(__xludf.DUMMYFUNCTION("""COMPUTED_VALUE"""),"AP")</f>
        <v>AP</v>
      </c>
      <c r="L159" s="214">
        <f>IFERROR(__xludf.DUMMYFUNCTION("""COMPUTED_VALUE"""),11.901538461538461)</f>
        <v>11.90153846</v>
      </c>
      <c r="M159" s="215" t="str">
        <f>IFERROR(__xludf.DUMMYFUNCTION("""COMPUTED_VALUE"""),"％")</f>
        <v>％</v>
      </c>
      <c r="N159" s="211">
        <f>IFERROR(__xludf.DUMMYFUNCTION("""COMPUTED_VALUE"""),3250.0)</f>
        <v>3250</v>
      </c>
      <c r="O159" s="217"/>
      <c r="P159" s="371" t="str">
        <f>IFERROR(__xludf.DUMMYFUNCTION("""COMPUTED_VALUE"""),"")</f>
        <v/>
      </c>
      <c r="S159" s="204"/>
      <c r="T159" s="205">
        <f>IFERROR(__xludf.DUMMYFUNCTION("""COMPUTED_VALUE"""),2.0)</f>
        <v>2</v>
      </c>
      <c r="U159" s="206" t="str">
        <f>IFERROR(__xludf.DUMMYFUNCTION("""COMPUTED_VALUE"""),"TRF2")</f>
        <v>TRF2</v>
      </c>
      <c r="V159" s="207" t="str">
        <f>IFERROR(__xludf.DUMMYFUNCTION("""COMPUTED_VALUE"""),"Chaldea Gate (Mon)")</f>
        <v>Chaldea Gate (Mon)</v>
      </c>
      <c r="W159" s="207" t="str">
        <f>IFERROR(__xludf.DUMMYFUNCTION("""COMPUTED_VALUE"""),"MON Archer Training Ground- Int")</f>
        <v>MON Archer Training Ground- Int</v>
      </c>
      <c r="X159" s="211">
        <f>IFERROR(__xludf.DUMMYFUNCTION("""COMPUTED_VALUE"""),20.0)</f>
        <v>20</v>
      </c>
      <c r="Y159" s="213">
        <f>IFERROR(__xludf.DUMMYFUNCTION("""COMPUTED_VALUE"""),18.4)</f>
        <v>18.4</v>
      </c>
      <c r="Z159" s="214">
        <f>IFERROR(__xludf.DUMMYFUNCTION("""COMPUTED_VALUE"""),28.735302332878007)</f>
        <v>28.73530233</v>
      </c>
      <c r="AA159" s="215" t="str">
        <f>IFERROR(__xludf.DUMMYFUNCTION("""COMPUTED_VALUE"""),"AP")</f>
        <v>AP</v>
      </c>
      <c r="AB159" s="214">
        <f>IFERROR(__xludf.DUMMYFUNCTION("""COMPUTED_VALUE"""),69.60079893475366)</f>
        <v>69.60079893</v>
      </c>
      <c r="AC159" s="215" t="str">
        <f>IFERROR(__xludf.DUMMYFUNCTION("""COMPUTED_VALUE"""),"％")</f>
        <v>％</v>
      </c>
      <c r="AD159" s="211">
        <f>IFERROR(__xludf.DUMMYFUNCTION("""COMPUTED_VALUE"""),751.0)</f>
        <v>751</v>
      </c>
      <c r="AE159" s="217"/>
      <c r="AF159" s="372" t="str">
        <f>IFERROR(__xludf.DUMMYFUNCTION("""COMPUTED_VALUE"""),"")</f>
        <v/>
      </c>
    </row>
    <row r="160" ht="16.5" customHeight="1">
      <c r="C160" s="204"/>
      <c r="D160" s="222">
        <f>IFERROR(__xludf.DUMMYFUNCTION("""COMPUTED_VALUE"""),3.0)</f>
        <v>3</v>
      </c>
      <c r="E160" s="223" t="str">
        <f>IFERROR(__xludf.DUMMYFUNCTION("""COMPUTED_VALUE"""),"EPU13")</f>
        <v>EPU13</v>
      </c>
      <c r="F160" s="224" t="str">
        <f>IFERROR(__xludf.DUMMYFUNCTION("""COMPUTED_VALUE"""),"E Pluribus Unum")</f>
        <v>E Pluribus Unum</v>
      </c>
      <c r="G160" s="226" t="str">
        <f>IFERROR(__xludf.DUMMYFUNCTION("""COMPUTED_VALUE"""),"Washington")</f>
        <v>Washington</v>
      </c>
      <c r="H160" s="228">
        <f>IFERROR(__xludf.DUMMYFUNCTION("""COMPUTED_VALUE"""),20.0)</f>
        <v>20</v>
      </c>
      <c r="I160" s="230">
        <f>IFERROR(__xludf.DUMMYFUNCTION("""COMPUTED_VALUE"""),47.2)</f>
        <v>47.2</v>
      </c>
      <c r="J160" s="231">
        <f>IFERROR(__xludf.DUMMYFUNCTION("""COMPUTED_VALUE"""),305.48874609613375)</f>
        <v>305.4887461</v>
      </c>
      <c r="K160" s="232" t="str">
        <f>IFERROR(__xludf.DUMMYFUNCTION("""COMPUTED_VALUE"""),"AP")</f>
        <v>AP</v>
      </c>
      <c r="L160" s="231">
        <f>IFERROR(__xludf.DUMMYFUNCTION("""COMPUTED_VALUE"""),6.546886016451235)</f>
        <v>6.546886016</v>
      </c>
      <c r="M160" s="232" t="str">
        <f>IFERROR(__xludf.DUMMYFUNCTION("""COMPUTED_VALUE"""),"％")</f>
        <v>％</v>
      </c>
      <c r="N160" s="228">
        <f>IFERROR(__xludf.DUMMYFUNCTION("""COMPUTED_VALUE"""),851.0)</f>
        <v>851</v>
      </c>
      <c r="O160" s="217"/>
      <c r="P160" s="371" t="str">
        <f>IFERROR(__xludf.DUMMYFUNCTION("""COMPUTED_VALUE"""),"")</f>
        <v/>
      </c>
      <c r="S160" s="204"/>
      <c r="T160" s="222">
        <f>IFERROR(__xludf.DUMMYFUNCTION("""COMPUTED_VALUE"""),3.0)</f>
        <v>3</v>
      </c>
      <c r="U160" s="223" t="str">
        <f>IFERROR(__xludf.DUMMYFUNCTION("""COMPUTED_VALUE"""),"TRF1")</f>
        <v>TRF1</v>
      </c>
      <c r="V160" s="224" t="str">
        <f>IFERROR(__xludf.DUMMYFUNCTION("""COMPUTED_VALUE"""),"Chaldea Gate (Mon)")</f>
        <v>Chaldea Gate (Mon)</v>
      </c>
      <c r="W160" s="224" t="str">
        <f>IFERROR(__xludf.DUMMYFUNCTION("""COMPUTED_VALUE"""),"MON Archer Training Ground- Nov")</f>
        <v>MON Archer Training Ground- Nov</v>
      </c>
      <c r="X160" s="228">
        <f>IFERROR(__xludf.DUMMYFUNCTION("""COMPUTED_VALUE"""),10.0)</f>
        <v>10</v>
      </c>
      <c r="Y160" s="230">
        <f>IFERROR(__xludf.DUMMYFUNCTION("""COMPUTED_VALUE"""),18.8)</f>
        <v>18.8</v>
      </c>
      <c r="Z160" s="231">
        <f>IFERROR(__xludf.DUMMYFUNCTION("""COMPUTED_VALUE"""),44.89383311796373)</f>
        <v>44.89383312</v>
      </c>
      <c r="AA160" s="232" t="str">
        <f>IFERROR(__xludf.DUMMYFUNCTION("""COMPUTED_VALUE"""),"AP")</f>
        <v>AP</v>
      </c>
      <c r="AB160" s="231">
        <f>IFERROR(__xludf.DUMMYFUNCTION("""COMPUTED_VALUE"""),22.274774296335636)</f>
        <v>22.2747743</v>
      </c>
      <c r="AC160" s="232" t="str">
        <f>IFERROR(__xludf.DUMMYFUNCTION("""COMPUTED_VALUE"""),"％")</f>
        <v>％</v>
      </c>
      <c r="AD160" s="228">
        <f>IFERROR(__xludf.DUMMYFUNCTION("""COMPUTED_VALUE"""),1883.0)</f>
        <v>1883</v>
      </c>
      <c r="AE160" s="217"/>
      <c r="AF160" s="372" t="str">
        <f>IFERROR(__xludf.DUMMYFUNCTION("""COMPUTED_VALUE"""),"")</f>
        <v/>
      </c>
    </row>
    <row r="161" ht="16.5" customHeight="1">
      <c r="C161" s="204"/>
      <c r="D161" s="238">
        <f>IFERROR(__xludf.DUMMYFUNCTION("""COMPUTED_VALUE"""),4.0)</f>
        <v>4</v>
      </c>
      <c r="E161" s="240" t="str">
        <f>IFERROR(__xludf.DUMMYFUNCTION("""COMPUTED_VALUE"""),"TRF28")</f>
        <v>TRF28</v>
      </c>
      <c r="F161" s="242" t="str">
        <f>IFERROR(__xludf.DUMMYFUNCTION("""COMPUTED_VALUE"""),"Chaldea Gate (Sun)")</f>
        <v>Chaldea Gate (Sun)</v>
      </c>
      <c r="G161" s="242" t="str">
        <f>IFERROR(__xludf.DUMMYFUNCTION("""COMPUTED_VALUE"""),"SUN Saber Training Ground- Exp")</f>
        <v>SUN Saber Training Ground- Exp</v>
      </c>
      <c r="H161" s="246">
        <f>IFERROR(__xludf.DUMMYFUNCTION("""COMPUTED_VALUE"""),40.0)</f>
        <v>40</v>
      </c>
      <c r="I161" s="248">
        <f>IFERROR(__xludf.DUMMYFUNCTION("""COMPUTED_VALUE"""),19.7)</f>
        <v>19.7</v>
      </c>
      <c r="J161" s="250">
        <f>IFERROR(__xludf.DUMMYFUNCTION("""COMPUTED_VALUE"""),489.74141671181326)</f>
        <v>489.7414167</v>
      </c>
      <c r="K161" s="252" t="str">
        <f>IFERROR(__xludf.DUMMYFUNCTION("""COMPUTED_VALUE"""),"AP")</f>
        <v>AP</v>
      </c>
      <c r="L161" s="250">
        <f>IFERROR(__xludf.DUMMYFUNCTION("""COMPUTED_VALUE"""),8.167575507206463)</f>
        <v>8.167575507</v>
      </c>
      <c r="M161" s="252" t="str">
        <f>IFERROR(__xludf.DUMMYFUNCTION("""COMPUTED_VALUE"""),"％")</f>
        <v>％</v>
      </c>
      <c r="N161" s="246">
        <f>IFERROR(__xludf.DUMMYFUNCTION("""COMPUTED_VALUE"""),21786.0)</f>
        <v>21786</v>
      </c>
      <c r="O161" s="217"/>
      <c r="P161" s="371" t="str">
        <f>IFERROR(__xludf.DUMMYFUNCTION("""COMPUTED_VALUE"""),"")</f>
        <v/>
      </c>
      <c r="S161" s="204"/>
      <c r="T161" s="238">
        <f>IFERROR(__xludf.DUMMYFUNCTION("""COMPUTED_VALUE"""),4.0)</f>
        <v>4</v>
      </c>
      <c r="U161" s="240" t="str">
        <f>IFERROR(__xludf.DUMMYFUNCTION("""COMPUTED_VALUE"""),"TRF4")</f>
        <v>TRF4</v>
      </c>
      <c r="V161" s="242" t="str">
        <f>IFERROR(__xludf.DUMMYFUNCTION("""COMPUTED_VALUE"""),"Chaldea Gate (Mon)")</f>
        <v>Chaldea Gate (Mon)</v>
      </c>
      <c r="W161" s="242" t="str">
        <f>IFERROR(__xludf.DUMMYFUNCTION("""COMPUTED_VALUE"""),"MON Archer Training Ground- Exp")</f>
        <v>MON Archer Training Ground- Exp</v>
      </c>
      <c r="X161" s="246">
        <f>IFERROR(__xludf.DUMMYFUNCTION("""COMPUTED_VALUE"""),40.0)</f>
        <v>40</v>
      </c>
      <c r="Y161" s="248">
        <f>IFERROR(__xludf.DUMMYFUNCTION("""COMPUTED_VALUE"""),19.7)</f>
        <v>19.7</v>
      </c>
      <c r="Z161" s="250">
        <f>IFERROR(__xludf.DUMMYFUNCTION("""COMPUTED_VALUE"""),49.475666235772636)</f>
        <v>49.47566624</v>
      </c>
      <c r="AA161" s="252" t="str">
        <f>IFERROR(__xludf.DUMMYFUNCTION("""COMPUTED_VALUE"""),"AP")</f>
        <v>AP</v>
      </c>
      <c r="AB161" s="250">
        <f>IFERROR(__xludf.DUMMYFUNCTION("""COMPUTED_VALUE"""),80.84782488705245)</f>
        <v>80.84782489</v>
      </c>
      <c r="AC161" s="252" t="str">
        <f>IFERROR(__xludf.DUMMYFUNCTION("""COMPUTED_VALUE"""),"％")</f>
        <v>％</v>
      </c>
      <c r="AD161" s="246">
        <f>IFERROR(__xludf.DUMMYFUNCTION("""COMPUTED_VALUE"""),9762.0)</f>
        <v>9762</v>
      </c>
      <c r="AE161" s="217"/>
      <c r="AF161" s="372" t="str">
        <f>IFERROR(__xludf.DUMMYFUNCTION("""COMPUTED_VALUE"""),"")</f>
        <v/>
      </c>
    </row>
    <row r="162" ht="16.5" customHeight="1">
      <c r="A162" s="166"/>
      <c r="C162" s="255"/>
      <c r="D162" s="256">
        <f>IFERROR(__xludf.DUMMYFUNCTION("""COMPUTED_VALUE"""),5.0)</f>
        <v>5</v>
      </c>
      <c r="E162" s="257" t="str">
        <f>IFERROR(__xludf.DUMMYFUNCTION("""COMPUTED_VALUE"""),"TRF27")</f>
        <v>TRF27</v>
      </c>
      <c r="F162" s="42" t="str">
        <f>IFERROR(__xludf.DUMMYFUNCTION("""COMPUTED_VALUE"""),"Chaldea Gate (Sun)")</f>
        <v>Chaldea Gate (Sun)</v>
      </c>
      <c r="G162" s="42" t="str">
        <f>IFERROR(__xludf.DUMMYFUNCTION("""COMPUTED_VALUE"""),"SUN Saber Training Ground- Adv")</f>
        <v>SUN Saber Training Ground- Adv</v>
      </c>
      <c r="H162" s="259">
        <f>IFERROR(__xludf.DUMMYFUNCTION("""COMPUTED_VALUE"""),30.0)</f>
        <v>30</v>
      </c>
      <c r="I162" s="260">
        <f>IFERROR(__xludf.DUMMYFUNCTION("""COMPUTED_VALUE"""),18.266666666666666)</f>
        <v>18.26666667</v>
      </c>
      <c r="J162" s="261">
        <f>IFERROR(__xludf.DUMMYFUNCTION("""COMPUTED_VALUE"""),773.3633644721781)</f>
        <v>773.3633645</v>
      </c>
      <c r="K162" s="262" t="str">
        <f>IFERROR(__xludf.DUMMYFUNCTION("""COMPUTED_VALUE"""),"AP")</f>
        <v>AP</v>
      </c>
      <c r="L162" s="261">
        <f>IFERROR(__xludf.DUMMYFUNCTION("""COMPUTED_VALUE"""),3.8791597039866317)</f>
        <v>3.879159704</v>
      </c>
      <c r="M162" s="262" t="str">
        <f>IFERROR(__xludf.DUMMYFUNCTION("""COMPUTED_VALUE"""),"％")</f>
        <v>％</v>
      </c>
      <c r="N162" s="259">
        <f>IFERROR(__xludf.DUMMYFUNCTION("""COMPUTED_VALUE"""),4189.0)</f>
        <v>4189</v>
      </c>
      <c r="O162" s="263"/>
      <c r="P162" s="371" t="str">
        <f>IFERROR(__xludf.DUMMYFUNCTION("""COMPUTED_VALUE"""),"")</f>
        <v/>
      </c>
      <c r="Q162" s="166"/>
      <c r="S162" s="255"/>
      <c r="T162" s="256">
        <f>IFERROR(__xludf.DUMMYFUNCTION("""COMPUTED_VALUE"""),5.0)</f>
        <v>5</v>
      </c>
      <c r="U162" s="257" t="str">
        <f>IFERROR(__xludf.DUMMYFUNCTION("""COMPUTED_VALUE"""),"EPU8")</f>
        <v>EPU8</v>
      </c>
      <c r="V162" s="42" t="str">
        <f>IFERROR(__xludf.DUMMYFUNCTION("""COMPUTED_VALUE"""),"E Pluribus Unum")</f>
        <v>E Pluribus Unum</v>
      </c>
      <c r="W162" s="258" t="str">
        <f>IFERROR(__xludf.DUMMYFUNCTION("""COMPUTED_VALUE"""),"Montgomery")</f>
        <v>Montgomery</v>
      </c>
      <c r="X162" s="259">
        <f>IFERROR(__xludf.DUMMYFUNCTION("""COMPUTED_VALUE"""),18.0)</f>
        <v>18</v>
      </c>
      <c r="Y162" s="260">
        <f>IFERROR(__xludf.DUMMYFUNCTION("""COMPUTED_VALUE"""),42.44444444444444)</f>
        <v>42.44444444</v>
      </c>
      <c r="Z162" s="261">
        <f>IFERROR(__xludf.DUMMYFUNCTION("""COMPUTED_VALUE"""),147.37597186227325)</f>
        <v>147.3759719</v>
      </c>
      <c r="AA162" s="262" t="str">
        <f>IFERROR(__xludf.DUMMYFUNCTION("""COMPUTED_VALUE"""),"AP")</f>
        <v>AP</v>
      </c>
      <c r="AB162" s="261">
        <f>IFERROR(__xludf.DUMMYFUNCTION("""COMPUTED_VALUE"""),12.213659915214318)</f>
        <v>12.21365992</v>
      </c>
      <c r="AC162" s="262" t="str">
        <f>IFERROR(__xludf.DUMMYFUNCTION("""COMPUTED_VALUE"""),"％")</f>
        <v>％</v>
      </c>
      <c r="AD162" s="259">
        <f>IFERROR(__xludf.DUMMYFUNCTION("""COMPUTED_VALUE"""),2123.0)</f>
        <v>2123</v>
      </c>
      <c r="AE162" s="263"/>
      <c r="AF162" s="372" t="str">
        <f>IFERROR(__xludf.DUMMYFUNCTION("""COMPUTED_VALUE"""),"")</f>
        <v/>
      </c>
    </row>
    <row r="163" ht="16.5" customHeight="1">
      <c r="A163" s="61" t="str">
        <f>IFERROR(__xludf.DUMMYFUNCTION("""COMPUTED_VALUE"""),"")</f>
        <v/>
      </c>
      <c r="B163" s="367" t="str">
        <f>IFERROR(__xludf.DUMMYFUNCTION("""COMPUTED_VALUE"""),"A105")</f>
        <v>A105</v>
      </c>
      <c r="C163" s="65" t="str">
        <f>IFERROR(__xludf.DUMMYFUNCTION("""COMPUTED_VALUE"""),"Warhorse's Young Horn")</f>
        <v>Warhorse's Young Horn</v>
      </c>
      <c r="D163" s="67">
        <f>IFERROR(__xludf.DUMMYFUNCTION("""COMPUTED_VALUE"""),1.0)</f>
        <v>1</v>
      </c>
      <c r="E163" s="69" t="str">
        <f>IFERROR(__xludf.DUMMYFUNCTION("""COMPUTED_VALUE"""),"AGT2")</f>
        <v>AGT2</v>
      </c>
      <c r="F163" s="71" t="str">
        <f>IFERROR(__xludf.DUMMYFUNCTION("""COMPUTED_VALUE"""),"Agartha")</f>
        <v>Agartha</v>
      </c>
      <c r="G163" s="78" t="str">
        <f>IFERROR(__xludf.DUMMYFUNCTION("""COMPUTED_VALUE"""),"Camping Ground")</f>
        <v>Camping Ground</v>
      </c>
      <c r="H163" s="80">
        <f>IFERROR(__xludf.DUMMYFUNCTION("""COMPUTED_VALUE"""),20.0)</f>
        <v>20</v>
      </c>
      <c r="I163" s="82">
        <f>IFERROR(__xludf.DUMMYFUNCTION("""COMPUTED_VALUE"""),46.6)</f>
        <v>46.6</v>
      </c>
      <c r="J163" s="84">
        <f>IFERROR(__xludf.DUMMYFUNCTION("""COMPUTED_VALUE"""),88.1284961889496)</f>
        <v>88.12849619</v>
      </c>
      <c r="K163" s="86" t="str">
        <f>IFERROR(__xludf.DUMMYFUNCTION("""COMPUTED_VALUE"""),"AP")</f>
        <v>AP</v>
      </c>
      <c r="L163" s="88">
        <f>IFERROR(__xludf.DUMMYFUNCTION("""COMPUTED_VALUE"""),22.694135115070527)</f>
        <v>22.69413512</v>
      </c>
      <c r="M163" s="86" t="str">
        <f>IFERROR(__xludf.DUMMYFUNCTION("""COMPUTED_VALUE"""),"％")</f>
        <v>％</v>
      </c>
      <c r="N163" s="80">
        <f>IFERROR(__xludf.DUMMYFUNCTION("""COMPUTED_VALUE"""),1347.0)</f>
        <v>1347</v>
      </c>
      <c r="O163" s="91" t="str">
        <f>IFERROR(__xludf.DUMMYFUNCTION("""COMPUTED_VALUE"""),"Warhorse's Young Horn")</f>
        <v>Warhorse's Young Horn</v>
      </c>
      <c r="P163" s="371" t="str">
        <f>IFERROR(__xludf.DUMMYFUNCTION("""COMPUTED_VALUE"""),"")</f>
        <v/>
      </c>
      <c r="Q163" s="61" t="str">
        <f>IFERROR(__xludf.DUMMYFUNCTION("""COMPUTED_VALUE"""),"")</f>
        <v/>
      </c>
      <c r="R163" s="367" t="str">
        <f>IFERROR(__xludf.DUMMYFUNCTION("""COMPUTED_VALUE"""),"B213")</f>
        <v>B213</v>
      </c>
      <c r="S163" s="65" t="str">
        <f>IFERROR(__xludf.DUMMYFUNCTION("""COMPUTED_VALUE"""),"Lancer Piece")</f>
        <v>Lancer Piece</v>
      </c>
      <c r="T163" s="67">
        <f>IFERROR(__xludf.DUMMYFUNCTION("""COMPUTED_VALUE"""),1.0)</f>
        <v>1</v>
      </c>
      <c r="U163" s="69" t="str">
        <f>IFERROR(__xludf.DUMMYFUNCTION("""COMPUTED_VALUE"""),"TRF6")</f>
        <v>TRF6</v>
      </c>
      <c r="V163" s="71" t="str">
        <f>IFERROR(__xludf.DUMMYFUNCTION("""COMPUTED_VALUE"""),"Chaldea Gate (Tue)")</f>
        <v>Chaldea Gate (Tue)</v>
      </c>
      <c r="W163" s="71" t="str">
        <f>IFERROR(__xludf.DUMMYFUNCTION("""COMPUTED_VALUE"""),"TUE Lancer Training Ground- Int")</f>
        <v>TUE Lancer Training Ground- Int</v>
      </c>
      <c r="X163" s="80">
        <f>IFERROR(__xludf.DUMMYFUNCTION("""COMPUTED_VALUE"""),20.0)</f>
        <v>20</v>
      </c>
      <c r="Y163" s="82">
        <f>IFERROR(__xludf.DUMMYFUNCTION("""COMPUTED_VALUE"""),18.4)</f>
        <v>18.4</v>
      </c>
      <c r="Z163" s="84">
        <f>IFERROR(__xludf.DUMMYFUNCTION("""COMPUTED_VALUE"""),28.828925920437555)</f>
        <v>28.82892592</v>
      </c>
      <c r="AA163" s="86" t="str">
        <f>IFERROR(__xludf.DUMMYFUNCTION("""COMPUTED_VALUE"""),"AP")</f>
        <v>AP</v>
      </c>
      <c r="AB163" s="88">
        <f>IFERROR(__xludf.DUMMYFUNCTION("""COMPUTED_VALUE"""),69.37476635514018)</f>
        <v>69.37476636</v>
      </c>
      <c r="AC163" s="86" t="str">
        <f>IFERROR(__xludf.DUMMYFUNCTION("""COMPUTED_VALUE"""),"％")</f>
        <v>％</v>
      </c>
      <c r="AD163" s="80">
        <f>IFERROR(__xludf.DUMMYFUNCTION("""COMPUTED_VALUE"""),428.0)</f>
        <v>428</v>
      </c>
      <c r="AE163" s="91" t="str">
        <f>IFERROR(__xludf.DUMMYFUNCTION("""COMPUTED_VALUE"""),"Lancer Piece")</f>
        <v>Lancer Piece</v>
      </c>
      <c r="AF163" s="372" t="str">
        <f>IFERROR(__xludf.DUMMYFUNCTION("""COMPUTED_VALUE"""),"")</f>
        <v/>
      </c>
    </row>
    <row r="164" ht="16.5" customHeight="1">
      <c r="C164" s="100"/>
      <c r="D164" s="102">
        <f>IFERROR(__xludf.DUMMYFUNCTION("""COMPUTED_VALUE"""),2.0)</f>
        <v>2</v>
      </c>
      <c r="E164" s="103" t="str">
        <f>IFERROR(__xludf.DUMMYFUNCTION("""COMPUTED_VALUE"""),"CML4")</f>
        <v>CML4</v>
      </c>
      <c r="F164" s="104" t="str">
        <f>IFERROR(__xludf.DUMMYFUNCTION("""COMPUTED_VALUE"""),"Camelot")</f>
        <v>Camelot</v>
      </c>
      <c r="G164" s="108" t="str">
        <f>IFERROR(__xludf.DUMMYFUNCTION("""COMPUTED_VALUE"""),"East Village")</f>
        <v>East Village</v>
      </c>
      <c r="H164" s="109">
        <f>IFERROR(__xludf.DUMMYFUNCTION("""COMPUTED_VALUE"""),19.0)</f>
        <v>19</v>
      </c>
      <c r="I164" s="110">
        <f>IFERROR(__xludf.DUMMYFUNCTION("""COMPUTED_VALUE"""),44.0)</f>
        <v>44</v>
      </c>
      <c r="J164" s="112">
        <f>IFERROR(__xludf.DUMMYFUNCTION("""COMPUTED_VALUE"""),113.67064385411977)</f>
        <v>113.6706439</v>
      </c>
      <c r="K164" s="121" t="str">
        <f>IFERROR(__xludf.DUMMYFUNCTION("""COMPUTED_VALUE"""),"AP")</f>
        <v>AP</v>
      </c>
      <c r="L164" s="123">
        <f>IFERROR(__xludf.DUMMYFUNCTION("""COMPUTED_VALUE"""),16.714957666980244)</f>
        <v>16.71495767</v>
      </c>
      <c r="M164" s="121" t="str">
        <f>IFERROR(__xludf.DUMMYFUNCTION("""COMPUTED_VALUE"""),"％")</f>
        <v>％</v>
      </c>
      <c r="N164" s="109">
        <f>IFERROR(__xludf.DUMMYFUNCTION("""COMPUTED_VALUE"""),1063.0)</f>
        <v>1063</v>
      </c>
      <c r="O164" s="100"/>
      <c r="P164" s="371" t="str">
        <f>IFERROR(__xludf.DUMMYFUNCTION("""COMPUTED_VALUE"""),"")</f>
        <v/>
      </c>
      <c r="S164" s="100"/>
      <c r="T164" s="102">
        <f>IFERROR(__xludf.DUMMYFUNCTION("""COMPUTED_VALUE"""),2.0)</f>
        <v>2</v>
      </c>
      <c r="U164" s="103" t="str">
        <f>IFERROR(__xludf.DUMMYFUNCTION("""COMPUTED_VALUE"""),"TRF7")</f>
        <v>TRF7</v>
      </c>
      <c r="V164" s="104" t="str">
        <f>IFERROR(__xludf.DUMMYFUNCTION("""COMPUTED_VALUE"""),"Chaldea Gate (Tue)")</f>
        <v>Chaldea Gate (Tue)</v>
      </c>
      <c r="W164" s="104" t="str">
        <f>IFERROR(__xludf.DUMMYFUNCTION("""COMPUTED_VALUE"""),"TUE Lancer Training Ground- Adv")</f>
        <v>TUE Lancer Training Ground- Adv</v>
      </c>
      <c r="X164" s="109">
        <f>IFERROR(__xludf.DUMMYFUNCTION("""COMPUTED_VALUE"""),30.0)</f>
        <v>30</v>
      </c>
      <c r="Y164" s="110">
        <f>IFERROR(__xludf.DUMMYFUNCTION("""COMPUTED_VALUE"""),18.266666666666666)</f>
        <v>18.26666667</v>
      </c>
      <c r="Z164" s="112">
        <f>IFERROR(__xludf.DUMMYFUNCTION("""COMPUTED_VALUE"""),30.221607385139272)</f>
        <v>30.22160739</v>
      </c>
      <c r="AA164" s="121" t="str">
        <f>IFERROR(__xludf.DUMMYFUNCTION("""COMPUTED_VALUE"""),"AP")</f>
        <v>AP</v>
      </c>
      <c r="AB164" s="123">
        <f>IFERROR(__xludf.DUMMYFUNCTION("""COMPUTED_VALUE"""),99.26672535211267)</f>
        <v>99.26672535</v>
      </c>
      <c r="AC164" s="121" t="str">
        <f>IFERROR(__xludf.DUMMYFUNCTION("""COMPUTED_VALUE"""),"％")</f>
        <v>％</v>
      </c>
      <c r="AD164" s="109">
        <f>IFERROR(__xludf.DUMMYFUNCTION("""COMPUTED_VALUE"""),1136.0)</f>
        <v>1136</v>
      </c>
      <c r="AE164" s="100"/>
      <c r="AF164" s="372" t="str">
        <f>IFERROR(__xludf.DUMMYFUNCTION("""COMPUTED_VALUE"""),"")</f>
        <v/>
      </c>
    </row>
    <row r="165" ht="16.5" customHeight="1">
      <c r="C165" s="100"/>
      <c r="D165" s="130">
        <f>IFERROR(__xludf.DUMMYFUNCTION("""COMPUTED_VALUE"""),3.0)</f>
        <v>3</v>
      </c>
      <c r="E165" s="132" t="str">
        <f>IFERROR(__xludf.DUMMYFUNCTION("""COMPUTED_VALUE"""),"EPU11")</f>
        <v>EPU11</v>
      </c>
      <c r="F165" s="133" t="str">
        <f>IFERROR(__xludf.DUMMYFUNCTION("""COMPUTED_VALUE"""),"E Pluribus Unum")</f>
        <v>E Pluribus Unum</v>
      </c>
      <c r="G165" s="135" t="str">
        <f>IFERROR(__xludf.DUMMYFUNCTION("""COMPUTED_VALUE"""),"Kearney")</f>
        <v>Kearney</v>
      </c>
      <c r="H165" s="137">
        <f>IFERROR(__xludf.DUMMYFUNCTION("""COMPUTED_VALUE"""),18.0)</f>
        <v>18</v>
      </c>
      <c r="I165" s="139">
        <f>IFERROR(__xludf.DUMMYFUNCTION("""COMPUTED_VALUE"""),43.77777777777778)</f>
        <v>43.77777778</v>
      </c>
      <c r="J165" s="141">
        <f>IFERROR(__xludf.DUMMYFUNCTION("""COMPUTED_VALUE"""),142.64183271988833)</f>
        <v>142.6418327</v>
      </c>
      <c r="K165" s="143" t="str">
        <f>IFERROR(__xludf.DUMMYFUNCTION("""COMPUTED_VALUE"""),"AP")</f>
        <v>AP</v>
      </c>
      <c r="L165" s="145">
        <f>IFERROR(__xludf.DUMMYFUNCTION("""COMPUTED_VALUE"""),12.619019019019019)</f>
        <v>12.61901902</v>
      </c>
      <c r="M165" s="143" t="str">
        <f>IFERROR(__xludf.DUMMYFUNCTION("""COMPUTED_VALUE"""),"％")</f>
        <v>％</v>
      </c>
      <c r="N165" s="137">
        <f>IFERROR(__xludf.DUMMYFUNCTION("""COMPUTED_VALUE"""),999.0)</f>
        <v>999</v>
      </c>
      <c r="O165" s="100"/>
      <c r="P165" s="371" t="str">
        <f>IFERROR(__xludf.DUMMYFUNCTION("""COMPUTED_VALUE"""),"")</f>
        <v/>
      </c>
      <c r="S165" s="100"/>
      <c r="T165" s="130">
        <f>IFERROR(__xludf.DUMMYFUNCTION("""COMPUTED_VALUE"""),3.0)</f>
        <v>3</v>
      </c>
      <c r="U165" s="132" t="str">
        <f>IFERROR(__xludf.DUMMYFUNCTION("""COMPUTED_VALUE"""),"TRF5")</f>
        <v>TRF5</v>
      </c>
      <c r="V165" s="133" t="str">
        <f>IFERROR(__xludf.DUMMYFUNCTION("""COMPUTED_VALUE"""),"Chaldea Gate (Tue)")</f>
        <v>Chaldea Gate (Tue)</v>
      </c>
      <c r="W165" s="133" t="str">
        <f>IFERROR(__xludf.DUMMYFUNCTION("""COMPUTED_VALUE"""),"TUE Lancer Training Ground- Nov")</f>
        <v>TUE Lancer Training Ground- Nov</v>
      </c>
      <c r="X165" s="137">
        <f>IFERROR(__xludf.DUMMYFUNCTION("""COMPUTED_VALUE"""),10.0)</f>
        <v>10</v>
      </c>
      <c r="Y165" s="139">
        <f>IFERROR(__xludf.DUMMYFUNCTION("""COMPUTED_VALUE"""),18.8)</f>
        <v>18.8</v>
      </c>
      <c r="Z165" s="141">
        <f>IFERROR(__xludf.DUMMYFUNCTION("""COMPUTED_VALUE"""),42.30078345316581)</f>
        <v>42.30078345</v>
      </c>
      <c r="AA165" s="143" t="str">
        <f>IFERROR(__xludf.DUMMYFUNCTION("""COMPUTED_VALUE"""),"AP")</f>
        <v>AP</v>
      </c>
      <c r="AB165" s="145">
        <f>IFERROR(__xludf.DUMMYFUNCTION("""COMPUTED_VALUE"""),23.64022408963585)</f>
        <v>23.64022409</v>
      </c>
      <c r="AC165" s="143" t="str">
        <f>IFERROR(__xludf.DUMMYFUNCTION("""COMPUTED_VALUE"""),"％")</f>
        <v>％</v>
      </c>
      <c r="AD165" s="137">
        <f>IFERROR(__xludf.DUMMYFUNCTION("""COMPUTED_VALUE"""),1785.0)</f>
        <v>1785</v>
      </c>
      <c r="AE165" s="100"/>
      <c r="AF165" s="372" t="str">
        <f>IFERROR(__xludf.DUMMYFUNCTION("""COMPUTED_VALUE"""),"")</f>
        <v/>
      </c>
    </row>
    <row r="166" ht="16.5" customHeight="1">
      <c r="C166" s="100"/>
      <c r="D166" s="146">
        <f>IFERROR(__xludf.DUMMYFUNCTION("""COMPUTED_VALUE"""),4.0)</f>
        <v>4</v>
      </c>
      <c r="E166" s="148" t="str">
        <f>IFERROR(__xludf.DUMMYFUNCTION("""COMPUTED_VALUE"""),"TRF8")</f>
        <v>TRF8</v>
      </c>
      <c r="F166" s="150" t="str">
        <f>IFERROR(__xludf.DUMMYFUNCTION("""COMPUTED_VALUE"""),"Chaldea Gate (Tue)")</f>
        <v>Chaldea Gate (Tue)</v>
      </c>
      <c r="G166" s="150" t="str">
        <f>IFERROR(__xludf.DUMMYFUNCTION("""COMPUTED_VALUE"""),"TUE Lancer Training Ground- Exp")</f>
        <v>TUE Lancer Training Ground- Exp</v>
      </c>
      <c r="H166" s="154">
        <f>IFERROR(__xludf.DUMMYFUNCTION("""COMPUTED_VALUE"""),40.0)</f>
        <v>40</v>
      </c>
      <c r="I166" s="156">
        <f>IFERROR(__xludf.DUMMYFUNCTION("""COMPUTED_VALUE"""),19.7)</f>
        <v>19.7</v>
      </c>
      <c r="J166" s="158">
        <f>IFERROR(__xludf.DUMMYFUNCTION("""COMPUTED_VALUE"""),311.42261792006065)</f>
        <v>311.4226179</v>
      </c>
      <c r="K166" s="160" t="str">
        <f>IFERROR(__xludf.DUMMYFUNCTION("""COMPUTED_VALUE"""),"AP")</f>
        <v>AP</v>
      </c>
      <c r="L166" s="162">
        <f>IFERROR(__xludf.DUMMYFUNCTION("""COMPUTED_VALUE"""),12.844282238442823)</f>
        <v>12.84428224</v>
      </c>
      <c r="M166" s="160" t="str">
        <f>IFERROR(__xludf.DUMMYFUNCTION("""COMPUTED_VALUE"""),"％")</f>
        <v>％</v>
      </c>
      <c r="N166" s="154">
        <f>IFERROR(__xludf.DUMMYFUNCTION("""COMPUTED_VALUE"""),6165.0)</f>
        <v>6165</v>
      </c>
      <c r="O166" s="100"/>
      <c r="P166" s="371" t="str">
        <f>IFERROR(__xludf.DUMMYFUNCTION("""COMPUTED_VALUE"""),"")</f>
        <v/>
      </c>
      <c r="S166" s="100"/>
      <c r="T166" s="146">
        <f>IFERROR(__xludf.DUMMYFUNCTION("""COMPUTED_VALUE"""),4.0)</f>
        <v>4</v>
      </c>
      <c r="U166" s="148" t="str">
        <f>IFERROR(__xludf.DUMMYFUNCTION("""COMPUTED_VALUE"""),"TRF8")</f>
        <v>TRF8</v>
      </c>
      <c r="V166" s="150" t="str">
        <f>IFERROR(__xludf.DUMMYFUNCTION("""COMPUTED_VALUE"""),"Chaldea Gate (Tue)")</f>
        <v>Chaldea Gate (Tue)</v>
      </c>
      <c r="W166" s="150" t="str">
        <f>IFERROR(__xludf.DUMMYFUNCTION("""COMPUTED_VALUE"""),"TUE Lancer Training Ground- Exp")</f>
        <v>TUE Lancer Training Ground- Exp</v>
      </c>
      <c r="X166" s="154">
        <f>IFERROR(__xludf.DUMMYFUNCTION("""COMPUTED_VALUE"""),40.0)</f>
        <v>40</v>
      </c>
      <c r="Y166" s="156">
        <f>IFERROR(__xludf.DUMMYFUNCTION("""COMPUTED_VALUE"""),19.7)</f>
        <v>19.7</v>
      </c>
      <c r="Z166" s="158">
        <f>IFERROR(__xludf.DUMMYFUNCTION("""COMPUTED_VALUE"""),51.75833516985171)</f>
        <v>51.75833517</v>
      </c>
      <c r="AA166" s="160" t="str">
        <f>IFERROR(__xludf.DUMMYFUNCTION("""COMPUTED_VALUE"""),"AP")</f>
        <v>AP</v>
      </c>
      <c r="AB166" s="162">
        <f>IFERROR(__xludf.DUMMYFUNCTION("""COMPUTED_VALUE"""),77.28223844282239)</f>
        <v>77.28223844</v>
      </c>
      <c r="AC166" s="160" t="str">
        <f>IFERROR(__xludf.DUMMYFUNCTION("""COMPUTED_VALUE"""),"％")</f>
        <v>％</v>
      </c>
      <c r="AD166" s="154">
        <f>IFERROR(__xludf.DUMMYFUNCTION("""COMPUTED_VALUE"""),6165.0)</f>
        <v>6165</v>
      </c>
      <c r="AE166" s="100"/>
      <c r="AF166" s="372" t="str">
        <f>IFERROR(__xludf.DUMMYFUNCTION("""COMPUTED_VALUE"""),"")</f>
        <v/>
      </c>
    </row>
    <row r="167" ht="16.5" customHeight="1">
      <c r="A167" s="166"/>
      <c r="C167" s="168"/>
      <c r="D167" s="169">
        <f>IFERROR(__xludf.DUMMYFUNCTION("""COMPUTED_VALUE"""),5.0)</f>
        <v>5</v>
      </c>
      <c r="E167" s="170" t="str">
        <f>IFERROR(__xludf.DUMMYFUNCTION("""COMPUTED_VALUE"""),"TRF7")</f>
        <v>TRF7</v>
      </c>
      <c r="F167" s="51" t="str">
        <f>IFERROR(__xludf.DUMMYFUNCTION("""COMPUTED_VALUE"""),"Chaldea Gate (Tue)")</f>
        <v>Chaldea Gate (Tue)</v>
      </c>
      <c r="G167" s="51" t="str">
        <f>IFERROR(__xludf.DUMMYFUNCTION("""COMPUTED_VALUE"""),"TUE Lancer Training Ground- Adv")</f>
        <v>TUE Lancer Training Ground- Adv</v>
      </c>
      <c r="H167" s="172">
        <f>IFERROR(__xludf.DUMMYFUNCTION("""COMPUTED_VALUE"""),30.0)</f>
        <v>30</v>
      </c>
      <c r="I167" s="173">
        <f>IFERROR(__xludf.DUMMYFUNCTION("""COMPUTED_VALUE"""),18.266666666666666)</f>
        <v>18.26666667</v>
      </c>
      <c r="J167" s="174">
        <f>IFERROR(__xludf.DUMMYFUNCTION("""COMPUTED_VALUE"""),491.63300634737453)</f>
        <v>491.6330063</v>
      </c>
      <c r="K167" s="175" t="str">
        <f>IFERROR(__xludf.DUMMYFUNCTION("""COMPUTED_VALUE"""),"AP")</f>
        <v>AP</v>
      </c>
      <c r="L167" s="176">
        <f>IFERROR(__xludf.DUMMYFUNCTION("""COMPUTED_VALUE"""),6.102112676056338)</f>
        <v>6.102112676</v>
      </c>
      <c r="M167" s="175" t="str">
        <f>IFERROR(__xludf.DUMMYFUNCTION("""COMPUTED_VALUE"""),"％")</f>
        <v>％</v>
      </c>
      <c r="N167" s="172">
        <f>IFERROR(__xludf.DUMMYFUNCTION("""COMPUTED_VALUE"""),1136.0)</f>
        <v>1136</v>
      </c>
      <c r="O167" s="168"/>
      <c r="P167" s="371" t="str">
        <f>IFERROR(__xludf.DUMMYFUNCTION("""COMPUTED_VALUE"""),"")</f>
        <v/>
      </c>
      <c r="Q167" s="166"/>
      <c r="S167" s="168"/>
      <c r="T167" s="169">
        <f>IFERROR(__xludf.DUMMYFUNCTION("""COMPUTED_VALUE"""),5.0)</f>
        <v>5</v>
      </c>
      <c r="U167" s="170" t="str">
        <f>IFERROR(__xludf.DUMMYFUNCTION("""COMPUTED_VALUE"""),"EPU2")</f>
        <v>EPU2</v>
      </c>
      <c r="V167" s="51" t="str">
        <f>IFERROR(__xludf.DUMMYFUNCTION("""COMPUTED_VALUE"""),"E Pluribus Unum")</f>
        <v>E Pluribus Unum</v>
      </c>
      <c r="W167" s="171" t="str">
        <f>IFERROR(__xludf.DUMMYFUNCTION("""COMPUTED_VALUE"""),"Riverton")</f>
        <v>Riverton</v>
      </c>
      <c r="X167" s="172">
        <f>IFERROR(__xludf.DUMMYFUNCTION("""COMPUTED_VALUE"""),17.0)</f>
        <v>17</v>
      </c>
      <c r="Y167" s="173">
        <f>IFERROR(__xludf.DUMMYFUNCTION("""COMPUTED_VALUE"""),40.705882352941174)</f>
        <v>40.70588235</v>
      </c>
      <c r="Z167" s="174">
        <f>IFERROR(__xludf.DUMMYFUNCTION("""COMPUTED_VALUE"""),78.29046898638425)</f>
        <v>78.29046899</v>
      </c>
      <c r="AA167" s="175" t="str">
        <f>IFERROR(__xludf.DUMMYFUNCTION("""COMPUTED_VALUE"""),"AP")</f>
        <v>AP</v>
      </c>
      <c r="AB167" s="176">
        <f>IFERROR(__xludf.DUMMYFUNCTION("""COMPUTED_VALUE"""),21.71400966183575)</f>
        <v>21.71400966</v>
      </c>
      <c r="AC167" s="175" t="str">
        <f>IFERROR(__xludf.DUMMYFUNCTION("""COMPUTED_VALUE"""),"％")</f>
        <v>％</v>
      </c>
      <c r="AD167" s="172">
        <f>IFERROR(__xludf.DUMMYFUNCTION("""COMPUTED_VALUE"""),414.0)</f>
        <v>414</v>
      </c>
      <c r="AE167" s="168"/>
      <c r="AF167" s="372" t="str">
        <f>IFERROR(__xludf.DUMMYFUNCTION("""COMPUTED_VALUE"""),"")</f>
        <v/>
      </c>
    </row>
    <row r="168" ht="16.5" customHeight="1">
      <c r="A168" s="61" t="str">
        <f>IFERROR(__xludf.DUMMYFUNCTION("""COMPUTED_VALUE"""),"")</f>
        <v/>
      </c>
      <c r="B168" s="366" t="str">
        <f>IFERROR(__xludf.DUMMYFUNCTION("""COMPUTED_VALUE"""),"A106")</f>
        <v>A106</v>
      </c>
      <c r="C168" s="180" t="str">
        <f>IFERROR(__xludf.DUMMYFUNCTION("""COMPUTED_VALUE"""),"Tearstone of Blood")</f>
        <v>Tearstone of Blood</v>
      </c>
      <c r="D168" s="181">
        <f>IFERROR(__xludf.DUMMYFUNCTION("""COMPUTED_VALUE"""),1.0)</f>
        <v>1</v>
      </c>
      <c r="E168" s="182" t="str">
        <f>IFERROR(__xludf.DUMMYFUNCTION("""COMPUTED_VALUE"""),"SJK10")</f>
        <v>SJK10</v>
      </c>
      <c r="F168" s="184" t="str">
        <f>IFERROR(__xludf.DUMMYFUNCTION("""COMPUTED_VALUE"""),"Shinjuku")</f>
        <v>Shinjuku</v>
      </c>
      <c r="G168" s="189" t="str">
        <f>IFERROR(__xludf.DUMMYFUNCTION("""COMPUTED_VALUE"""),"Shinjuku 2-chome")</f>
        <v>Shinjuku 2-chome</v>
      </c>
      <c r="H168" s="190">
        <f>IFERROR(__xludf.DUMMYFUNCTION("""COMPUTED_VALUE"""),21.0)</f>
        <v>21</v>
      </c>
      <c r="I168" s="191">
        <f>IFERROR(__xludf.DUMMYFUNCTION("""COMPUTED_VALUE"""),48.95238095238095)</f>
        <v>48.95238095</v>
      </c>
      <c r="J168" s="192">
        <f>IFERROR(__xludf.DUMMYFUNCTION("""COMPUTED_VALUE"""),114.24783023911634)</f>
        <v>114.2478302</v>
      </c>
      <c r="K168" s="194" t="str">
        <f>IFERROR(__xludf.DUMMYFUNCTION("""COMPUTED_VALUE"""),"AP")</f>
        <v>AP</v>
      </c>
      <c r="L168" s="192">
        <f>IFERROR(__xludf.DUMMYFUNCTION("""COMPUTED_VALUE"""),18.381093064128923)</f>
        <v>18.38109306</v>
      </c>
      <c r="M168" s="194" t="str">
        <f>IFERROR(__xludf.DUMMYFUNCTION("""COMPUTED_VALUE"""),"％")</f>
        <v>％</v>
      </c>
      <c r="N168" s="190">
        <f>IFERROR(__xludf.DUMMYFUNCTION("""COMPUTED_VALUE"""),39972.0)</f>
        <v>39972</v>
      </c>
      <c r="O168" s="197" t="str">
        <f>IFERROR(__xludf.DUMMYFUNCTION("""COMPUTED_VALUE"""),"Tearstone of Blood")</f>
        <v>Tearstone of Blood</v>
      </c>
      <c r="P168" s="371" t="str">
        <f>IFERROR(__xludf.DUMMYFUNCTION("""COMPUTED_VALUE"""),"")</f>
        <v/>
      </c>
      <c r="Q168" s="61" t="str">
        <f>IFERROR(__xludf.DUMMYFUNCTION("""COMPUTED_VALUE"""),"")</f>
        <v/>
      </c>
      <c r="R168" s="366" t="str">
        <f>IFERROR(__xludf.DUMMYFUNCTION("""COMPUTED_VALUE"""),"B214")</f>
        <v>B214</v>
      </c>
      <c r="S168" s="180" t="str">
        <f>IFERROR(__xludf.DUMMYFUNCTION("""COMPUTED_VALUE"""),"Rider Piece")</f>
        <v>Rider Piece</v>
      </c>
      <c r="T168" s="181">
        <f>IFERROR(__xludf.DUMMYFUNCTION("""COMPUTED_VALUE"""),1.0)</f>
        <v>1</v>
      </c>
      <c r="U168" s="182" t="str">
        <f>IFERROR(__xludf.DUMMYFUNCTION("""COMPUTED_VALUE"""),"TRF14")</f>
        <v>TRF14</v>
      </c>
      <c r="V168" s="184" t="str">
        <f>IFERROR(__xludf.DUMMYFUNCTION("""COMPUTED_VALUE"""),"Chaldea Gate (Thu)")</f>
        <v>Chaldea Gate (Thu)</v>
      </c>
      <c r="W168" s="184" t="str">
        <f>IFERROR(__xludf.DUMMYFUNCTION("""COMPUTED_VALUE"""),"THU Rider Training Ground- Int")</f>
        <v>THU Rider Training Ground- Int</v>
      </c>
      <c r="X168" s="190">
        <f>IFERROR(__xludf.DUMMYFUNCTION("""COMPUTED_VALUE"""),20.0)</f>
        <v>20</v>
      </c>
      <c r="Y168" s="191">
        <f>IFERROR(__xludf.DUMMYFUNCTION("""COMPUTED_VALUE"""),18.4)</f>
        <v>18.4</v>
      </c>
      <c r="Z168" s="192">
        <f>IFERROR(__xludf.DUMMYFUNCTION("""COMPUTED_VALUE"""),28.650748064877874)</f>
        <v>28.65074806</v>
      </c>
      <c r="AA168" s="194" t="str">
        <f>IFERROR(__xludf.DUMMYFUNCTION("""COMPUTED_VALUE"""),"AP")</f>
        <v>AP</v>
      </c>
      <c r="AB168" s="192">
        <f>IFERROR(__xludf.DUMMYFUNCTION("""COMPUTED_VALUE"""),69.80620525059666)</f>
        <v>69.80620525</v>
      </c>
      <c r="AC168" s="194" t="str">
        <f>IFERROR(__xludf.DUMMYFUNCTION("""COMPUTED_VALUE"""),"％")</f>
        <v>％</v>
      </c>
      <c r="AD168" s="190">
        <f>IFERROR(__xludf.DUMMYFUNCTION("""COMPUTED_VALUE"""),838.0)</f>
        <v>838</v>
      </c>
      <c r="AE168" s="197" t="str">
        <f>IFERROR(__xludf.DUMMYFUNCTION("""COMPUTED_VALUE"""),"Rider Piece")</f>
        <v>Rider Piece</v>
      </c>
      <c r="AF168" s="372" t="str">
        <f>IFERROR(__xludf.DUMMYFUNCTION("""COMPUTED_VALUE"""),"")</f>
        <v/>
      </c>
    </row>
    <row r="169" ht="16.5" customHeight="1">
      <c r="C169" s="204"/>
      <c r="D169" s="205">
        <f>IFERROR(__xludf.DUMMYFUNCTION("""COMPUTED_VALUE"""),2.0)</f>
        <v>2</v>
      </c>
      <c r="E169" s="206" t="str">
        <f>IFERROR(__xludf.DUMMYFUNCTION("""COMPUTED_VALUE"""),"EPU10")</f>
        <v>EPU10</v>
      </c>
      <c r="F169" s="207" t="str">
        <f>IFERROR(__xludf.DUMMYFUNCTION("""COMPUTED_VALUE"""),"E Pluribus Unum")</f>
        <v>E Pluribus Unum</v>
      </c>
      <c r="G169" s="209" t="str">
        <f>IFERROR(__xludf.DUMMYFUNCTION("""COMPUTED_VALUE"""),"Alexandria")</f>
        <v>Alexandria</v>
      </c>
      <c r="H169" s="211">
        <f>IFERROR(__xludf.DUMMYFUNCTION("""COMPUTED_VALUE"""),18.0)</f>
        <v>18</v>
      </c>
      <c r="I169" s="213">
        <f>IFERROR(__xludf.DUMMYFUNCTION("""COMPUTED_VALUE"""),43.77777777777778)</f>
        <v>43.77777778</v>
      </c>
      <c r="J169" s="214">
        <f>IFERROR(__xludf.DUMMYFUNCTION("""COMPUTED_VALUE"""),153.65455078752439)</f>
        <v>153.6545508</v>
      </c>
      <c r="K169" s="215" t="str">
        <f>IFERROR(__xludf.DUMMYFUNCTION("""COMPUTED_VALUE"""),"AP")</f>
        <v>AP</v>
      </c>
      <c r="L169" s="214">
        <f>IFERROR(__xludf.DUMMYFUNCTION("""COMPUTED_VALUE"""),11.714589582765203)</f>
        <v>11.71458958</v>
      </c>
      <c r="M169" s="215" t="str">
        <f>IFERROR(__xludf.DUMMYFUNCTION("""COMPUTED_VALUE"""),"％")</f>
        <v>％</v>
      </c>
      <c r="N169" s="211">
        <f>IFERROR(__xludf.DUMMYFUNCTION("""COMPUTED_VALUE"""),3667.0)</f>
        <v>3667</v>
      </c>
      <c r="O169" s="217"/>
      <c r="P169" s="371" t="str">
        <f>IFERROR(__xludf.DUMMYFUNCTION("""COMPUTED_VALUE"""),"")</f>
        <v/>
      </c>
      <c r="S169" s="204"/>
      <c r="T169" s="205">
        <f>IFERROR(__xludf.DUMMYFUNCTION("""COMPUTED_VALUE"""),2.0)</f>
        <v>2</v>
      </c>
      <c r="U169" s="206" t="str">
        <f>IFERROR(__xludf.DUMMYFUNCTION("""COMPUTED_VALUE"""),"TRF15")</f>
        <v>TRF15</v>
      </c>
      <c r="V169" s="207" t="str">
        <f>IFERROR(__xludf.DUMMYFUNCTION("""COMPUTED_VALUE"""),"Chaldea Gate (Thu)")</f>
        <v>Chaldea Gate (Thu)</v>
      </c>
      <c r="W169" s="207" t="str">
        <f>IFERROR(__xludf.DUMMYFUNCTION("""COMPUTED_VALUE"""),"THU Rider Training Ground- Adv")</f>
        <v>THU Rider Training Ground- Adv</v>
      </c>
      <c r="X169" s="211">
        <f>IFERROR(__xludf.DUMMYFUNCTION("""COMPUTED_VALUE"""),30.0)</f>
        <v>30</v>
      </c>
      <c r="Y169" s="213">
        <f>IFERROR(__xludf.DUMMYFUNCTION("""COMPUTED_VALUE"""),18.266666666666666)</f>
        <v>18.26666667</v>
      </c>
      <c r="Z169" s="214">
        <f>IFERROR(__xludf.DUMMYFUNCTION("""COMPUTED_VALUE"""),29.294721314207024)</f>
        <v>29.29472131</v>
      </c>
      <c r="AA169" s="215" t="str">
        <f>IFERROR(__xludf.DUMMYFUNCTION("""COMPUTED_VALUE"""),"AP")</f>
        <v>AP</v>
      </c>
      <c r="AB169" s="214">
        <f>IFERROR(__xludf.DUMMYFUNCTION("""COMPUTED_VALUE"""),102.40752823086575)</f>
        <v>102.4075282</v>
      </c>
      <c r="AC169" s="215" t="str">
        <f>IFERROR(__xludf.DUMMYFUNCTION("""COMPUTED_VALUE"""),"％")</f>
        <v>％</v>
      </c>
      <c r="AD169" s="211">
        <f>IFERROR(__xludf.DUMMYFUNCTION("""COMPUTED_VALUE"""),797.0)</f>
        <v>797</v>
      </c>
      <c r="AE169" s="217"/>
      <c r="AF169" s="372" t="str">
        <f>IFERROR(__xludf.DUMMYFUNCTION("""COMPUTED_VALUE"""),"")</f>
        <v/>
      </c>
    </row>
    <row r="170" ht="16.5" customHeight="1">
      <c r="C170" s="204"/>
      <c r="D170" s="222">
        <f>IFERROR(__xludf.DUMMYFUNCTION("""COMPUTED_VALUE"""),3.0)</f>
        <v>3</v>
      </c>
      <c r="E170" s="223" t="str">
        <f>IFERROR(__xludf.DUMMYFUNCTION("""COMPUTED_VALUE"""),"TRF4")</f>
        <v>TRF4</v>
      </c>
      <c r="F170" s="224" t="str">
        <f>IFERROR(__xludf.DUMMYFUNCTION("""COMPUTED_VALUE"""),"Chaldea Gate (Mon)")</f>
        <v>Chaldea Gate (Mon)</v>
      </c>
      <c r="G170" s="224" t="str">
        <f>IFERROR(__xludf.DUMMYFUNCTION("""COMPUTED_VALUE"""),"MON Archer Training Ground- Exp")</f>
        <v>MON Archer Training Ground- Exp</v>
      </c>
      <c r="H170" s="228">
        <f>IFERROR(__xludf.DUMMYFUNCTION("""COMPUTED_VALUE"""),40.0)</f>
        <v>40</v>
      </c>
      <c r="I170" s="230">
        <f>IFERROR(__xludf.DUMMYFUNCTION("""COMPUTED_VALUE"""),19.7)</f>
        <v>19.7</v>
      </c>
      <c r="J170" s="231">
        <f>IFERROR(__xludf.DUMMYFUNCTION("""COMPUTED_VALUE"""),312.25634960428175)</f>
        <v>312.2563496</v>
      </c>
      <c r="K170" s="232" t="str">
        <f>IFERROR(__xludf.DUMMYFUNCTION("""COMPUTED_VALUE"""),"AP")</f>
        <v>AP</v>
      </c>
      <c r="L170" s="231">
        <f>IFERROR(__xludf.DUMMYFUNCTION("""COMPUTED_VALUE"""),12.809987707437001)</f>
        <v>12.80998771</v>
      </c>
      <c r="M170" s="232" t="str">
        <f>IFERROR(__xludf.DUMMYFUNCTION("""COMPUTED_VALUE"""),"％")</f>
        <v>％</v>
      </c>
      <c r="N170" s="228">
        <f>IFERROR(__xludf.DUMMYFUNCTION("""COMPUTED_VALUE"""),9762.0)</f>
        <v>9762</v>
      </c>
      <c r="O170" s="217"/>
      <c r="P170" s="371" t="str">
        <f>IFERROR(__xludf.DUMMYFUNCTION("""COMPUTED_VALUE"""),"")</f>
        <v/>
      </c>
      <c r="S170" s="204"/>
      <c r="T170" s="222">
        <f>IFERROR(__xludf.DUMMYFUNCTION("""COMPUTED_VALUE"""),3.0)</f>
        <v>3</v>
      </c>
      <c r="U170" s="223" t="str">
        <f>IFERROR(__xludf.DUMMYFUNCTION("""COMPUTED_VALUE"""),"TRF13")</f>
        <v>TRF13</v>
      </c>
      <c r="V170" s="224" t="str">
        <f>IFERROR(__xludf.DUMMYFUNCTION("""COMPUTED_VALUE"""),"Chaldea Gate (Thu)")</f>
        <v>Chaldea Gate (Thu)</v>
      </c>
      <c r="W170" s="224" t="str">
        <f>IFERROR(__xludf.DUMMYFUNCTION("""COMPUTED_VALUE"""),"THU Rider Training Ground- Nov")</f>
        <v>THU Rider Training Ground- Nov</v>
      </c>
      <c r="X170" s="228">
        <f>IFERROR(__xludf.DUMMYFUNCTION("""COMPUTED_VALUE"""),10.0)</f>
        <v>10</v>
      </c>
      <c r="Y170" s="230">
        <f>IFERROR(__xludf.DUMMYFUNCTION("""COMPUTED_VALUE"""),18.8)</f>
        <v>18.8</v>
      </c>
      <c r="Z170" s="231">
        <f>IFERROR(__xludf.DUMMYFUNCTION("""COMPUTED_VALUE"""),43.98417418298689)</f>
        <v>43.98417418</v>
      </c>
      <c r="AA170" s="232" t="str">
        <f>IFERROR(__xludf.DUMMYFUNCTION("""COMPUTED_VALUE"""),"AP")</f>
        <v>AP</v>
      </c>
      <c r="AB170" s="231">
        <f>IFERROR(__xludf.DUMMYFUNCTION("""COMPUTED_VALUE"""),22.735450160771705)</f>
        <v>22.73545016</v>
      </c>
      <c r="AC170" s="232" t="str">
        <f>IFERROR(__xludf.DUMMYFUNCTION("""COMPUTED_VALUE"""),"％")</f>
        <v>％</v>
      </c>
      <c r="AD170" s="228">
        <f>IFERROR(__xludf.DUMMYFUNCTION("""COMPUTED_VALUE"""),1244.0)</f>
        <v>1244</v>
      </c>
      <c r="AE170" s="217"/>
      <c r="AF170" s="372" t="str">
        <f>IFERROR(__xludf.DUMMYFUNCTION("""COMPUTED_VALUE"""),"")</f>
        <v/>
      </c>
    </row>
    <row r="171" ht="16.5" customHeight="1">
      <c r="C171" s="204"/>
      <c r="D171" s="238">
        <f>IFERROR(__xludf.DUMMYFUNCTION("""COMPUTED_VALUE"""),4.0)</f>
        <v>4</v>
      </c>
      <c r="E171" s="240" t="str">
        <f>IFERROR(__xludf.DUMMYFUNCTION("""COMPUTED_VALUE"""),"TRF3")</f>
        <v>TRF3</v>
      </c>
      <c r="F171" s="242" t="str">
        <f>IFERROR(__xludf.DUMMYFUNCTION("""COMPUTED_VALUE"""),"Chaldea Gate (Mon)")</f>
        <v>Chaldea Gate (Mon)</v>
      </c>
      <c r="G171" s="242" t="str">
        <f>IFERROR(__xludf.DUMMYFUNCTION("""COMPUTED_VALUE"""),"MON Archer Training Ground- Adv")</f>
        <v>MON Archer Training Ground- Adv</v>
      </c>
      <c r="H171" s="246">
        <f>IFERROR(__xludf.DUMMYFUNCTION("""COMPUTED_VALUE"""),30.0)</f>
        <v>30</v>
      </c>
      <c r="I171" s="248">
        <f>IFERROR(__xludf.DUMMYFUNCTION("""COMPUTED_VALUE"""),18.266666666666666)</f>
        <v>18.26666667</v>
      </c>
      <c r="J171" s="250">
        <f>IFERROR(__xludf.DUMMYFUNCTION("""COMPUTED_VALUE"""),461.78569740511415)</f>
        <v>461.7856974</v>
      </c>
      <c r="K171" s="252" t="str">
        <f>IFERROR(__xludf.DUMMYFUNCTION("""COMPUTED_VALUE"""),"AP")</f>
        <v>AP</v>
      </c>
      <c r="L171" s="250">
        <f>IFERROR(__xludf.DUMMYFUNCTION("""COMPUTED_VALUE"""),6.496519959058341)</f>
        <v>6.496519959</v>
      </c>
      <c r="M171" s="252" t="str">
        <f>IFERROR(__xludf.DUMMYFUNCTION("""COMPUTED_VALUE"""),"％")</f>
        <v>％</v>
      </c>
      <c r="N171" s="246">
        <f>IFERROR(__xludf.DUMMYFUNCTION("""COMPUTED_VALUE"""),977.0)</f>
        <v>977</v>
      </c>
      <c r="O171" s="217"/>
      <c r="P171" s="371" t="str">
        <f>IFERROR(__xludf.DUMMYFUNCTION("""COMPUTED_VALUE"""),"")</f>
        <v/>
      </c>
      <c r="S171" s="204"/>
      <c r="T171" s="238">
        <f>IFERROR(__xludf.DUMMYFUNCTION("""COMPUTED_VALUE"""),4.0)</f>
        <v>4</v>
      </c>
      <c r="U171" s="240" t="str">
        <f>IFERROR(__xludf.DUMMYFUNCTION("""COMPUTED_VALUE"""),"TRF16")</f>
        <v>TRF16</v>
      </c>
      <c r="V171" s="242" t="str">
        <f>IFERROR(__xludf.DUMMYFUNCTION("""COMPUTED_VALUE"""),"Chaldea Gate (Thu)")</f>
        <v>Chaldea Gate (Thu)</v>
      </c>
      <c r="W171" s="242" t="str">
        <f>IFERROR(__xludf.DUMMYFUNCTION("""COMPUTED_VALUE"""),"THU Rider Training Ground- Exp")</f>
        <v>THU Rider Training Ground- Exp</v>
      </c>
      <c r="X171" s="246">
        <f>IFERROR(__xludf.DUMMYFUNCTION("""COMPUTED_VALUE"""),40.0)</f>
        <v>40</v>
      </c>
      <c r="Y171" s="248">
        <f>IFERROR(__xludf.DUMMYFUNCTION("""COMPUTED_VALUE"""),19.7)</f>
        <v>19.7</v>
      </c>
      <c r="Z171" s="250">
        <f>IFERROR(__xludf.DUMMYFUNCTION("""COMPUTED_VALUE"""),50.84574474804512)</f>
        <v>50.84574475</v>
      </c>
      <c r="AA171" s="252" t="str">
        <f>IFERROR(__xludf.DUMMYFUNCTION("""COMPUTED_VALUE"""),"AP")</f>
        <v>AP</v>
      </c>
      <c r="AB171" s="250">
        <f>IFERROR(__xludf.DUMMYFUNCTION("""COMPUTED_VALUE"""),78.66931677018634)</f>
        <v>78.66931677</v>
      </c>
      <c r="AC171" s="252" t="str">
        <f>IFERROR(__xludf.DUMMYFUNCTION("""COMPUTED_VALUE"""),"％")</f>
        <v>％</v>
      </c>
      <c r="AD171" s="246">
        <f>IFERROR(__xludf.DUMMYFUNCTION("""COMPUTED_VALUE"""),4025.0)</f>
        <v>4025</v>
      </c>
      <c r="AE171" s="217"/>
      <c r="AF171" s="372" t="str">
        <f>IFERROR(__xludf.DUMMYFUNCTION("""COMPUTED_VALUE"""),"")</f>
        <v/>
      </c>
    </row>
    <row r="172" ht="16.5" customHeight="1">
      <c r="A172" s="166"/>
      <c r="C172" s="255"/>
      <c r="D172" s="256">
        <f>IFERROR(__xludf.DUMMYFUNCTION("""COMPUTED_VALUE"""),5.0)</f>
        <v>5</v>
      </c>
      <c r="E172" s="257" t="str">
        <f>IFERROR(__xludf.DUMMYFUNCTION("""COMPUTED_VALUE"""),"")</f>
        <v/>
      </c>
      <c r="F172" s="42" t="str">
        <f>IFERROR(__xludf.DUMMYFUNCTION("""COMPUTED_VALUE"""),"")</f>
        <v/>
      </c>
      <c r="G172" s="42" t="str">
        <f>IFERROR(__xludf.DUMMYFUNCTION("""COMPUTED_VALUE"""),"")</f>
        <v/>
      </c>
      <c r="H172" s="259" t="str">
        <f>IFERROR(__xludf.DUMMYFUNCTION("""COMPUTED_VALUE"""),"")</f>
        <v/>
      </c>
      <c r="I172" s="260" t="str">
        <f>IFERROR(__xludf.DUMMYFUNCTION("""COMPUTED_VALUE"""),"")</f>
        <v/>
      </c>
      <c r="J172" s="261" t="str">
        <f>IFERROR(__xludf.DUMMYFUNCTION("""COMPUTED_VALUE"""),"")</f>
        <v/>
      </c>
      <c r="K172" s="262" t="str">
        <f>IFERROR(__xludf.DUMMYFUNCTION("""COMPUTED_VALUE"""),"AP")</f>
        <v>AP</v>
      </c>
      <c r="L172" s="261" t="str">
        <f>IFERROR(__xludf.DUMMYFUNCTION("""COMPUTED_VALUE"""),"")</f>
        <v/>
      </c>
      <c r="M172" s="262" t="str">
        <f>IFERROR(__xludf.DUMMYFUNCTION("""COMPUTED_VALUE"""),"％")</f>
        <v>％</v>
      </c>
      <c r="N172" s="259" t="str">
        <f>IFERROR(__xludf.DUMMYFUNCTION("""COMPUTED_VALUE"""),"")</f>
        <v/>
      </c>
      <c r="O172" s="263"/>
      <c r="P172" s="371" t="str">
        <f>IFERROR(__xludf.DUMMYFUNCTION("""COMPUTED_VALUE"""),"")</f>
        <v/>
      </c>
      <c r="Q172" s="166"/>
      <c r="S172" s="255"/>
      <c r="T172" s="256">
        <f>IFERROR(__xludf.DUMMYFUNCTION("""COMPUTED_VALUE"""),5.0)</f>
        <v>5</v>
      </c>
      <c r="U172" s="257" t="str">
        <f>IFERROR(__xludf.DUMMYFUNCTION("""COMPUTED_VALUE"""),"ORL4")</f>
        <v>ORL4</v>
      </c>
      <c r="V172" s="42" t="str">
        <f>IFERROR(__xludf.DUMMYFUNCTION("""COMPUTED_VALUE"""),"Orleans")</f>
        <v>Orleans</v>
      </c>
      <c r="W172" s="258" t="str">
        <f>IFERROR(__xludf.DUMMYFUNCTION("""COMPUTED_VALUE"""),"Jura")</f>
        <v>Jura</v>
      </c>
      <c r="X172" s="259">
        <f>IFERROR(__xludf.DUMMYFUNCTION("""COMPUTED_VALUE"""),7.0)</f>
        <v>7</v>
      </c>
      <c r="Y172" s="260">
        <f>IFERROR(__xludf.DUMMYFUNCTION("""COMPUTED_VALUE"""),30.285714285714285)</f>
        <v>30.28571429</v>
      </c>
      <c r="Z172" s="261">
        <f>IFERROR(__xludf.DUMMYFUNCTION("""COMPUTED_VALUE"""),64.17927425776362)</f>
        <v>64.17927426</v>
      </c>
      <c r="AA172" s="262" t="str">
        <f>IFERROR(__xludf.DUMMYFUNCTION("""COMPUTED_VALUE"""),"AP")</f>
        <v>AP</v>
      </c>
      <c r="AB172" s="261">
        <f>IFERROR(__xludf.DUMMYFUNCTION("""COMPUTED_VALUE"""),10.90694789081886)</f>
        <v>10.90694789</v>
      </c>
      <c r="AC172" s="262" t="str">
        <f>IFERROR(__xludf.DUMMYFUNCTION("""COMPUTED_VALUE"""),"％")</f>
        <v>％</v>
      </c>
      <c r="AD172" s="259">
        <f>IFERROR(__xludf.DUMMYFUNCTION("""COMPUTED_VALUE"""),403.0)</f>
        <v>403</v>
      </c>
      <c r="AE172" s="263"/>
      <c r="AF172" s="372" t="str">
        <f>IFERROR(__xludf.DUMMYFUNCTION("""COMPUTED_VALUE"""),"")</f>
        <v/>
      </c>
    </row>
    <row r="173" ht="16.5" customHeight="1">
      <c r="A173" s="61" t="str">
        <f>IFERROR(__xludf.DUMMYFUNCTION("""COMPUTED_VALUE"""),"")</f>
        <v/>
      </c>
      <c r="B173" s="367" t="str">
        <f>IFERROR(__xludf.DUMMYFUNCTION("""COMPUTED_VALUE"""),"A107")</f>
        <v>A107</v>
      </c>
      <c r="C173" s="65" t="str">
        <f>IFERROR(__xludf.DUMMYFUNCTION("""COMPUTED_VALUE"""),"Black Beast Grease")</f>
        <v>Black Beast Grease</v>
      </c>
      <c r="D173" s="67">
        <f>IFERROR(__xludf.DUMMYFUNCTION("""COMPUTED_VALUE"""),1.0)</f>
        <v>1</v>
      </c>
      <c r="E173" s="69" t="str">
        <f>IFERROR(__xludf.DUMMYFUNCTION("""COMPUTED_VALUE"""),"AGT6")</f>
        <v>AGT6</v>
      </c>
      <c r="F173" s="71" t="str">
        <f>IFERROR(__xludf.DUMMYFUNCTION("""COMPUTED_VALUE"""),"Agartha")</f>
        <v>Agartha</v>
      </c>
      <c r="G173" s="78" t="str">
        <f>IFERROR(__xludf.DUMMYFUNCTION("""COMPUTED_VALUE"""),"Northern Cliffs")</f>
        <v>Northern Cliffs</v>
      </c>
      <c r="H173" s="80">
        <f>IFERROR(__xludf.DUMMYFUNCTION("""COMPUTED_VALUE"""),21.0)</f>
        <v>21</v>
      </c>
      <c r="I173" s="82">
        <f>IFERROR(__xludf.DUMMYFUNCTION("""COMPUTED_VALUE"""),45.523809523809526)</f>
        <v>45.52380952</v>
      </c>
      <c r="J173" s="84">
        <f>IFERROR(__xludf.DUMMYFUNCTION("""COMPUTED_VALUE"""),102.44743758212877)</f>
        <v>102.4474376</v>
      </c>
      <c r="K173" s="86" t="str">
        <f>IFERROR(__xludf.DUMMYFUNCTION("""COMPUTED_VALUE"""),"AP")</f>
        <v>AP</v>
      </c>
      <c r="L173" s="88">
        <f>IFERROR(__xludf.DUMMYFUNCTION("""COMPUTED_VALUE"""),20.4983164983165)</f>
        <v>20.4983165</v>
      </c>
      <c r="M173" s="86" t="str">
        <f>IFERROR(__xludf.DUMMYFUNCTION("""COMPUTED_VALUE"""),"％")</f>
        <v>％</v>
      </c>
      <c r="N173" s="80">
        <f>IFERROR(__xludf.DUMMYFUNCTION("""COMPUTED_VALUE"""),2079.0)</f>
        <v>2079</v>
      </c>
      <c r="O173" s="91" t="str">
        <f>IFERROR(__xludf.DUMMYFUNCTION("""COMPUTED_VALUE"""),"Black Beast Grease")</f>
        <v>Black Beast Grease</v>
      </c>
      <c r="P173" s="371" t="str">
        <f>IFERROR(__xludf.DUMMYFUNCTION("""COMPUTED_VALUE"""),"")</f>
        <v/>
      </c>
      <c r="Q173" s="61" t="str">
        <f>IFERROR(__xludf.DUMMYFUNCTION("""COMPUTED_VALUE"""),"")</f>
        <v/>
      </c>
      <c r="R173" s="367" t="str">
        <f>IFERROR(__xludf.DUMMYFUNCTION("""COMPUTED_VALUE"""),"B215")</f>
        <v>B215</v>
      </c>
      <c r="S173" s="65" t="str">
        <f>IFERROR(__xludf.DUMMYFUNCTION("""COMPUTED_VALUE"""),"Caster Piece")</f>
        <v>Caster Piece</v>
      </c>
      <c r="T173" s="67">
        <f>IFERROR(__xludf.DUMMYFUNCTION("""COMPUTED_VALUE"""),1.0)</f>
        <v>1</v>
      </c>
      <c r="U173" s="69" t="str">
        <f>IFERROR(__xludf.DUMMYFUNCTION("""COMPUTED_VALUE"""),"TRF18")</f>
        <v>TRF18</v>
      </c>
      <c r="V173" s="71" t="str">
        <f>IFERROR(__xludf.DUMMYFUNCTION("""COMPUTED_VALUE"""),"Chaldea Gate (Fri)")</f>
        <v>Chaldea Gate (Fri)</v>
      </c>
      <c r="W173" s="71" t="str">
        <f>IFERROR(__xludf.DUMMYFUNCTION("""COMPUTED_VALUE"""),"FRI Caster Training Ground- Int")</f>
        <v>FRI Caster Training Ground- Int</v>
      </c>
      <c r="X173" s="80">
        <f>IFERROR(__xludf.DUMMYFUNCTION("""COMPUTED_VALUE"""),20.0)</f>
        <v>20</v>
      </c>
      <c r="Y173" s="82">
        <f>IFERROR(__xludf.DUMMYFUNCTION("""COMPUTED_VALUE"""),18.4)</f>
        <v>18.4</v>
      </c>
      <c r="Z173" s="84">
        <f>IFERROR(__xludf.DUMMYFUNCTION("""COMPUTED_VALUE"""),23.944898672624827)</f>
        <v>23.94489867</v>
      </c>
      <c r="AA173" s="86" t="str">
        <f>IFERROR(__xludf.DUMMYFUNCTION("""COMPUTED_VALUE"""),"AP")</f>
        <v>AP</v>
      </c>
      <c r="AB173" s="88">
        <f>IFERROR(__xludf.DUMMYFUNCTION("""COMPUTED_VALUE"""),83.52509765625001)</f>
        <v>83.52509766</v>
      </c>
      <c r="AC173" s="86" t="str">
        <f>IFERROR(__xludf.DUMMYFUNCTION("""COMPUTED_VALUE"""),"％")</f>
        <v>％</v>
      </c>
      <c r="AD173" s="80">
        <f>IFERROR(__xludf.DUMMYFUNCTION("""COMPUTED_VALUE"""),1024.0)</f>
        <v>1024</v>
      </c>
      <c r="AE173" s="91" t="str">
        <f>IFERROR(__xludf.DUMMYFUNCTION("""COMPUTED_VALUE"""),"Caster Piece")</f>
        <v>Caster Piece</v>
      </c>
      <c r="AF173" s="372" t="str">
        <f>IFERROR(__xludf.DUMMYFUNCTION("""COMPUTED_VALUE"""),"")</f>
        <v/>
      </c>
    </row>
    <row r="174" ht="16.5" customHeight="1">
      <c r="C174" s="100"/>
      <c r="D174" s="102">
        <f>IFERROR(__xludf.DUMMYFUNCTION("""COMPUTED_VALUE"""),2.0)</f>
        <v>2</v>
      </c>
      <c r="E174" s="103" t="str">
        <f>IFERROR(__xludf.DUMMYFUNCTION("""COMPUTED_VALUE"""),"BBL2")</f>
        <v>BBL2</v>
      </c>
      <c r="F174" s="104" t="str">
        <f>IFERROR(__xludf.DUMMYFUNCTION("""COMPUTED_VALUE"""),"Babylonia")</f>
        <v>Babylonia</v>
      </c>
      <c r="G174" s="108" t="str">
        <f>IFERROR(__xludf.DUMMYFUNCTION("""COMPUTED_VALUE"""),"Northern Hill")</f>
        <v>Northern Hill</v>
      </c>
      <c r="H174" s="109">
        <f>IFERROR(__xludf.DUMMYFUNCTION("""COMPUTED_VALUE"""),20.0)</f>
        <v>20</v>
      </c>
      <c r="I174" s="110">
        <f>IFERROR(__xludf.DUMMYFUNCTION("""COMPUTED_VALUE"""),46.6)</f>
        <v>46.6</v>
      </c>
      <c r="J174" s="112">
        <f>IFERROR(__xludf.DUMMYFUNCTION("""COMPUTED_VALUE"""),112.29938785256364)</f>
        <v>112.2993879</v>
      </c>
      <c r="K174" s="121" t="str">
        <f>IFERROR(__xludf.DUMMYFUNCTION("""COMPUTED_VALUE"""),"AP")</f>
        <v>AP</v>
      </c>
      <c r="L174" s="123">
        <f>IFERROR(__xludf.DUMMYFUNCTION("""COMPUTED_VALUE"""),17.809536082474224)</f>
        <v>17.80953608</v>
      </c>
      <c r="M174" s="121" t="str">
        <f>IFERROR(__xludf.DUMMYFUNCTION("""COMPUTED_VALUE"""),"％")</f>
        <v>％</v>
      </c>
      <c r="N174" s="109">
        <f>IFERROR(__xludf.DUMMYFUNCTION("""COMPUTED_VALUE"""),388.0)</f>
        <v>388</v>
      </c>
      <c r="O174" s="100"/>
      <c r="P174" s="371" t="str">
        <f>IFERROR(__xludf.DUMMYFUNCTION("""COMPUTED_VALUE"""),"")</f>
        <v/>
      </c>
      <c r="S174" s="100"/>
      <c r="T174" s="102">
        <f>IFERROR(__xludf.DUMMYFUNCTION("""COMPUTED_VALUE"""),2.0)</f>
        <v>2</v>
      </c>
      <c r="U174" s="103" t="str">
        <f>IFERROR(__xludf.DUMMYFUNCTION("""COMPUTED_VALUE"""),"TRF17")</f>
        <v>TRF17</v>
      </c>
      <c r="V174" s="104" t="str">
        <f>IFERROR(__xludf.DUMMYFUNCTION("""COMPUTED_VALUE"""),"Chaldea Gate (Fri)")</f>
        <v>Chaldea Gate (Fri)</v>
      </c>
      <c r="W174" s="104" t="str">
        <f>IFERROR(__xludf.DUMMYFUNCTION("""COMPUTED_VALUE"""),"FRI Caster Training Ground- Nov")</f>
        <v>FRI Caster Training Ground- Nov</v>
      </c>
      <c r="X174" s="109">
        <f>IFERROR(__xludf.DUMMYFUNCTION("""COMPUTED_VALUE"""),10.0)</f>
        <v>10</v>
      </c>
      <c r="Y174" s="110">
        <f>IFERROR(__xludf.DUMMYFUNCTION("""COMPUTED_VALUE"""),18.8)</f>
        <v>18.8</v>
      </c>
      <c r="Z174" s="112">
        <f>IFERROR(__xludf.DUMMYFUNCTION("""COMPUTED_VALUE"""),31.463871267818124)</f>
        <v>31.46387127</v>
      </c>
      <c r="AA174" s="121" t="str">
        <f>IFERROR(__xludf.DUMMYFUNCTION("""COMPUTED_VALUE"""),"AP")</f>
        <v>AP</v>
      </c>
      <c r="AB174" s="123">
        <f>IFERROR(__xludf.DUMMYFUNCTION("""COMPUTED_VALUE"""),31.782484472049692)</f>
        <v>31.78248447</v>
      </c>
      <c r="AC174" s="121" t="str">
        <f>IFERROR(__xludf.DUMMYFUNCTION("""COMPUTED_VALUE"""),"％")</f>
        <v>％</v>
      </c>
      <c r="AD174" s="109">
        <f>IFERROR(__xludf.DUMMYFUNCTION("""COMPUTED_VALUE"""),3220.0)</f>
        <v>3220</v>
      </c>
      <c r="AE174" s="100"/>
      <c r="AF174" s="372" t="str">
        <f>IFERROR(__xludf.DUMMYFUNCTION("""COMPUTED_VALUE"""),"")</f>
        <v/>
      </c>
    </row>
    <row r="175" ht="16.5" customHeight="1">
      <c r="C175" s="100"/>
      <c r="D175" s="130">
        <f>IFERROR(__xludf.DUMMYFUNCTION("""COMPUTED_VALUE"""),3.0)</f>
        <v>3</v>
      </c>
      <c r="E175" s="132" t="str">
        <f>IFERROR(__xludf.DUMMYFUNCTION("""COMPUTED_VALUE"""),"EPU9")</f>
        <v>EPU9</v>
      </c>
      <c r="F175" s="133" t="str">
        <f>IFERROR(__xludf.DUMMYFUNCTION("""COMPUTED_VALUE"""),"E Pluribus Unum")</f>
        <v>E Pluribus Unum</v>
      </c>
      <c r="G175" s="135" t="str">
        <f>IFERROR(__xludf.DUMMYFUNCTION("""COMPUTED_VALUE"""),"Lubbock")</f>
        <v>Lubbock</v>
      </c>
      <c r="H175" s="137">
        <f>IFERROR(__xludf.DUMMYFUNCTION("""COMPUTED_VALUE"""),18.0)</f>
        <v>18</v>
      </c>
      <c r="I175" s="139">
        <f>IFERROR(__xludf.DUMMYFUNCTION("""COMPUTED_VALUE"""),43.77777777777778)</f>
        <v>43.77777778</v>
      </c>
      <c r="J175" s="141">
        <f>IFERROR(__xludf.DUMMYFUNCTION("""COMPUTED_VALUE"""),158.41514726507714)</f>
        <v>158.4151473</v>
      </c>
      <c r="K175" s="143" t="str">
        <f>IFERROR(__xludf.DUMMYFUNCTION("""COMPUTED_VALUE"""),"AP")</f>
        <v>AP</v>
      </c>
      <c r="L175" s="145">
        <f>IFERROR(__xludf.DUMMYFUNCTION("""COMPUTED_VALUE"""),11.362549800796813)</f>
        <v>11.3625498</v>
      </c>
      <c r="M175" s="143" t="str">
        <f>IFERROR(__xludf.DUMMYFUNCTION("""COMPUTED_VALUE"""),"％")</f>
        <v>％</v>
      </c>
      <c r="N175" s="137">
        <f>IFERROR(__xludf.DUMMYFUNCTION("""COMPUTED_VALUE"""),502.0)</f>
        <v>502</v>
      </c>
      <c r="O175" s="100"/>
      <c r="P175" s="371" t="str">
        <f>IFERROR(__xludf.DUMMYFUNCTION("""COMPUTED_VALUE"""),"")</f>
        <v/>
      </c>
      <c r="S175" s="100"/>
      <c r="T175" s="130">
        <f>IFERROR(__xludf.DUMMYFUNCTION("""COMPUTED_VALUE"""),3.0)</f>
        <v>3</v>
      </c>
      <c r="U175" s="132" t="str">
        <f>IFERROR(__xludf.DUMMYFUNCTION("""COMPUTED_VALUE"""),"TRF19")</f>
        <v>TRF19</v>
      </c>
      <c r="V175" s="133" t="str">
        <f>IFERROR(__xludf.DUMMYFUNCTION("""COMPUTED_VALUE"""),"Chaldea Gate (Fri)")</f>
        <v>Chaldea Gate (Fri)</v>
      </c>
      <c r="W175" s="133" t="str">
        <f>IFERROR(__xludf.DUMMYFUNCTION("""COMPUTED_VALUE"""),"FRI Caster Training Ground- Adv")</f>
        <v>FRI Caster Training Ground- Adv</v>
      </c>
      <c r="X175" s="137">
        <f>IFERROR(__xludf.DUMMYFUNCTION("""COMPUTED_VALUE"""),30.0)</f>
        <v>30</v>
      </c>
      <c r="Y175" s="139">
        <f>IFERROR(__xludf.DUMMYFUNCTION("""COMPUTED_VALUE"""),18.266666666666666)</f>
        <v>18.26666667</v>
      </c>
      <c r="Z175" s="141">
        <f>IFERROR(__xludf.DUMMYFUNCTION("""COMPUTED_VALUE"""),32.390068767756034)</f>
        <v>32.39006877</v>
      </c>
      <c r="AA175" s="143" t="str">
        <f>IFERROR(__xludf.DUMMYFUNCTION("""COMPUTED_VALUE"""),"AP")</f>
        <v>AP</v>
      </c>
      <c r="AB175" s="145">
        <f>IFERROR(__xludf.DUMMYFUNCTION("""COMPUTED_VALUE"""),92.62098273117802)</f>
        <v>92.62098273</v>
      </c>
      <c r="AC175" s="143" t="str">
        <f>IFERROR(__xludf.DUMMYFUNCTION("""COMPUTED_VALUE"""),"％")</f>
        <v>％</v>
      </c>
      <c r="AD175" s="137">
        <f>IFERROR(__xludf.DUMMYFUNCTION("""COMPUTED_VALUE"""),1964.0)</f>
        <v>1964</v>
      </c>
      <c r="AE175" s="100"/>
      <c r="AF175" s="372" t="str">
        <f>IFERROR(__xludf.DUMMYFUNCTION("""COMPUTED_VALUE"""),"")</f>
        <v/>
      </c>
    </row>
    <row r="176" ht="16.5" customHeight="1">
      <c r="C176" s="100"/>
      <c r="D176" s="146">
        <f>IFERROR(__xludf.DUMMYFUNCTION("""COMPUTED_VALUE"""),4.0)</f>
        <v>4</v>
      </c>
      <c r="E176" s="148" t="str">
        <f>IFERROR(__xludf.DUMMYFUNCTION("""COMPUTED_VALUE"""),"TRF24")</f>
        <v>TRF24</v>
      </c>
      <c r="F176" s="150" t="str">
        <f>IFERROR(__xludf.DUMMYFUNCTION("""COMPUTED_VALUE"""),"Chaldea Gate (Sat)")</f>
        <v>Chaldea Gate (Sat)</v>
      </c>
      <c r="G176" s="150" t="str">
        <f>IFERROR(__xludf.DUMMYFUNCTION("""COMPUTED_VALUE"""),"SAT Assassin Training Ground- Exp")</f>
        <v>SAT Assassin Training Ground- Exp</v>
      </c>
      <c r="H176" s="154">
        <f>IFERROR(__xludf.DUMMYFUNCTION("""COMPUTED_VALUE"""),40.0)</f>
        <v>40</v>
      </c>
      <c r="I176" s="156">
        <f>IFERROR(__xludf.DUMMYFUNCTION("""COMPUTED_VALUE"""),19.7)</f>
        <v>19.7</v>
      </c>
      <c r="J176" s="158">
        <f>IFERROR(__xludf.DUMMYFUNCTION("""COMPUTED_VALUE"""),331.27949488606794)</f>
        <v>331.2794949</v>
      </c>
      <c r="K176" s="160" t="str">
        <f>IFERROR(__xludf.DUMMYFUNCTION("""COMPUTED_VALUE"""),"AP")</f>
        <v>AP</v>
      </c>
      <c r="L176" s="162">
        <f>IFERROR(__xludf.DUMMYFUNCTION("""COMPUTED_VALUE"""),12.074396579769179)</f>
        <v>12.07439658</v>
      </c>
      <c r="M176" s="160" t="str">
        <f>IFERROR(__xludf.DUMMYFUNCTION("""COMPUTED_VALUE"""),"％")</f>
        <v>％</v>
      </c>
      <c r="N176" s="154">
        <f>IFERROR(__xludf.DUMMYFUNCTION("""COMPUTED_VALUE"""),7365.0)</f>
        <v>7365</v>
      </c>
      <c r="O176" s="100"/>
      <c r="P176" s="371" t="str">
        <f>IFERROR(__xludf.DUMMYFUNCTION("""COMPUTED_VALUE"""),"")</f>
        <v/>
      </c>
      <c r="S176" s="100"/>
      <c r="T176" s="146">
        <f>IFERROR(__xludf.DUMMYFUNCTION("""COMPUTED_VALUE"""),4.0)</f>
        <v>4</v>
      </c>
      <c r="U176" s="148" t="str">
        <f>IFERROR(__xludf.DUMMYFUNCTION("""COMPUTED_VALUE"""),"TRF20")</f>
        <v>TRF20</v>
      </c>
      <c r="V176" s="150" t="str">
        <f>IFERROR(__xludf.DUMMYFUNCTION("""COMPUTED_VALUE"""),"Chaldea Gate (Fri)")</f>
        <v>Chaldea Gate (Fri)</v>
      </c>
      <c r="W176" s="150" t="str">
        <f>IFERROR(__xludf.DUMMYFUNCTION("""COMPUTED_VALUE"""),"FRI Caster Training Ground- Exp")</f>
        <v>FRI Caster Training Ground- Exp</v>
      </c>
      <c r="X176" s="154">
        <f>IFERROR(__xludf.DUMMYFUNCTION("""COMPUTED_VALUE"""),40.0)</f>
        <v>40</v>
      </c>
      <c r="Y176" s="156">
        <f>IFERROR(__xludf.DUMMYFUNCTION("""COMPUTED_VALUE"""),19.7)</f>
        <v>19.7</v>
      </c>
      <c r="Z176" s="158">
        <f>IFERROR(__xludf.DUMMYFUNCTION("""COMPUTED_VALUE"""),49.61964929698486)</f>
        <v>49.6196493</v>
      </c>
      <c r="AA176" s="160" t="str">
        <f>IFERROR(__xludf.DUMMYFUNCTION("""COMPUTED_VALUE"""),"AP")</f>
        <v>AP</v>
      </c>
      <c r="AB176" s="162">
        <f>IFERROR(__xludf.DUMMYFUNCTION("""COMPUTED_VALUE"""),80.61322594319627)</f>
        <v>80.61322594</v>
      </c>
      <c r="AC176" s="160" t="str">
        <f>IFERROR(__xludf.DUMMYFUNCTION("""COMPUTED_VALUE"""),"％")</f>
        <v>％</v>
      </c>
      <c r="AD176" s="154">
        <f>IFERROR(__xludf.DUMMYFUNCTION("""COMPUTED_VALUE"""),11795.0)</f>
        <v>11795</v>
      </c>
      <c r="AE176" s="100"/>
      <c r="AF176" s="372" t="str">
        <f>IFERROR(__xludf.DUMMYFUNCTION("""COMPUTED_VALUE"""),"")</f>
        <v/>
      </c>
    </row>
    <row r="177" ht="16.5" customHeight="1">
      <c r="A177" s="166"/>
      <c r="C177" s="168"/>
      <c r="D177" s="169">
        <f>IFERROR(__xludf.DUMMYFUNCTION("""COMPUTED_VALUE"""),5.0)</f>
        <v>5</v>
      </c>
      <c r="E177" s="170" t="str">
        <f>IFERROR(__xludf.DUMMYFUNCTION("""COMPUTED_VALUE"""),"TRF23")</f>
        <v>TRF23</v>
      </c>
      <c r="F177" s="51" t="str">
        <f>IFERROR(__xludf.DUMMYFUNCTION("""COMPUTED_VALUE"""),"Chaldea Gate (Sat)")</f>
        <v>Chaldea Gate (Sat)</v>
      </c>
      <c r="G177" s="51" t="str">
        <f>IFERROR(__xludf.DUMMYFUNCTION("""COMPUTED_VALUE"""),"SAT Assassin Training Ground- Adv")</f>
        <v>SAT Assassin Training Ground- Adv</v>
      </c>
      <c r="H177" s="172">
        <f>IFERROR(__xludf.DUMMYFUNCTION("""COMPUTED_VALUE"""),30.0)</f>
        <v>30</v>
      </c>
      <c r="I177" s="173">
        <f>IFERROR(__xludf.DUMMYFUNCTION("""COMPUTED_VALUE"""),18.266666666666666)</f>
        <v>18.26666667</v>
      </c>
      <c r="J177" s="174">
        <f>IFERROR(__xludf.DUMMYFUNCTION("""COMPUTED_VALUE"""),525.2469488751749)</f>
        <v>525.2469489</v>
      </c>
      <c r="K177" s="175" t="str">
        <f>IFERROR(__xludf.DUMMYFUNCTION("""COMPUTED_VALUE"""),"AP")</f>
        <v>AP</v>
      </c>
      <c r="L177" s="176">
        <f>IFERROR(__xludf.DUMMYFUNCTION("""COMPUTED_VALUE"""),5.7115990990991)</f>
        <v>5.711599099</v>
      </c>
      <c r="M177" s="175" t="str">
        <f>IFERROR(__xludf.DUMMYFUNCTION("""COMPUTED_VALUE"""),"％")</f>
        <v>％</v>
      </c>
      <c r="N177" s="172">
        <f>IFERROR(__xludf.DUMMYFUNCTION("""COMPUTED_VALUE"""),888.0)</f>
        <v>888</v>
      </c>
      <c r="O177" s="168"/>
      <c r="P177" s="371" t="str">
        <f>IFERROR(__xludf.DUMMYFUNCTION("""COMPUTED_VALUE"""),"")</f>
        <v/>
      </c>
      <c r="Q177" s="166"/>
      <c r="S177" s="168"/>
      <c r="T177" s="169">
        <f>IFERROR(__xludf.DUMMYFUNCTION("""COMPUTED_VALUE"""),5.0)</f>
        <v>5</v>
      </c>
      <c r="U177" s="170" t="str">
        <f>IFERROR(__xludf.DUMMYFUNCTION("""COMPUTED_VALUE"""),"ORL9")</f>
        <v>ORL9</v>
      </c>
      <c r="V177" s="51" t="str">
        <f>IFERROR(__xludf.DUMMYFUNCTION("""COMPUTED_VALUE"""),"Orleans")</f>
        <v>Orleans</v>
      </c>
      <c r="W177" s="171" t="str">
        <f>IFERROR(__xludf.DUMMYFUNCTION("""COMPUTED_VALUE"""),"Orleans")</f>
        <v>Orleans</v>
      </c>
      <c r="X177" s="172">
        <f>IFERROR(__xludf.DUMMYFUNCTION("""COMPUTED_VALUE"""),8.0)</f>
        <v>8</v>
      </c>
      <c r="Y177" s="173">
        <f>IFERROR(__xludf.DUMMYFUNCTION("""COMPUTED_VALUE"""),29.5)</f>
        <v>29.5</v>
      </c>
      <c r="Z177" s="174">
        <f>IFERROR(__xludf.DUMMYFUNCTION("""COMPUTED_VALUE"""),80.97879620509099)</f>
        <v>80.97879621</v>
      </c>
      <c r="AA177" s="175" t="str">
        <f>IFERROR(__xludf.DUMMYFUNCTION("""COMPUTED_VALUE"""),"AP")</f>
        <v>AP</v>
      </c>
      <c r="AB177" s="176">
        <f>IFERROR(__xludf.DUMMYFUNCTION("""COMPUTED_VALUE"""),9.879129321382841)</f>
        <v>9.879129321</v>
      </c>
      <c r="AC177" s="175" t="str">
        <f>IFERROR(__xludf.DUMMYFUNCTION("""COMPUTED_VALUE"""),"％")</f>
        <v>％</v>
      </c>
      <c r="AD177" s="172">
        <f>IFERROR(__xludf.DUMMYFUNCTION("""COMPUTED_VALUE"""),781.0)</f>
        <v>781</v>
      </c>
      <c r="AE177" s="168"/>
      <c r="AF177" s="372" t="str">
        <f>IFERROR(__xludf.DUMMYFUNCTION("""COMPUTED_VALUE"""),"")</f>
        <v/>
      </c>
    </row>
    <row r="178" ht="16.5" customHeight="1">
      <c r="A178" s="61" t="str">
        <f>IFERROR(__xludf.DUMMYFUNCTION("""COMPUTED_VALUE"""),"")</f>
        <v/>
      </c>
      <c r="B178" s="366" t="str">
        <f>IFERROR(__xludf.DUMMYFUNCTION("""COMPUTED_VALUE"""),"A108")</f>
        <v>A108</v>
      </c>
      <c r="C178" s="197" t="str">
        <f>IFERROR(__xludf.DUMMYFUNCTION("""COMPUTED_VALUE"""),"Lamp of Evil-Sealing")</f>
        <v>Lamp of Evil-Sealing</v>
      </c>
      <c r="D178" s="181">
        <f>IFERROR(__xludf.DUMMYFUNCTION("""COMPUTED_VALUE"""),1.0)</f>
        <v>1</v>
      </c>
      <c r="E178" s="182" t="str">
        <f>IFERROR(__xludf.DUMMYFUNCTION("""COMPUTED_VALUE"""),"CML11")</f>
        <v>CML11</v>
      </c>
      <c r="F178" s="184" t="str">
        <f>IFERROR(__xludf.DUMMYFUNCTION("""COMPUTED_VALUE"""),"Camelot")</f>
        <v>Camelot</v>
      </c>
      <c r="G178" s="189" t="str">
        <f>IFERROR(__xludf.DUMMYFUNCTION("""COMPUTED_VALUE"""),"Hidden Village")</f>
        <v>Hidden Village</v>
      </c>
      <c r="H178" s="190">
        <f>IFERROR(__xludf.DUMMYFUNCTION("""COMPUTED_VALUE"""),21.0)</f>
        <v>21</v>
      </c>
      <c r="I178" s="191">
        <f>IFERROR(__xludf.DUMMYFUNCTION("""COMPUTED_VALUE"""),47.80952380952381)</f>
        <v>47.80952381</v>
      </c>
      <c r="J178" s="192">
        <f>IFERROR(__xludf.DUMMYFUNCTION("""COMPUTED_VALUE"""),131.14441707799108)</f>
        <v>131.1444171</v>
      </c>
      <c r="K178" s="194" t="str">
        <f>IFERROR(__xludf.DUMMYFUNCTION("""COMPUTED_VALUE"""),"AP")</f>
        <v>AP</v>
      </c>
      <c r="L178" s="192">
        <f>IFERROR(__xludf.DUMMYFUNCTION("""COMPUTED_VALUE"""),16.01288142331776)</f>
        <v>16.01288142</v>
      </c>
      <c r="M178" s="194" t="str">
        <f>IFERROR(__xludf.DUMMYFUNCTION("""COMPUTED_VALUE"""),"％")</f>
        <v>％</v>
      </c>
      <c r="N178" s="190">
        <f>IFERROR(__xludf.DUMMYFUNCTION("""COMPUTED_VALUE"""),50305.0)</f>
        <v>50305</v>
      </c>
      <c r="O178" s="197" t="str">
        <f>IFERROR(__xludf.DUMMYFUNCTION("""COMPUTED_VALUE"""),"Lamp of Evil-Sealing")</f>
        <v>Lamp of Evil-Sealing</v>
      </c>
      <c r="P178" s="371" t="str">
        <f>IFERROR(__xludf.DUMMYFUNCTION("""COMPUTED_VALUE"""),"")</f>
        <v/>
      </c>
      <c r="Q178" s="61" t="str">
        <f>IFERROR(__xludf.DUMMYFUNCTION("""COMPUTED_VALUE"""),"")</f>
        <v/>
      </c>
      <c r="R178" s="366" t="str">
        <f>IFERROR(__xludf.DUMMYFUNCTION("""COMPUTED_VALUE"""),"B216")</f>
        <v>B216</v>
      </c>
      <c r="S178" s="197" t="str">
        <f>IFERROR(__xludf.DUMMYFUNCTION("""COMPUTED_VALUE"""),"Assassin Piece")</f>
        <v>Assassin Piece</v>
      </c>
      <c r="T178" s="181">
        <f>IFERROR(__xludf.DUMMYFUNCTION("""COMPUTED_VALUE"""),1.0)</f>
        <v>1</v>
      </c>
      <c r="U178" s="182" t="str">
        <f>IFERROR(__xludf.DUMMYFUNCTION("""COMPUTED_VALUE"""),"TRF22")</f>
        <v>TRF22</v>
      </c>
      <c r="V178" s="184" t="str">
        <f>IFERROR(__xludf.DUMMYFUNCTION("""COMPUTED_VALUE"""),"Chaldea Gate (Sat)")</f>
        <v>Chaldea Gate (Sat)</v>
      </c>
      <c r="W178" s="184" t="str">
        <f>IFERROR(__xludf.DUMMYFUNCTION("""COMPUTED_VALUE"""),"SAT Assassin Training Ground- Int")</f>
        <v>SAT Assassin Training Ground- Int</v>
      </c>
      <c r="X178" s="190">
        <f>IFERROR(__xludf.DUMMYFUNCTION("""COMPUTED_VALUE"""),20.0)</f>
        <v>20</v>
      </c>
      <c r="Y178" s="191">
        <f>IFERROR(__xludf.DUMMYFUNCTION("""COMPUTED_VALUE"""),18.4)</f>
        <v>18.4</v>
      </c>
      <c r="Z178" s="192">
        <f>IFERROR(__xludf.DUMMYFUNCTION("""COMPUTED_VALUE"""),28.718675006884613)</f>
        <v>28.71867501</v>
      </c>
      <c r="AA178" s="194" t="str">
        <f>IFERROR(__xludf.DUMMYFUNCTION("""COMPUTED_VALUE"""),"AP")</f>
        <v>AP</v>
      </c>
      <c r="AB178" s="192">
        <f>IFERROR(__xludf.DUMMYFUNCTION("""COMPUTED_VALUE"""),69.64109589041097)</f>
        <v>69.64109589</v>
      </c>
      <c r="AC178" s="194" t="str">
        <f>IFERROR(__xludf.DUMMYFUNCTION("""COMPUTED_VALUE"""),"％")</f>
        <v>％</v>
      </c>
      <c r="AD178" s="190">
        <f>IFERROR(__xludf.DUMMYFUNCTION("""COMPUTED_VALUE"""),584.0)</f>
        <v>584</v>
      </c>
      <c r="AE178" s="197" t="str">
        <f>IFERROR(__xludf.DUMMYFUNCTION("""COMPUTED_VALUE"""),"Assassin Piece")</f>
        <v>Assassin Piece</v>
      </c>
      <c r="AF178" s="372" t="str">
        <f>IFERROR(__xludf.DUMMYFUNCTION("""COMPUTED_VALUE"""),"")</f>
        <v/>
      </c>
    </row>
    <row r="179" ht="16.5" customHeight="1">
      <c r="C179" s="217"/>
      <c r="D179" s="205">
        <f>IFERROR(__xludf.DUMMYFUNCTION("""COMPUTED_VALUE"""),2.0)</f>
        <v>2</v>
      </c>
      <c r="E179" s="206" t="str">
        <f>IFERROR(__xludf.DUMMYFUNCTION("""COMPUTED_VALUE"""),"CML2")</f>
        <v>CML2</v>
      </c>
      <c r="F179" s="207" t="str">
        <f>IFERROR(__xludf.DUMMYFUNCTION("""COMPUTED_VALUE"""),"Camelot")</f>
        <v>Camelot</v>
      </c>
      <c r="G179" s="209" t="str">
        <f>IFERROR(__xludf.DUMMYFUNCTION("""COMPUTED_VALUE"""),"Dune of Dawn")</f>
        <v>Dune of Dawn</v>
      </c>
      <c r="H179" s="211">
        <f>IFERROR(__xludf.DUMMYFUNCTION("""COMPUTED_VALUE"""),19.0)</f>
        <v>19</v>
      </c>
      <c r="I179" s="213">
        <f>IFERROR(__xludf.DUMMYFUNCTION("""COMPUTED_VALUE"""),42.73684210526316)</f>
        <v>42.73684211</v>
      </c>
      <c r="J179" s="214">
        <f>IFERROR(__xludf.DUMMYFUNCTION("""COMPUTED_VALUE"""),156.13907123753953)</f>
        <v>156.1390712</v>
      </c>
      <c r="K179" s="215" t="str">
        <f>IFERROR(__xludf.DUMMYFUNCTION("""COMPUTED_VALUE"""),"AP")</f>
        <v>AP</v>
      </c>
      <c r="L179" s="214">
        <f>IFERROR(__xludf.DUMMYFUNCTION("""COMPUTED_VALUE"""),12.168639053254438)</f>
        <v>12.16863905</v>
      </c>
      <c r="M179" s="215" t="str">
        <f>IFERROR(__xludf.DUMMYFUNCTION("""COMPUTED_VALUE"""),"％")</f>
        <v>％</v>
      </c>
      <c r="N179" s="211">
        <f>IFERROR(__xludf.DUMMYFUNCTION("""COMPUTED_VALUE"""),338.0)</f>
        <v>338</v>
      </c>
      <c r="O179" s="217"/>
      <c r="P179" s="371" t="str">
        <f>IFERROR(__xludf.DUMMYFUNCTION("""COMPUTED_VALUE"""),"")</f>
        <v/>
      </c>
      <c r="S179" s="217"/>
      <c r="T179" s="205">
        <f>IFERROR(__xludf.DUMMYFUNCTION("""COMPUTED_VALUE"""),2.0)</f>
        <v>2</v>
      </c>
      <c r="U179" s="206" t="str">
        <f>IFERROR(__xludf.DUMMYFUNCTION("""COMPUTED_VALUE"""),"TRF23")</f>
        <v>TRF23</v>
      </c>
      <c r="V179" s="207" t="str">
        <f>IFERROR(__xludf.DUMMYFUNCTION("""COMPUTED_VALUE"""),"Chaldea Gate (Sat)")</f>
        <v>Chaldea Gate (Sat)</v>
      </c>
      <c r="W179" s="207" t="str">
        <f>IFERROR(__xludf.DUMMYFUNCTION("""COMPUTED_VALUE"""),"SAT Assassin Training Ground- Adv")</f>
        <v>SAT Assassin Training Ground- Adv</v>
      </c>
      <c r="X179" s="211">
        <f>IFERROR(__xludf.DUMMYFUNCTION("""COMPUTED_VALUE"""),30.0)</f>
        <v>30</v>
      </c>
      <c r="Y179" s="213">
        <f>IFERROR(__xludf.DUMMYFUNCTION("""COMPUTED_VALUE"""),18.266666666666666)</f>
        <v>18.26666667</v>
      </c>
      <c r="Z179" s="214">
        <f>IFERROR(__xludf.DUMMYFUNCTION("""COMPUTED_VALUE"""),29.234054600961745)</f>
        <v>29.2340546</v>
      </c>
      <c r="AA179" s="215" t="str">
        <f>IFERROR(__xludf.DUMMYFUNCTION("""COMPUTED_VALUE"""),"AP")</f>
        <v>AP</v>
      </c>
      <c r="AB179" s="214">
        <f>IFERROR(__xludf.DUMMYFUNCTION("""COMPUTED_VALUE"""),102.62004504504503)</f>
        <v>102.620045</v>
      </c>
      <c r="AC179" s="215" t="str">
        <f>IFERROR(__xludf.DUMMYFUNCTION("""COMPUTED_VALUE"""),"％")</f>
        <v>％</v>
      </c>
      <c r="AD179" s="211">
        <f>IFERROR(__xludf.DUMMYFUNCTION("""COMPUTED_VALUE"""),888.0)</f>
        <v>888</v>
      </c>
      <c r="AE179" s="217"/>
      <c r="AF179" s="372" t="str">
        <f>IFERROR(__xludf.DUMMYFUNCTION("""COMPUTED_VALUE"""),"")</f>
        <v/>
      </c>
    </row>
    <row r="180" ht="16.5" customHeight="1">
      <c r="C180" s="217"/>
      <c r="D180" s="222">
        <f>IFERROR(__xludf.DUMMYFUNCTION("""COMPUTED_VALUE"""),3.0)</f>
        <v>3</v>
      </c>
      <c r="E180" s="223" t="str">
        <f>IFERROR(__xludf.DUMMYFUNCTION("""COMPUTED_VALUE"""),"")</f>
        <v/>
      </c>
      <c r="F180" s="224" t="str">
        <f>IFERROR(__xludf.DUMMYFUNCTION("""COMPUTED_VALUE"""),"")</f>
        <v/>
      </c>
      <c r="G180" s="224" t="str">
        <f>IFERROR(__xludf.DUMMYFUNCTION("""COMPUTED_VALUE"""),"")</f>
        <v/>
      </c>
      <c r="H180" s="228" t="str">
        <f>IFERROR(__xludf.DUMMYFUNCTION("""COMPUTED_VALUE"""),"")</f>
        <v/>
      </c>
      <c r="I180" s="230" t="str">
        <f>IFERROR(__xludf.DUMMYFUNCTION("""COMPUTED_VALUE"""),"")</f>
        <v/>
      </c>
      <c r="J180" s="231" t="str">
        <f>IFERROR(__xludf.DUMMYFUNCTION("""COMPUTED_VALUE"""),"")</f>
        <v/>
      </c>
      <c r="K180" s="232" t="str">
        <f>IFERROR(__xludf.DUMMYFUNCTION("""COMPUTED_VALUE"""),"AP")</f>
        <v>AP</v>
      </c>
      <c r="L180" s="231" t="str">
        <f>IFERROR(__xludf.DUMMYFUNCTION("""COMPUTED_VALUE"""),"")</f>
        <v/>
      </c>
      <c r="M180" s="232" t="str">
        <f>IFERROR(__xludf.DUMMYFUNCTION("""COMPUTED_VALUE"""),"％")</f>
        <v>％</v>
      </c>
      <c r="N180" s="228" t="str">
        <f>IFERROR(__xludf.DUMMYFUNCTION("""COMPUTED_VALUE"""),"")</f>
        <v/>
      </c>
      <c r="O180" s="217"/>
      <c r="P180" s="371" t="str">
        <f>IFERROR(__xludf.DUMMYFUNCTION("""COMPUTED_VALUE"""),"")</f>
        <v/>
      </c>
      <c r="S180" s="217"/>
      <c r="T180" s="222">
        <f>IFERROR(__xludf.DUMMYFUNCTION("""COMPUTED_VALUE"""),3.0)</f>
        <v>3</v>
      </c>
      <c r="U180" s="223" t="str">
        <f>IFERROR(__xludf.DUMMYFUNCTION("""COMPUTED_VALUE"""),"TRF21")</f>
        <v>TRF21</v>
      </c>
      <c r="V180" s="224" t="str">
        <f>IFERROR(__xludf.DUMMYFUNCTION("""COMPUTED_VALUE"""),"Chaldea Gate (Sat)")</f>
        <v>Chaldea Gate (Sat)</v>
      </c>
      <c r="W180" s="224" t="str">
        <f>IFERROR(__xludf.DUMMYFUNCTION("""COMPUTED_VALUE"""),"SAT Assassin Training Ground- Nov")</f>
        <v>SAT Assassin Training Ground- Nov</v>
      </c>
      <c r="X180" s="228">
        <f>IFERROR(__xludf.DUMMYFUNCTION("""COMPUTED_VALUE"""),10.0)</f>
        <v>10</v>
      </c>
      <c r="Y180" s="230">
        <f>IFERROR(__xludf.DUMMYFUNCTION("""COMPUTED_VALUE"""),18.8)</f>
        <v>18.8</v>
      </c>
      <c r="Z180" s="231">
        <f>IFERROR(__xludf.DUMMYFUNCTION("""COMPUTED_VALUE"""),35.897954082528074)</f>
        <v>35.89795408</v>
      </c>
      <c r="AA180" s="232" t="str">
        <f>IFERROR(__xludf.DUMMYFUNCTION("""COMPUTED_VALUE"""),"AP")</f>
        <v>AP</v>
      </c>
      <c r="AB180" s="231">
        <f>IFERROR(__xludf.DUMMYFUNCTION("""COMPUTED_VALUE"""),27.85674074074074)</f>
        <v>27.85674074</v>
      </c>
      <c r="AC180" s="232" t="str">
        <f>IFERROR(__xludf.DUMMYFUNCTION("""COMPUTED_VALUE"""),"％")</f>
        <v>％</v>
      </c>
      <c r="AD180" s="228">
        <f>IFERROR(__xludf.DUMMYFUNCTION("""COMPUTED_VALUE"""),1350.0)</f>
        <v>1350</v>
      </c>
      <c r="AE180" s="217"/>
      <c r="AF180" s="372" t="str">
        <f>IFERROR(__xludf.DUMMYFUNCTION("""COMPUTED_VALUE"""),"")</f>
        <v/>
      </c>
    </row>
    <row r="181" ht="16.5" customHeight="1">
      <c r="C181" s="217"/>
      <c r="D181" s="238">
        <f>IFERROR(__xludf.DUMMYFUNCTION("""COMPUTED_VALUE"""),4.0)</f>
        <v>4</v>
      </c>
      <c r="E181" s="240" t="str">
        <f>IFERROR(__xludf.DUMMYFUNCTION("""COMPUTED_VALUE"""),"")</f>
        <v/>
      </c>
      <c r="F181" s="242" t="str">
        <f>IFERROR(__xludf.DUMMYFUNCTION("""COMPUTED_VALUE"""),"")</f>
        <v/>
      </c>
      <c r="G181" s="242" t="str">
        <f>IFERROR(__xludf.DUMMYFUNCTION("""COMPUTED_VALUE"""),"")</f>
        <v/>
      </c>
      <c r="H181" s="246" t="str">
        <f>IFERROR(__xludf.DUMMYFUNCTION("""COMPUTED_VALUE"""),"")</f>
        <v/>
      </c>
      <c r="I181" s="248" t="str">
        <f>IFERROR(__xludf.DUMMYFUNCTION("""COMPUTED_VALUE"""),"")</f>
        <v/>
      </c>
      <c r="J181" s="250" t="str">
        <f>IFERROR(__xludf.DUMMYFUNCTION("""COMPUTED_VALUE"""),"")</f>
        <v/>
      </c>
      <c r="K181" s="252" t="str">
        <f>IFERROR(__xludf.DUMMYFUNCTION("""COMPUTED_VALUE"""),"AP")</f>
        <v>AP</v>
      </c>
      <c r="L181" s="250" t="str">
        <f>IFERROR(__xludf.DUMMYFUNCTION("""COMPUTED_VALUE"""),"")</f>
        <v/>
      </c>
      <c r="M181" s="252" t="str">
        <f>IFERROR(__xludf.DUMMYFUNCTION("""COMPUTED_VALUE"""),"％")</f>
        <v>％</v>
      </c>
      <c r="N181" s="246" t="str">
        <f>IFERROR(__xludf.DUMMYFUNCTION("""COMPUTED_VALUE"""),"")</f>
        <v/>
      </c>
      <c r="O181" s="217"/>
      <c r="P181" s="371" t="str">
        <f>IFERROR(__xludf.DUMMYFUNCTION("""COMPUTED_VALUE"""),"")</f>
        <v/>
      </c>
      <c r="S181" s="217"/>
      <c r="T181" s="238">
        <f>IFERROR(__xludf.DUMMYFUNCTION("""COMPUTED_VALUE"""),4.0)</f>
        <v>4</v>
      </c>
      <c r="U181" s="240" t="str">
        <f>IFERROR(__xludf.DUMMYFUNCTION("""COMPUTED_VALUE"""),"TRF24")</f>
        <v>TRF24</v>
      </c>
      <c r="V181" s="242" t="str">
        <f>IFERROR(__xludf.DUMMYFUNCTION("""COMPUTED_VALUE"""),"Chaldea Gate (Sat)")</f>
        <v>Chaldea Gate (Sat)</v>
      </c>
      <c r="W181" s="242" t="str">
        <f>IFERROR(__xludf.DUMMYFUNCTION("""COMPUTED_VALUE"""),"SAT Assassin Training Ground- Exp")</f>
        <v>SAT Assassin Training Ground- Exp</v>
      </c>
      <c r="X181" s="246">
        <f>IFERROR(__xludf.DUMMYFUNCTION("""COMPUTED_VALUE"""),40.0)</f>
        <v>40</v>
      </c>
      <c r="Y181" s="248">
        <f>IFERROR(__xludf.DUMMYFUNCTION("""COMPUTED_VALUE"""),19.7)</f>
        <v>19.7</v>
      </c>
      <c r="Z181" s="250">
        <f>IFERROR(__xludf.DUMMYFUNCTION("""COMPUTED_VALUE"""),50.150126941444874)</f>
        <v>50.15012694</v>
      </c>
      <c r="AA181" s="252" t="str">
        <f>IFERROR(__xludf.DUMMYFUNCTION("""COMPUTED_VALUE"""),"AP")</f>
        <v>AP</v>
      </c>
      <c r="AB181" s="250">
        <f>IFERROR(__xludf.DUMMYFUNCTION("""COMPUTED_VALUE"""),79.76051595383571)</f>
        <v>79.76051595</v>
      </c>
      <c r="AC181" s="252" t="str">
        <f>IFERROR(__xludf.DUMMYFUNCTION("""COMPUTED_VALUE"""),"％")</f>
        <v>％</v>
      </c>
      <c r="AD181" s="246">
        <f>IFERROR(__xludf.DUMMYFUNCTION("""COMPUTED_VALUE"""),7365.0)</f>
        <v>7365</v>
      </c>
      <c r="AE181" s="217"/>
      <c r="AF181" s="372" t="str">
        <f>IFERROR(__xludf.DUMMYFUNCTION("""COMPUTED_VALUE"""),"")</f>
        <v/>
      </c>
    </row>
    <row r="182" ht="16.5" customHeight="1">
      <c r="A182" s="166"/>
      <c r="C182" s="263"/>
      <c r="D182" s="256">
        <f>IFERROR(__xludf.DUMMYFUNCTION("""COMPUTED_VALUE"""),5.0)</f>
        <v>5</v>
      </c>
      <c r="E182" s="257" t="str">
        <f>IFERROR(__xludf.DUMMYFUNCTION("""COMPUTED_VALUE"""),"")</f>
        <v/>
      </c>
      <c r="F182" s="42" t="str">
        <f>IFERROR(__xludf.DUMMYFUNCTION("""COMPUTED_VALUE"""),"")</f>
        <v/>
      </c>
      <c r="G182" s="42" t="str">
        <f>IFERROR(__xludf.DUMMYFUNCTION("""COMPUTED_VALUE"""),"")</f>
        <v/>
      </c>
      <c r="H182" s="259" t="str">
        <f>IFERROR(__xludf.DUMMYFUNCTION("""COMPUTED_VALUE"""),"")</f>
        <v/>
      </c>
      <c r="I182" s="260" t="str">
        <f>IFERROR(__xludf.DUMMYFUNCTION("""COMPUTED_VALUE"""),"")</f>
        <v/>
      </c>
      <c r="J182" s="261" t="str">
        <f>IFERROR(__xludf.DUMMYFUNCTION("""COMPUTED_VALUE"""),"")</f>
        <v/>
      </c>
      <c r="K182" s="262" t="str">
        <f>IFERROR(__xludf.DUMMYFUNCTION("""COMPUTED_VALUE"""),"AP")</f>
        <v>AP</v>
      </c>
      <c r="L182" s="261" t="str">
        <f>IFERROR(__xludf.DUMMYFUNCTION("""COMPUTED_VALUE"""),"")</f>
        <v/>
      </c>
      <c r="M182" s="262" t="str">
        <f>IFERROR(__xludf.DUMMYFUNCTION("""COMPUTED_VALUE"""),"％")</f>
        <v>％</v>
      </c>
      <c r="N182" s="259" t="str">
        <f>IFERROR(__xludf.DUMMYFUNCTION("""COMPUTED_VALUE"""),"")</f>
        <v/>
      </c>
      <c r="O182" s="263"/>
      <c r="P182" s="371" t="str">
        <f>IFERROR(__xludf.DUMMYFUNCTION("""COMPUTED_VALUE"""),"")</f>
        <v/>
      </c>
      <c r="Q182" s="166"/>
      <c r="S182" s="263"/>
      <c r="T182" s="256">
        <f>IFERROR(__xludf.DUMMYFUNCTION("""COMPUTED_VALUE"""),5.0)</f>
        <v>5</v>
      </c>
      <c r="U182" s="257" t="str">
        <f>IFERROR(__xludf.DUMMYFUNCTION("""COMPUTED_VALUE"""),"ORL5")</f>
        <v>ORL5</v>
      </c>
      <c r="V182" s="42" t="str">
        <f>IFERROR(__xludf.DUMMYFUNCTION("""COMPUTED_VALUE"""),"Orleans")</f>
        <v>Orleans</v>
      </c>
      <c r="W182" s="258" t="str">
        <f>IFERROR(__xludf.DUMMYFUNCTION("""COMPUTED_VALUE"""),"Lyon")</f>
        <v>Lyon</v>
      </c>
      <c r="X182" s="259">
        <f>IFERROR(__xludf.DUMMYFUNCTION("""COMPUTED_VALUE"""),7.0)</f>
        <v>7</v>
      </c>
      <c r="Y182" s="260">
        <f>IFERROR(__xludf.DUMMYFUNCTION("""COMPUTED_VALUE"""),30.285714285714285)</f>
        <v>30.28571429</v>
      </c>
      <c r="Z182" s="261">
        <f>IFERROR(__xludf.DUMMYFUNCTION("""COMPUTED_VALUE"""),55.61889831112378)</f>
        <v>55.61889831</v>
      </c>
      <c r="AA182" s="262" t="str">
        <f>IFERROR(__xludf.DUMMYFUNCTION("""COMPUTED_VALUE"""),"AP")</f>
        <v>AP</v>
      </c>
      <c r="AB182" s="261">
        <f>IFERROR(__xludf.DUMMYFUNCTION("""COMPUTED_VALUE"""),12.585650224215247)</f>
        <v>12.58565022</v>
      </c>
      <c r="AC182" s="262" t="str">
        <f>IFERROR(__xludf.DUMMYFUNCTION("""COMPUTED_VALUE"""),"％")</f>
        <v>％</v>
      </c>
      <c r="AD182" s="259">
        <f>IFERROR(__xludf.DUMMYFUNCTION("""COMPUTED_VALUE"""),446.0)</f>
        <v>446</v>
      </c>
      <c r="AE182" s="263"/>
      <c r="AF182" s="372" t="str">
        <f>IFERROR(__xludf.DUMMYFUNCTION("""COMPUTED_VALUE"""),"")</f>
        <v/>
      </c>
    </row>
    <row r="183" ht="16.5" customHeight="1">
      <c r="A183" s="61" t="str">
        <f>IFERROR(__xludf.DUMMYFUNCTION("""COMPUTED_VALUE"""),"")</f>
        <v/>
      </c>
      <c r="B183" s="367" t="str">
        <f>IFERROR(__xludf.DUMMYFUNCTION("""COMPUTED_VALUE"""),"A109")</f>
        <v>A109</v>
      </c>
      <c r="C183" s="65" t="str">
        <f>IFERROR(__xludf.DUMMYFUNCTION("""COMPUTED_VALUE"""),"Scarab of Wisdom")</f>
        <v>Scarab of Wisdom</v>
      </c>
      <c r="D183" s="67">
        <f>IFERROR(__xludf.DUMMYFUNCTION("""COMPUTED_VALUE"""),1.0)</f>
        <v>1</v>
      </c>
      <c r="E183" s="69" t="str">
        <f>IFERROR(__xludf.DUMMYFUNCTION("""COMPUTED_VALUE"""),"CML14")</f>
        <v>CML14</v>
      </c>
      <c r="F183" s="71" t="str">
        <f>IFERROR(__xludf.DUMMYFUNCTION("""COMPUTED_VALUE"""),"Camelot")</f>
        <v>Camelot</v>
      </c>
      <c r="G183" s="78" t="str">
        <f>IFERROR(__xludf.DUMMYFUNCTION("""COMPUTED_VALUE"""),"Great Temple")</f>
        <v>Great Temple</v>
      </c>
      <c r="H183" s="80">
        <f>IFERROR(__xludf.DUMMYFUNCTION("""COMPUTED_VALUE"""),22.0)</f>
        <v>22</v>
      </c>
      <c r="I183" s="82">
        <f>IFERROR(__xludf.DUMMYFUNCTION("""COMPUTED_VALUE"""),48.90909090909091)</f>
        <v>48.90909091</v>
      </c>
      <c r="J183" s="84">
        <f>IFERROR(__xludf.DUMMYFUNCTION("""COMPUTED_VALUE"""),181.6186765819385)</f>
        <v>181.6186766</v>
      </c>
      <c r="K183" s="86" t="str">
        <f>IFERROR(__xludf.DUMMYFUNCTION("""COMPUTED_VALUE"""),"AP")</f>
        <v>AP</v>
      </c>
      <c r="L183" s="88">
        <f>IFERROR(__xludf.DUMMYFUNCTION("""COMPUTED_VALUE"""),12.113291658126665)</f>
        <v>12.11329166</v>
      </c>
      <c r="M183" s="86" t="str">
        <f>IFERROR(__xludf.DUMMYFUNCTION("""COMPUTED_VALUE"""),"％")</f>
        <v>％</v>
      </c>
      <c r="N183" s="80">
        <f>IFERROR(__xludf.DUMMYFUNCTION("""COMPUTED_VALUE"""),29274.0)</f>
        <v>29274</v>
      </c>
      <c r="O183" s="91" t="str">
        <f>IFERROR(__xludf.DUMMYFUNCTION("""COMPUTED_VALUE"""),"Scarab of Wisdom")</f>
        <v>Scarab of Wisdom</v>
      </c>
      <c r="P183" s="371" t="str">
        <f>IFERROR(__xludf.DUMMYFUNCTION("""COMPUTED_VALUE"""),"")</f>
        <v/>
      </c>
      <c r="Q183" s="61" t="str">
        <f>IFERROR(__xludf.DUMMYFUNCTION("""COMPUTED_VALUE"""),"")</f>
        <v/>
      </c>
      <c r="R183" s="367" t="str">
        <f>IFERROR(__xludf.DUMMYFUNCTION("""COMPUTED_VALUE"""),"B217")</f>
        <v>B217</v>
      </c>
      <c r="S183" s="65" t="str">
        <f>IFERROR(__xludf.DUMMYFUNCTION("""COMPUTED_VALUE"""),"Berserker Piece")</f>
        <v>Berserker Piece</v>
      </c>
      <c r="T183" s="67">
        <f>IFERROR(__xludf.DUMMYFUNCTION("""COMPUTED_VALUE"""),1.0)</f>
        <v>1</v>
      </c>
      <c r="U183" s="69" t="str">
        <f>IFERROR(__xludf.DUMMYFUNCTION("""COMPUTED_VALUE"""),"TRF10")</f>
        <v>TRF10</v>
      </c>
      <c r="V183" s="71" t="str">
        <f>IFERROR(__xludf.DUMMYFUNCTION("""COMPUTED_VALUE"""),"Chaldea Gate (Wed)")</f>
        <v>Chaldea Gate (Wed)</v>
      </c>
      <c r="W183" s="71" t="str">
        <f>IFERROR(__xludf.DUMMYFUNCTION("""COMPUTED_VALUE"""),"WED Berserker Training Ground- Int")</f>
        <v>WED Berserker Training Ground- Int</v>
      </c>
      <c r="X183" s="80">
        <f>IFERROR(__xludf.DUMMYFUNCTION("""COMPUTED_VALUE"""),20.0)</f>
        <v>20</v>
      </c>
      <c r="Y183" s="82">
        <f>IFERROR(__xludf.DUMMYFUNCTION("""COMPUTED_VALUE"""),18.4)</f>
        <v>18.4</v>
      </c>
      <c r="Z183" s="84">
        <f>IFERROR(__xludf.DUMMYFUNCTION("""COMPUTED_VALUE"""),28.418401848648156)</f>
        <v>28.41840185</v>
      </c>
      <c r="AA183" s="86" t="str">
        <f>IFERROR(__xludf.DUMMYFUNCTION("""COMPUTED_VALUE"""),"AP")</f>
        <v>AP</v>
      </c>
      <c r="AB183" s="88">
        <f>IFERROR(__xludf.DUMMYFUNCTION("""COMPUTED_VALUE"""),70.37693430656934)</f>
        <v>70.37693431</v>
      </c>
      <c r="AC183" s="86" t="str">
        <f>IFERROR(__xludf.DUMMYFUNCTION("""COMPUTED_VALUE"""),"％")</f>
        <v>％</v>
      </c>
      <c r="AD183" s="80">
        <f>IFERROR(__xludf.DUMMYFUNCTION("""COMPUTED_VALUE"""),685.0)</f>
        <v>685</v>
      </c>
      <c r="AE183" s="91" t="str">
        <f>IFERROR(__xludf.DUMMYFUNCTION("""COMPUTED_VALUE"""),"Berserker Piece")</f>
        <v>Berserker Piece</v>
      </c>
      <c r="AF183" s="372" t="str">
        <f>IFERROR(__xludf.DUMMYFUNCTION("""COMPUTED_VALUE"""),"")</f>
        <v/>
      </c>
    </row>
    <row r="184" ht="16.5" customHeight="1">
      <c r="C184" s="100"/>
      <c r="D184" s="102">
        <f>IFERROR(__xludf.DUMMYFUNCTION("""COMPUTED_VALUE"""),2.0)</f>
        <v>2</v>
      </c>
      <c r="E184" s="103" t="str">
        <f>IFERROR(__xludf.DUMMYFUNCTION("""COMPUTED_VALUE"""),"CML1")</f>
        <v>CML1</v>
      </c>
      <c r="F184" s="104" t="str">
        <f>IFERROR(__xludf.DUMMYFUNCTION("""COMPUTED_VALUE"""),"Camelot")</f>
        <v>Camelot</v>
      </c>
      <c r="G184" s="108" t="str">
        <f>IFERROR(__xludf.DUMMYFUNCTION("""COMPUTED_VALUE"""),"Sandstorm Desert")</f>
        <v>Sandstorm Desert</v>
      </c>
      <c r="H184" s="109">
        <f>IFERROR(__xludf.DUMMYFUNCTION("""COMPUTED_VALUE"""),19.0)</f>
        <v>19</v>
      </c>
      <c r="I184" s="110">
        <f>IFERROR(__xludf.DUMMYFUNCTION("""COMPUTED_VALUE"""),42.73684210526316)</f>
        <v>42.73684211</v>
      </c>
      <c r="J184" s="112">
        <f>IFERROR(__xludf.DUMMYFUNCTION("""COMPUTED_VALUE"""),234.6498686329983)</f>
        <v>234.6498686</v>
      </c>
      <c r="K184" s="121" t="str">
        <f>IFERROR(__xludf.DUMMYFUNCTION("""COMPUTED_VALUE"""),"AP")</f>
        <v>AP</v>
      </c>
      <c r="L184" s="123">
        <f>IFERROR(__xludf.DUMMYFUNCTION("""COMPUTED_VALUE"""),8.09717052504161)</f>
        <v>8.097170525</v>
      </c>
      <c r="M184" s="121" t="str">
        <f>IFERROR(__xludf.DUMMYFUNCTION("""COMPUTED_VALUE"""),"％")</f>
        <v>％</v>
      </c>
      <c r="N184" s="109">
        <f>IFERROR(__xludf.DUMMYFUNCTION("""COMPUTED_VALUE"""),33045.0)</f>
        <v>33045</v>
      </c>
      <c r="O184" s="100"/>
      <c r="P184" s="371" t="str">
        <f>IFERROR(__xludf.DUMMYFUNCTION("""COMPUTED_VALUE"""),"")</f>
        <v/>
      </c>
      <c r="S184" s="100"/>
      <c r="T184" s="102">
        <f>IFERROR(__xludf.DUMMYFUNCTION("""COMPUTED_VALUE"""),2.0)</f>
        <v>2</v>
      </c>
      <c r="U184" s="103" t="str">
        <f>IFERROR(__xludf.DUMMYFUNCTION("""COMPUTED_VALUE"""),"TRF11")</f>
        <v>TRF11</v>
      </c>
      <c r="V184" s="104" t="str">
        <f>IFERROR(__xludf.DUMMYFUNCTION("""COMPUTED_VALUE"""),"Chaldea Gate (Wed)")</f>
        <v>Chaldea Gate (Wed)</v>
      </c>
      <c r="W184" s="104" t="str">
        <f>IFERROR(__xludf.DUMMYFUNCTION("""COMPUTED_VALUE"""),"WED Berserker Training Ground- Adv")</f>
        <v>WED Berserker Training Ground- Adv</v>
      </c>
      <c r="X184" s="109">
        <f>IFERROR(__xludf.DUMMYFUNCTION("""COMPUTED_VALUE"""),30.0)</f>
        <v>30</v>
      </c>
      <c r="Y184" s="110">
        <f>IFERROR(__xludf.DUMMYFUNCTION("""COMPUTED_VALUE"""),18.266666666666666)</f>
        <v>18.26666667</v>
      </c>
      <c r="Z184" s="112">
        <f>IFERROR(__xludf.DUMMYFUNCTION("""COMPUTED_VALUE"""),29.3604998488927)</f>
        <v>29.36049985</v>
      </c>
      <c r="AA184" s="121" t="str">
        <f>IFERROR(__xludf.DUMMYFUNCTION("""COMPUTED_VALUE"""),"AP")</f>
        <v>AP</v>
      </c>
      <c r="AB184" s="123">
        <f>IFERROR(__xludf.DUMMYFUNCTION("""COMPUTED_VALUE"""),102.17809694793536)</f>
        <v>102.1780969</v>
      </c>
      <c r="AC184" s="121" t="str">
        <f>IFERROR(__xludf.DUMMYFUNCTION("""COMPUTED_VALUE"""),"％")</f>
        <v>％</v>
      </c>
      <c r="AD184" s="109">
        <f>IFERROR(__xludf.DUMMYFUNCTION("""COMPUTED_VALUE"""),557.0)</f>
        <v>557</v>
      </c>
      <c r="AE184" s="100"/>
      <c r="AF184" s="372" t="str">
        <f>IFERROR(__xludf.DUMMYFUNCTION("""COMPUTED_VALUE"""),"")</f>
        <v/>
      </c>
    </row>
    <row r="185" ht="16.5" customHeight="1">
      <c r="C185" s="100"/>
      <c r="D185" s="130">
        <f>IFERROR(__xludf.DUMMYFUNCTION("""COMPUTED_VALUE"""),3.0)</f>
        <v>3</v>
      </c>
      <c r="E185" s="132" t="str">
        <f>IFERROR(__xludf.DUMMYFUNCTION("""COMPUTED_VALUE"""),"")</f>
        <v/>
      </c>
      <c r="F185" s="133" t="str">
        <f>IFERROR(__xludf.DUMMYFUNCTION("""COMPUTED_VALUE"""),"")</f>
        <v/>
      </c>
      <c r="G185" s="133" t="str">
        <f>IFERROR(__xludf.DUMMYFUNCTION("""COMPUTED_VALUE"""),"")</f>
        <v/>
      </c>
      <c r="H185" s="137" t="str">
        <f>IFERROR(__xludf.DUMMYFUNCTION("""COMPUTED_VALUE"""),"")</f>
        <v/>
      </c>
      <c r="I185" s="139" t="str">
        <f>IFERROR(__xludf.DUMMYFUNCTION("""COMPUTED_VALUE"""),"")</f>
        <v/>
      </c>
      <c r="J185" s="141" t="str">
        <f>IFERROR(__xludf.DUMMYFUNCTION("""COMPUTED_VALUE"""),"")</f>
        <v/>
      </c>
      <c r="K185" s="143" t="str">
        <f>IFERROR(__xludf.DUMMYFUNCTION("""COMPUTED_VALUE"""),"AP")</f>
        <v>AP</v>
      </c>
      <c r="L185" s="145" t="str">
        <f>IFERROR(__xludf.DUMMYFUNCTION("""COMPUTED_VALUE"""),"")</f>
        <v/>
      </c>
      <c r="M185" s="143" t="str">
        <f>IFERROR(__xludf.DUMMYFUNCTION("""COMPUTED_VALUE"""),"％")</f>
        <v>％</v>
      </c>
      <c r="N185" s="137" t="str">
        <f>IFERROR(__xludf.DUMMYFUNCTION("""COMPUTED_VALUE"""),"")</f>
        <v/>
      </c>
      <c r="O185" s="100"/>
      <c r="P185" s="371" t="str">
        <f>IFERROR(__xludf.DUMMYFUNCTION("""COMPUTED_VALUE"""),"")</f>
        <v/>
      </c>
      <c r="S185" s="100"/>
      <c r="T185" s="130">
        <f>IFERROR(__xludf.DUMMYFUNCTION("""COMPUTED_VALUE"""),3.0)</f>
        <v>3</v>
      </c>
      <c r="U185" s="132" t="str">
        <f>IFERROR(__xludf.DUMMYFUNCTION("""COMPUTED_VALUE"""),"TRF12")</f>
        <v>TRF12</v>
      </c>
      <c r="V185" s="133" t="str">
        <f>IFERROR(__xludf.DUMMYFUNCTION("""COMPUTED_VALUE"""),"Chaldea Gate (Wed)")</f>
        <v>Chaldea Gate (Wed)</v>
      </c>
      <c r="W185" s="133" t="str">
        <f>IFERROR(__xludf.DUMMYFUNCTION("""COMPUTED_VALUE"""),"WED Berserker Training Ground- Exp")</f>
        <v>WED Berserker Training Ground- Exp</v>
      </c>
      <c r="X185" s="137">
        <f>IFERROR(__xludf.DUMMYFUNCTION("""COMPUTED_VALUE"""),40.0)</f>
        <v>40</v>
      </c>
      <c r="Y185" s="139">
        <f>IFERROR(__xludf.DUMMYFUNCTION("""COMPUTED_VALUE"""),19.7)</f>
        <v>19.7</v>
      </c>
      <c r="Z185" s="141">
        <f>IFERROR(__xludf.DUMMYFUNCTION("""COMPUTED_VALUE"""),46.30555810657526)</f>
        <v>46.30555811</v>
      </c>
      <c r="AA185" s="143" t="str">
        <f>IFERROR(__xludf.DUMMYFUNCTION("""COMPUTED_VALUE"""),"AP")</f>
        <v>AP</v>
      </c>
      <c r="AB185" s="145">
        <f>IFERROR(__xludf.DUMMYFUNCTION("""COMPUTED_VALUE"""),86.38271869639794)</f>
        <v>86.3827187</v>
      </c>
      <c r="AC185" s="143" t="str">
        <f>IFERROR(__xludf.DUMMYFUNCTION("""COMPUTED_VALUE"""),"％")</f>
        <v>％</v>
      </c>
      <c r="AD185" s="137">
        <f>IFERROR(__xludf.DUMMYFUNCTION("""COMPUTED_VALUE"""),3498.0)</f>
        <v>3498</v>
      </c>
      <c r="AE185" s="100"/>
      <c r="AF185" s="372" t="str">
        <f>IFERROR(__xludf.DUMMYFUNCTION("""COMPUTED_VALUE"""),"")</f>
        <v/>
      </c>
    </row>
    <row r="186" ht="16.5" customHeight="1">
      <c r="C186" s="100"/>
      <c r="D186" s="146">
        <f>IFERROR(__xludf.DUMMYFUNCTION("""COMPUTED_VALUE"""),4.0)</f>
        <v>4</v>
      </c>
      <c r="E186" s="148" t="str">
        <f>IFERROR(__xludf.DUMMYFUNCTION("""COMPUTED_VALUE"""),"")</f>
        <v/>
      </c>
      <c r="F186" s="150" t="str">
        <f>IFERROR(__xludf.DUMMYFUNCTION("""COMPUTED_VALUE"""),"")</f>
        <v/>
      </c>
      <c r="G186" s="150" t="str">
        <f>IFERROR(__xludf.DUMMYFUNCTION("""COMPUTED_VALUE"""),"")</f>
        <v/>
      </c>
      <c r="H186" s="154" t="str">
        <f>IFERROR(__xludf.DUMMYFUNCTION("""COMPUTED_VALUE"""),"")</f>
        <v/>
      </c>
      <c r="I186" s="156" t="str">
        <f>IFERROR(__xludf.DUMMYFUNCTION("""COMPUTED_VALUE"""),"")</f>
        <v/>
      </c>
      <c r="J186" s="158" t="str">
        <f>IFERROR(__xludf.DUMMYFUNCTION("""COMPUTED_VALUE"""),"")</f>
        <v/>
      </c>
      <c r="K186" s="160" t="str">
        <f>IFERROR(__xludf.DUMMYFUNCTION("""COMPUTED_VALUE"""),"AP")</f>
        <v>AP</v>
      </c>
      <c r="L186" s="162" t="str">
        <f>IFERROR(__xludf.DUMMYFUNCTION("""COMPUTED_VALUE"""),"")</f>
        <v/>
      </c>
      <c r="M186" s="160" t="str">
        <f>IFERROR(__xludf.DUMMYFUNCTION("""COMPUTED_VALUE"""),"％")</f>
        <v>％</v>
      </c>
      <c r="N186" s="154" t="str">
        <f>IFERROR(__xludf.DUMMYFUNCTION("""COMPUTED_VALUE"""),"")</f>
        <v/>
      </c>
      <c r="O186" s="100"/>
      <c r="P186" s="371" t="str">
        <f>IFERROR(__xludf.DUMMYFUNCTION("""COMPUTED_VALUE"""),"")</f>
        <v/>
      </c>
      <c r="S186" s="100"/>
      <c r="T186" s="146">
        <f>IFERROR(__xludf.DUMMYFUNCTION("""COMPUTED_VALUE"""),4.0)</f>
        <v>4</v>
      </c>
      <c r="U186" s="148" t="str">
        <f>IFERROR(__xludf.DUMMYFUNCTION("""COMPUTED_VALUE"""),"TRF9")</f>
        <v>TRF9</v>
      </c>
      <c r="V186" s="150" t="str">
        <f>IFERROR(__xludf.DUMMYFUNCTION("""COMPUTED_VALUE"""),"Chaldea Gate (Wed)")</f>
        <v>Chaldea Gate (Wed)</v>
      </c>
      <c r="W186" s="150" t="str">
        <f>IFERROR(__xludf.DUMMYFUNCTION("""COMPUTED_VALUE"""),"WED Berserker Training Ground- Nov")</f>
        <v>WED Berserker Training Ground- Nov</v>
      </c>
      <c r="X186" s="154">
        <f>IFERROR(__xludf.DUMMYFUNCTION("""COMPUTED_VALUE"""),10.0)</f>
        <v>10</v>
      </c>
      <c r="Y186" s="156">
        <f>IFERROR(__xludf.DUMMYFUNCTION("""COMPUTED_VALUE"""),18.8)</f>
        <v>18.8</v>
      </c>
      <c r="Z186" s="158">
        <f>IFERROR(__xludf.DUMMYFUNCTION("""COMPUTED_VALUE"""),53.124329990232745)</f>
        <v>53.12432999</v>
      </c>
      <c r="AA186" s="160" t="str">
        <f>IFERROR(__xludf.DUMMYFUNCTION("""COMPUTED_VALUE"""),"AP")</f>
        <v>AP</v>
      </c>
      <c r="AB186" s="162">
        <f>IFERROR(__xludf.DUMMYFUNCTION("""COMPUTED_VALUE"""),18.823766816143497)</f>
        <v>18.82376682</v>
      </c>
      <c r="AC186" s="160" t="str">
        <f>IFERROR(__xludf.DUMMYFUNCTION("""COMPUTED_VALUE"""),"％")</f>
        <v>％</v>
      </c>
      <c r="AD186" s="154">
        <f>IFERROR(__xludf.DUMMYFUNCTION("""COMPUTED_VALUE"""),1115.0)</f>
        <v>1115</v>
      </c>
      <c r="AE186" s="100"/>
      <c r="AF186" s="372" t="str">
        <f>IFERROR(__xludf.DUMMYFUNCTION("""COMPUTED_VALUE"""),"")</f>
        <v/>
      </c>
    </row>
    <row r="187" ht="16.5" customHeight="1">
      <c r="A187" s="166"/>
      <c r="C187" s="168"/>
      <c r="D187" s="169">
        <f>IFERROR(__xludf.DUMMYFUNCTION("""COMPUTED_VALUE"""),5.0)</f>
        <v>5</v>
      </c>
      <c r="E187" s="170" t="str">
        <f>IFERROR(__xludf.DUMMYFUNCTION("""COMPUTED_VALUE"""),"")</f>
        <v/>
      </c>
      <c r="F187" s="51" t="str">
        <f>IFERROR(__xludf.DUMMYFUNCTION("""COMPUTED_VALUE"""),"")</f>
        <v/>
      </c>
      <c r="G187" s="51" t="str">
        <f>IFERROR(__xludf.DUMMYFUNCTION("""COMPUTED_VALUE"""),"")</f>
        <v/>
      </c>
      <c r="H187" s="172" t="str">
        <f>IFERROR(__xludf.DUMMYFUNCTION("""COMPUTED_VALUE"""),"")</f>
        <v/>
      </c>
      <c r="I187" s="173" t="str">
        <f>IFERROR(__xludf.DUMMYFUNCTION("""COMPUTED_VALUE"""),"")</f>
        <v/>
      </c>
      <c r="J187" s="174" t="str">
        <f>IFERROR(__xludf.DUMMYFUNCTION("""COMPUTED_VALUE"""),"")</f>
        <v/>
      </c>
      <c r="K187" s="175" t="str">
        <f>IFERROR(__xludf.DUMMYFUNCTION("""COMPUTED_VALUE"""),"AP")</f>
        <v>AP</v>
      </c>
      <c r="L187" s="176" t="str">
        <f>IFERROR(__xludf.DUMMYFUNCTION("""COMPUTED_VALUE"""),"")</f>
        <v/>
      </c>
      <c r="M187" s="175" t="str">
        <f>IFERROR(__xludf.DUMMYFUNCTION("""COMPUTED_VALUE"""),"％")</f>
        <v>％</v>
      </c>
      <c r="N187" s="172" t="str">
        <f>IFERROR(__xludf.DUMMYFUNCTION("""COMPUTED_VALUE"""),"")</f>
        <v/>
      </c>
      <c r="O187" s="168"/>
      <c r="P187" s="371" t="str">
        <f>IFERROR(__xludf.DUMMYFUNCTION("""COMPUTED_VALUE"""),"")</f>
        <v/>
      </c>
      <c r="Q187" s="166"/>
      <c r="S187" s="168"/>
      <c r="T187" s="169">
        <f>IFERROR(__xludf.DUMMYFUNCTION("""COMPUTED_VALUE"""),5.0)</f>
        <v>5</v>
      </c>
      <c r="U187" s="170" t="str">
        <f>IFERROR(__xludf.DUMMYFUNCTION("""COMPUTED_VALUE"""),"EPU12")</f>
        <v>EPU12</v>
      </c>
      <c r="V187" s="51" t="str">
        <f>IFERROR(__xludf.DUMMYFUNCTION("""COMPUTED_VALUE"""),"E Pluribus Unum")</f>
        <v>E Pluribus Unum</v>
      </c>
      <c r="W187" s="171" t="str">
        <f>IFERROR(__xludf.DUMMYFUNCTION("""COMPUTED_VALUE"""),"Charlotte")</f>
        <v>Charlotte</v>
      </c>
      <c r="X187" s="172">
        <f>IFERROR(__xludf.DUMMYFUNCTION("""COMPUTED_VALUE"""),20.0)</f>
        <v>20</v>
      </c>
      <c r="Y187" s="173">
        <f>IFERROR(__xludf.DUMMYFUNCTION("""COMPUTED_VALUE"""),45.4)</f>
        <v>45.4</v>
      </c>
      <c r="Z187" s="174">
        <f>IFERROR(__xludf.DUMMYFUNCTION("""COMPUTED_VALUE"""),69.44920323785591)</f>
        <v>69.44920324</v>
      </c>
      <c r="AA187" s="175" t="str">
        <f>IFERROR(__xludf.DUMMYFUNCTION("""COMPUTED_VALUE"""),"AP")</f>
        <v>AP</v>
      </c>
      <c r="AB187" s="176">
        <f>IFERROR(__xludf.DUMMYFUNCTION("""COMPUTED_VALUE"""),28.798026568429005)</f>
        <v>28.79802657</v>
      </c>
      <c r="AC187" s="175" t="str">
        <f>IFERROR(__xludf.DUMMYFUNCTION("""COMPUTED_VALUE"""),"％")</f>
        <v>％</v>
      </c>
      <c r="AD187" s="172">
        <f>IFERROR(__xludf.DUMMYFUNCTION("""COMPUTED_VALUE"""),153641.0)</f>
        <v>153641</v>
      </c>
      <c r="AE187" s="168"/>
      <c r="AF187" s="372" t="str">
        <f>IFERROR(__xludf.DUMMYFUNCTION("""COMPUTED_VALUE"""),"")</f>
        <v/>
      </c>
    </row>
    <row r="188" ht="16.5" customHeight="1">
      <c r="A188" s="25" t="str">
        <f>IFERROR(__xludf.DUMMYFUNCTION("""COMPUTED_VALUE"""),"Item")</f>
        <v>Item</v>
      </c>
      <c r="B188" s="27"/>
      <c r="C188" s="28"/>
      <c r="D188" s="30" t="str">
        <f>IFERROR(__xludf.DUMMYFUNCTION("""COMPUTED_VALUE"""),"No.")</f>
        <v>No.</v>
      </c>
      <c r="E188" s="31" t="str">
        <f>IFERROR(__xludf.DUMMYFUNCTION("""COMPUTED_VALUE"""),"Node Code")</f>
        <v>Node Code</v>
      </c>
      <c r="F188" s="31" t="str">
        <f>IFERROR(__xludf.DUMMYFUNCTION("""COMPUTED_VALUE"""),"Area")</f>
        <v>Area</v>
      </c>
      <c r="G188" s="31" t="str">
        <f>IFERROR(__xludf.DUMMYFUNCTION("""COMPUTED_VALUE"""),"Quest")</f>
        <v>Quest</v>
      </c>
      <c r="H188" s="30" t="str">
        <f>IFERROR(__xludf.DUMMYFUNCTION("""COMPUTED_VALUE"""),"AP")</f>
        <v>AP</v>
      </c>
      <c r="I188" s="34" t="str">
        <f>IFERROR(__xludf.DUMMYFUNCTION("""COMPUTED_VALUE"""),"BP/AP")</f>
        <v>BP/AP</v>
      </c>
      <c r="J188" s="36" t="str">
        <f>IFERROR(__xludf.DUMMYFUNCTION("""COMPUTED_VALUE"""),"AP/Drop")</f>
        <v>AP/Drop</v>
      </c>
      <c r="K188" s="28"/>
      <c r="L188" s="36" t="str">
        <f>IFERROR(__xludf.DUMMYFUNCTION("""COMPUTED_VALUE"""),"Drop Chance")</f>
        <v>Drop Chance</v>
      </c>
      <c r="M188" s="28"/>
      <c r="N188" s="642" t="str">
        <f>IFERROR(__xludf.DUMMYFUNCTION("""COMPUTED_VALUE"""),"Runs")</f>
        <v>Runs</v>
      </c>
      <c r="O188" s="40" t="str">
        <f>IFERROR(__xludf.DUMMYFUNCTION("""COMPUTED_VALUE"""),"")</f>
        <v/>
      </c>
      <c r="P188" s="42" t="str">
        <f>IFERROR(__xludf.DUMMYFUNCTION("""COMPUTED_VALUE"""),"")</f>
        <v/>
      </c>
      <c r="Q188" s="25" t="str">
        <f>IFERROR(__xludf.DUMMYFUNCTION("""COMPUTED_VALUE"""),"Item")</f>
        <v>Item</v>
      </c>
      <c r="R188" s="27"/>
      <c r="S188" s="28"/>
      <c r="T188" s="30" t="str">
        <f>IFERROR(__xludf.DUMMYFUNCTION("""COMPUTED_VALUE"""),"No.")</f>
        <v>No.</v>
      </c>
      <c r="U188" s="31" t="str">
        <f>IFERROR(__xludf.DUMMYFUNCTION("""COMPUTED_VALUE"""),"Node Code")</f>
        <v>Node Code</v>
      </c>
      <c r="V188" s="31" t="str">
        <f>IFERROR(__xludf.DUMMYFUNCTION("""COMPUTED_VALUE"""),"Area")</f>
        <v>Area</v>
      </c>
      <c r="W188" s="31" t="str">
        <f>IFERROR(__xludf.DUMMYFUNCTION("""COMPUTED_VALUE"""),"Quest")</f>
        <v>Quest</v>
      </c>
      <c r="X188" s="30" t="str">
        <f>IFERROR(__xludf.DUMMYFUNCTION("""COMPUTED_VALUE"""),"AP")</f>
        <v>AP</v>
      </c>
      <c r="Y188" s="34" t="str">
        <f>IFERROR(__xludf.DUMMYFUNCTION("""COMPUTED_VALUE"""),"BP/AP")</f>
        <v>BP/AP</v>
      </c>
      <c r="Z188" s="36" t="str">
        <f>IFERROR(__xludf.DUMMYFUNCTION("""COMPUTED_VALUE"""),"AP/Drop")</f>
        <v>AP/Drop</v>
      </c>
      <c r="AA188" s="28"/>
      <c r="AB188" s="36" t="str">
        <f>IFERROR(__xludf.DUMMYFUNCTION("""COMPUTED_VALUE"""),"Drop Chance")</f>
        <v>Drop Chance</v>
      </c>
      <c r="AC188" s="28"/>
      <c r="AD188" s="369" t="str">
        <f>IFERROR(__xludf.DUMMYFUNCTION("""COMPUTED_VALUE"""),"Runs")</f>
        <v>Runs</v>
      </c>
      <c r="AE188" s="369" t="str">
        <f>IFERROR(__xludf.DUMMYFUNCTION("""COMPUTED_VALUE"""),"")</f>
        <v/>
      </c>
      <c r="AF188" s="51" t="str">
        <f>IFERROR(__xludf.DUMMYFUNCTION("""COMPUTED_VALUE"""),"")</f>
        <v/>
      </c>
    </row>
    <row r="189" ht="16.5" customHeight="1">
      <c r="A189" s="54"/>
      <c r="B189" s="55"/>
      <c r="C189" s="57"/>
      <c r="D189" s="57"/>
      <c r="E189" s="57"/>
      <c r="F189" s="57"/>
      <c r="G189" s="57"/>
      <c r="H189" s="57"/>
      <c r="I189" s="58" t="str">
        <f>IFERROR(__xludf.DUMMYFUNCTION("""COMPUTED_VALUE"""),"1P+2L")</f>
        <v>1P+2L</v>
      </c>
      <c r="J189" s="55"/>
      <c r="K189" s="57"/>
      <c r="L189" s="55"/>
      <c r="M189" s="57"/>
      <c r="N189" s="57"/>
      <c r="O189" s="57"/>
      <c r="P189" s="42" t="str">
        <f>IFERROR(__xludf.DUMMYFUNCTION("""COMPUTED_VALUE"""),"")</f>
        <v/>
      </c>
      <c r="Q189" s="54"/>
      <c r="R189" s="55"/>
      <c r="S189" s="57"/>
      <c r="T189" s="57"/>
      <c r="U189" s="57"/>
      <c r="V189" s="57"/>
      <c r="W189" s="57"/>
      <c r="X189" s="57"/>
      <c r="Y189" s="58" t="str">
        <f>IFERROR(__xludf.DUMMYFUNCTION("""COMPUTED_VALUE"""),"1P+2L")</f>
        <v>1P+2L</v>
      </c>
      <c r="Z189" s="55"/>
      <c r="AA189" s="57"/>
      <c r="AB189" s="55"/>
      <c r="AC189" s="57"/>
      <c r="AD189" s="370"/>
      <c r="AE189" s="370"/>
      <c r="AF189" s="51" t="str">
        <f>IFERROR(__xludf.DUMMYFUNCTION("""COMPUTED_VALUE"""),"")</f>
        <v/>
      </c>
    </row>
    <row r="190" ht="16.5" customHeight="1">
      <c r="A190" s="61" t="str">
        <f>IFERROR(__xludf.DUMMYFUNCTION("""COMPUTED_VALUE"""),"")</f>
        <v/>
      </c>
      <c r="B190" s="366" t="str">
        <f>IFERROR(__xludf.DUMMYFUNCTION("""COMPUTED_VALUE"""),"A110")</f>
        <v>A110</v>
      </c>
      <c r="C190" s="180" t="str">
        <f>IFERROR(__xludf.DUMMYFUNCTION("""COMPUTED_VALUE"""),"Primordial Lanugo")</f>
        <v>Primordial Lanugo</v>
      </c>
      <c r="D190" s="181">
        <f>IFERROR(__xludf.DUMMYFUNCTION("""COMPUTED_VALUE"""),1.0)</f>
        <v>1</v>
      </c>
      <c r="E190" s="182" t="str">
        <f>IFERROR(__xludf.DUMMYFUNCTION("""COMPUTED_VALUE"""),"BBL14")</f>
        <v>BBL14</v>
      </c>
      <c r="F190" s="184" t="str">
        <f>IFERROR(__xludf.DUMMYFUNCTION("""COMPUTED_VALUE"""),"Babylonia")</f>
        <v>Babylonia</v>
      </c>
      <c r="G190" s="189" t="str">
        <f>IFERROR(__xludf.DUMMYFUNCTION("""COMPUTED_VALUE"""),"Blood Fort")</f>
        <v>Blood Fort</v>
      </c>
      <c r="H190" s="190">
        <f>IFERROR(__xludf.DUMMYFUNCTION("""COMPUTED_VALUE"""),21.0)</f>
        <v>21</v>
      </c>
      <c r="I190" s="191">
        <f>IFERROR(__xludf.DUMMYFUNCTION("""COMPUTED_VALUE"""),48.95238095238095)</f>
        <v>48.95238095</v>
      </c>
      <c r="J190" s="192">
        <f>IFERROR(__xludf.DUMMYFUNCTION("""COMPUTED_VALUE"""),114.2777712349616)</f>
        <v>114.2777712</v>
      </c>
      <c r="K190" s="194" t="str">
        <f>IFERROR(__xludf.DUMMYFUNCTION("""COMPUTED_VALUE"""),"AP")</f>
        <v>AP</v>
      </c>
      <c r="L190" s="192">
        <f>IFERROR(__xludf.DUMMYFUNCTION("""COMPUTED_VALUE"""),18.37627718239517)</f>
        <v>18.37627718</v>
      </c>
      <c r="M190" s="194" t="str">
        <f>IFERROR(__xludf.DUMMYFUNCTION("""COMPUTED_VALUE"""),"％")</f>
        <v>％</v>
      </c>
      <c r="N190" s="190">
        <f>IFERROR(__xludf.DUMMYFUNCTION("""COMPUTED_VALUE"""),19222.0)</f>
        <v>19222</v>
      </c>
      <c r="O190" s="197" t="str">
        <f>IFERROR(__xludf.DUMMYFUNCTION("""COMPUTED_VALUE"""),"Primordial Lanugo")</f>
        <v>Primordial Lanugo</v>
      </c>
      <c r="P190" s="371" t="str">
        <f>IFERROR(__xludf.DUMMYFUNCTION("""COMPUTED_VALUE"""),"")</f>
        <v/>
      </c>
      <c r="Q190" s="458" t="str">
        <f>IFERROR(__xludf.DUMMYFUNCTION("""COMPUTED_VALUE"""),"")</f>
        <v/>
      </c>
      <c r="R190" s="459" t="str">
        <f>IFERROR(__xludf.DUMMYFUNCTION("""COMPUTED_VALUE"""),"")</f>
        <v/>
      </c>
      <c r="S190" s="459" t="str">
        <f>IFERROR(__xludf.DUMMYFUNCTION("""COMPUTED_VALUE"""),"")</f>
        <v/>
      </c>
      <c r="T190" t="str">
        <f>IFERROR(__xludf.DUMMYFUNCTION("""COMPUTED_VALUE"""),"")</f>
        <v/>
      </c>
      <c r="U190" t="str">
        <f>IFERROR(__xludf.DUMMYFUNCTION("""COMPUTED_VALUE"""),"")</f>
        <v/>
      </c>
      <c r="V190" t="str">
        <f>IFERROR(__xludf.DUMMYFUNCTION("""COMPUTED_VALUE"""),"")</f>
        <v/>
      </c>
      <c r="W190" t="str">
        <f>IFERROR(__xludf.DUMMYFUNCTION("""COMPUTED_VALUE"""),"")</f>
        <v/>
      </c>
      <c r="X190" t="str">
        <f>IFERROR(__xludf.DUMMYFUNCTION("""COMPUTED_VALUE"""),"")</f>
        <v/>
      </c>
      <c r="Y190" t="str">
        <f>IFERROR(__xludf.DUMMYFUNCTION("""COMPUTED_VALUE"""),"")</f>
        <v/>
      </c>
      <c r="Z190" t="str">
        <f>IFERROR(__xludf.DUMMYFUNCTION("""COMPUTED_VALUE"""),"")</f>
        <v/>
      </c>
      <c r="AA190" t="str">
        <f>IFERROR(__xludf.DUMMYFUNCTION("""COMPUTED_VALUE"""),"")</f>
        <v/>
      </c>
      <c r="AB190" t="str">
        <f>IFERROR(__xludf.DUMMYFUNCTION("""COMPUTED_VALUE"""),"")</f>
        <v/>
      </c>
      <c r="AC190" t="str">
        <f>IFERROR(__xludf.DUMMYFUNCTION("""COMPUTED_VALUE"""),"")</f>
        <v/>
      </c>
      <c r="AD190" t="str">
        <f>IFERROR(__xludf.DUMMYFUNCTION("""COMPUTED_VALUE"""),"")</f>
        <v/>
      </c>
      <c r="AE190" s="460" t="str">
        <f>IFERROR(__xludf.DUMMYFUNCTION("""COMPUTED_VALUE"""),"")</f>
        <v/>
      </c>
      <c r="AF190" s="372" t="str">
        <f>IFERROR(__xludf.DUMMYFUNCTION("""COMPUTED_VALUE"""),"")</f>
        <v/>
      </c>
    </row>
    <row r="191" ht="16.5" customHeight="1">
      <c r="C191" s="204"/>
      <c r="D191" s="205">
        <f>IFERROR(__xludf.DUMMYFUNCTION("""COMPUTED_VALUE"""),2.0)</f>
        <v>2</v>
      </c>
      <c r="E191" s="206" t="str">
        <f>IFERROR(__xludf.DUMMYFUNCTION("""COMPUTED_VALUE"""),"BBL3")</f>
        <v>BBL3</v>
      </c>
      <c r="F191" s="207" t="str">
        <f>IFERROR(__xludf.DUMMYFUNCTION("""COMPUTED_VALUE"""),"Babylonia")</f>
        <v>Babylonia</v>
      </c>
      <c r="G191" s="209" t="str">
        <f>IFERROR(__xludf.DUMMYFUNCTION("""COMPUTED_VALUE"""),"Black Cedar Forest")</f>
        <v>Black Cedar Forest</v>
      </c>
      <c r="H191" s="211">
        <f>IFERROR(__xludf.DUMMYFUNCTION("""COMPUTED_VALUE"""),20.0)</f>
        <v>20</v>
      </c>
      <c r="I191" s="213">
        <f>IFERROR(__xludf.DUMMYFUNCTION("""COMPUTED_VALUE"""),46.6)</f>
        <v>46.6</v>
      </c>
      <c r="J191" s="214">
        <f>IFERROR(__xludf.DUMMYFUNCTION("""COMPUTED_VALUE"""),157.49601275917064)</f>
        <v>157.4960128</v>
      </c>
      <c r="K191" s="215" t="str">
        <f>IFERROR(__xludf.DUMMYFUNCTION("""COMPUTED_VALUE"""),"AP")</f>
        <v>AP</v>
      </c>
      <c r="L191" s="214">
        <f>IFERROR(__xludf.DUMMYFUNCTION("""COMPUTED_VALUE"""),12.69873417721519)</f>
        <v>12.69873418</v>
      </c>
      <c r="M191" s="215" t="str">
        <f>IFERROR(__xludf.DUMMYFUNCTION("""COMPUTED_VALUE"""),"％")</f>
        <v>％</v>
      </c>
      <c r="N191" s="211">
        <f>IFERROR(__xludf.DUMMYFUNCTION("""COMPUTED_VALUE"""),1027.0)</f>
        <v>1027</v>
      </c>
      <c r="O191" s="217"/>
      <c r="P191" s="371" t="str">
        <f>IFERROR(__xludf.DUMMYFUNCTION("""COMPUTED_VALUE"""),"")</f>
        <v/>
      </c>
      <c r="Q191" s="458" t="str">
        <f>IFERROR(__xludf.DUMMYFUNCTION("""COMPUTED_VALUE"""),"")</f>
        <v/>
      </c>
      <c r="R191" s="459" t="str">
        <f>IFERROR(__xludf.DUMMYFUNCTION("""COMPUTED_VALUE"""),"")</f>
        <v/>
      </c>
      <c r="S191" s="459" t="str">
        <f>IFERROR(__xludf.DUMMYFUNCTION("""COMPUTED_VALUE"""),"")</f>
        <v/>
      </c>
      <c r="T191" t="str">
        <f>IFERROR(__xludf.DUMMYFUNCTION("""COMPUTED_VALUE"""),"")</f>
        <v/>
      </c>
      <c r="U191" t="str">
        <f>IFERROR(__xludf.DUMMYFUNCTION("""COMPUTED_VALUE"""),"")</f>
        <v/>
      </c>
      <c r="V191" t="str">
        <f>IFERROR(__xludf.DUMMYFUNCTION("""COMPUTED_VALUE"""),"")</f>
        <v/>
      </c>
      <c r="W191" t="str">
        <f>IFERROR(__xludf.DUMMYFUNCTION("""COMPUTED_VALUE"""),"")</f>
        <v/>
      </c>
      <c r="X191" t="str">
        <f>IFERROR(__xludf.DUMMYFUNCTION("""COMPUTED_VALUE"""),"")</f>
        <v/>
      </c>
      <c r="Y191" t="str">
        <f>IFERROR(__xludf.DUMMYFUNCTION("""COMPUTED_VALUE"""),"")</f>
        <v/>
      </c>
      <c r="Z191" t="str">
        <f>IFERROR(__xludf.DUMMYFUNCTION("""COMPUTED_VALUE"""),"")</f>
        <v/>
      </c>
      <c r="AA191" t="str">
        <f>IFERROR(__xludf.DUMMYFUNCTION("""COMPUTED_VALUE"""),"")</f>
        <v/>
      </c>
      <c r="AB191" t="str">
        <f>IFERROR(__xludf.DUMMYFUNCTION("""COMPUTED_VALUE"""),"")</f>
        <v/>
      </c>
      <c r="AC191" t="str">
        <f>IFERROR(__xludf.DUMMYFUNCTION("""COMPUTED_VALUE"""),"")</f>
        <v/>
      </c>
      <c r="AD191" t="str">
        <f>IFERROR(__xludf.DUMMYFUNCTION("""COMPUTED_VALUE"""),"")</f>
        <v/>
      </c>
      <c r="AE191" s="460" t="str">
        <f>IFERROR(__xludf.DUMMYFUNCTION("""COMPUTED_VALUE"""),"")</f>
        <v/>
      </c>
      <c r="AF191" s="372" t="str">
        <f>IFERROR(__xludf.DUMMYFUNCTION("""COMPUTED_VALUE"""),"")</f>
        <v/>
      </c>
    </row>
    <row r="192" ht="16.5" customHeight="1">
      <c r="C192" s="204"/>
      <c r="D192" s="222">
        <f>IFERROR(__xludf.DUMMYFUNCTION("""COMPUTED_VALUE"""),3.0)</f>
        <v>3</v>
      </c>
      <c r="E192" s="223" t="str">
        <f>IFERROR(__xludf.DUMMYFUNCTION("""COMPUTED_VALUE"""),"BBL11")</f>
        <v>BBL11</v>
      </c>
      <c r="F192" s="224" t="str">
        <f>IFERROR(__xludf.DUMMYFUNCTION("""COMPUTED_VALUE"""),"Babylonia")</f>
        <v>Babylonia</v>
      </c>
      <c r="G192" s="226" t="str">
        <f>IFERROR(__xludf.DUMMYFUNCTION("""COMPUTED_VALUE"""),"Northern Wall")</f>
        <v>Northern Wall</v>
      </c>
      <c r="H192" s="228">
        <f>IFERROR(__xludf.DUMMYFUNCTION("""COMPUTED_VALUE"""),21.0)</f>
        <v>21</v>
      </c>
      <c r="I192" s="230">
        <f>IFERROR(__xludf.DUMMYFUNCTION("""COMPUTED_VALUE"""),47.80952380952381)</f>
        <v>47.80952381</v>
      </c>
      <c r="J192" s="231">
        <f>IFERROR(__xludf.DUMMYFUNCTION("""COMPUTED_VALUE"""),167.65390573868953)</f>
        <v>167.6539057</v>
      </c>
      <c r="K192" s="232" t="str">
        <f>IFERROR(__xludf.DUMMYFUNCTION("""COMPUTED_VALUE"""),"AP")</f>
        <v>AP</v>
      </c>
      <c r="L192" s="231">
        <f>IFERROR(__xludf.DUMMYFUNCTION("""COMPUTED_VALUE"""),12.525804219993084)</f>
        <v>12.52580422</v>
      </c>
      <c r="M192" s="232" t="str">
        <f>IFERROR(__xludf.DUMMYFUNCTION("""COMPUTED_VALUE"""),"％")</f>
        <v>％</v>
      </c>
      <c r="N192" s="228">
        <f>IFERROR(__xludf.DUMMYFUNCTION("""COMPUTED_VALUE"""),2891.0)</f>
        <v>2891</v>
      </c>
      <c r="O192" s="217"/>
      <c r="P192" s="371" t="str">
        <f>IFERROR(__xludf.DUMMYFUNCTION("""COMPUTED_VALUE"""),"")</f>
        <v/>
      </c>
      <c r="Q192" s="458" t="str">
        <f>IFERROR(__xludf.DUMMYFUNCTION("""COMPUTED_VALUE"""),"")</f>
        <v/>
      </c>
      <c r="R192" s="459" t="str">
        <f>IFERROR(__xludf.DUMMYFUNCTION("""COMPUTED_VALUE"""),"")</f>
        <v/>
      </c>
      <c r="S192" s="459" t="str">
        <f>IFERROR(__xludf.DUMMYFUNCTION("""COMPUTED_VALUE"""),"")</f>
        <v/>
      </c>
      <c r="T192" t="str">
        <f>IFERROR(__xludf.DUMMYFUNCTION("""COMPUTED_VALUE"""),"")</f>
        <v/>
      </c>
      <c r="U192" t="str">
        <f>IFERROR(__xludf.DUMMYFUNCTION("""COMPUTED_VALUE"""),"")</f>
        <v/>
      </c>
      <c r="V192" t="str">
        <f>IFERROR(__xludf.DUMMYFUNCTION("""COMPUTED_VALUE"""),"")</f>
        <v/>
      </c>
      <c r="W192" t="str">
        <f>IFERROR(__xludf.DUMMYFUNCTION("""COMPUTED_VALUE"""),"")</f>
        <v/>
      </c>
      <c r="X192" t="str">
        <f>IFERROR(__xludf.DUMMYFUNCTION("""COMPUTED_VALUE"""),"")</f>
        <v/>
      </c>
      <c r="Y192" t="str">
        <f>IFERROR(__xludf.DUMMYFUNCTION("""COMPUTED_VALUE"""),"")</f>
        <v/>
      </c>
      <c r="Z192" t="str">
        <f>IFERROR(__xludf.DUMMYFUNCTION("""COMPUTED_VALUE"""),"")</f>
        <v/>
      </c>
      <c r="AA192" t="str">
        <f>IFERROR(__xludf.DUMMYFUNCTION("""COMPUTED_VALUE"""),"")</f>
        <v/>
      </c>
      <c r="AB192" t="str">
        <f>IFERROR(__xludf.DUMMYFUNCTION("""COMPUTED_VALUE"""),"")</f>
        <v/>
      </c>
      <c r="AC192" t="str">
        <f>IFERROR(__xludf.DUMMYFUNCTION("""COMPUTED_VALUE"""),"")</f>
        <v/>
      </c>
      <c r="AD192" t="str">
        <f>IFERROR(__xludf.DUMMYFUNCTION("""COMPUTED_VALUE"""),"")</f>
        <v/>
      </c>
      <c r="AE192" s="460" t="str">
        <f>IFERROR(__xludf.DUMMYFUNCTION("""COMPUTED_VALUE"""),"")</f>
        <v/>
      </c>
      <c r="AF192" s="372" t="str">
        <f>IFERROR(__xludf.DUMMYFUNCTION("""COMPUTED_VALUE"""),"")</f>
        <v/>
      </c>
    </row>
    <row r="193" ht="16.5" customHeight="1">
      <c r="C193" s="204"/>
      <c r="D193" s="238">
        <f>IFERROR(__xludf.DUMMYFUNCTION("""COMPUTED_VALUE"""),4.0)</f>
        <v>4</v>
      </c>
      <c r="E193" s="240" t="str">
        <f>IFERROR(__xludf.DUMMYFUNCTION("""COMPUTED_VALUE"""),"")</f>
        <v/>
      </c>
      <c r="F193" s="242" t="str">
        <f>IFERROR(__xludf.DUMMYFUNCTION("""COMPUTED_VALUE"""),"")</f>
        <v/>
      </c>
      <c r="G193" s="242" t="str">
        <f>IFERROR(__xludf.DUMMYFUNCTION("""COMPUTED_VALUE"""),"")</f>
        <v/>
      </c>
      <c r="H193" s="246" t="str">
        <f>IFERROR(__xludf.DUMMYFUNCTION("""COMPUTED_VALUE"""),"")</f>
        <v/>
      </c>
      <c r="I193" s="248" t="str">
        <f>IFERROR(__xludf.DUMMYFUNCTION("""COMPUTED_VALUE"""),"")</f>
        <v/>
      </c>
      <c r="J193" s="250" t="str">
        <f>IFERROR(__xludf.DUMMYFUNCTION("""COMPUTED_VALUE"""),"")</f>
        <v/>
      </c>
      <c r="K193" s="252" t="str">
        <f>IFERROR(__xludf.DUMMYFUNCTION("""COMPUTED_VALUE"""),"AP")</f>
        <v>AP</v>
      </c>
      <c r="L193" s="250" t="str">
        <f>IFERROR(__xludf.DUMMYFUNCTION("""COMPUTED_VALUE"""),"")</f>
        <v/>
      </c>
      <c r="M193" s="252" t="str">
        <f>IFERROR(__xludf.DUMMYFUNCTION("""COMPUTED_VALUE"""),"％")</f>
        <v>％</v>
      </c>
      <c r="N193" s="246" t="str">
        <f>IFERROR(__xludf.DUMMYFUNCTION("""COMPUTED_VALUE"""),"")</f>
        <v/>
      </c>
      <c r="O193" s="217"/>
      <c r="P193" s="371" t="str">
        <f>IFERROR(__xludf.DUMMYFUNCTION("""COMPUTED_VALUE"""),"")</f>
        <v/>
      </c>
      <c r="Q193" s="458" t="str">
        <f>IFERROR(__xludf.DUMMYFUNCTION("""COMPUTED_VALUE"""),"")</f>
        <v/>
      </c>
      <c r="R193" s="459" t="str">
        <f>IFERROR(__xludf.DUMMYFUNCTION("""COMPUTED_VALUE"""),"")</f>
        <v/>
      </c>
      <c r="S193" s="459" t="str">
        <f>IFERROR(__xludf.DUMMYFUNCTION("""COMPUTED_VALUE"""),"")</f>
        <v/>
      </c>
      <c r="T193" t="str">
        <f>IFERROR(__xludf.DUMMYFUNCTION("""COMPUTED_VALUE"""),"")</f>
        <v/>
      </c>
      <c r="U193" t="str">
        <f>IFERROR(__xludf.DUMMYFUNCTION("""COMPUTED_VALUE"""),"")</f>
        <v/>
      </c>
      <c r="V193" t="str">
        <f>IFERROR(__xludf.DUMMYFUNCTION("""COMPUTED_VALUE"""),"")</f>
        <v/>
      </c>
      <c r="W193" t="str">
        <f>IFERROR(__xludf.DUMMYFUNCTION("""COMPUTED_VALUE"""),"")</f>
        <v/>
      </c>
      <c r="X193" t="str">
        <f>IFERROR(__xludf.DUMMYFUNCTION("""COMPUTED_VALUE"""),"")</f>
        <v/>
      </c>
      <c r="Y193" t="str">
        <f>IFERROR(__xludf.DUMMYFUNCTION("""COMPUTED_VALUE"""),"")</f>
        <v/>
      </c>
      <c r="Z193" t="str">
        <f>IFERROR(__xludf.DUMMYFUNCTION("""COMPUTED_VALUE"""),"")</f>
        <v/>
      </c>
      <c r="AA193" t="str">
        <f>IFERROR(__xludf.DUMMYFUNCTION("""COMPUTED_VALUE"""),"")</f>
        <v/>
      </c>
      <c r="AB193" t="str">
        <f>IFERROR(__xludf.DUMMYFUNCTION("""COMPUTED_VALUE"""),"")</f>
        <v/>
      </c>
      <c r="AC193" t="str">
        <f>IFERROR(__xludf.DUMMYFUNCTION("""COMPUTED_VALUE"""),"")</f>
        <v/>
      </c>
      <c r="AD193" t="str">
        <f>IFERROR(__xludf.DUMMYFUNCTION("""COMPUTED_VALUE"""),"")</f>
        <v/>
      </c>
      <c r="AE193" s="460" t="str">
        <f>IFERROR(__xludf.DUMMYFUNCTION("""COMPUTED_VALUE"""),"")</f>
        <v/>
      </c>
      <c r="AF193" s="372" t="str">
        <f>IFERROR(__xludf.DUMMYFUNCTION("""COMPUTED_VALUE"""),"")</f>
        <v/>
      </c>
    </row>
    <row r="194" ht="16.5" customHeight="1">
      <c r="A194" s="166"/>
      <c r="C194" s="255"/>
      <c r="D194" s="256">
        <f>IFERROR(__xludf.DUMMYFUNCTION("""COMPUTED_VALUE"""),5.0)</f>
        <v>5</v>
      </c>
      <c r="E194" s="257" t="str">
        <f>IFERROR(__xludf.DUMMYFUNCTION("""COMPUTED_VALUE"""),"")</f>
        <v/>
      </c>
      <c r="F194" s="42" t="str">
        <f>IFERROR(__xludf.DUMMYFUNCTION("""COMPUTED_VALUE"""),"")</f>
        <v/>
      </c>
      <c r="G194" s="42" t="str">
        <f>IFERROR(__xludf.DUMMYFUNCTION("""COMPUTED_VALUE"""),"")</f>
        <v/>
      </c>
      <c r="H194" s="259" t="str">
        <f>IFERROR(__xludf.DUMMYFUNCTION("""COMPUTED_VALUE"""),"")</f>
        <v/>
      </c>
      <c r="I194" s="260" t="str">
        <f>IFERROR(__xludf.DUMMYFUNCTION("""COMPUTED_VALUE"""),"")</f>
        <v/>
      </c>
      <c r="J194" s="261" t="str">
        <f>IFERROR(__xludf.DUMMYFUNCTION("""COMPUTED_VALUE"""),"")</f>
        <v/>
      </c>
      <c r="K194" s="262" t="str">
        <f>IFERROR(__xludf.DUMMYFUNCTION("""COMPUTED_VALUE"""),"AP")</f>
        <v>AP</v>
      </c>
      <c r="L194" s="261" t="str">
        <f>IFERROR(__xludf.DUMMYFUNCTION("""COMPUTED_VALUE"""),"")</f>
        <v/>
      </c>
      <c r="M194" s="262" t="str">
        <f>IFERROR(__xludf.DUMMYFUNCTION("""COMPUTED_VALUE"""),"％")</f>
        <v>％</v>
      </c>
      <c r="N194" s="259" t="str">
        <f>IFERROR(__xludf.DUMMYFUNCTION("""COMPUTED_VALUE"""),"")</f>
        <v/>
      </c>
      <c r="O194" s="263"/>
      <c r="P194" s="371" t="str">
        <f>IFERROR(__xludf.DUMMYFUNCTION("""COMPUTED_VALUE"""),"")</f>
        <v/>
      </c>
      <c r="Q194" s="458" t="str">
        <f>IFERROR(__xludf.DUMMYFUNCTION("""COMPUTED_VALUE"""),"")</f>
        <v/>
      </c>
      <c r="R194" s="459" t="str">
        <f>IFERROR(__xludf.DUMMYFUNCTION("""COMPUTED_VALUE"""),"")</f>
        <v/>
      </c>
      <c r="S194" s="459" t="str">
        <f>IFERROR(__xludf.DUMMYFUNCTION("""COMPUTED_VALUE"""),"")</f>
        <v/>
      </c>
      <c r="T194" t="str">
        <f>IFERROR(__xludf.DUMMYFUNCTION("""COMPUTED_VALUE"""),"")</f>
        <v/>
      </c>
      <c r="U194" t="str">
        <f>IFERROR(__xludf.DUMMYFUNCTION("""COMPUTED_VALUE"""),"")</f>
        <v/>
      </c>
      <c r="V194" t="str">
        <f>IFERROR(__xludf.DUMMYFUNCTION("""COMPUTED_VALUE"""),"")</f>
        <v/>
      </c>
      <c r="W194" t="str">
        <f>IFERROR(__xludf.DUMMYFUNCTION("""COMPUTED_VALUE"""),"")</f>
        <v/>
      </c>
      <c r="X194" t="str">
        <f>IFERROR(__xludf.DUMMYFUNCTION("""COMPUTED_VALUE"""),"")</f>
        <v/>
      </c>
      <c r="Y194" t="str">
        <f>IFERROR(__xludf.DUMMYFUNCTION("""COMPUTED_VALUE"""),"")</f>
        <v/>
      </c>
      <c r="Z194" t="str">
        <f>IFERROR(__xludf.DUMMYFUNCTION("""COMPUTED_VALUE"""),"")</f>
        <v/>
      </c>
      <c r="AA194" t="str">
        <f>IFERROR(__xludf.DUMMYFUNCTION("""COMPUTED_VALUE"""),"")</f>
        <v/>
      </c>
      <c r="AB194" t="str">
        <f>IFERROR(__xludf.DUMMYFUNCTION("""COMPUTED_VALUE"""),"")</f>
        <v/>
      </c>
      <c r="AC194" t="str">
        <f>IFERROR(__xludf.DUMMYFUNCTION("""COMPUTED_VALUE"""),"")</f>
        <v/>
      </c>
      <c r="AD194" t="str">
        <f>IFERROR(__xludf.DUMMYFUNCTION("""COMPUTED_VALUE"""),"")</f>
        <v/>
      </c>
      <c r="AE194" s="460" t="str">
        <f>IFERROR(__xludf.DUMMYFUNCTION("""COMPUTED_VALUE"""),"")</f>
        <v/>
      </c>
      <c r="AF194" s="372" t="str">
        <f>IFERROR(__xludf.DUMMYFUNCTION("""COMPUTED_VALUE"""),"")</f>
        <v/>
      </c>
    </row>
    <row r="195" ht="16.5" customHeight="1">
      <c r="A195" s="61" t="str">
        <f>IFERROR(__xludf.DUMMYFUNCTION("""COMPUTED_VALUE"""),"")</f>
        <v/>
      </c>
      <c r="B195" s="367" t="str">
        <f>IFERROR(__xludf.DUMMYFUNCTION("""COMPUTED_VALUE"""),"A111")</f>
        <v>A111</v>
      </c>
      <c r="C195" s="65" t="str">
        <f>IFERROR(__xludf.DUMMYFUNCTION("""COMPUTED_VALUE"""),"Cursed Beast Gallstone")</f>
        <v>Cursed Beast Gallstone</v>
      </c>
      <c r="D195" s="67">
        <f>IFERROR(__xludf.DUMMYFUNCTION("""COMPUTED_VALUE"""),1.0)</f>
        <v>1</v>
      </c>
      <c r="E195" s="69" t="str">
        <f>IFERROR(__xludf.DUMMYFUNCTION("""COMPUTED_VALUE"""),"SMS8")</f>
        <v>SMS8</v>
      </c>
      <c r="F195" s="71" t="str">
        <f>IFERROR(__xludf.DUMMYFUNCTION("""COMPUTED_VALUE"""),"Shimosa")</f>
        <v>Shimosa</v>
      </c>
      <c r="G195" s="78" t="str">
        <f>IFERROR(__xludf.DUMMYFUNCTION("""COMPUTED_VALUE"""),"Arakawa Field")</f>
        <v>Arakawa Field</v>
      </c>
      <c r="H195" s="80">
        <f>IFERROR(__xludf.DUMMYFUNCTION("""COMPUTED_VALUE"""),21.0)</f>
        <v>21</v>
      </c>
      <c r="I195" s="82">
        <f>IFERROR(__xludf.DUMMYFUNCTION("""COMPUTED_VALUE"""),48.95238095238095)</f>
        <v>48.95238095</v>
      </c>
      <c r="J195" s="84">
        <f>IFERROR(__xludf.DUMMYFUNCTION("""COMPUTED_VALUE"""),170.74223848448437)</f>
        <v>170.7422385</v>
      </c>
      <c r="K195" s="86" t="str">
        <f>IFERROR(__xludf.DUMMYFUNCTION("""COMPUTED_VALUE"""),"AP")</f>
        <v>AP</v>
      </c>
      <c r="L195" s="88">
        <f>IFERROR(__xludf.DUMMYFUNCTION("""COMPUTED_VALUE"""),12.299241351406028)</f>
        <v>12.29924135</v>
      </c>
      <c r="M195" s="86" t="str">
        <f>IFERROR(__xludf.DUMMYFUNCTION("""COMPUTED_VALUE"""),"％")</f>
        <v>％</v>
      </c>
      <c r="N195" s="80">
        <f>IFERROR(__xludf.DUMMYFUNCTION("""COMPUTED_VALUE"""),9886.0)</f>
        <v>9886</v>
      </c>
      <c r="O195" s="91" t="str">
        <f>IFERROR(__xludf.DUMMYFUNCTION("""COMPUTED_VALUE"""),"Cursed Beast Gallstone")</f>
        <v>Cursed Beast Gallstone</v>
      </c>
      <c r="P195" s="371" t="str">
        <f>IFERROR(__xludf.DUMMYFUNCTION("""COMPUTED_VALUE"""),"")</f>
        <v/>
      </c>
      <c r="Q195" s="458" t="str">
        <f>IFERROR(__xludf.DUMMYFUNCTION("""COMPUTED_VALUE"""),"")</f>
        <v/>
      </c>
      <c r="R195" s="459" t="str">
        <f>IFERROR(__xludf.DUMMYFUNCTION("""COMPUTED_VALUE"""),"")</f>
        <v/>
      </c>
      <c r="S195" s="459" t="str">
        <f>IFERROR(__xludf.DUMMYFUNCTION("""COMPUTED_VALUE"""),"")</f>
        <v/>
      </c>
      <c r="T195" t="str">
        <f>IFERROR(__xludf.DUMMYFUNCTION("""COMPUTED_VALUE"""),"")</f>
        <v/>
      </c>
      <c r="U195" t="str">
        <f>IFERROR(__xludf.DUMMYFUNCTION("""COMPUTED_VALUE"""),"")</f>
        <v/>
      </c>
      <c r="V195" t="str">
        <f>IFERROR(__xludf.DUMMYFUNCTION("""COMPUTED_VALUE"""),"")</f>
        <v/>
      </c>
      <c r="W195" t="str">
        <f>IFERROR(__xludf.DUMMYFUNCTION("""COMPUTED_VALUE"""),"")</f>
        <v/>
      </c>
      <c r="X195" t="str">
        <f>IFERROR(__xludf.DUMMYFUNCTION("""COMPUTED_VALUE"""),"")</f>
        <v/>
      </c>
      <c r="Y195" t="str">
        <f>IFERROR(__xludf.DUMMYFUNCTION("""COMPUTED_VALUE"""),"")</f>
        <v/>
      </c>
      <c r="Z195" t="str">
        <f>IFERROR(__xludf.DUMMYFUNCTION("""COMPUTED_VALUE"""),"")</f>
        <v/>
      </c>
      <c r="AA195" t="str">
        <f>IFERROR(__xludf.DUMMYFUNCTION("""COMPUTED_VALUE"""),"")</f>
        <v/>
      </c>
      <c r="AB195" t="str">
        <f>IFERROR(__xludf.DUMMYFUNCTION("""COMPUTED_VALUE"""),"")</f>
        <v/>
      </c>
      <c r="AC195" t="str">
        <f>IFERROR(__xludf.DUMMYFUNCTION("""COMPUTED_VALUE"""),"")</f>
        <v/>
      </c>
      <c r="AD195" t="str">
        <f>IFERROR(__xludf.DUMMYFUNCTION("""COMPUTED_VALUE"""),"")</f>
        <v/>
      </c>
      <c r="AE195" s="460" t="str">
        <f>IFERROR(__xludf.DUMMYFUNCTION("""COMPUTED_VALUE"""),"")</f>
        <v/>
      </c>
      <c r="AF195" s="372" t="str">
        <f>IFERROR(__xludf.DUMMYFUNCTION("""COMPUTED_VALUE"""),"")</f>
        <v/>
      </c>
    </row>
    <row r="196" ht="16.5" customHeight="1">
      <c r="C196" s="100"/>
      <c r="D196" s="102">
        <f>IFERROR(__xludf.DUMMYFUNCTION("""COMPUTED_VALUE"""),2.0)</f>
        <v>2</v>
      </c>
      <c r="E196" s="103" t="str">
        <f>IFERROR(__xludf.DUMMYFUNCTION("""COMPUTED_VALUE"""),"BBL13")</f>
        <v>BBL13</v>
      </c>
      <c r="F196" s="104" t="str">
        <f>IFERROR(__xludf.DUMMYFUNCTION("""COMPUTED_VALUE"""),"Babylonia")</f>
        <v>Babylonia</v>
      </c>
      <c r="G196" s="108" t="str">
        <f>IFERROR(__xludf.DUMMYFUNCTION("""COMPUTED_VALUE"""),"Mt. Ebih")</f>
        <v>Mt. Ebih</v>
      </c>
      <c r="H196" s="109">
        <f>IFERROR(__xludf.DUMMYFUNCTION("""COMPUTED_VALUE"""),21.0)</f>
        <v>21</v>
      </c>
      <c r="I196" s="110">
        <f>IFERROR(__xludf.DUMMYFUNCTION("""COMPUTED_VALUE"""),48.95238095238095)</f>
        <v>48.95238095</v>
      </c>
      <c r="J196" s="112">
        <f>IFERROR(__xludf.DUMMYFUNCTION("""COMPUTED_VALUE"""),173.77071004612165)</f>
        <v>173.77071</v>
      </c>
      <c r="K196" s="121" t="str">
        <f>IFERROR(__xludf.DUMMYFUNCTION("""COMPUTED_VALUE"""),"AP")</f>
        <v>AP</v>
      </c>
      <c r="L196" s="123">
        <f>IFERROR(__xludf.DUMMYFUNCTION("""COMPUTED_VALUE"""),12.084890482651678)</f>
        <v>12.08489048</v>
      </c>
      <c r="M196" s="121" t="str">
        <f>IFERROR(__xludf.DUMMYFUNCTION("""COMPUTED_VALUE"""),"％")</f>
        <v>％</v>
      </c>
      <c r="N196" s="109">
        <f>IFERROR(__xludf.DUMMYFUNCTION("""COMPUTED_VALUE"""),10318.0)</f>
        <v>10318</v>
      </c>
      <c r="O196" s="100"/>
      <c r="P196" s="371" t="str">
        <f>IFERROR(__xludf.DUMMYFUNCTION("""COMPUTED_VALUE"""),"")</f>
        <v/>
      </c>
      <c r="Q196" s="458" t="str">
        <f>IFERROR(__xludf.DUMMYFUNCTION("""COMPUTED_VALUE"""),"")</f>
        <v/>
      </c>
      <c r="R196" s="459" t="str">
        <f>IFERROR(__xludf.DUMMYFUNCTION("""COMPUTED_VALUE"""),"")</f>
        <v/>
      </c>
      <c r="S196" s="459" t="str">
        <f>IFERROR(__xludf.DUMMYFUNCTION("""COMPUTED_VALUE"""),"")</f>
        <v/>
      </c>
      <c r="T196" t="str">
        <f>IFERROR(__xludf.DUMMYFUNCTION("""COMPUTED_VALUE"""),"")</f>
        <v/>
      </c>
      <c r="U196" t="str">
        <f>IFERROR(__xludf.DUMMYFUNCTION("""COMPUTED_VALUE"""),"")</f>
        <v/>
      </c>
      <c r="V196" t="str">
        <f>IFERROR(__xludf.DUMMYFUNCTION("""COMPUTED_VALUE"""),"")</f>
        <v/>
      </c>
      <c r="W196" t="str">
        <f>IFERROR(__xludf.DUMMYFUNCTION("""COMPUTED_VALUE"""),"")</f>
        <v/>
      </c>
      <c r="X196" t="str">
        <f>IFERROR(__xludf.DUMMYFUNCTION("""COMPUTED_VALUE"""),"")</f>
        <v/>
      </c>
      <c r="Y196" t="str">
        <f>IFERROR(__xludf.DUMMYFUNCTION("""COMPUTED_VALUE"""),"")</f>
        <v/>
      </c>
      <c r="Z196" t="str">
        <f>IFERROR(__xludf.DUMMYFUNCTION("""COMPUTED_VALUE"""),"")</f>
        <v/>
      </c>
      <c r="AA196" t="str">
        <f>IFERROR(__xludf.DUMMYFUNCTION("""COMPUTED_VALUE"""),"")</f>
        <v/>
      </c>
      <c r="AB196" t="str">
        <f>IFERROR(__xludf.DUMMYFUNCTION("""COMPUTED_VALUE"""),"")</f>
        <v/>
      </c>
      <c r="AC196" t="str">
        <f>IFERROR(__xludf.DUMMYFUNCTION("""COMPUTED_VALUE"""),"")</f>
        <v/>
      </c>
      <c r="AD196" t="str">
        <f>IFERROR(__xludf.DUMMYFUNCTION("""COMPUTED_VALUE"""),"")</f>
        <v/>
      </c>
      <c r="AE196" s="460" t="str">
        <f>IFERROR(__xludf.DUMMYFUNCTION("""COMPUTED_VALUE"""),"")</f>
        <v/>
      </c>
      <c r="AF196" s="372" t="str">
        <f>IFERROR(__xludf.DUMMYFUNCTION("""COMPUTED_VALUE"""),"")</f>
        <v/>
      </c>
    </row>
    <row r="197" ht="16.5" customHeight="1">
      <c r="C197" s="100"/>
      <c r="D197" s="130">
        <f>IFERROR(__xludf.DUMMYFUNCTION("""COMPUTED_VALUE"""),3.0)</f>
        <v>3</v>
      </c>
      <c r="E197" s="132" t="str">
        <f>IFERROR(__xludf.DUMMYFUNCTION("""COMPUTED_VALUE"""),"")</f>
        <v/>
      </c>
      <c r="F197" s="133" t="str">
        <f>IFERROR(__xludf.DUMMYFUNCTION("""COMPUTED_VALUE"""),"")</f>
        <v/>
      </c>
      <c r="G197" s="133" t="str">
        <f>IFERROR(__xludf.DUMMYFUNCTION("""COMPUTED_VALUE"""),"")</f>
        <v/>
      </c>
      <c r="H197" s="137" t="str">
        <f>IFERROR(__xludf.DUMMYFUNCTION("""COMPUTED_VALUE"""),"")</f>
        <v/>
      </c>
      <c r="I197" s="139" t="str">
        <f>IFERROR(__xludf.DUMMYFUNCTION("""COMPUTED_VALUE"""),"")</f>
        <v/>
      </c>
      <c r="J197" s="141" t="str">
        <f>IFERROR(__xludf.DUMMYFUNCTION("""COMPUTED_VALUE"""),"")</f>
        <v/>
      </c>
      <c r="K197" s="143" t="str">
        <f>IFERROR(__xludf.DUMMYFUNCTION("""COMPUTED_VALUE"""),"AP")</f>
        <v>AP</v>
      </c>
      <c r="L197" s="145" t="str">
        <f>IFERROR(__xludf.DUMMYFUNCTION("""COMPUTED_VALUE"""),"")</f>
        <v/>
      </c>
      <c r="M197" s="143" t="str">
        <f>IFERROR(__xludf.DUMMYFUNCTION("""COMPUTED_VALUE"""),"％")</f>
        <v>％</v>
      </c>
      <c r="N197" s="137" t="str">
        <f>IFERROR(__xludf.DUMMYFUNCTION("""COMPUTED_VALUE"""),"")</f>
        <v/>
      </c>
      <c r="O197" s="100"/>
      <c r="P197" s="371" t="str">
        <f>IFERROR(__xludf.DUMMYFUNCTION("""COMPUTED_VALUE"""),"")</f>
        <v/>
      </c>
      <c r="Q197" s="458" t="str">
        <f>IFERROR(__xludf.DUMMYFUNCTION("""COMPUTED_VALUE"""),"")</f>
        <v/>
      </c>
      <c r="R197" s="459" t="str">
        <f>IFERROR(__xludf.DUMMYFUNCTION("""COMPUTED_VALUE"""),"")</f>
        <v/>
      </c>
      <c r="S197" s="459" t="str">
        <f>IFERROR(__xludf.DUMMYFUNCTION("""COMPUTED_VALUE"""),"")</f>
        <v/>
      </c>
      <c r="T197" t="str">
        <f>IFERROR(__xludf.DUMMYFUNCTION("""COMPUTED_VALUE"""),"")</f>
        <v/>
      </c>
      <c r="U197" t="str">
        <f>IFERROR(__xludf.DUMMYFUNCTION("""COMPUTED_VALUE"""),"")</f>
        <v/>
      </c>
      <c r="V197" t="str">
        <f>IFERROR(__xludf.DUMMYFUNCTION("""COMPUTED_VALUE"""),"")</f>
        <v/>
      </c>
      <c r="W197" t="str">
        <f>IFERROR(__xludf.DUMMYFUNCTION("""COMPUTED_VALUE"""),"")</f>
        <v/>
      </c>
      <c r="X197" t="str">
        <f>IFERROR(__xludf.DUMMYFUNCTION("""COMPUTED_VALUE"""),"")</f>
        <v/>
      </c>
      <c r="Y197" t="str">
        <f>IFERROR(__xludf.DUMMYFUNCTION("""COMPUTED_VALUE"""),"")</f>
        <v/>
      </c>
      <c r="Z197" t="str">
        <f>IFERROR(__xludf.DUMMYFUNCTION("""COMPUTED_VALUE"""),"")</f>
        <v/>
      </c>
      <c r="AA197" t="str">
        <f>IFERROR(__xludf.DUMMYFUNCTION("""COMPUTED_VALUE"""),"")</f>
        <v/>
      </c>
      <c r="AB197" t="str">
        <f>IFERROR(__xludf.DUMMYFUNCTION("""COMPUTED_VALUE"""),"")</f>
        <v/>
      </c>
      <c r="AC197" t="str">
        <f>IFERROR(__xludf.DUMMYFUNCTION("""COMPUTED_VALUE"""),"")</f>
        <v/>
      </c>
      <c r="AD197" t="str">
        <f>IFERROR(__xludf.DUMMYFUNCTION("""COMPUTED_VALUE"""),"")</f>
        <v/>
      </c>
      <c r="AE197" s="460" t="str">
        <f>IFERROR(__xludf.DUMMYFUNCTION("""COMPUTED_VALUE"""),"")</f>
        <v/>
      </c>
      <c r="AF197" s="372" t="str">
        <f>IFERROR(__xludf.DUMMYFUNCTION("""COMPUTED_VALUE"""),"")</f>
        <v/>
      </c>
    </row>
    <row r="198" ht="16.5" customHeight="1">
      <c r="C198" s="100"/>
      <c r="D198" s="146">
        <f>IFERROR(__xludf.DUMMYFUNCTION("""COMPUTED_VALUE"""),4.0)</f>
        <v>4</v>
      </c>
      <c r="E198" s="148" t="str">
        <f>IFERROR(__xludf.DUMMYFUNCTION("""COMPUTED_VALUE"""),"")</f>
        <v/>
      </c>
      <c r="F198" s="150" t="str">
        <f>IFERROR(__xludf.DUMMYFUNCTION("""COMPUTED_VALUE"""),"")</f>
        <v/>
      </c>
      <c r="G198" s="150" t="str">
        <f>IFERROR(__xludf.DUMMYFUNCTION("""COMPUTED_VALUE"""),"")</f>
        <v/>
      </c>
      <c r="H198" s="154" t="str">
        <f>IFERROR(__xludf.DUMMYFUNCTION("""COMPUTED_VALUE"""),"")</f>
        <v/>
      </c>
      <c r="I198" s="156" t="str">
        <f>IFERROR(__xludf.DUMMYFUNCTION("""COMPUTED_VALUE"""),"")</f>
        <v/>
      </c>
      <c r="J198" s="158" t="str">
        <f>IFERROR(__xludf.DUMMYFUNCTION("""COMPUTED_VALUE"""),"")</f>
        <v/>
      </c>
      <c r="K198" s="160" t="str">
        <f>IFERROR(__xludf.DUMMYFUNCTION("""COMPUTED_VALUE"""),"AP")</f>
        <v>AP</v>
      </c>
      <c r="L198" s="162" t="str">
        <f>IFERROR(__xludf.DUMMYFUNCTION("""COMPUTED_VALUE"""),"")</f>
        <v/>
      </c>
      <c r="M198" s="160" t="str">
        <f>IFERROR(__xludf.DUMMYFUNCTION("""COMPUTED_VALUE"""),"％")</f>
        <v>％</v>
      </c>
      <c r="N198" s="154" t="str">
        <f>IFERROR(__xludf.DUMMYFUNCTION("""COMPUTED_VALUE"""),"")</f>
        <v/>
      </c>
      <c r="O198" s="100"/>
      <c r="P198" s="371" t="str">
        <f>IFERROR(__xludf.DUMMYFUNCTION("""COMPUTED_VALUE"""),"")</f>
        <v/>
      </c>
      <c r="Q198" s="458" t="str">
        <f>IFERROR(__xludf.DUMMYFUNCTION("""COMPUTED_VALUE"""),"")</f>
        <v/>
      </c>
      <c r="R198" s="459" t="str">
        <f>IFERROR(__xludf.DUMMYFUNCTION("""COMPUTED_VALUE"""),"")</f>
        <v/>
      </c>
      <c r="S198" s="459" t="str">
        <f>IFERROR(__xludf.DUMMYFUNCTION("""COMPUTED_VALUE"""),"")</f>
        <v/>
      </c>
      <c r="T198" t="str">
        <f>IFERROR(__xludf.DUMMYFUNCTION("""COMPUTED_VALUE"""),"")</f>
        <v/>
      </c>
      <c r="U198" t="str">
        <f>IFERROR(__xludf.DUMMYFUNCTION("""COMPUTED_VALUE"""),"")</f>
        <v/>
      </c>
      <c r="V198" t="str">
        <f>IFERROR(__xludf.DUMMYFUNCTION("""COMPUTED_VALUE"""),"")</f>
        <v/>
      </c>
      <c r="W198" t="str">
        <f>IFERROR(__xludf.DUMMYFUNCTION("""COMPUTED_VALUE"""),"")</f>
        <v/>
      </c>
      <c r="X198" t="str">
        <f>IFERROR(__xludf.DUMMYFUNCTION("""COMPUTED_VALUE"""),"")</f>
        <v/>
      </c>
      <c r="Y198" t="str">
        <f>IFERROR(__xludf.DUMMYFUNCTION("""COMPUTED_VALUE"""),"")</f>
        <v/>
      </c>
      <c r="Z198" t="str">
        <f>IFERROR(__xludf.DUMMYFUNCTION("""COMPUTED_VALUE"""),"")</f>
        <v/>
      </c>
      <c r="AA198" t="str">
        <f>IFERROR(__xludf.DUMMYFUNCTION("""COMPUTED_VALUE"""),"")</f>
        <v/>
      </c>
      <c r="AB198" t="str">
        <f>IFERROR(__xludf.DUMMYFUNCTION("""COMPUTED_VALUE"""),"")</f>
        <v/>
      </c>
      <c r="AC198" t="str">
        <f>IFERROR(__xludf.DUMMYFUNCTION("""COMPUTED_VALUE"""),"")</f>
        <v/>
      </c>
      <c r="AD198" t="str">
        <f>IFERROR(__xludf.DUMMYFUNCTION("""COMPUTED_VALUE"""),"")</f>
        <v/>
      </c>
      <c r="AE198" s="460" t="str">
        <f>IFERROR(__xludf.DUMMYFUNCTION("""COMPUTED_VALUE"""),"")</f>
        <v/>
      </c>
      <c r="AF198" s="372" t="str">
        <f>IFERROR(__xludf.DUMMYFUNCTION("""COMPUTED_VALUE"""),"")</f>
        <v/>
      </c>
    </row>
    <row r="199" ht="16.5" customHeight="1">
      <c r="A199" s="166"/>
      <c r="C199" s="168"/>
      <c r="D199" s="169">
        <f>IFERROR(__xludf.DUMMYFUNCTION("""COMPUTED_VALUE"""),5.0)</f>
        <v>5</v>
      </c>
      <c r="E199" s="170" t="str">
        <f>IFERROR(__xludf.DUMMYFUNCTION("""COMPUTED_VALUE"""),"")</f>
        <v/>
      </c>
      <c r="F199" s="51" t="str">
        <f>IFERROR(__xludf.DUMMYFUNCTION("""COMPUTED_VALUE"""),"")</f>
        <v/>
      </c>
      <c r="G199" s="51" t="str">
        <f>IFERROR(__xludf.DUMMYFUNCTION("""COMPUTED_VALUE"""),"")</f>
        <v/>
      </c>
      <c r="H199" s="172" t="str">
        <f>IFERROR(__xludf.DUMMYFUNCTION("""COMPUTED_VALUE"""),"")</f>
        <v/>
      </c>
      <c r="I199" s="173" t="str">
        <f>IFERROR(__xludf.DUMMYFUNCTION("""COMPUTED_VALUE"""),"")</f>
        <v/>
      </c>
      <c r="J199" s="174" t="str">
        <f>IFERROR(__xludf.DUMMYFUNCTION("""COMPUTED_VALUE"""),"")</f>
        <v/>
      </c>
      <c r="K199" s="175" t="str">
        <f>IFERROR(__xludf.DUMMYFUNCTION("""COMPUTED_VALUE"""),"AP")</f>
        <v>AP</v>
      </c>
      <c r="L199" s="176" t="str">
        <f>IFERROR(__xludf.DUMMYFUNCTION("""COMPUTED_VALUE"""),"")</f>
        <v/>
      </c>
      <c r="M199" s="175" t="str">
        <f>IFERROR(__xludf.DUMMYFUNCTION("""COMPUTED_VALUE"""),"％")</f>
        <v>％</v>
      </c>
      <c r="N199" s="172" t="str">
        <f>IFERROR(__xludf.DUMMYFUNCTION("""COMPUTED_VALUE"""),"")</f>
        <v/>
      </c>
      <c r="O199" s="168"/>
      <c r="P199" s="371" t="str">
        <f>IFERROR(__xludf.DUMMYFUNCTION("""COMPUTED_VALUE"""),"")</f>
        <v/>
      </c>
      <c r="Q199" s="458" t="str">
        <f>IFERROR(__xludf.DUMMYFUNCTION("""COMPUTED_VALUE"""),"")</f>
        <v/>
      </c>
      <c r="R199" s="459" t="str">
        <f>IFERROR(__xludf.DUMMYFUNCTION("""COMPUTED_VALUE"""),"")</f>
        <v/>
      </c>
      <c r="S199" s="459" t="str">
        <f>IFERROR(__xludf.DUMMYFUNCTION("""COMPUTED_VALUE"""),"")</f>
        <v/>
      </c>
      <c r="T199" t="str">
        <f>IFERROR(__xludf.DUMMYFUNCTION("""COMPUTED_VALUE"""),"")</f>
        <v/>
      </c>
      <c r="U199" t="str">
        <f>IFERROR(__xludf.DUMMYFUNCTION("""COMPUTED_VALUE"""),"")</f>
        <v/>
      </c>
      <c r="V199" t="str">
        <f>IFERROR(__xludf.DUMMYFUNCTION("""COMPUTED_VALUE"""),"")</f>
        <v/>
      </c>
      <c r="W199" t="str">
        <f>IFERROR(__xludf.DUMMYFUNCTION("""COMPUTED_VALUE"""),"")</f>
        <v/>
      </c>
      <c r="X199" t="str">
        <f>IFERROR(__xludf.DUMMYFUNCTION("""COMPUTED_VALUE"""),"")</f>
        <v/>
      </c>
      <c r="Y199" t="str">
        <f>IFERROR(__xludf.DUMMYFUNCTION("""COMPUTED_VALUE"""),"")</f>
        <v/>
      </c>
      <c r="Z199" t="str">
        <f>IFERROR(__xludf.DUMMYFUNCTION("""COMPUTED_VALUE"""),"")</f>
        <v/>
      </c>
      <c r="AA199" t="str">
        <f>IFERROR(__xludf.DUMMYFUNCTION("""COMPUTED_VALUE"""),"")</f>
        <v/>
      </c>
      <c r="AB199" t="str">
        <f>IFERROR(__xludf.DUMMYFUNCTION("""COMPUTED_VALUE"""),"")</f>
        <v/>
      </c>
      <c r="AC199" t="str">
        <f>IFERROR(__xludf.DUMMYFUNCTION("""COMPUTED_VALUE"""),"")</f>
        <v/>
      </c>
      <c r="AD199" t="str">
        <f>IFERROR(__xludf.DUMMYFUNCTION("""COMPUTED_VALUE"""),"")</f>
        <v/>
      </c>
      <c r="AE199" s="460" t="str">
        <f>IFERROR(__xludf.DUMMYFUNCTION("""COMPUTED_VALUE"""),"")</f>
        <v/>
      </c>
      <c r="AF199" s="372" t="str">
        <f>IFERROR(__xludf.DUMMYFUNCTION("""COMPUTED_VALUE"""),"")</f>
        <v/>
      </c>
    </row>
    <row r="200" ht="16.5" customHeight="1">
      <c r="A200" s="61" t="str">
        <f>IFERROR(__xludf.DUMMYFUNCTION("""COMPUTED_VALUE"""),"")</f>
        <v/>
      </c>
      <c r="B200" s="366" t="str">
        <f>IFERROR(__xludf.DUMMYFUNCTION("""COMPUTED_VALUE"""),"A112")</f>
        <v>A112</v>
      </c>
      <c r="C200" s="180" t="str">
        <f>IFERROR(__xludf.DUMMYFUNCTION("""COMPUTED_VALUE"""),"Mysterious Divine Wine")</f>
        <v>Mysterious Divine Wine</v>
      </c>
      <c r="D200" s="181">
        <f>IFERROR(__xludf.DUMMYFUNCTION("""COMPUTED_VALUE"""),1.0)</f>
        <v>1</v>
      </c>
      <c r="E200" s="182" t="str">
        <f>IFERROR(__xludf.DUMMYFUNCTION("""COMPUTED_VALUE"""),"AGT9")</f>
        <v>AGT9</v>
      </c>
      <c r="F200" s="184" t="str">
        <f>IFERROR(__xludf.DUMMYFUNCTION("""COMPUTED_VALUE"""),"Agartha")</f>
        <v>Agartha</v>
      </c>
      <c r="G200" s="189" t="str">
        <f>IFERROR(__xludf.DUMMYFUNCTION("""COMPUTED_VALUE"""),"Palace of Dragon King")</f>
        <v>Palace of Dragon King</v>
      </c>
      <c r="H200" s="190">
        <f>IFERROR(__xludf.DUMMYFUNCTION("""COMPUTED_VALUE"""),21.0)</f>
        <v>21</v>
      </c>
      <c r="I200" s="191">
        <f>IFERROR(__xludf.DUMMYFUNCTION("""COMPUTED_VALUE"""),47.80952380952381)</f>
        <v>47.80952381</v>
      </c>
      <c r="J200" s="192">
        <f>IFERROR(__xludf.DUMMYFUNCTION("""COMPUTED_VALUE"""),160.85366947783962)</f>
        <v>160.8536695</v>
      </c>
      <c r="K200" s="194" t="str">
        <f>IFERROR(__xludf.DUMMYFUNCTION("""COMPUTED_VALUE"""),"AP")</f>
        <v>AP</v>
      </c>
      <c r="L200" s="192">
        <f>IFERROR(__xludf.DUMMYFUNCTION("""COMPUTED_VALUE"""),13.055344070278183)</f>
        <v>13.05534407</v>
      </c>
      <c r="M200" s="194" t="str">
        <f>IFERROR(__xludf.DUMMYFUNCTION("""COMPUTED_VALUE"""),"％")</f>
        <v>％</v>
      </c>
      <c r="N200" s="190">
        <f>IFERROR(__xludf.DUMMYFUNCTION("""COMPUTED_VALUE"""),2732.0)</f>
        <v>2732</v>
      </c>
      <c r="O200" s="197" t="str">
        <f>IFERROR(__xludf.DUMMYFUNCTION("""COMPUTED_VALUE"""),"Mysterious Divine Wine")</f>
        <v>Mysterious Divine Wine</v>
      </c>
      <c r="P200" s="371" t="str">
        <f>IFERROR(__xludf.DUMMYFUNCTION("""COMPUTED_VALUE"""),"")</f>
        <v/>
      </c>
      <c r="Q200" s="458" t="str">
        <f>IFERROR(__xludf.DUMMYFUNCTION("""COMPUTED_VALUE"""),"")</f>
        <v/>
      </c>
      <c r="R200" s="459" t="str">
        <f>IFERROR(__xludf.DUMMYFUNCTION("""COMPUTED_VALUE"""),"")</f>
        <v/>
      </c>
      <c r="S200" s="459" t="str">
        <f>IFERROR(__xludf.DUMMYFUNCTION("""COMPUTED_VALUE"""),"")</f>
        <v/>
      </c>
      <c r="T200" t="str">
        <f>IFERROR(__xludf.DUMMYFUNCTION("""COMPUTED_VALUE"""),"")</f>
        <v/>
      </c>
      <c r="U200" t="str">
        <f>IFERROR(__xludf.DUMMYFUNCTION("""COMPUTED_VALUE"""),"")</f>
        <v/>
      </c>
      <c r="V200" t="str">
        <f>IFERROR(__xludf.DUMMYFUNCTION("""COMPUTED_VALUE"""),"")</f>
        <v/>
      </c>
      <c r="W200" t="str">
        <f>IFERROR(__xludf.DUMMYFUNCTION("""COMPUTED_VALUE"""),"")</f>
        <v/>
      </c>
      <c r="X200" t="str">
        <f>IFERROR(__xludf.DUMMYFUNCTION("""COMPUTED_VALUE"""),"")</f>
        <v/>
      </c>
      <c r="Y200" t="str">
        <f>IFERROR(__xludf.DUMMYFUNCTION("""COMPUTED_VALUE"""),"")</f>
        <v/>
      </c>
      <c r="Z200" t="str">
        <f>IFERROR(__xludf.DUMMYFUNCTION("""COMPUTED_VALUE"""),"")</f>
        <v/>
      </c>
      <c r="AA200" t="str">
        <f>IFERROR(__xludf.DUMMYFUNCTION("""COMPUTED_VALUE"""),"")</f>
        <v/>
      </c>
      <c r="AB200" t="str">
        <f>IFERROR(__xludf.DUMMYFUNCTION("""COMPUTED_VALUE"""),"")</f>
        <v/>
      </c>
      <c r="AC200" t="str">
        <f>IFERROR(__xludf.DUMMYFUNCTION("""COMPUTED_VALUE"""),"")</f>
        <v/>
      </c>
      <c r="AD200" t="str">
        <f>IFERROR(__xludf.DUMMYFUNCTION("""COMPUTED_VALUE"""),"")</f>
        <v/>
      </c>
      <c r="AE200" s="460" t="str">
        <f>IFERROR(__xludf.DUMMYFUNCTION("""COMPUTED_VALUE"""),"")</f>
        <v/>
      </c>
      <c r="AF200" s="372" t="str">
        <f>IFERROR(__xludf.DUMMYFUNCTION("""COMPUTED_VALUE"""),"")</f>
        <v/>
      </c>
    </row>
    <row r="201" ht="16.5" customHeight="1">
      <c r="C201" s="204"/>
      <c r="D201" s="205">
        <f>IFERROR(__xludf.DUMMYFUNCTION("""COMPUTED_VALUE"""),2.0)</f>
        <v>2</v>
      </c>
      <c r="E201" s="206" t="str">
        <f>IFERROR(__xludf.DUMMYFUNCTION("""COMPUTED_VALUE"""),"SMS6")</f>
        <v>SMS6</v>
      </c>
      <c r="F201" s="207" t="str">
        <f>IFERROR(__xludf.DUMMYFUNCTION("""COMPUTED_VALUE"""),"Shimosa")</f>
        <v>Shimosa</v>
      </c>
      <c r="G201" s="209" t="str">
        <f>IFERROR(__xludf.DUMMYFUNCTION("""COMPUTED_VALUE"""),"Toke Castle")</f>
        <v>Toke Castle</v>
      </c>
      <c r="H201" s="211">
        <f>IFERROR(__xludf.DUMMYFUNCTION("""COMPUTED_VALUE"""),21.0)</f>
        <v>21</v>
      </c>
      <c r="I201" s="213">
        <f>IFERROR(__xludf.DUMMYFUNCTION("""COMPUTED_VALUE"""),47.80952380952381)</f>
        <v>47.80952381</v>
      </c>
      <c r="J201" s="214">
        <f>IFERROR(__xludf.DUMMYFUNCTION("""COMPUTED_VALUE"""),224.7775569933732)</f>
        <v>224.777557</v>
      </c>
      <c r="K201" s="215" t="str">
        <f>IFERROR(__xludf.DUMMYFUNCTION("""COMPUTED_VALUE"""),"AP")</f>
        <v>AP</v>
      </c>
      <c r="L201" s="214">
        <f>IFERROR(__xludf.DUMMYFUNCTION("""COMPUTED_VALUE"""),9.342569730224051)</f>
        <v>9.34256973</v>
      </c>
      <c r="M201" s="215" t="str">
        <f>IFERROR(__xludf.DUMMYFUNCTION("""COMPUTED_VALUE"""),"％")</f>
        <v>％</v>
      </c>
      <c r="N201" s="211">
        <f>IFERROR(__xludf.DUMMYFUNCTION("""COMPUTED_VALUE"""),2187.0)</f>
        <v>2187</v>
      </c>
      <c r="O201" s="217"/>
      <c r="P201" s="371" t="str">
        <f>IFERROR(__xludf.DUMMYFUNCTION("""COMPUTED_VALUE"""),"")</f>
        <v/>
      </c>
      <c r="Q201" s="458" t="str">
        <f>IFERROR(__xludf.DUMMYFUNCTION("""COMPUTED_VALUE"""),"")</f>
        <v/>
      </c>
      <c r="R201" s="459" t="str">
        <f>IFERROR(__xludf.DUMMYFUNCTION("""COMPUTED_VALUE"""),"")</f>
        <v/>
      </c>
      <c r="S201" s="459" t="str">
        <f>IFERROR(__xludf.DUMMYFUNCTION("""COMPUTED_VALUE"""),"")</f>
        <v/>
      </c>
      <c r="T201" t="str">
        <f>IFERROR(__xludf.DUMMYFUNCTION("""COMPUTED_VALUE"""),"")</f>
        <v/>
      </c>
      <c r="U201" t="str">
        <f>IFERROR(__xludf.DUMMYFUNCTION("""COMPUTED_VALUE"""),"")</f>
        <v/>
      </c>
      <c r="V201" t="str">
        <f>IFERROR(__xludf.DUMMYFUNCTION("""COMPUTED_VALUE"""),"")</f>
        <v/>
      </c>
      <c r="W201" t="str">
        <f>IFERROR(__xludf.DUMMYFUNCTION("""COMPUTED_VALUE"""),"")</f>
        <v/>
      </c>
      <c r="X201" t="str">
        <f>IFERROR(__xludf.DUMMYFUNCTION("""COMPUTED_VALUE"""),"")</f>
        <v/>
      </c>
      <c r="Y201" t="str">
        <f>IFERROR(__xludf.DUMMYFUNCTION("""COMPUTED_VALUE"""),"")</f>
        <v/>
      </c>
      <c r="Z201" t="str">
        <f>IFERROR(__xludf.DUMMYFUNCTION("""COMPUTED_VALUE"""),"")</f>
        <v/>
      </c>
      <c r="AA201" t="str">
        <f>IFERROR(__xludf.DUMMYFUNCTION("""COMPUTED_VALUE"""),"")</f>
        <v/>
      </c>
      <c r="AB201" t="str">
        <f>IFERROR(__xludf.DUMMYFUNCTION("""COMPUTED_VALUE"""),"")</f>
        <v/>
      </c>
      <c r="AC201" t="str">
        <f>IFERROR(__xludf.DUMMYFUNCTION("""COMPUTED_VALUE"""),"")</f>
        <v/>
      </c>
      <c r="AD201" t="str">
        <f>IFERROR(__xludf.DUMMYFUNCTION("""COMPUTED_VALUE"""),"")</f>
        <v/>
      </c>
      <c r="AE201" s="460" t="str">
        <f>IFERROR(__xludf.DUMMYFUNCTION("""COMPUTED_VALUE"""),"")</f>
        <v/>
      </c>
      <c r="AF201" s="372" t="str">
        <f>IFERROR(__xludf.DUMMYFUNCTION("""COMPUTED_VALUE"""),"")</f>
        <v/>
      </c>
    </row>
    <row r="202" ht="16.5" customHeight="1">
      <c r="C202" s="204"/>
      <c r="D202" s="222">
        <f>IFERROR(__xludf.DUMMYFUNCTION("""COMPUTED_VALUE"""),3.0)</f>
        <v>3</v>
      </c>
      <c r="E202" s="223" t="str">
        <f>IFERROR(__xludf.DUMMYFUNCTION("""COMPUTED_VALUE"""),"")</f>
        <v/>
      </c>
      <c r="F202" s="224" t="str">
        <f>IFERROR(__xludf.DUMMYFUNCTION("""COMPUTED_VALUE"""),"")</f>
        <v/>
      </c>
      <c r="G202" s="224" t="str">
        <f>IFERROR(__xludf.DUMMYFUNCTION("""COMPUTED_VALUE"""),"")</f>
        <v/>
      </c>
      <c r="H202" s="228" t="str">
        <f>IFERROR(__xludf.DUMMYFUNCTION("""COMPUTED_VALUE"""),"")</f>
        <v/>
      </c>
      <c r="I202" s="230" t="str">
        <f>IFERROR(__xludf.DUMMYFUNCTION("""COMPUTED_VALUE"""),"")</f>
        <v/>
      </c>
      <c r="J202" s="231" t="str">
        <f>IFERROR(__xludf.DUMMYFUNCTION("""COMPUTED_VALUE"""),"")</f>
        <v/>
      </c>
      <c r="K202" s="232" t="str">
        <f>IFERROR(__xludf.DUMMYFUNCTION("""COMPUTED_VALUE"""),"AP")</f>
        <v>AP</v>
      </c>
      <c r="L202" s="231" t="str">
        <f>IFERROR(__xludf.DUMMYFUNCTION("""COMPUTED_VALUE"""),"")</f>
        <v/>
      </c>
      <c r="M202" s="232" t="str">
        <f>IFERROR(__xludf.DUMMYFUNCTION("""COMPUTED_VALUE"""),"％")</f>
        <v>％</v>
      </c>
      <c r="N202" s="228" t="str">
        <f>IFERROR(__xludf.DUMMYFUNCTION("""COMPUTED_VALUE"""),"")</f>
        <v/>
      </c>
      <c r="O202" s="217"/>
      <c r="P202" s="371" t="str">
        <f>IFERROR(__xludf.DUMMYFUNCTION("""COMPUTED_VALUE"""),"")</f>
        <v/>
      </c>
      <c r="Q202" s="458" t="str">
        <f>IFERROR(__xludf.DUMMYFUNCTION("""COMPUTED_VALUE"""),"")</f>
        <v/>
      </c>
      <c r="R202" s="459" t="str">
        <f>IFERROR(__xludf.DUMMYFUNCTION("""COMPUTED_VALUE"""),"")</f>
        <v/>
      </c>
      <c r="S202" s="459" t="str">
        <f>IFERROR(__xludf.DUMMYFUNCTION("""COMPUTED_VALUE"""),"")</f>
        <v/>
      </c>
      <c r="T202" t="str">
        <f>IFERROR(__xludf.DUMMYFUNCTION("""COMPUTED_VALUE"""),"")</f>
        <v/>
      </c>
      <c r="U202" t="str">
        <f>IFERROR(__xludf.DUMMYFUNCTION("""COMPUTED_VALUE"""),"")</f>
        <v/>
      </c>
      <c r="V202" t="str">
        <f>IFERROR(__xludf.DUMMYFUNCTION("""COMPUTED_VALUE"""),"")</f>
        <v/>
      </c>
      <c r="W202" t="str">
        <f>IFERROR(__xludf.DUMMYFUNCTION("""COMPUTED_VALUE"""),"")</f>
        <v/>
      </c>
      <c r="X202" t="str">
        <f>IFERROR(__xludf.DUMMYFUNCTION("""COMPUTED_VALUE"""),"")</f>
        <v/>
      </c>
      <c r="Y202" t="str">
        <f>IFERROR(__xludf.DUMMYFUNCTION("""COMPUTED_VALUE"""),"")</f>
        <v/>
      </c>
      <c r="Z202" t="str">
        <f>IFERROR(__xludf.DUMMYFUNCTION("""COMPUTED_VALUE"""),"")</f>
        <v/>
      </c>
      <c r="AA202" t="str">
        <f>IFERROR(__xludf.DUMMYFUNCTION("""COMPUTED_VALUE"""),"")</f>
        <v/>
      </c>
      <c r="AB202" t="str">
        <f>IFERROR(__xludf.DUMMYFUNCTION("""COMPUTED_VALUE"""),"")</f>
        <v/>
      </c>
      <c r="AC202" t="str">
        <f>IFERROR(__xludf.DUMMYFUNCTION("""COMPUTED_VALUE"""),"")</f>
        <v/>
      </c>
      <c r="AD202" t="str">
        <f>IFERROR(__xludf.DUMMYFUNCTION("""COMPUTED_VALUE"""),"")</f>
        <v/>
      </c>
      <c r="AE202" s="460" t="str">
        <f>IFERROR(__xludf.DUMMYFUNCTION("""COMPUTED_VALUE"""),"")</f>
        <v/>
      </c>
      <c r="AF202" s="372" t="str">
        <f>IFERROR(__xludf.DUMMYFUNCTION("""COMPUTED_VALUE"""),"")</f>
        <v/>
      </c>
    </row>
    <row r="203" ht="16.5" customHeight="1">
      <c r="C203" s="204"/>
      <c r="D203" s="238">
        <f>IFERROR(__xludf.DUMMYFUNCTION("""COMPUTED_VALUE"""),4.0)</f>
        <v>4</v>
      </c>
      <c r="E203" s="240" t="str">
        <f>IFERROR(__xludf.DUMMYFUNCTION("""COMPUTED_VALUE"""),"")</f>
        <v/>
      </c>
      <c r="F203" s="242" t="str">
        <f>IFERROR(__xludf.DUMMYFUNCTION("""COMPUTED_VALUE"""),"")</f>
        <v/>
      </c>
      <c r="G203" s="242" t="str">
        <f>IFERROR(__xludf.DUMMYFUNCTION("""COMPUTED_VALUE"""),"")</f>
        <v/>
      </c>
      <c r="H203" s="246" t="str">
        <f>IFERROR(__xludf.DUMMYFUNCTION("""COMPUTED_VALUE"""),"")</f>
        <v/>
      </c>
      <c r="I203" s="248" t="str">
        <f>IFERROR(__xludf.DUMMYFUNCTION("""COMPUTED_VALUE"""),"")</f>
        <v/>
      </c>
      <c r="J203" s="250" t="str">
        <f>IFERROR(__xludf.DUMMYFUNCTION("""COMPUTED_VALUE"""),"")</f>
        <v/>
      </c>
      <c r="K203" s="252" t="str">
        <f>IFERROR(__xludf.DUMMYFUNCTION("""COMPUTED_VALUE"""),"AP")</f>
        <v>AP</v>
      </c>
      <c r="L203" s="250" t="str">
        <f>IFERROR(__xludf.DUMMYFUNCTION("""COMPUTED_VALUE"""),"")</f>
        <v/>
      </c>
      <c r="M203" s="252" t="str">
        <f>IFERROR(__xludf.DUMMYFUNCTION("""COMPUTED_VALUE"""),"％")</f>
        <v>％</v>
      </c>
      <c r="N203" s="246" t="str">
        <f>IFERROR(__xludf.DUMMYFUNCTION("""COMPUTED_VALUE"""),"")</f>
        <v/>
      </c>
      <c r="O203" s="217"/>
      <c r="P203" s="371" t="str">
        <f>IFERROR(__xludf.DUMMYFUNCTION("""COMPUTED_VALUE"""),"")</f>
        <v/>
      </c>
      <c r="Q203" s="458" t="str">
        <f>IFERROR(__xludf.DUMMYFUNCTION("""COMPUTED_VALUE"""),"")</f>
        <v/>
      </c>
      <c r="R203" s="459" t="str">
        <f>IFERROR(__xludf.DUMMYFUNCTION("""COMPUTED_VALUE"""),"")</f>
        <v/>
      </c>
      <c r="S203" s="459" t="str">
        <f>IFERROR(__xludf.DUMMYFUNCTION("""COMPUTED_VALUE"""),"")</f>
        <v/>
      </c>
      <c r="T203" t="str">
        <f>IFERROR(__xludf.DUMMYFUNCTION("""COMPUTED_VALUE"""),"")</f>
        <v/>
      </c>
      <c r="U203" t="str">
        <f>IFERROR(__xludf.DUMMYFUNCTION("""COMPUTED_VALUE"""),"")</f>
        <v/>
      </c>
      <c r="V203" t="str">
        <f>IFERROR(__xludf.DUMMYFUNCTION("""COMPUTED_VALUE"""),"")</f>
        <v/>
      </c>
      <c r="W203" t="str">
        <f>IFERROR(__xludf.DUMMYFUNCTION("""COMPUTED_VALUE"""),"")</f>
        <v/>
      </c>
      <c r="X203" t="str">
        <f>IFERROR(__xludf.DUMMYFUNCTION("""COMPUTED_VALUE"""),"")</f>
        <v/>
      </c>
      <c r="Y203" t="str">
        <f>IFERROR(__xludf.DUMMYFUNCTION("""COMPUTED_VALUE"""),"")</f>
        <v/>
      </c>
      <c r="Z203" t="str">
        <f>IFERROR(__xludf.DUMMYFUNCTION("""COMPUTED_VALUE"""),"")</f>
        <v/>
      </c>
      <c r="AA203" t="str">
        <f>IFERROR(__xludf.DUMMYFUNCTION("""COMPUTED_VALUE"""),"")</f>
        <v/>
      </c>
      <c r="AB203" t="str">
        <f>IFERROR(__xludf.DUMMYFUNCTION("""COMPUTED_VALUE"""),"")</f>
        <v/>
      </c>
      <c r="AC203" t="str">
        <f>IFERROR(__xludf.DUMMYFUNCTION("""COMPUTED_VALUE"""),"")</f>
        <v/>
      </c>
      <c r="AD203" t="str">
        <f>IFERROR(__xludf.DUMMYFUNCTION("""COMPUTED_VALUE"""),"")</f>
        <v/>
      </c>
      <c r="AE203" s="460" t="str">
        <f>IFERROR(__xludf.DUMMYFUNCTION("""COMPUTED_VALUE"""),"")</f>
        <v/>
      </c>
      <c r="AF203" s="372" t="str">
        <f>IFERROR(__xludf.DUMMYFUNCTION("""COMPUTED_VALUE"""),"")</f>
        <v/>
      </c>
    </row>
    <row r="204" ht="16.5" customHeight="1">
      <c r="A204" s="166"/>
      <c r="C204" s="255"/>
      <c r="D204" s="256">
        <f>IFERROR(__xludf.DUMMYFUNCTION("""COMPUTED_VALUE"""),5.0)</f>
        <v>5</v>
      </c>
      <c r="E204" s="257" t="str">
        <f>IFERROR(__xludf.DUMMYFUNCTION("""COMPUTED_VALUE"""),"")</f>
        <v/>
      </c>
      <c r="F204" s="42" t="str">
        <f>IFERROR(__xludf.DUMMYFUNCTION("""COMPUTED_VALUE"""),"")</f>
        <v/>
      </c>
      <c r="G204" s="42" t="str">
        <f>IFERROR(__xludf.DUMMYFUNCTION("""COMPUTED_VALUE"""),"")</f>
        <v/>
      </c>
      <c r="H204" s="259" t="str">
        <f>IFERROR(__xludf.DUMMYFUNCTION("""COMPUTED_VALUE"""),"")</f>
        <v/>
      </c>
      <c r="I204" s="260" t="str">
        <f>IFERROR(__xludf.DUMMYFUNCTION("""COMPUTED_VALUE"""),"")</f>
        <v/>
      </c>
      <c r="J204" s="261" t="str">
        <f>IFERROR(__xludf.DUMMYFUNCTION("""COMPUTED_VALUE"""),"")</f>
        <v/>
      </c>
      <c r="K204" s="262" t="str">
        <f>IFERROR(__xludf.DUMMYFUNCTION("""COMPUTED_VALUE"""),"AP")</f>
        <v>AP</v>
      </c>
      <c r="L204" s="261" t="str">
        <f>IFERROR(__xludf.DUMMYFUNCTION("""COMPUTED_VALUE"""),"")</f>
        <v/>
      </c>
      <c r="M204" s="262" t="str">
        <f>IFERROR(__xludf.DUMMYFUNCTION("""COMPUTED_VALUE"""),"％")</f>
        <v>％</v>
      </c>
      <c r="N204" s="259" t="str">
        <f>IFERROR(__xludf.DUMMYFUNCTION("""COMPUTED_VALUE"""),"")</f>
        <v/>
      </c>
      <c r="O204" s="263"/>
      <c r="P204" s="371" t="str">
        <f>IFERROR(__xludf.DUMMYFUNCTION("""COMPUTED_VALUE"""),"")</f>
        <v/>
      </c>
      <c r="Q204" s="458" t="str">
        <f>IFERROR(__xludf.DUMMYFUNCTION("""COMPUTED_VALUE"""),"")</f>
        <v/>
      </c>
      <c r="R204" s="459" t="str">
        <f>IFERROR(__xludf.DUMMYFUNCTION("""COMPUTED_VALUE"""),"")</f>
        <v/>
      </c>
      <c r="S204" s="459" t="str">
        <f>IFERROR(__xludf.DUMMYFUNCTION("""COMPUTED_VALUE"""),"")</f>
        <v/>
      </c>
      <c r="T204" t="str">
        <f>IFERROR(__xludf.DUMMYFUNCTION("""COMPUTED_VALUE"""),"")</f>
        <v/>
      </c>
      <c r="U204" t="str">
        <f>IFERROR(__xludf.DUMMYFUNCTION("""COMPUTED_VALUE"""),"")</f>
        <v/>
      </c>
      <c r="V204" t="str">
        <f>IFERROR(__xludf.DUMMYFUNCTION("""COMPUTED_VALUE"""),"")</f>
        <v/>
      </c>
      <c r="W204" t="str">
        <f>IFERROR(__xludf.DUMMYFUNCTION("""COMPUTED_VALUE"""),"")</f>
        <v/>
      </c>
      <c r="X204" t="str">
        <f>IFERROR(__xludf.DUMMYFUNCTION("""COMPUTED_VALUE"""),"")</f>
        <v/>
      </c>
      <c r="Y204" t="str">
        <f>IFERROR(__xludf.DUMMYFUNCTION("""COMPUTED_VALUE"""),"")</f>
        <v/>
      </c>
      <c r="Z204" t="str">
        <f>IFERROR(__xludf.DUMMYFUNCTION("""COMPUTED_VALUE"""),"")</f>
        <v/>
      </c>
      <c r="AA204" t="str">
        <f>IFERROR(__xludf.DUMMYFUNCTION("""COMPUTED_VALUE"""),"")</f>
        <v/>
      </c>
      <c r="AB204" t="str">
        <f>IFERROR(__xludf.DUMMYFUNCTION("""COMPUTED_VALUE"""),"")</f>
        <v/>
      </c>
      <c r="AC204" t="str">
        <f>IFERROR(__xludf.DUMMYFUNCTION("""COMPUTED_VALUE"""),"")</f>
        <v/>
      </c>
      <c r="AD204" t="str">
        <f>IFERROR(__xludf.DUMMYFUNCTION("""COMPUTED_VALUE"""),"")</f>
        <v/>
      </c>
      <c r="AE204" s="460" t="str">
        <f>IFERROR(__xludf.DUMMYFUNCTION("""COMPUTED_VALUE"""),"")</f>
        <v/>
      </c>
      <c r="AF204" s="372" t="str">
        <f>IFERROR(__xludf.DUMMYFUNCTION("""COMPUTED_VALUE"""),"")</f>
        <v/>
      </c>
    </row>
    <row r="205" ht="16.5" customHeight="1">
      <c r="A205" s="61" t="str">
        <f>IFERROR(__xludf.DUMMYFUNCTION("""COMPUTED_VALUE"""),"")</f>
        <v/>
      </c>
      <c r="B205" s="367" t="str">
        <f>IFERROR(__xludf.DUMMYFUNCTION("""COMPUTED_VALUE"""),"A113")</f>
        <v>A113</v>
      </c>
      <c r="C205" s="65" t="str">
        <f>IFERROR(__xludf.DUMMYFUNCTION("""COMPUTED_VALUE"""),"Dawnlight Reactor Core")</f>
        <v>Dawnlight Reactor Core</v>
      </c>
      <c r="D205" s="67">
        <f>IFERROR(__xludf.DUMMYFUNCTION("""COMPUTED_VALUE"""),1.0)</f>
        <v>1</v>
      </c>
      <c r="E205" s="69" t="str">
        <f>IFERROR(__xludf.DUMMYFUNCTION("""COMPUTED_VALUE"""),"")</f>
        <v/>
      </c>
      <c r="F205" s="71" t="str">
        <f>IFERROR(__xludf.DUMMYFUNCTION("""COMPUTED_VALUE"""),"")</f>
        <v/>
      </c>
      <c r="G205" s="71" t="str">
        <f>IFERROR(__xludf.DUMMYFUNCTION("""COMPUTED_VALUE"""),"")</f>
        <v/>
      </c>
      <c r="H205" s="80" t="str">
        <f>IFERROR(__xludf.DUMMYFUNCTION("""COMPUTED_VALUE"""),"")</f>
        <v/>
      </c>
      <c r="I205" s="82" t="str">
        <f>IFERROR(__xludf.DUMMYFUNCTION("""COMPUTED_VALUE"""),"")</f>
        <v/>
      </c>
      <c r="J205" s="84" t="str">
        <f>IFERROR(__xludf.DUMMYFUNCTION("""COMPUTED_VALUE"""),"")</f>
        <v/>
      </c>
      <c r="K205" s="86" t="str">
        <f>IFERROR(__xludf.DUMMYFUNCTION("""COMPUTED_VALUE"""),"AP")</f>
        <v>AP</v>
      </c>
      <c r="L205" s="88" t="str">
        <f>IFERROR(__xludf.DUMMYFUNCTION("""COMPUTED_VALUE"""),"")</f>
        <v/>
      </c>
      <c r="M205" s="86" t="str">
        <f>IFERROR(__xludf.DUMMYFUNCTION("""COMPUTED_VALUE"""),"％")</f>
        <v>％</v>
      </c>
      <c r="N205" s="80" t="str">
        <f>IFERROR(__xludf.DUMMYFUNCTION("""COMPUTED_VALUE"""),"")</f>
        <v/>
      </c>
      <c r="O205" s="91" t="str">
        <f>IFERROR(__xludf.DUMMYFUNCTION("""COMPUTED_VALUE"""),"Dawnlight Reactor Core")</f>
        <v>Dawnlight Reactor Core</v>
      </c>
      <c r="P205" s="371" t="str">
        <f>IFERROR(__xludf.DUMMYFUNCTION("""COMPUTED_VALUE"""),"")</f>
        <v/>
      </c>
      <c r="Q205" s="458" t="str">
        <f>IFERROR(__xludf.DUMMYFUNCTION("""COMPUTED_VALUE"""),"")</f>
        <v/>
      </c>
      <c r="R205" s="459" t="str">
        <f>IFERROR(__xludf.DUMMYFUNCTION("""COMPUTED_VALUE"""),"")</f>
        <v/>
      </c>
      <c r="S205" s="459" t="str">
        <f>IFERROR(__xludf.DUMMYFUNCTION("""COMPUTED_VALUE"""),"")</f>
        <v/>
      </c>
      <c r="T205" t="str">
        <f>IFERROR(__xludf.DUMMYFUNCTION("""COMPUTED_VALUE"""),"")</f>
        <v/>
      </c>
      <c r="U205" t="str">
        <f>IFERROR(__xludf.DUMMYFUNCTION("""COMPUTED_VALUE"""),"")</f>
        <v/>
      </c>
      <c r="V205" t="str">
        <f>IFERROR(__xludf.DUMMYFUNCTION("""COMPUTED_VALUE"""),"")</f>
        <v/>
      </c>
      <c r="W205" t="str">
        <f>IFERROR(__xludf.DUMMYFUNCTION("""COMPUTED_VALUE"""),"")</f>
        <v/>
      </c>
      <c r="X205" t="str">
        <f>IFERROR(__xludf.DUMMYFUNCTION("""COMPUTED_VALUE"""),"")</f>
        <v/>
      </c>
      <c r="Y205" t="str">
        <f>IFERROR(__xludf.DUMMYFUNCTION("""COMPUTED_VALUE"""),"")</f>
        <v/>
      </c>
      <c r="Z205" t="str">
        <f>IFERROR(__xludf.DUMMYFUNCTION("""COMPUTED_VALUE"""),"")</f>
        <v/>
      </c>
      <c r="AA205" t="str">
        <f>IFERROR(__xludf.DUMMYFUNCTION("""COMPUTED_VALUE"""),"")</f>
        <v/>
      </c>
      <c r="AB205" t="str">
        <f>IFERROR(__xludf.DUMMYFUNCTION("""COMPUTED_VALUE"""),"")</f>
        <v/>
      </c>
      <c r="AC205" t="str">
        <f>IFERROR(__xludf.DUMMYFUNCTION("""COMPUTED_VALUE"""),"")</f>
        <v/>
      </c>
      <c r="AD205" t="str">
        <f>IFERROR(__xludf.DUMMYFUNCTION("""COMPUTED_VALUE"""),"")</f>
        <v/>
      </c>
      <c r="AE205" s="460" t="str">
        <f>IFERROR(__xludf.DUMMYFUNCTION("""COMPUTED_VALUE"""),"")</f>
        <v/>
      </c>
      <c r="AF205" s="372" t="str">
        <f>IFERROR(__xludf.DUMMYFUNCTION("""COMPUTED_VALUE"""),"")</f>
        <v/>
      </c>
    </row>
    <row r="206" ht="16.5" customHeight="1">
      <c r="C206" s="100"/>
      <c r="D206" s="102">
        <f>IFERROR(__xludf.DUMMYFUNCTION("""COMPUTED_VALUE"""),2.0)</f>
        <v>2</v>
      </c>
      <c r="E206" s="103" t="str">
        <f>IFERROR(__xludf.DUMMYFUNCTION("""COMPUTED_VALUE"""),"")</f>
        <v/>
      </c>
      <c r="F206" s="104" t="str">
        <f>IFERROR(__xludf.DUMMYFUNCTION("""COMPUTED_VALUE"""),"")</f>
        <v/>
      </c>
      <c r="G206" s="104" t="str">
        <f>IFERROR(__xludf.DUMMYFUNCTION("""COMPUTED_VALUE"""),"")</f>
        <v/>
      </c>
      <c r="H206" s="109" t="str">
        <f>IFERROR(__xludf.DUMMYFUNCTION("""COMPUTED_VALUE"""),"")</f>
        <v/>
      </c>
      <c r="I206" s="110" t="str">
        <f>IFERROR(__xludf.DUMMYFUNCTION("""COMPUTED_VALUE"""),"")</f>
        <v/>
      </c>
      <c r="J206" s="112" t="str">
        <f>IFERROR(__xludf.DUMMYFUNCTION("""COMPUTED_VALUE"""),"")</f>
        <v/>
      </c>
      <c r="K206" s="121" t="str">
        <f>IFERROR(__xludf.DUMMYFUNCTION("""COMPUTED_VALUE"""),"AP")</f>
        <v>AP</v>
      </c>
      <c r="L206" s="123" t="str">
        <f>IFERROR(__xludf.DUMMYFUNCTION("""COMPUTED_VALUE"""),"")</f>
        <v/>
      </c>
      <c r="M206" s="121" t="str">
        <f>IFERROR(__xludf.DUMMYFUNCTION("""COMPUTED_VALUE"""),"％")</f>
        <v>％</v>
      </c>
      <c r="N206" s="109" t="str">
        <f>IFERROR(__xludf.DUMMYFUNCTION("""COMPUTED_VALUE"""),"")</f>
        <v/>
      </c>
      <c r="O206" s="100"/>
      <c r="P206" s="371" t="str">
        <f>IFERROR(__xludf.DUMMYFUNCTION("""COMPUTED_VALUE"""),"")</f>
        <v/>
      </c>
      <c r="Q206" s="458" t="str">
        <f>IFERROR(__xludf.DUMMYFUNCTION("""COMPUTED_VALUE"""),"")</f>
        <v/>
      </c>
      <c r="R206" s="459" t="str">
        <f>IFERROR(__xludf.DUMMYFUNCTION("""COMPUTED_VALUE"""),"")</f>
        <v/>
      </c>
      <c r="S206" s="459" t="str">
        <f>IFERROR(__xludf.DUMMYFUNCTION("""COMPUTED_VALUE"""),"")</f>
        <v/>
      </c>
      <c r="T206" t="str">
        <f>IFERROR(__xludf.DUMMYFUNCTION("""COMPUTED_VALUE"""),"")</f>
        <v/>
      </c>
      <c r="U206" t="str">
        <f>IFERROR(__xludf.DUMMYFUNCTION("""COMPUTED_VALUE"""),"")</f>
        <v/>
      </c>
      <c r="V206" t="str">
        <f>IFERROR(__xludf.DUMMYFUNCTION("""COMPUTED_VALUE"""),"")</f>
        <v/>
      </c>
      <c r="W206" t="str">
        <f>IFERROR(__xludf.DUMMYFUNCTION("""COMPUTED_VALUE"""),"")</f>
        <v/>
      </c>
      <c r="X206" t="str">
        <f>IFERROR(__xludf.DUMMYFUNCTION("""COMPUTED_VALUE"""),"")</f>
        <v/>
      </c>
      <c r="Y206" t="str">
        <f>IFERROR(__xludf.DUMMYFUNCTION("""COMPUTED_VALUE"""),"")</f>
        <v/>
      </c>
      <c r="Z206" t="str">
        <f>IFERROR(__xludf.DUMMYFUNCTION("""COMPUTED_VALUE"""),"")</f>
        <v/>
      </c>
      <c r="AA206" t="str">
        <f>IFERROR(__xludf.DUMMYFUNCTION("""COMPUTED_VALUE"""),"")</f>
        <v/>
      </c>
      <c r="AB206" t="str">
        <f>IFERROR(__xludf.DUMMYFUNCTION("""COMPUTED_VALUE"""),"")</f>
        <v/>
      </c>
      <c r="AC206" t="str">
        <f>IFERROR(__xludf.DUMMYFUNCTION("""COMPUTED_VALUE"""),"")</f>
        <v/>
      </c>
      <c r="AD206" t="str">
        <f>IFERROR(__xludf.DUMMYFUNCTION("""COMPUTED_VALUE"""),"")</f>
        <v/>
      </c>
      <c r="AE206" s="460" t="str">
        <f>IFERROR(__xludf.DUMMYFUNCTION("""COMPUTED_VALUE"""),"")</f>
        <v/>
      </c>
      <c r="AF206" s="372" t="str">
        <f>IFERROR(__xludf.DUMMYFUNCTION("""COMPUTED_VALUE"""),"")</f>
        <v/>
      </c>
    </row>
    <row r="207" ht="16.5" customHeight="1">
      <c r="C207" s="100"/>
      <c r="D207" s="130">
        <f>IFERROR(__xludf.DUMMYFUNCTION("""COMPUTED_VALUE"""),3.0)</f>
        <v>3</v>
      </c>
      <c r="E207" s="132" t="str">
        <f>IFERROR(__xludf.DUMMYFUNCTION("""COMPUTED_VALUE"""),"")</f>
        <v/>
      </c>
      <c r="F207" s="133" t="str">
        <f>IFERROR(__xludf.DUMMYFUNCTION("""COMPUTED_VALUE"""),"")</f>
        <v/>
      </c>
      <c r="G207" s="133" t="str">
        <f>IFERROR(__xludf.DUMMYFUNCTION("""COMPUTED_VALUE"""),"")</f>
        <v/>
      </c>
      <c r="H207" s="137" t="str">
        <f>IFERROR(__xludf.DUMMYFUNCTION("""COMPUTED_VALUE"""),"")</f>
        <v/>
      </c>
      <c r="I207" s="139" t="str">
        <f>IFERROR(__xludf.DUMMYFUNCTION("""COMPUTED_VALUE"""),"")</f>
        <v/>
      </c>
      <c r="J207" s="141" t="str">
        <f>IFERROR(__xludf.DUMMYFUNCTION("""COMPUTED_VALUE"""),"")</f>
        <v/>
      </c>
      <c r="K207" s="143" t="str">
        <f>IFERROR(__xludf.DUMMYFUNCTION("""COMPUTED_VALUE"""),"AP")</f>
        <v>AP</v>
      </c>
      <c r="L207" s="145" t="str">
        <f>IFERROR(__xludf.DUMMYFUNCTION("""COMPUTED_VALUE"""),"")</f>
        <v/>
      </c>
      <c r="M207" s="143" t="str">
        <f>IFERROR(__xludf.DUMMYFUNCTION("""COMPUTED_VALUE"""),"％")</f>
        <v>％</v>
      </c>
      <c r="N207" s="137" t="str">
        <f>IFERROR(__xludf.DUMMYFUNCTION("""COMPUTED_VALUE"""),"")</f>
        <v/>
      </c>
      <c r="O207" s="100"/>
      <c r="P207" s="371" t="str">
        <f>IFERROR(__xludf.DUMMYFUNCTION("""COMPUTED_VALUE"""),"")</f>
        <v/>
      </c>
      <c r="Q207" s="458" t="str">
        <f>IFERROR(__xludf.DUMMYFUNCTION("""COMPUTED_VALUE"""),"")</f>
        <v/>
      </c>
      <c r="R207" s="459" t="str">
        <f>IFERROR(__xludf.DUMMYFUNCTION("""COMPUTED_VALUE"""),"")</f>
        <v/>
      </c>
      <c r="S207" s="459" t="str">
        <f>IFERROR(__xludf.DUMMYFUNCTION("""COMPUTED_VALUE"""),"")</f>
        <v/>
      </c>
      <c r="T207" t="str">
        <f>IFERROR(__xludf.DUMMYFUNCTION("""COMPUTED_VALUE"""),"")</f>
        <v/>
      </c>
      <c r="U207" t="str">
        <f>IFERROR(__xludf.DUMMYFUNCTION("""COMPUTED_VALUE"""),"")</f>
        <v/>
      </c>
      <c r="V207" t="str">
        <f>IFERROR(__xludf.DUMMYFUNCTION("""COMPUTED_VALUE"""),"")</f>
        <v/>
      </c>
      <c r="W207" t="str">
        <f>IFERROR(__xludf.DUMMYFUNCTION("""COMPUTED_VALUE"""),"")</f>
        <v/>
      </c>
      <c r="X207" t="str">
        <f>IFERROR(__xludf.DUMMYFUNCTION("""COMPUTED_VALUE"""),"")</f>
        <v/>
      </c>
      <c r="Y207" t="str">
        <f>IFERROR(__xludf.DUMMYFUNCTION("""COMPUTED_VALUE"""),"")</f>
        <v/>
      </c>
      <c r="Z207" t="str">
        <f>IFERROR(__xludf.DUMMYFUNCTION("""COMPUTED_VALUE"""),"")</f>
        <v/>
      </c>
      <c r="AA207" t="str">
        <f>IFERROR(__xludf.DUMMYFUNCTION("""COMPUTED_VALUE"""),"")</f>
        <v/>
      </c>
      <c r="AB207" t="str">
        <f>IFERROR(__xludf.DUMMYFUNCTION("""COMPUTED_VALUE"""),"")</f>
        <v/>
      </c>
      <c r="AC207" t="str">
        <f>IFERROR(__xludf.DUMMYFUNCTION("""COMPUTED_VALUE"""),"")</f>
        <v/>
      </c>
      <c r="AD207" t="str">
        <f>IFERROR(__xludf.DUMMYFUNCTION("""COMPUTED_VALUE"""),"")</f>
        <v/>
      </c>
      <c r="AE207" s="460" t="str">
        <f>IFERROR(__xludf.DUMMYFUNCTION("""COMPUTED_VALUE"""),"")</f>
        <v/>
      </c>
      <c r="AF207" s="372" t="str">
        <f>IFERROR(__xludf.DUMMYFUNCTION("""COMPUTED_VALUE"""),"")</f>
        <v/>
      </c>
    </row>
    <row r="208" ht="16.5" customHeight="1">
      <c r="C208" s="100"/>
      <c r="D208" s="146">
        <f>IFERROR(__xludf.DUMMYFUNCTION("""COMPUTED_VALUE"""),4.0)</f>
        <v>4</v>
      </c>
      <c r="E208" s="148" t="str">
        <f>IFERROR(__xludf.DUMMYFUNCTION("""COMPUTED_VALUE"""),"")</f>
        <v/>
      </c>
      <c r="F208" s="150" t="str">
        <f>IFERROR(__xludf.DUMMYFUNCTION("""COMPUTED_VALUE"""),"")</f>
        <v/>
      </c>
      <c r="G208" s="150" t="str">
        <f>IFERROR(__xludf.DUMMYFUNCTION("""COMPUTED_VALUE"""),"")</f>
        <v/>
      </c>
      <c r="H208" s="154" t="str">
        <f>IFERROR(__xludf.DUMMYFUNCTION("""COMPUTED_VALUE"""),"")</f>
        <v/>
      </c>
      <c r="I208" s="156" t="str">
        <f>IFERROR(__xludf.DUMMYFUNCTION("""COMPUTED_VALUE"""),"")</f>
        <v/>
      </c>
      <c r="J208" s="158" t="str">
        <f>IFERROR(__xludf.DUMMYFUNCTION("""COMPUTED_VALUE"""),"")</f>
        <v/>
      </c>
      <c r="K208" s="160" t="str">
        <f>IFERROR(__xludf.DUMMYFUNCTION("""COMPUTED_VALUE"""),"AP")</f>
        <v>AP</v>
      </c>
      <c r="L208" s="162" t="str">
        <f>IFERROR(__xludf.DUMMYFUNCTION("""COMPUTED_VALUE"""),"")</f>
        <v/>
      </c>
      <c r="M208" s="160" t="str">
        <f>IFERROR(__xludf.DUMMYFUNCTION("""COMPUTED_VALUE"""),"％")</f>
        <v>％</v>
      </c>
      <c r="N208" s="154" t="str">
        <f>IFERROR(__xludf.DUMMYFUNCTION("""COMPUTED_VALUE"""),"")</f>
        <v/>
      </c>
      <c r="O208" s="100"/>
      <c r="P208" s="371" t="str">
        <f>IFERROR(__xludf.DUMMYFUNCTION("""COMPUTED_VALUE"""),"")</f>
        <v/>
      </c>
      <c r="Q208" s="458" t="str">
        <f>IFERROR(__xludf.DUMMYFUNCTION("""COMPUTED_VALUE"""),"")</f>
        <v/>
      </c>
      <c r="R208" s="459" t="str">
        <f>IFERROR(__xludf.DUMMYFUNCTION("""COMPUTED_VALUE"""),"")</f>
        <v/>
      </c>
      <c r="S208" s="459" t="str">
        <f>IFERROR(__xludf.DUMMYFUNCTION("""COMPUTED_VALUE"""),"")</f>
        <v/>
      </c>
      <c r="T208" t="str">
        <f>IFERROR(__xludf.DUMMYFUNCTION("""COMPUTED_VALUE"""),"")</f>
        <v/>
      </c>
      <c r="U208" t="str">
        <f>IFERROR(__xludf.DUMMYFUNCTION("""COMPUTED_VALUE"""),"")</f>
        <v/>
      </c>
      <c r="V208" t="str">
        <f>IFERROR(__xludf.DUMMYFUNCTION("""COMPUTED_VALUE"""),"")</f>
        <v/>
      </c>
      <c r="W208" t="str">
        <f>IFERROR(__xludf.DUMMYFUNCTION("""COMPUTED_VALUE"""),"")</f>
        <v/>
      </c>
      <c r="X208" t="str">
        <f>IFERROR(__xludf.DUMMYFUNCTION("""COMPUTED_VALUE"""),"")</f>
        <v/>
      </c>
      <c r="Y208" t="str">
        <f>IFERROR(__xludf.DUMMYFUNCTION("""COMPUTED_VALUE"""),"")</f>
        <v/>
      </c>
      <c r="Z208" t="str">
        <f>IFERROR(__xludf.DUMMYFUNCTION("""COMPUTED_VALUE"""),"")</f>
        <v/>
      </c>
      <c r="AA208" t="str">
        <f>IFERROR(__xludf.DUMMYFUNCTION("""COMPUTED_VALUE"""),"")</f>
        <v/>
      </c>
      <c r="AB208" t="str">
        <f>IFERROR(__xludf.DUMMYFUNCTION("""COMPUTED_VALUE"""),"")</f>
        <v/>
      </c>
      <c r="AC208" t="str">
        <f>IFERROR(__xludf.DUMMYFUNCTION("""COMPUTED_VALUE"""),"")</f>
        <v/>
      </c>
      <c r="AD208" t="str">
        <f>IFERROR(__xludf.DUMMYFUNCTION("""COMPUTED_VALUE"""),"")</f>
        <v/>
      </c>
      <c r="AE208" s="460" t="str">
        <f>IFERROR(__xludf.DUMMYFUNCTION("""COMPUTED_VALUE"""),"")</f>
        <v/>
      </c>
      <c r="AF208" s="372" t="str">
        <f>IFERROR(__xludf.DUMMYFUNCTION("""COMPUTED_VALUE"""),"")</f>
        <v/>
      </c>
    </row>
    <row r="209" ht="16.5" customHeight="1">
      <c r="A209" s="166"/>
      <c r="C209" s="168"/>
      <c r="D209" s="169">
        <f>IFERROR(__xludf.DUMMYFUNCTION("""COMPUTED_VALUE"""),5.0)</f>
        <v>5</v>
      </c>
      <c r="E209" s="170" t="str">
        <f>IFERROR(__xludf.DUMMYFUNCTION("""COMPUTED_VALUE"""),"")</f>
        <v/>
      </c>
      <c r="F209" s="51" t="str">
        <f>IFERROR(__xludf.DUMMYFUNCTION("""COMPUTED_VALUE"""),"")</f>
        <v/>
      </c>
      <c r="G209" s="51" t="str">
        <f>IFERROR(__xludf.DUMMYFUNCTION("""COMPUTED_VALUE"""),"")</f>
        <v/>
      </c>
      <c r="H209" s="172" t="str">
        <f>IFERROR(__xludf.DUMMYFUNCTION("""COMPUTED_VALUE"""),"")</f>
        <v/>
      </c>
      <c r="I209" s="173" t="str">
        <f>IFERROR(__xludf.DUMMYFUNCTION("""COMPUTED_VALUE"""),"")</f>
        <v/>
      </c>
      <c r="J209" s="174" t="str">
        <f>IFERROR(__xludf.DUMMYFUNCTION("""COMPUTED_VALUE"""),"")</f>
        <v/>
      </c>
      <c r="K209" s="175" t="str">
        <f>IFERROR(__xludf.DUMMYFUNCTION("""COMPUTED_VALUE"""),"AP")</f>
        <v>AP</v>
      </c>
      <c r="L209" s="176" t="str">
        <f>IFERROR(__xludf.DUMMYFUNCTION("""COMPUTED_VALUE"""),"")</f>
        <v/>
      </c>
      <c r="M209" s="175" t="str">
        <f>IFERROR(__xludf.DUMMYFUNCTION("""COMPUTED_VALUE"""),"％")</f>
        <v>％</v>
      </c>
      <c r="N209" s="172" t="str">
        <f>IFERROR(__xludf.DUMMYFUNCTION("""COMPUTED_VALUE"""),"")</f>
        <v/>
      </c>
      <c r="O209" s="168"/>
      <c r="P209" s="371" t="str">
        <f>IFERROR(__xludf.DUMMYFUNCTION("""COMPUTED_VALUE"""),"")</f>
        <v/>
      </c>
      <c r="Q209" s="458" t="str">
        <f>IFERROR(__xludf.DUMMYFUNCTION("""COMPUTED_VALUE"""),"")</f>
        <v/>
      </c>
      <c r="R209" s="459" t="str">
        <f>IFERROR(__xludf.DUMMYFUNCTION("""COMPUTED_VALUE"""),"")</f>
        <v/>
      </c>
      <c r="S209" s="459" t="str">
        <f>IFERROR(__xludf.DUMMYFUNCTION("""COMPUTED_VALUE"""),"")</f>
        <v/>
      </c>
      <c r="T209" t="str">
        <f>IFERROR(__xludf.DUMMYFUNCTION("""COMPUTED_VALUE"""),"")</f>
        <v/>
      </c>
      <c r="U209" t="str">
        <f>IFERROR(__xludf.DUMMYFUNCTION("""COMPUTED_VALUE"""),"")</f>
        <v/>
      </c>
      <c r="V209" t="str">
        <f>IFERROR(__xludf.DUMMYFUNCTION("""COMPUTED_VALUE"""),"")</f>
        <v/>
      </c>
      <c r="W209" t="str">
        <f>IFERROR(__xludf.DUMMYFUNCTION("""COMPUTED_VALUE"""),"")</f>
        <v/>
      </c>
      <c r="X209" t="str">
        <f>IFERROR(__xludf.DUMMYFUNCTION("""COMPUTED_VALUE"""),"")</f>
        <v/>
      </c>
      <c r="Y209" t="str">
        <f>IFERROR(__xludf.DUMMYFUNCTION("""COMPUTED_VALUE"""),"")</f>
        <v/>
      </c>
      <c r="Z209" t="str">
        <f>IFERROR(__xludf.DUMMYFUNCTION("""COMPUTED_VALUE"""),"")</f>
        <v/>
      </c>
      <c r="AA209" t="str">
        <f>IFERROR(__xludf.DUMMYFUNCTION("""COMPUTED_VALUE"""),"")</f>
        <v/>
      </c>
      <c r="AB209" t="str">
        <f>IFERROR(__xludf.DUMMYFUNCTION("""COMPUTED_VALUE"""),"")</f>
        <v/>
      </c>
      <c r="AC209" t="str">
        <f>IFERROR(__xludf.DUMMYFUNCTION("""COMPUTED_VALUE"""),"")</f>
        <v/>
      </c>
      <c r="AD209" t="str">
        <f>IFERROR(__xludf.DUMMYFUNCTION("""COMPUTED_VALUE"""),"")</f>
        <v/>
      </c>
      <c r="AE209" s="460" t="str">
        <f>IFERROR(__xludf.DUMMYFUNCTION("""COMPUTED_VALUE"""),"")</f>
        <v/>
      </c>
      <c r="AF209" s="372" t="str">
        <f>IFERROR(__xludf.DUMMYFUNCTION("""COMPUTED_VALUE"""),"")</f>
        <v/>
      </c>
    </row>
    <row r="210" ht="16.5" customHeight="1">
      <c r="A210" s="61" t="str">
        <f>IFERROR(__xludf.DUMMYFUNCTION("""COMPUTED_VALUE"""),"")</f>
        <v/>
      </c>
      <c r="B210" s="366" t="str">
        <f>IFERROR(__xludf.DUMMYFUNCTION("""COMPUTED_VALUE"""),"A114")</f>
        <v>A114</v>
      </c>
      <c r="C210" s="180" t="str">
        <f>IFERROR(__xludf.DUMMYFUNCTION("""COMPUTED_VALUE"""),"Tsukumo Mirror")</f>
        <v>Tsukumo Mirror</v>
      </c>
      <c r="D210" s="181">
        <f>IFERROR(__xludf.DUMMYFUNCTION("""COMPUTED_VALUE"""),1.0)</f>
        <v>1</v>
      </c>
      <c r="E210" s="182" t="str">
        <f>IFERROR(__xludf.DUMMYFUNCTION("""COMPUTED_VALUE"""),"")</f>
        <v/>
      </c>
      <c r="F210" s="184" t="str">
        <f>IFERROR(__xludf.DUMMYFUNCTION("""COMPUTED_VALUE"""),"")</f>
        <v/>
      </c>
      <c r="G210" s="184" t="str">
        <f>IFERROR(__xludf.DUMMYFUNCTION("""COMPUTED_VALUE"""),"")</f>
        <v/>
      </c>
      <c r="H210" s="190" t="str">
        <f>IFERROR(__xludf.DUMMYFUNCTION("""COMPUTED_VALUE"""),"")</f>
        <v/>
      </c>
      <c r="I210" s="191" t="str">
        <f>IFERROR(__xludf.DUMMYFUNCTION("""COMPUTED_VALUE"""),"")</f>
        <v/>
      </c>
      <c r="J210" s="192" t="str">
        <f>IFERROR(__xludf.DUMMYFUNCTION("""COMPUTED_VALUE"""),"")</f>
        <v/>
      </c>
      <c r="K210" s="194" t="str">
        <f>IFERROR(__xludf.DUMMYFUNCTION("""COMPUTED_VALUE"""),"AP")</f>
        <v>AP</v>
      </c>
      <c r="L210" s="192" t="str">
        <f>IFERROR(__xludf.DUMMYFUNCTION("""COMPUTED_VALUE"""),"")</f>
        <v/>
      </c>
      <c r="M210" s="194" t="str">
        <f>IFERROR(__xludf.DUMMYFUNCTION("""COMPUTED_VALUE"""),"％")</f>
        <v>％</v>
      </c>
      <c r="N210" s="190" t="str">
        <f>IFERROR(__xludf.DUMMYFUNCTION("""COMPUTED_VALUE"""),"")</f>
        <v/>
      </c>
      <c r="O210" s="197" t="str">
        <f>IFERROR(__xludf.DUMMYFUNCTION("""COMPUTED_VALUE"""),"Tsukumo Mirror")</f>
        <v>Tsukumo Mirror</v>
      </c>
      <c r="P210" s="371" t="str">
        <f>IFERROR(__xludf.DUMMYFUNCTION("""COMPUTED_VALUE"""),"")</f>
        <v/>
      </c>
      <c r="Q210" s="458" t="str">
        <f>IFERROR(__xludf.DUMMYFUNCTION("""COMPUTED_VALUE"""),"")</f>
        <v/>
      </c>
      <c r="R210" s="459" t="str">
        <f>IFERROR(__xludf.DUMMYFUNCTION("""COMPUTED_VALUE"""),"")</f>
        <v/>
      </c>
      <c r="S210" s="459" t="str">
        <f>IFERROR(__xludf.DUMMYFUNCTION("""COMPUTED_VALUE"""),"")</f>
        <v/>
      </c>
      <c r="T210" t="str">
        <f>IFERROR(__xludf.DUMMYFUNCTION("""COMPUTED_VALUE"""),"")</f>
        <v/>
      </c>
      <c r="U210" t="str">
        <f>IFERROR(__xludf.DUMMYFUNCTION("""COMPUTED_VALUE"""),"")</f>
        <v/>
      </c>
      <c r="V210" t="str">
        <f>IFERROR(__xludf.DUMMYFUNCTION("""COMPUTED_VALUE"""),"")</f>
        <v/>
      </c>
      <c r="W210" t="str">
        <f>IFERROR(__xludf.DUMMYFUNCTION("""COMPUTED_VALUE"""),"")</f>
        <v/>
      </c>
      <c r="X210" t="str">
        <f>IFERROR(__xludf.DUMMYFUNCTION("""COMPUTED_VALUE"""),"")</f>
        <v/>
      </c>
      <c r="Y210" t="str">
        <f>IFERROR(__xludf.DUMMYFUNCTION("""COMPUTED_VALUE"""),"")</f>
        <v/>
      </c>
      <c r="Z210" t="str">
        <f>IFERROR(__xludf.DUMMYFUNCTION("""COMPUTED_VALUE"""),"")</f>
        <v/>
      </c>
      <c r="AA210" t="str">
        <f>IFERROR(__xludf.DUMMYFUNCTION("""COMPUTED_VALUE"""),"")</f>
        <v/>
      </c>
      <c r="AB210" t="str">
        <f>IFERROR(__xludf.DUMMYFUNCTION("""COMPUTED_VALUE"""),"")</f>
        <v/>
      </c>
      <c r="AC210" t="str">
        <f>IFERROR(__xludf.DUMMYFUNCTION("""COMPUTED_VALUE"""),"")</f>
        <v/>
      </c>
      <c r="AD210" t="str">
        <f>IFERROR(__xludf.DUMMYFUNCTION("""COMPUTED_VALUE"""),"")</f>
        <v/>
      </c>
      <c r="AE210" s="460" t="str">
        <f>IFERROR(__xludf.DUMMYFUNCTION("""COMPUTED_VALUE"""),"")</f>
        <v/>
      </c>
      <c r="AF210" s="372" t="str">
        <f>IFERROR(__xludf.DUMMYFUNCTION("""COMPUTED_VALUE"""),"")</f>
        <v/>
      </c>
    </row>
    <row r="211" ht="16.5" customHeight="1">
      <c r="C211" s="204"/>
      <c r="D211" s="205">
        <f>IFERROR(__xludf.DUMMYFUNCTION("""COMPUTED_VALUE"""),2.0)</f>
        <v>2</v>
      </c>
      <c r="E211" s="206" t="str">
        <f>IFERROR(__xludf.DUMMYFUNCTION("""COMPUTED_VALUE"""),"")</f>
        <v/>
      </c>
      <c r="F211" s="207" t="str">
        <f>IFERROR(__xludf.DUMMYFUNCTION("""COMPUTED_VALUE"""),"")</f>
        <v/>
      </c>
      <c r="G211" s="207" t="str">
        <f>IFERROR(__xludf.DUMMYFUNCTION("""COMPUTED_VALUE"""),"")</f>
        <v/>
      </c>
      <c r="H211" s="211" t="str">
        <f>IFERROR(__xludf.DUMMYFUNCTION("""COMPUTED_VALUE"""),"")</f>
        <v/>
      </c>
      <c r="I211" s="213" t="str">
        <f>IFERROR(__xludf.DUMMYFUNCTION("""COMPUTED_VALUE"""),"")</f>
        <v/>
      </c>
      <c r="J211" s="214" t="str">
        <f>IFERROR(__xludf.DUMMYFUNCTION("""COMPUTED_VALUE"""),"")</f>
        <v/>
      </c>
      <c r="K211" s="215" t="str">
        <f>IFERROR(__xludf.DUMMYFUNCTION("""COMPUTED_VALUE"""),"AP")</f>
        <v>AP</v>
      </c>
      <c r="L211" s="214" t="str">
        <f>IFERROR(__xludf.DUMMYFUNCTION("""COMPUTED_VALUE"""),"")</f>
        <v/>
      </c>
      <c r="M211" s="215" t="str">
        <f>IFERROR(__xludf.DUMMYFUNCTION("""COMPUTED_VALUE"""),"％")</f>
        <v>％</v>
      </c>
      <c r="N211" s="211" t="str">
        <f>IFERROR(__xludf.DUMMYFUNCTION("""COMPUTED_VALUE"""),"")</f>
        <v/>
      </c>
      <c r="O211" s="217"/>
      <c r="P211" s="371" t="str">
        <f>IFERROR(__xludf.DUMMYFUNCTION("""COMPUTED_VALUE"""),"")</f>
        <v/>
      </c>
      <c r="Q211" s="458" t="str">
        <f>IFERROR(__xludf.DUMMYFUNCTION("""COMPUTED_VALUE"""),"")</f>
        <v/>
      </c>
      <c r="R211" s="459" t="str">
        <f>IFERROR(__xludf.DUMMYFUNCTION("""COMPUTED_VALUE"""),"")</f>
        <v/>
      </c>
      <c r="S211" s="459" t="str">
        <f>IFERROR(__xludf.DUMMYFUNCTION("""COMPUTED_VALUE"""),"")</f>
        <v/>
      </c>
      <c r="T211" t="str">
        <f>IFERROR(__xludf.DUMMYFUNCTION("""COMPUTED_VALUE"""),"")</f>
        <v/>
      </c>
      <c r="U211" t="str">
        <f>IFERROR(__xludf.DUMMYFUNCTION("""COMPUTED_VALUE"""),"")</f>
        <v/>
      </c>
      <c r="V211" t="str">
        <f>IFERROR(__xludf.DUMMYFUNCTION("""COMPUTED_VALUE"""),"")</f>
        <v/>
      </c>
      <c r="W211" t="str">
        <f>IFERROR(__xludf.DUMMYFUNCTION("""COMPUTED_VALUE"""),"")</f>
        <v/>
      </c>
      <c r="X211" t="str">
        <f>IFERROR(__xludf.DUMMYFUNCTION("""COMPUTED_VALUE"""),"")</f>
        <v/>
      </c>
      <c r="Y211" t="str">
        <f>IFERROR(__xludf.DUMMYFUNCTION("""COMPUTED_VALUE"""),"")</f>
        <v/>
      </c>
      <c r="Z211" t="str">
        <f>IFERROR(__xludf.DUMMYFUNCTION("""COMPUTED_VALUE"""),"")</f>
        <v/>
      </c>
      <c r="AA211" t="str">
        <f>IFERROR(__xludf.DUMMYFUNCTION("""COMPUTED_VALUE"""),"")</f>
        <v/>
      </c>
      <c r="AB211" t="str">
        <f>IFERROR(__xludf.DUMMYFUNCTION("""COMPUTED_VALUE"""),"")</f>
        <v/>
      </c>
      <c r="AC211" t="str">
        <f>IFERROR(__xludf.DUMMYFUNCTION("""COMPUTED_VALUE"""),"")</f>
        <v/>
      </c>
      <c r="AD211" t="str">
        <f>IFERROR(__xludf.DUMMYFUNCTION("""COMPUTED_VALUE"""),"")</f>
        <v/>
      </c>
      <c r="AE211" s="460" t="str">
        <f>IFERROR(__xludf.DUMMYFUNCTION("""COMPUTED_VALUE"""),"")</f>
        <v/>
      </c>
      <c r="AF211" s="372" t="str">
        <f>IFERROR(__xludf.DUMMYFUNCTION("""COMPUTED_VALUE"""),"")</f>
        <v/>
      </c>
    </row>
    <row r="212" ht="16.5" customHeight="1">
      <c r="C212" s="204"/>
      <c r="D212" s="222">
        <f>IFERROR(__xludf.DUMMYFUNCTION("""COMPUTED_VALUE"""),3.0)</f>
        <v>3</v>
      </c>
      <c r="E212" s="223" t="str">
        <f>IFERROR(__xludf.DUMMYFUNCTION("""COMPUTED_VALUE"""),"")</f>
        <v/>
      </c>
      <c r="F212" s="224" t="str">
        <f>IFERROR(__xludf.DUMMYFUNCTION("""COMPUTED_VALUE"""),"")</f>
        <v/>
      </c>
      <c r="G212" s="224" t="str">
        <f>IFERROR(__xludf.DUMMYFUNCTION("""COMPUTED_VALUE"""),"")</f>
        <v/>
      </c>
      <c r="H212" s="228" t="str">
        <f>IFERROR(__xludf.DUMMYFUNCTION("""COMPUTED_VALUE"""),"")</f>
        <v/>
      </c>
      <c r="I212" s="230" t="str">
        <f>IFERROR(__xludf.DUMMYFUNCTION("""COMPUTED_VALUE"""),"")</f>
        <v/>
      </c>
      <c r="J212" s="231" t="str">
        <f>IFERROR(__xludf.DUMMYFUNCTION("""COMPUTED_VALUE"""),"")</f>
        <v/>
      </c>
      <c r="K212" s="232" t="str">
        <f>IFERROR(__xludf.DUMMYFUNCTION("""COMPUTED_VALUE"""),"AP")</f>
        <v>AP</v>
      </c>
      <c r="L212" s="231" t="str">
        <f>IFERROR(__xludf.DUMMYFUNCTION("""COMPUTED_VALUE"""),"")</f>
        <v/>
      </c>
      <c r="M212" s="232" t="str">
        <f>IFERROR(__xludf.DUMMYFUNCTION("""COMPUTED_VALUE"""),"％")</f>
        <v>％</v>
      </c>
      <c r="N212" s="228" t="str">
        <f>IFERROR(__xludf.DUMMYFUNCTION("""COMPUTED_VALUE"""),"")</f>
        <v/>
      </c>
      <c r="O212" s="217"/>
      <c r="P212" s="371" t="str">
        <f>IFERROR(__xludf.DUMMYFUNCTION("""COMPUTED_VALUE"""),"")</f>
        <v/>
      </c>
      <c r="Q212" s="458" t="str">
        <f>IFERROR(__xludf.DUMMYFUNCTION("""COMPUTED_VALUE"""),"")</f>
        <v/>
      </c>
      <c r="R212" s="459" t="str">
        <f>IFERROR(__xludf.DUMMYFUNCTION("""COMPUTED_VALUE"""),"")</f>
        <v/>
      </c>
      <c r="S212" s="459" t="str">
        <f>IFERROR(__xludf.DUMMYFUNCTION("""COMPUTED_VALUE"""),"")</f>
        <v/>
      </c>
      <c r="T212" t="str">
        <f>IFERROR(__xludf.DUMMYFUNCTION("""COMPUTED_VALUE"""),"")</f>
        <v/>
      </c>
      <c r="U212" t="str">
        <f>IFERROR(__xludf.DUMMYFUNCTION("""COMPUTED_VALUE"""),"")</f>
        <v/>
      </c>
      <c r="V212" t="str">
        <f>IFERROR(__xludf.DUMMYFUNCTION("""COMPUTED_VALUE"""),"")</f>
        <v/>
      </c>
      <c r="W212" t="str">
        <f>IFERROR(__xludf.DUMMYFUNCTION("""COMPUTED_VALUE"""),"")</f>
        <v/>
      </c>
      <c r="X212" t="str">
        <f>IFERROR(__xludf.DUMMYFUNCTION("""COMPUTED_VALUE"""),"")</f>
        <v/>
      </c>
      <c r="Y212" t="str">
        <f>IFERROR(__xludf.DUMMYFUNCTION("""COMPUTED_VALUE"""),"")</f>
        <v/>
      </c>
      <c r="Z212" t="str">
        <f>IFERROR(__xludf.DUMMYFUNCTION("""COMPUTED_VALUE"""),"")</f>
        <v/>
      </c>
      <c r="AA212" t="str">
        <f>IFERROR(__xludf.DUMMYFUNCTION("""COMPUTED_VALUE"""),"")</f>
        <v/>
      </c>
      <c r="AB212" t="str">
        <f>IFERROR(__xludf.DUMMYFUNCTION("""COMPUTED_VALUE"""),"")</f>
        <v/>
      </c>
      <c r="AC212" t="str">
        <f>IFERROR(__xludf.DUMMYFUNCTION("""COMPUTED_VALUE"""),"")</f>
        <v/>
      </c>
      <c r="AD212" t="str">
        <f>IFERROR(__xludf.DUMMYFUNCTION("""COMPUTED_VALUE"""),"")</f>
        <v/>
      </c>
      <c r="AE212" s="460" t="str">
        <f>IFERROR(__xludf.DUMMYFUNCTION("""COMPUTED_VALUE"""),"")</f>
        <v/>
      </c>
      <c r="AF212" s="372" t="str">
        <f>IFERROR(__xludf.DUMMYFUNCTION("""COMPUTED_VALUE"""),"")</f>
        <v/>
      </c>
    </row>
    <row r="213" ht="16.5" customHeight="1">
      <c r="C213" s="204"/>
      <c r="D213" s="238">
        <f>IFERROR(__xludf.DUMMYFUNCTION("""COMPUTED_VALUE"""),4.0)</f>
        <v>4</v>
      </c>
      <c r="E213" s="240" t="str">
        <f>IFERROR(__xludf.DUMMYFUNCTION("""COMPUTED_VALUE"""),"")</f>
        <v/>
      </c>
      <c r="F213" s="242" t="str">
        <f>IFERROR(__xludf.DUMMYFUNCTION("""COMPUTED_VALUE"""),"")</f>
        <v/>
      </c>
      <c r="G213" s="242" t="str">
        <f>IFERROR(__xludf.DUMMYFUNCTION("""COMPUTED_VALUE"""),"")</f>
        <v/>
      </c>
      <c r="H213" s="246" t="str">
        <f>IFERROR(__xludf.DUMMYFUNCTION("""COMPUTED_VALUE"""),"")</f>
        <v/>
      </c>
      <c r="I213" s="248" t="str">
        <f>IFERROR(__xludf.DUMMYFUNCTION("""COMPUTED_VALUE"""),"")</f>
        <v/>
      </c>
      <c r="J213" s="250" t="str">
        <f>IFERROR(__xludf.DUMMYFUNCTION("""COMPUTED_VALUE"""),"")</f>
        <v/>
      </c>
      <c r="K213" s="252" t="str">
        <f>IFERROR(__xludf.DUMMYFUNCTION("""COMPUTED_VALUE"""),"AP")</f>
        <v>AP</v>
      </c>
      <c r="L213" s="250" t="str">
        <f>IFERROR(__xludf.DUMMYFUNCTION("""COMPUTED_VALUE"""),"")</f>
        <v/>
      </c>
      <c r="M213" s="252" t="str">
        <f>IFERROR(__xludf.DUMMYFUNCTION("""COMPUTED_VALUE"""),"％")</f>
        <v>％</v>
      </c>
      <c r="N213" s="246" t="str">
        <f>IFERROR(__xludf.DUMMYFUNCTION("""COMPUTED_VALUE"""),"")</f>
        <v/>
      </c>
      <c r="O213" s="217"/>
      <c r="P213" s="371" t="str">
        <f>IFERROR(__xludf.DUMMYFUNCTION("""COMPUTED_VALUE"""),"")</f>
        <v/>
      </c>
      <c r="Q213" s="458" t="str">
        <f>IFERROR(__xludf.DUMMYFUNCTION("""COMPUTED_VALUE"""),"")</f>
        <v/>
      </c>
      <c r="R213" s="459" t="str">
        <f>IFERROR(__xludf.DUMMYFUNCTION("""COMPUTED_VALUE"""),"")</f>
        <v/>
      </c>
      <c r="S213" s="459" t="str">
        <f>IFERROR(__xludf.DUMMYFUNCTION("""COMPUTED_VALUE"""),"")</f>
        <v/>
      </c>
      <c r="T213" t="str">
        <f>IFERROR(__xludf.DUMMYFUNCTION("""COMPUTED_VALUE"""),"")</f>
        <v/>
      </c>
      <c r="U213" t="str">
        <f>IFERROR(__xludf.DUMMYFUNCTION("""COMPUTED_VALUE"""),"")</f>
        <v/>
      </c>
      <c r="V213" t="str">
        <f>IFERROR(__xludf.DUMMYFUNCTION("""COMPUTED_VALUE"""),"")</f>
        <v/>
      </c>
      <c r="W213" t="str">
        <f>IFERROR(__xludf.DUMMYFUNCTION("""COMPUTED_VALUE"""),"")</f>
        <v/>
      </c>
      <c r="X213" t="str">
        <f>IFERROR(__xludf.DUMMYFUNCTION("""COMPUTED_VALUE"""),"")</f>
        <v/>
      </c>
      <c r="Y213" t="str">
        <f>IFERROR(__xludf.DUMMYFUNCTION("""COMPUTED_VALUE"""),"")</f>
        <v/>
      </c>
      <c r="Z213" t="str">
        <f>IFERROR(__xludf.DUMMYFUNCTION("""COMPUTED_VALUE"""),"")</f>
        <v/>
      </c>
      <c r="AA213" t="str">
        <f>IFERROR(__xludf.DUMMYFUNCTION("""COMPUTED_VALUE"""),"")</f>
        <v/>
      </c>
      <c r="AB213" t="str">
        <f>IFERROR(__xludf.DUMMYFUNCTION("""COMPUTED_VALUE"""),"")</f>
        <v/>
      </c>
      <c r="AC213" t="str">
        <f>IFERROR(__xludf.DUMMYFUNCTION("""COMPUTED_VALUE"""),"")</f>
        <v/>
      </c>
      <c r="AD213" t="str">
        <f>IFERROR(__xludf.DUMMYFUNCTION("""COMPUTED_VALUE"""),"")</f>
        <v/>
      </c>
      <c r="AE213" s="460" t="str">
        <f>IFERROR(__xludf.DUMMYFUNCTION("""COMPUTED_VALUE"""),"")</f>
        <v/>
      </c>
      <c r="AF213" s="372" t="str">
        <f>IFERROR(__xludf.DUMMYFUNCTION("""COMPUTED_VALUE"""),"")</f>
        <v/>
      </c>
    </row>
    <row r="214" ht="16.5" customHeight="1">
      <c r="A214" s="166"/>
      <c r="C214" s="255"/>
      <c r="D214" s="256">
        <f>IFERROR(__xludf.DUMMYFUNCTION("""COMPUTED_VALUE"""),5.0)</f>
        <v>5</v>
      </c>
      <c r="E214" s="257" t="str">
        <f>IFERROR(__xludf.DUMMYFUNCTION("""COMPUTED_VALUE"""),"")</f>
        <v/>
      </c>
      <c r="F214" s="42" t="str">
        <f>IFERROR(__xludf.DUMMYFUNCTION("""COMPUTED_VALUE"""),"")</f>
        <v/>
      </c>
      <c r="G214" s="42" t="str">
        <f>IFERROR(__xludf.DUMMYFUNCTION("""COMPUTED_VALUE"""),"")</f>
        <v/>
      </c>
      <c r="H214" s="259" t="str">
        <f>IFERROR(__xludf.DUMMYFUNCTION("""COMPUTED_VALUE"""),"")</f>
        <v/>
      </c>
      <c r="I214" s="260" t="str">
        <f>IFERROR(__xludf.DUMMYFUNCTION("""COMPUTED_VALUE"""),"")</f>
        <v/>
      </c>
      <c r="J214" s="261" t="str">
        <f>IFERROR(__xludf.DUMMYFUNCTION("""COMPUTED_VALUE"""),"")</f>
        <v/>
      </c>
      <c r="K214" s="262" t="str">
        <f>IFERROR(__xludf.DUMMYFUNCTION("""COMPUTED_VALUE"""),"AP")</f>
        <v>AP</v>
      </c>
      <c r="L214" s="261" t="str">
        <f>IFERROR(__xludf.DUMMYFUNCTION("""COMPUTED_VALUE"""),"")</f>
        <v/>
      </c>
      <c r="M214" s="262" t="str">
        <f>IFERROR(__xludf.DUMMYFUNCTION("""COMPUTED_VALUE"""),"％")</f>
        <v>％</v>
      </c>
      <c r="N214" s="259" t="str">
        <f>IFERROR(__xludf.DUMMYFUNCTION("""COMPUTED_VALUE"""),"")</f>
        <v/>
      </c>
      <c r="O214" s="263"/>
      <c r="P214" s="371" t="str">
        <f>IFERROR(__xludf.DUMMYFUNCTION("""COMPUTED_VALUE"""),"")</f>
        <v/>
      </c>
      <c r="Q214" s="458" t="str">
        <f>IFERROR(__xludf.DUMMYFUNCTION("""COMPUTED_VALUE"""),"")</f>
        <v/>
      </c>
      <c r="R214" s="459" t="str">
        <f>IFERROR(__xludf.DUMMYFUNCTION("""COMPUTED_VALUE"""),"")</f>
        <v/>
      </c>
      <c r="S214" s="459" t="str">
        <f>IFERROR(__xludf.DUMMYFUNCTION("""COMPUTED_VALUE"""),"")</f>
        <v/>
      </c>
      <c r="T214" t="str">
        <f>IFERROR(__xludf.DUMMYFUNCTION("""COMPUTED_VALUE"""),"")</f>
        <v/>
      </c>
      <c r="U214" t="str">
        <f>IFERROR(__xludf.DUMMYFUNCTION("""COMPUTED_VALUE"""),"")</f>
        <v/>
      </c>
      <c r="V214" t="str">
        <f>IFERROR(__xludf.DUMMYFUNCTION("""COMPUTED_VALUE"""),"")</f>
        <v/>
      </c>
      <c r="W214" t="str">
        <f>IFERROR(__xludf.DUMMYFUNCTION("""COMPUTED_VALUE"""),"")</f>
        <v/>
      </c>
      <c r="X214" t="str">
        <f>IFERROR(__xludf.DUMMYFUNCTION("""COMPUTED_VALUE"""),"")</f>
        <v/>
      </c>
      <c r="Y214" t="str">
        <f>IFERROR(__xludf.DUMMYFUNCTION("""COMPUTED_VALUE"""),"")</f>
        <v/>
      </c>
      <c r="Z214" t="str">
        <f>IFERROR(__xludf.DUMMYFUNCTION("""COMPUTED_VALUE"""),"")</f>
        <v/>
      </c>
      <c r="AA214" t="str">
        <f>IFERROR(__xludf.DUMMYFUNCTION("""COMPUTED_VALUE"""),"")</f>
        <v/>
      </c>
      <c r="AB214" t="str">
        <f>IFERROR(__xludf.DUMMYFUNCTION("""COMPUTED_VALUE"""),"")</f>
        <v/>
      </c>
      <c r="AC214" t="str">
        <f>IFERROR(__xludf.DUMMYFUNCTION("""COMPUTED_VALUE"""),"")</f>
        <v/>
      </c>
      <c r="AD214" t="str">
        <f>IFERROR(__xludf.DUMMYFUNCTION("""COMPUTED_VALUE"""),"")</f>
        <v/>
      </c>
      <c r="AE214" s="460" t="str">
        <f>IFERROR(__xludf.DUMMYFUNCTION("""COMPUTED_VALUE"""),"")</f>
        <v/>
      </c>
      <c r="AF214" s="372" t="str">
        <f>IFERROR(__xludf.DUMMYFUNCTION("""COMPUTED_VALUE"""),"")</f>
        <v/>
      </c>
    </row>
    <row r="215" ht="16.5" customHeight="1">
      <c r="A215" s="61" t="str">
        <f>IFERROR(__xludf.DUMMYFUNCTION("""COMPUTED_VALUE"""),"")</f>
        <v/>
      </c>
      <c r="B215" s="367" t="str">
        <f>IFERROR(__xludf.DUMMYFUNCTION("""COMPUTED_VALUE"""),"A115")</f>
        <v>A115</v>
      </c>
      <c r="C215" s="65" t="str">
        <f>IFERROR(__xludf.DUMMYFUNCTION("""COMPUTED_VALUE"""),"Egg of Truth")</f>
        <v>Egg of Truth</v>
      </c>
      <c r="D215" s="67">
        <f>IFERROR(__xludf.DUMMYFUNCTION("""COMPUTED_VALUE"""),1.0)</f>
        <v>1</v>
      </c>
      <c r="E215" s="69" t="str">
        <f>IFERROR(__xludf.DUMMYFUNCTION("""COMPUTED_VALUE"""),"")</f>
        <v/>
      </c>
      <c r="F215" s="71" t="str">
        <f>IFERROR(__xludf.DUMMYFUNCTION("""COMPUTED_VALUE"""),"")</f>
        <v/>
      </c>
      <c r="G215" s="71" t="str">
        <f>IFERROR(__xludf.DUMMYFUNCTION("""COMPUTED_VALUE"""),"")</f>
        <v/>
      </c>
      <c r="H215" s="80" t="str">
        <f>IFERROR(__xludf.DUMMYFUNCTION("""COMPUTED_VALUE"""),"")</f>
        <v/>
      </c>
      <c r="I215" s="82" t="str">
        <f>IFERROR(__xludf.DUMMYFUNCTION("""COMPUTED_VALUE"""),"")</f>
        <v/>
      </c>
      <c r="J215" s="84" t="str">
        <f>IFERROR(__xludf.DUMMYFUNCTION("""COMPUTED_VALUE"""),"")</f>
        <v/>
      </c>
      <c r="K215" s="86" t="str">
        <f>IFERROR(__xludf.DUMMYFUNCTION("""COMPUTED_VALUE"""),"AP")</f>
        <v>AP</v>
      </c>
      <c r="L215" s="88" t="str">
        <f>IFERROR(__xludf.DUMMYFUNCTION("""COMPUTED_VALUE"""),"")</f>
        <v/>
      </c>
      <c r="M215" s="86" t="str">
        <f>IFERROR(__xludf.DUMMYFUNCTION("""COMPUTED_VALUE"""),"％")</f>
        <v>％</v>
      </c>
      <c r="N215" s="80" t="str">
        <f>IFERROR(__xludf.DUMMYFUNCTION("""COMPUTED_VALUE"""),"")</f>
        <v/>
      </c>
      <c r="O215" s="91" t="str">
        <f>IFERROR(__xludf.DUMMYFUNCTION("""COMPUTED_VALUE"""),"Egg of Truth")</f>
        <v>Egg of Truth</v>
      </c>
      <c r="P215" s="371" t="str">
        <f>IFERROR(__xludf.DUMMYFUNCTION("""COMPUTED_VALUE"""),"")</f>
        <v/>
      </c>
      <c r="Q215" s="458" t="str">
        <f>IFERROR(__xludf.DUMMYFUNCTION("""COMPUTED_VALUE"""),"")</f>
        <v/>
      </c>
      <c r="R215" s="459" t="str">
        <f>IFERROR(__xludf.DUMMYFUNCTION("""COMPUTED_VALUE"""),"")</f>
        <v/>
      </c>
      <c r="S215" s="459" t="str">
        <f>IFERROR(__xludf.DUMMYFUNCTION("""COMPUTED_VALUE"""),"")</f>
        <v/>
      </c>
      <c r="T215" t="str">
        <f>IFERROR(__xludf.DUMMYFUNCTION("""COMPUTED_VALUE"""),"")</f>
        <v/>
      </c>
      <c r="U215" t="str">
        <f>IFERROR(__xludf.DUMMYFUNCTION("""COMPUTED_VALUE"""),"")</f>
        <v/>
      </c>
      <c r="V215" t="str">
        <f>IFERROR(__xludf.DUMMYFUNCTION("""COMPUTED_VALUE"""),"")</f>
        <v/>
      </c>
      <c r="W215" t="str">
        <f>IFERROR(__xludf.DUMMYFUNCTION("""COMPUTED_VALUE"""),"")</f>
        <v/>
      </c>
      <c r="X215" t="str">
        <f>IFERROR(__xludf.DUMMYFUNCTION("""COMPUTED_VALUE"""),"")</f>
        <v/>
      </c>
      <c r="Y215" t="str">
        <f>IFERROR(__xludf.DUMMYFUNCTION("""COMPUTED_VALUE"""),"")</f>
        <v/>
      </c>
      <c r="Z215" t="str">
        <f>IFERROR(__xludf.DUMMYFUNCTION("""COMPUTED_VALUE"""),"")</f>
        <v/>
      </c>
      <c r="AA215" t="str">
        <f>IFERROR(__xludf.DUMMYFUNCTION("""COMPUTED_VALUE"""),"")</f>
        <v/>
      </c>
      <c r="AB215" t="str">
        <f>IFERROR(__xludf.DUMMYFUNCTION("""COMPUTED_VALUE"""),"")</f>
        <v/>
      </c>
      <c r="AC215" t="str">
        <f>IFERROR(__xludf.DUMMYFUNCTION("""COMPUTED_VALUE"""),"")</f>
        <v/>
      </c>
      <c r="AD215" t="str">
        <f>IFERROR(__xludf.DUMMYFUNCTION("""COMPUTED_VALUE"""),"")</f>
        <v/>
      </c>
      <c r="AE215" s="460" t="str">
        <f>IFERROR(__xludf.DUMMYFUNCTION("""COMPUTED_VALUE"""),"")</f>
        <v/>
      </c>
      <c r="AF215" s="372" t="str">
        <f>IFERROR(__xludf.DUMMYFUNCTION("""COMPUTED_VALUE"""),"")</f>
        <v/>
      </c>
    </row>
    <row r="216" ht="16.5" customHeight="1">
      <c r="C216" s="100"/>
      <c r="D216" s="102">
        <f>IFERROR(__xludf.DUMMYFUNCTION("""COMPUTED_VALUE"""),2.0)</f>
        <v>2</v>
      </c>
      <c r="E216" s="103" t="str">
        <f>IFERROR(__xludf.DUMMYFUNCTION("""COMPUTED_VALUE"""),"")</f>
        <v/>
      </c>
      <c r="F216" s="104" t="str">
        <f>IFERROR(__xludf.DUMMYFUNCTION("""COMPUTED_VALUE"""),"")</f>
        <v/>
      </c>
      <c r="G216" s="104" t="str">
        <f>IFERROR(__xludf.DUMMYFUNCTION("""COMPUTED_VALUE"""),"")</f>
        <v/>
      </c>
      <c r="H216" s="109" t="str">
        <f>IFERROR(__xludf.DUMMYFUNCTION("""COMPUTED_VALUE"""),"")</f>
        <v/>
      </c>
      <c r="I216" s="110" t="str">
        <f>IFERROR(__xludf.DUMMYFUNCTION("""COMPUTED_VALUE"""),"")</f>
        <v/>
      </c>
      <c r="J216" s="112" t="str">
        <f>IFERROR(__xludf.DUMMYFUNCTION("""COMPUTED_VALUE"""),"")</f>
        <v/>
      </c>
      <c r="K216" s="121" t="str">
        <f>IFERROR(__xludf.DUMMYFUNCTION("""COMPUTED_VALUE"""),"AP")</f>
        <v>AP</v>
      </c>
      <c r="L216" s="123" t="str">
        <f>IFERROR(__xludf.DUMMYFUNCTION("""COMPUTED_VALUE"""),"")</f>
        <v/>
      </c>
      <c r="M216" s="121" t="str">
        <f>IFERROR(__xludf.DUMMYFUNCTION("""COMPUTED_VALUE"""),"％")</f>
        <v>％</v>
      </c>
      <c r="N216" s="109" t="str">
        <f>IFERROR(__xludf.DUMMYFUNCTION("""COMPUTED_VALUE"""),"")</f>
        <v/>
      </c>
      <c r="O216" s="100"/>
      <c r="P216" s="371" t="str">
        <f>IFERROR(__xludf.DUMMYFUNCTION("""COMPUTED_VALUE"""),"")</f>
        <v/>
      </c>
      <c r="Q216" s="458" t="str">
        <f>IFERROR(__xludf.DUMMYFUNCTION("""COMPUTED_VALUE"""),"")</f>
        <v/>
      </c>
      <c r="R216" s="459" t="str">
        <f>IFERROR(__xludf.DUMMYFUNCTION("""COMPUTED_VALUE"""),"")</f>
        <v/>
      </c>
      <c r="S216" s="459" t="str">
        <f>IFERROR(__xludf.DUMMYFUNCTION("""COMPUTED_VALUE"""),"")</f>
        <v/>
      </c>
      <c r="T216" t="str">
        <f>IFERROR(__xludf.DUMMYFUNCTION("""COMPUTED_VALUE"""),"")</f>
        <v/>
      </c>
      <c r="U216" t="str">
        <f>IFERROR(__xludf.DUMMYFUNCTION("""COMPUTED_VALUE"""),"")</f>
        <v/>
      </c>
      <c r="V216" t="str">
        <f>IFERROR(__xludf.DUMMYFUNCTION("""COMPUTED_VALUE"""),"")</f>
        <v/>
      </c>
      <c r="W216" t="str">
        <f>IFERROR(__xludf.DUMMYFUNCTION("""COMPUTED_VALUE"""),"")</f>
        <v/>
      </c>
      <c r="X216" t="str">
        <f>IFERROR(__xludf.DUMMYFUNCTION("""COMPUTED_VALUE"""),"")</f>
        <v/>
      </c>
      <c r="Y216" t="str">
        <f>IFERROR(__xludf.DUMMYFUNCTION("""COMPUTED_VALUE"""),"")</f>
        <v/>
      </c>
      <c r="Z216" t="str">
        <f>IFERROR(__xludf.DUMMYFUNCTION("""COMPUTED_VALUE"""),"")</f>
        <v/>
      </c>
      <c r="AA216" t="str">
        <f>IFERROR(__xludf.DUMMYFUNCTION("""COMPUTED_VALUE"""),"")</f>
        <v/>
      </c>
      <c r="AB216" t="str">
        <f>IFERROR(__xludf.DUMMYFUNCTION("""COMPUTED_VALUE"""),"")</f>
        <v/>
      </c>
      <c r="AC216" t="str">
        <f>IFERROR(__xludf.DUMMYFUNCTION("""COMPUTED_VALUE"""),"")</f>
        <v/>
      </c>
      <c r="AD216" t="str">
        <f>IFERROR(__xludf.DUMMYFUNCTION("""COMPUTED_VALUE"""),"")</f>
        <v/>
      </c>
      <c r="AE216" s="460" t="str">
        <f>IFERROR(__xludf.DUMMYFUNCTION("""COMPUTED_VALUE"""),"")</f>
        <v/>
      </c>
      <c r="AF216" s="372" t="str">
        <f>IFERROR(__xludf.DUMMYFUNCTION("""COMPUTED_VALUE"""),"")</f>
        <v/>
      </c>
    </row>
    <row r="217" ht="16.5" customHeight="1">
      <c r="C217" s="100"/>
      <c r="D217" s="130">
        <f>IFERROR(__xludf.DUMMYFUNCTION("""COMPUTED_VALUE"""),3.0)</f>
        <v>3</v>
      </c>
      <c r="E217" s="132" t="str">
        <f>IFERROR(__xludf.DUMMYFUNCTION("""COMPUTED_VALUE"""),"")</f>
        <v/>
      </c>
      <c r="F217" s="133" t="str">
        <f>IFERROR(__xludf.DUMMYFUNCTION("""COMPUTED_VALUE"""),"")</f>
        <v/>
      </c>
      <c r="G217" s="133" t="str">
        <f>IFERROR(__xludf.DUMMYFUNCTION("""COMPUTED_VALUE"""),"")</f>
        <v/>
      </c>
      <c r="H217" s="137" t="str">
        <f>IFERROR(__xludf.DUMMYFUNCTION("""COMPUTED_VALUE"""),"")</f>
        <v/>
      </c>
      <c r="I217" s="139" t="str">
        <f>IFERROR(__xludf.DUMMYFUNCTION("""COMPUTED_VALUE"""),"")</f>
        <v/>
      </c>
      <c r="J217" s="141" t="str">
        <f>IFERROR(__xludf.DUMMYFUNCTION("""COMPUTED_VALUE"""),"")</f>
        <v/>
      </c>
      <c r="K217" s="143" t="str">
        <f>IFERROR(__xludf.DUMMYFUNCTION("""COMPUTED_VALUE"""),"AP")</f>
        <v>AP</v>
      </c>
      <c r="L217" s="145" t="str">
        <f>IFERROR(__xludf.DUMMYFUNCTION("""COMPUTED_VALUE"""),"")</f>
        <v/>
      </c>
      <c r="M217" s="143" t="str">
        <f>IFERROR(__xludf.DUMMYFUNCTION("""COMPUTED_VALUE"""),"％")</f>
        <v>％</v>
      </c>
      <c r="N217" s="137" t="str">
        <f>IFERROR(__xludf.DUMMYFUNCTION("""COMPUTED_VALUE"""),"")</f>
        <v/>
      </c>
      <c r="O217" s="100"/>
      <c r="P217" s="371" t="str">
        <f>IFERROR(__xludf.DUMMYFUNCTION("""COMPUTED_VALUE"""),"")</f>
        <v/>
      </c>
      <c r="Q217" s="458" t="str">
        <f>IFERROR(__xludf.DUMMYFUNCTION("""COMPUTED_VALUE"""),"")</f>
        <v/>
      </c>
      <c r="R217" s="459" t="str">
        <f>IFERROR(__xludf.DUMMYFUNCTION("""COMPUTED_VALUE"""),"")</f>
        <v/>
      </c>
      <c r="S217" s="459" t="str">
        <f>IFERROR(__xludf.DUMMYFUNCTION("""COMPUTED_VALUE"""),"")</f>
        <v/>
      </c>
      <c r="T217" t="str">
        <f>IFERROR(__xludf.DUMMYFUNCTION("""COMPUTED_VALUE"""),"")</f>
        <v/>
      </c>
      <c r="U217" t="str">
        <f>IFERROR(__xludf.DUMMYFUNCTION("""COMPUTED_VALUE"""),"")</f>
        <v/>
      </c>
      <c r="V217" t="str">
        <f>IFERROR(__xludf.DUMMYFUNCTION("""COMPUTED_VALUE"""),"")</f>
        <v/>
      </c>
      <c r="W217" t="str">
        <f>IFERROR(__xludf.DUMMYFUNCTION("""COMPUTED_VALUE"""),"")</f>
        <v/>
      </c>
      <c r="X217" t="str">
        <f>IFERROR(__xludf.DUMMYFUNCTION("""COMPUTED_VALUE"""),"")</f>
        <v/>
      </c>
      <c r="Y217" t="str">
        <f>IFERROR(__xludf.DUMMYFUNCTION("""COMPUTED_VALUE"""),"")</f>
        <v/>
      </c>
      <c r="Z217" t="str">
        <f>IFERROR(__xludf.DUMMYFUNCTION("""COMPUTED_VALUE"""),"")</f>
        <v/>
      </c>
      <c r="AA217" t="str">
        <f>IFERROR(__xludf.DUMMYFUNCTION("""COMPUTED_VALUE"""),"")</f>
        <v/>
      </c>
      <c r="AB217" t="str">
        <f>IFERROR(__xludf.DUMMYFUNCTION("""COMPUTED_VALUE"""),"")</f>
        <v/>
      </c>
      <c r="AC217" t="str">
        <f>IFERROR(__xludf.DUMMYFUNCTION("""COMPUTED_VALUE"""),"")</f>
        <v/>
      </c>
      <c r="AD217" t="str">
        <f>IFERROR(__xludf.DUMMYFUNCTION("""COMPUTED_VALUE"""),"")</f>
        <v/>
      </c>
      <c r="AE217" s="460" t="str">
        <f>IFERROR(__xludf.DUMMYFUNCTION("""COMPUTED_VALUE"""),"")</f>
        <v/>
      </c>
      <c r="AF217" s="372" t="str">
        <f>IFERROR(__xludf.DUMMYFUNCTION("""COMPUTED_VALUE"""),"")</f>
        <v/>
      </c>
    </row>
    <row r="218" ht="16.5" customHeight="1">
      <c r="C218" s="100"/>
      <c r="D218" s="146">
        <f>IFERROR(__xludf.DUMMYFUNCTION("""COMPUTED_VALUE"""),4.0)</f>
        <v>4</v>
      </c>
      <c r="E218" s="148" t="str">
        <f>IFERROR(__xludf.DUMMYFUNCTION("""COMPUTED_VALUE"""),"")</f>
        <v/>
      </c>
      <c r="F218" s="150" t="str">
        <f>IFERROR(__xludf.DUMMYFUNCTION("""COMPUTED_VALUE"""),"")</f>
        <v/>
      </c>
      <c r="G218" s="150" t="str">
        <f>IFERROR(__xludf.DUMMYFUNCTION("""COMPUTED_VALUE"""),"")</f>
        <v/>
      </c>
      <c r="H218" s="154" t="str">
        <f>IFERROR(__xludf.DUMMYFUNCTION("""COMPUTED_VALUE"""),"")</f>
        <v/>
      </c>
      <c r="I218" s="156" t="str">
        <f>IFERROR(__xludf.DUMMYFUNCTION("""COMPUTED_VALUE"""),"")</f>
        <v/>
      </c>
      <c r="J218" s="158" t="str">
        <f>IFERROR(__xludf.DUMMYFUNCTION("""COMPUTED_VALUE"""),"")</f>
        <v/>
      </c>
      <c r="K218" s="160" t="str">
        <f>IFERROR(__xludf.DUMMYFUNCTION("""COMPUTED_VALUE"""),"AP")</f>
        <v>AP</v>
      </c>
      <c r="L218" s="162" t="str">
        <f>IFERROR(__xludf.DUMMYFUNCTION("""COMPUTED_VALUE"""),"")</f>
        <v/>
      </c>
      <c r="M218" s="160" t="str">
        <f>IFERROR(__xludf.DUMMYFUNCTION("""COMPUTED_VALUE"""),"％")</f>
        <v>％</v>
      </c>
      <c r="N218" s="154" t="str">
        <f>IFERROR(__xludf.DUMMYFUNCTION("""COMPUTED_VALUE"""),"")</f>
        <v/>
      </c>
      <c r="O218" s="100"/>
      <c r="P218" s="371" t="str">
        <f>IFERROR(__xludf.DUMMYFUNCTION("""COMPUTED_VALUE"""),"")</f>
        <v/>
      </c>
      <c r="Q218" s="458" t="str">
        <f>IFERROR(__xludf.DUMMYFUNCTION("""COMPUTED_VALUE"""),"")</f>
        <v/>
      </c>
      <c r="R218" s="459" t="str">
        <f>IFERROR(__xludf.DUMMYFUNCTION("""COMPUTED_VALUE"""),"")</f>
        <v/>
      </c>
      <c r="S218" s="459" t="str">
        <f>IFERROR(__xludf.DUMMYFUNCTION("""COMPUTED_VALUE"""),"")</f>
        <v/>
      </c>
      <c r="T218" t="str">
        <f>IFERROR(__xludf.DUMMYFUNCTION("""COMPUTED_VALUE"""),"")</f>
        <v/>
      </c>
      <c r="U218" t="str">
        <f>IFERROR(__xludf.DUMMYFUNCTION("""COMPUTED_VALUE"""),"")</f>
        <v/>
      </c>
      <c r="V218" t="str">
        <f>IFERROR(__xludf.DUMMYFUNCTION("""COMPUTED_VALUE"""),"")</f>
        <v/>
      </c>
      <c r="W218" t="str">
        <f>IFERROR(__xludf.DUMMYFUNCTION("""COMPUTED_VALUE"""),"")</f>
        <v/>
      </c>
      <c r="X218" t="str">
        <f>IFERROR(__xludf.DUMMYFUNCTION("""COMPUTED_VALUE"""),"")</f>
        <v/>
      </c>
      <c r="Y218" t="str">
        <f>IFERROR(__xludf.DUMMYFUNCTION("""COMPUTED_VALUE"""),"")</f>
        <v/>
      </c>
      <c r="Z218" t="str">
        <f>IFERROR(__xludf.DUMMYFUNCTION("""COMPUTED_VALUE"""),"")</f>
        <v/>
      </c>
      <c r="AA218" t="str">
        <f>IFERROR(__xludf.DUMMYFUNCTION("""COMPUTED_VALUE"""),"")</f>
        <v/>
      </c>
      <c r="AB218" t="str">
        <f>IFERROR(__xludf.DUMMYFUNCTION("""COMPUTED_VALUE"""),"")</f>
        <v/>
      </c>
      <c r="AC218" t="str">
        <f>IFERROR(__xludf.DUMMYFUNCTION("""COMPUTED_VALUE"""),"")</f>
        <v/>
      </c>
      <c r="AD218" t="str">
        <f>IFERROR(__xludf.DUMMYFUNCTION("""COMPUTED_VALUE"""),"")</f>
        <v/>
      </c>
      <c r="AE218" s="460" t="str">
        <f>IFERROR(__xludf.DUMMYFUNCTION("""COMPUTED_VALUE"""),"")</f>
        <v/>
      </c>
      <c r="AF218" s="372" t="str">
        <f>IFERROR(__xludf.DUMMYFUNCTION("""COMPUTED_VALUE"""),"")</f>
        <v/>
      </c>
    </row>
    <row r="219" ht="16.5" customHeight="1">
      <c r="A219" s="166"/>
      <c r="C219" s="168"/>
      <c r="D219" s="169">
        <f>IFERROR(__xludf.DUMMYFUNCTION("""COMPUTED_VALUE"""),5.0)</f>
        <v>5</v>
      </c>
      <c r="E219" s="170" t="str">
        <f>IFERROR(__xludf.DUMMYFUNCTION("""COMPUTED_VALUE"""),"")</f>
        <v/>
      </c>
      <c r="F219" s="51" t="str">
        <f>IFERROR(__xludf.DUMMYFUNCTION("""COMPUTED_VALUE"""),"")</f>
        <v/>
      </c>
      <c r="G219" s="51" t="str">
        <f>IFERROR(__xludf.DUMMYFUNCTION("""COMPUTED_VALUE"""),"")</f>
        <v/>
      </c>
      <c r="H219" s="172" t="str">
        <f>IFERROR(__xludf.DUMMYFUNCTION("""COMPUTED_VALUE"""),"")</f>
        <v/>
      </c>
      <c r="I219" s="173" t="str">
        <f>IFERROR(__xludf.DUMMYFUNCTION("""COMPUTED_VALUE"""),"")</f>
        <v/>
      </c>
      <c r="J219" s="174" t="str">
        <f>IFERROR(__xludf.DUMMYFUNCTION("""COMPUTED_VALUE"""),"")</f>
        <v/>
      </c>
      <c r="K219" s="175" t="str">
        <f>IFERROR(__xludf.DUMMYFUNCTION("""COMPUTED_VALUE"""),"AP")</f>
        <v>AP</v>
      </c>
      <c r="L219" s="176" t="str">
        <f>IFERROR(__xludf.DUMMYFUNCTION("""COMPUTED_VALUE"""),"")</f>
        <v/>
      </c>
      <c r="M219" s="175" t="str">
        <f>IFERROR(__xludf.DUMMYFUNCTION("""COMPUTED_VALUE"""),"％")</f>
        <v>％</v>
      </c>
      <c r="N219" s="172" t="str">
        <f>IFERROR(__xludf.DUMMYFUNCTION("""COMPUTED_VALUE"""),"")</f>
        <v/>
      </c>
      <c r="O219" s="168"/>
      <c r="P219" s="371" t="str">
        <f>IFERROR(__xludf.DUMMYFUNCTION("""COMPUTED_VALUE"""),"")</f>
        <v/>
      </c>
      <c r="Q219" s="458" t="str">
        <f>IFERROR(__xludf.DUMMYFUNCTION("""COMPUTED_VALUE"""),"")</f>
        <v/>
      </c>
      <c r="R219" s="459" t="str">
        <f>IFERROR(__xludf.DUMMYFUNCTION("""COMPUTED_VALUE"""),"")</f>
        <v/>
      </c>
      <c r="S219" s="459" t="str">
        <f>IFERROR(__xludf.DUMMYFUNCTION("""COMPUTED_VALUE"""),"")</f>
        <v/>
      </c>
      <c r="T219" t="str">
        <f>IFERROR(__xludf.DUMMYFUNCTION("""COMPUTED_VALUE"""),"")</f>
        <v/>
      </c>
      <c r="U219" t="str">
        <f>IFERROR(__xludf.DUMMYFUNCTION("""COMPUTED_VALUE"""),"")</f>
        <v/>
      </c>
      <c r="V219" t="str">
        <f>IFERROR(__xludf.DUMMYFUNCTION("""COMPUTED_VALUE"""),"")</f>
        <v/>
      </c>
      <c r="W219" t="str">
        <f>IFERROR(__xludf.DUMMYFUNCTION("""COMPUTED_VALUE"""),"")</f>
        <v/>
      </c>
      <c r="X219" t="str">
        <f>IFERROR(__xludf.DUMMYFUNCTION("""COMPUTED_VALUE"""),"")</f>
        <v/>
      </c>
      <c r="Y219" t="str">
        <f>IFERROR(__xludf.DUMMYFUNCTION("""COMPUTED_VALUE"""),"")</f>
        <v/>
      </c>
      <c r="Z219" t="str">
        <f>IFERROR(__xludf.DUMMYFUNCTION("""COMPUTED_VALUE"""),"")</f>
        <v/>
      </c>
      <c r="AA219" t="str">
        <f>IFERROR(__xludf.DUMMYFUNCTION("""COMPUTED_VALUE"""),"")</f>
        <v/>
      </c>
      <c r="AB219" t="str">
        <f>IFERROR(__xludf.DUMMYFUNCTION("""COMPUTED_VALUE"""),"")</f>
        <v/>
      </c>
      <c r="AC219" t="str">
        <f>IFERROR(__xludf.DUMMYFUNCTION("""COMPUTED_VALUE"""),"")</f>
        <v/>
      </c>
      <c r="AD219" t="str">
        <f>IFERROR(__xludf.DUMMYFUNCTION("""COMPUTED_VALUE"""),"")</f>
        <v/>
      </c>
      <c r="AE219" s="460" t="str">
        <f>IFERROR(__xludf.DUMMYFUNCTION("""COMPUTED_VALUE"""),"")</f>
        <v/>
      </c>
      <c r="AF219" s="372" t="str">
        <f>IFERROR(__xludf.DUMMYFUNCTION("""COMPUTED_VALUE"""),"")</f>
        <v/>
      </c>
    </row>
    <row r="220" ht="16.5" hidden="1" customHeight="1">
      <c r="A220" s="61" t="str">
        <f>IFERROR(__xludf.DUMMYFUNCTION("""COMPUTED_VALUE"""),"")</f>
        <v/>
      </c>
      <c r="B220" s="366" t="str">
        <f>IFERROR(__xludf.DUMMYFUNCTION("""COMPUTED_VALUE"""),"A116")</f>
        <v>A116</v>
      </c>
      <c r="C220" s="197" t="str">
        <f>IFERROR(__xludf.DUMMYFUNCTION("""COMPUTED_VALUE"""),"")</f>
        <v/>
      </c>
      <c r="D220" s="181">
        <f>IFERROR(__xludf.DUMMYFUNCTION("""COMPUTED_VALUE"""),1.0)</f>
        <v>1</v>
      </c>
      <c r="E220" s="182" t="str">
        <f>IFERROR(__xludf.DUMMYFUNCTION("""COMPUTED_VALUE"""),"")</f>
        <v/>
      </c>
      <c r="F220" s="184" t="str">
        <f>IFERROR(__xludf.DUMMYFUNCTION("""COMPUTED_VALUE"""),"")</f>
        <v/>
      </c>
      <c r="G220" s="184" t="str">
        <f>IFERROR(__xludf.DUMMYFUNCTION("""COMPUTED_VALUE"""),"")</f>
        <v/>
      </c>
      <c r="H220" s="190" t="str">
        <f>IFERROR(__xludf.DUMMYFUNCTION("""COMPUTED_VALUE"""),"")</f>
        <v/>
      </c>
      <c r="I220" s="191" t="str">
        <f>IFERROR(__xludf.DUMMYFUNCTION("""COMPUTED_VALUE"""),"")</f>
        <v/>
      </c>
      <c r="J220" s="192" t="str">
        <f>IFERROR(__xludf.DUMMYFUNCTION("""COMPUTED_VALUE"""),"")</f>
        <v/>
      </c>
      <c r="K220" s="194" t="str">
        <f>IFERROR(__xludf.DUMMYFUNCTION("""COMPUTED_VALUE"""),"AP")</f>
        <v>AP</v>
      </c>
      <c r="L220" s="192" t="str">
        <f>IFERROR(__xludf.DUMMYFUNCTION("""COMPUTED_VALUE"""),"")</f>
        <v/>
      </c>
      <c r="M220" s="194" t="str">
        <f>IFERROR(__xludf.DUMMYFUNCTION("""COMPUTED_VALUE"""),"％")</f>
        <v>％</v>
      </c>
      <c r="N220" s="190" t="str">
        <f>IFERROR(__xludf.DUMMYFUNCTION("""COMPUTED_VALUE"""),"")</f>
        <v/>
      </c>
      <c r="O220" s="197" t="str">
        <f>IFERROR(__xludf.DUMMYFUNCTION("""COMPUTED_VALUE"""),"")</f>
        <v/>
      </c>
      <c r="P220" s="371" t="str">
        <f>IFERROR(__xludf.DUMMYFUNCTION("""COMPUTED_VALUE"""),"")</f>
        <v/>
      </c>
      <c r="Q220" s="458" t="str">
        <f>IFERROR(__xludf.DUMMYFUNCTION("""COMPUTED_VALUE"""),"")</f>
        <v/>
      </c>
      <c r="R220" s="459" t="str">
        <f>IFERROR(__xludf.DUMMYFUNCTION("""COMPUTED_VALUE"""),"")</f>
        <v/>
      </c>
      <c r="S220" s="459" t="str">
        <f>IFERROR(__xludf.DUMMYFUNCTION("""COMPUTED_VALUE"""),"")</f>
        <v/>
      </c>
      <c r="T220" t="str">
        <f>IFERROR(__xludf.DUMMYFUNCTION("""COMPUTED_VALUE"""),"")</f>
        <v/>
      </c>
      <c r="U220" t="str">
        <f>IFERROR(__xludf.DUMMYFUNCTION("""COMPUTED_VALUE"""),"")</f>
        <v/>
      </c>
      <c r="V220" t="str">
        <f>IFERROR(__xludf.DUMMYFUNCTION("""COMPUTED_VALUE"""),"")</f>
        <v/>
      </c>
      <c r="W220" t="str">
        <f>IFERROR(__xludf.DUMMYFUNCTION("""COMPUTED_VALUE"""),"")</f>
        <v/>
      </c>
      <c r="X220" t="str">
        <f>IFERROR(__xludf.DUMMYFUNCTION("""COMPUTED_VALUE"""),"")</f>
        <v/>
      </c>
      <c r="Y220" t="str">
        <f>IFERROR(__xludf.DUMMYFUNCTION("""COMPUTED_VALUE"""),"")</f>
        <v/>
      </c>
      <c r="Z220" t="str">
        <f>IFERROR(__xludf.DUMMYFUNCTION("""COMPUTED_VALUE"""),"")</f>
        <v/>
      </c>
      <c r="AA220" t="str">
        <f>IFERROR(__xludf.DUMMYFUNCTION("""COMPUTED_VALUE"""),"")</f>
        <v/>
      </c>
      <c r="AB220" t="str">
        <f>IFERROR(__xludf.DUMMYFUNCTION("""COMPUTED_VALUE"""),"")</f>
        <v/>
      </c>
      <c r="AC220" t="str">
        <f>IFERROR(__xludf.DUMMYFUNCTION("""COMPUTED_VALUE"""),"")</f>
        <v/>
      </c>
      <c r="AD220" t="str">
        <f>IFERROR(__xludf.DUMMYFUNCTION("""COMPUTED_VALUE"""),"")</f>
        <v/>
      </c>
      <c r="AE220" s="460" t="str">
        <f>IFERROR(__xludf.DUMMYFUNCTION("""COMPUTED_VALUE"""),"")</f>
        <v/>
      </c>
      <c r="AF220" s="372" t="str">
        <f>IFERROR(__xludf.DUMMYFUNCTION("""COMPUTED_VALUE"""),"")</f>
        <v/>
      </c>
    </row>
    <row r="221" ht="16.5" hidden="1" customHeight="1">
      <c r="C221" s="217"/>
      <c r="D221" s="205">
        <f>IFERROR(__xludf.DUMMYFUNCTION("""COMPUTED_VALUE"""),2.0)</f>
        <v>2</v>
      </c>
      <c r="E221" s="206" t="str">
        <f>IFERROR(__xludf.DUMMYFUNCTION("""COMPUTED_VALUE"""),"")</f>
        <v/>
      </c>
      <c r="F221" s="207" t="str">
        <f>IFERROR(__xludf.DUMMYFUNCTION("""COMPUTED_VALUE"""),"")</f>
        <v/>
      </c>
      <c r="G221" s="207" t="str">
        <f>IFERROR(__xludf.DUMMYFUNCTION("""COMPUTED_VALUE"""),"")</f>
        <v/>
      </c>
      <c r="H221" s="211" t="str">
        <f>IFERROR(__xludf.DUMMYFUNCTION("""COMPUTED_VALUE"""),"")</f>
        <v/>
      </c>
      <c r="I221" s="213" t="str">
        <f>IFERROR(__xludf.DUMMYFUNCTION("""COMPUTED_VALUE"""),"")</f>
        <v/>
      </c>
      <c r="J221" s="214" t="str">
        <f>IFERROR(__xludf.DUMMYFUNCTION("""COMPUTED_VALUE"""),"")</f>
        <v/>
      </c>
      <c r="K221" s="215" t="str">
        <f>IFERROR(__xludf.DUMMYFUNCTION("""COMPUTED_VALUE"""),"AP")</f>
        <v>AP</v>
      </c>
      <c r="L221" s="214" t="str">
        <f>IFERROR(__xludf.DUMMYFUNCTION("""COMPUTED_VALUE"""),"")</f>
        <v/>
      </c>
      <c r="M221" s="215" t="str">
        <f>IFERROR(__xludf.DUMMYFUNCTION("""COMPUTED_VALUE"""),"％")</f>
        <v>％</v>
      </c>
      <c r="N221" s="211" t="str">
        <f>IFERROR(__xludf.DUMMYFUNCTION("""COMPUTED_VALUE"""),"")</f>
        <v/>
      </c>
      <c r="O221" s="217"/>
      <c r="P221" s="371" t="str">
        <f>IFERROR(__xludf.DUMMYFUNCTION("""COMPUTED_VALUE"""),"")</f>
        <v/>
      </c>
      <c r="Q221" s="458" t="str">
        <f>IFERROR(__xludf.DUMMYFUNCTION("""COMPUTED_VALUE"""),"")</f>
        <v/>
      </c>
      <c r="R221" s="459" t="str">
        <f>IFERROR(__xludf.DUMMYFUNCTION("""COMPUTED_VALUE"""),"")</f>
        <v/>
      </c>
      <c r="S221" s="459" t="str">
        <f>IFERROR(__xludf.DUMMYFUNCTION("""COMPUTED_VALUE"""),"")</f>
        <v/>
      </c>
      <c r="T221" t="str">
        <f>IFERROR(__xludf.DUMMYFUNCTION("""COMPUTED_VALUE"""),"")</f>
        <v/>
      </c>
      <c r="U221" t="str">
        <f>IFERROR(__xludf.DUMMYFUNCTION("""COMPUTED_VALUE"""),"")</f>
        <v/>
      </c>
      <c r="V221" t="str">
        <f>IFERROR(__xludf.DUMMYFUNCTION("""COMPUTED_VALUE"""),"")</f>
        <v/>
      </c>
      <c r="W221" t="str">
        <f>IFERROR(__xludf.DUMMYFUNCTION("""COMPUTED_VALUE"""),"")</f>
        <v/>
      </c>
      <c r="X221" t="str">
        <f>IFERROR(__xludf.DUMMYFUNCTION("""COMPUTED_VALUE"""),"")</f>
        <v/>
      </c>
      <c r="Y221" t="str">
        <f>IFERROR(__xludf.DUMMYFUNCTION("""COMPUTED_VALUE"""),"")</f>
        <v/>
      </c>
      <c r="Z221" t="str">
        <f>IFERROR(__xludf.DUMMYFUNCTION("""COMPUTED_VALUE"""),"")</f>
        <v/>
      </c>
      <c r="AA221" t="str">
        <f>IFERROR(__xludf.DUMMYFUNCTION("""COMPUTED_VALUE"""),"")</f>
        <v/>
      </c>
      <c r="AB221" t="str">
        <f>IFERROR(__xludf.DUMMYFUNCTION("""COMPUTED_VALUE"""),"")</f>
        <v/>
      </c>
      <c r="AC221" t="str">
        <f>IFERROR(__xludf.DUMMYFUNCTION("""COMPUTED_VALUE"""),"")</f>
        <v/>
      </c>
      <c r="AD221" t="str">
        <f>IFERROR(__xludf.DUMMYFUNCTION("""COMPUTED_VALUE"""),"")</f>
        <v/>
      </c>
      <c r="AE221" s="460" t="str">
        <f>IFERROR(__xludf.DUMMYFUNCTION("""COMPUTED_VALUE"""),"")</f>
        <v/>
      </c>
      <c r="AF221" s="372" t="str">
        <f>IFERROR(__xludf.DUMMYFUNCTION("""COMPUTED_VALUE"""),"")</f>
        <v/>
      </c>
    </row>
    <row r="222" ht="16.5" hidden="1" customHeight="1">
      <c r="C222" s="217"/>
      <c r="D222" s="222">
        <f>IFERROR(__xludf.DUMMYFUNCTION("""COMPUTED_VALUE"""),3.0)</f>
        <v>3</v>
      </c>
      <c r="E222" s="223" t="str">
        <f>IFERROR(__xludf.DUMMYFUNCTION("""COMPUTED_VALUE"""),"")</f>
        <v/>
      </c>
      <c r="F222" s="224" t="str">
        <f>IFERROR(__xludf.DUMMYFUNCTION("""COMPUTED_VALUE"""),"")</f>
        <v/>
      </c>
      <c r="G222" s="224" t="str">
        <f>IFERROR(__xludf.DUMMYFUNCTION("""COMPUTED_VALUE"""),"")</f>
        <v/>
      </c>
      <c r="H222" s="228" t="str">
        <f>IFERROR(__xludf.DUMMYFUNCTION("""COMPUTED_VALUE"""),"")</f>
        <v/>
      </c>
      <c r="I222" s="230" t="str">
        <f>IFERROR(__xludf.DUMMYFUNCTION("""COMPUTED_VALUE"""),"")</f>
        <v/>
      </c>
      <c r="J222" s="231" t="str">
        <f>IFERROR(__xludf.DUMMYFUNCTION("""COMPUTED_VALUE"""),"")</f>
        <v/>
      </c>
      <c r="K222" s="232" t="str">
        <f>IFERROR(__xludf.DUMMYFUNCTION("""COMPUTED_VALUE"""),"AP")</f>
        <v>AP</v>
      </c>
      <c r="L222" s="231" t="str">
        <f>IFERROR(__xludf.DUMMYFUNCTION("""COMPUTED_VALUE"""),"")</f>
        <v/>
      </c>
      <c r="M222" s="232" t="str">
        <f>IFERROR(__xludf.DUMMYFUNCTION("""COMPUTED_VALUE"""),"％")</f>
        <v>％</v>
      </c>
      <c r="N222" s="228" t="str">
        <f>IFERROR(__xludf.DUMMYFUNCTION("""COMPUTED_VALUE"""),"")</f>
        <v/>
      </c>
      <c r="O222" s="217"/>
      <c r="P222" s="371" t="str">
        <f>IFERROR(__xludf.DUMMYFUNCTION("""COMPUTED_VALUE"""),"")</f>
        <v/>
      </c>
      <c r="Q222" s="458" t="str">
        <f>IFERROR(__xludf.DUMMYFUNCTION("""COMPUTED_VALUE"""),"")</f>
        <v/>
      </c>
      <c r="R222" s="459" t="str">
        <f>IFERROR(__xludf.DUMMYFUNCTION("""COMPUTED_VALUE"""),"")</f>
        <v/>
      </c>
      <c r="S222" s="459" t="str">
        <f>IFERROR(__xludf.DUMMYFUNCTION("""COMPUTED_VALUE"""),"")</f>
        <v/>
      </c>
      <c r="T222" t="str">
        <f>IFERROR(__xludf.DUMMYFUNCTION("""COMPUTED_VALUE"""),"")</f>
        <v/>
      </c>
      <c r="U222" t="str">
        <f>IFERROR(__xludf.DUMMYFUNCTION("""COMPUTED_VALUE"""),"")</f>
        <v/>
      </c>
      <c r="V222" t="str">
        <f>IFERROR(__xludf.DUMMYFUNCTION("""COMPUTED_VALUE"""),"")</f>
        <v/>
      </c>
      <c r="W222" t="str">
        <f>IFERROR(__xludf.DUMMYFUNCTION("""COMPUTED_VALUE"""),"")</f>
        <v/>
      </c>
      <c r="X222" t="str">
        <f>IFERROR(__xludf.DUMMYFUNCTION("""COMPUTED_VALUE"""),"")</f>
        <v/>
      </c>
      <c r="Y222" t="str">
        <f>IFERROR(__xludf.DUMMYFUNCTION("""COMPUTED_VALUE"""),"")</f>
        <v/>
      </c>
      <c r="Z222" t="str">
        <f>IFERROR(__xludf.DUMMYFUNCTION("""COMPUTED_VALUE"""),"")</f>
        <v/>
      </c>
      <c r="AA222" t="str">
        <f>IFERROR(__xludf.DUMMYFUNCTION("""COMPUTED_VALUE"""),"")</f>
        <v/>
      </c>
      <c r="AB222" t="str">
        <f>IFERROR(__xludf.DUMMYFUNCTION("""COMPUTED_VALUE"""),"")</f>
        <v/>
      </c>
      <c r="AC222" t="str">
        <f>IFERROR(__xludf.DUMMYFUNCTION("""COMPUTED_VALUE"""),"")</f>
        <v/>
      </c>
      <c r="AD222" t="str">
        <f>IFERROR(__xludf.DUMMYFUNCTION("""COMPUTED_VALUE"""),"")</f>
        <v/>
      </c>
      <c r="AE222" s="460" t="str">
        <f>IFERROR(__xludf.DUMMYFUNCTION("""COMPUTED_VALUE"""),"")</f>
        <v/>
      </c>
      <c r="AF222" s="372" t="str">
        <f>IFERROR(__xludf.DUMMYFUNCTION("""COMPUTED_VALUE"""),"")</f>
        <v/>
      </c>
    </row>
    <row r="223" ht="16.5" hidden="1" customHeight="1">
      <c r="C223" s="217"/>
      <c r="D223" s="238">
        <f>IFERROR(__xludf.DUMMYFUNCTION("""COMPUTED_VALUE"""),4.0)</f>
        <v>4</v>
      </c>
      <c r="E223" s="240" t="str">
        <f>IFERROR(__xludf.DUMMYFUNCTION("""COMPUTED_VALUE"""),"")</f>
        <v/>
      </c>
      <c r="F223" s="242" t="str">
        <f>IFERROR(__xludf.DUMMYFUNCTION("""COMPUTED_VALUE"""),"")</f>
        <v/>
      </c>
      <c r="G223" s="242" t="str">
        <f>IFERROR(__xludf.DUMMYFUNCTION("""COMPUTED_VALUE"""),"")</f>
        <v/>
      </c>
      <c r="H223" s="246" t="str">
        <f>IFERROR(__xludf.DUMMYFUNCTION("""COMPUTED_VALUE"""),"")</f>
        <v/>
      </c>
      <c r="I223" s="248" t="str">
        <f>IFERROR(__xludf.DUMMYFUNCTION("""COMPUTED_VALUE"""),"")</f>
        <v/>
      </c>
      <c r="J223" s="250" t="str">
        <f>IFERROR(__xludf.DUMMYFUNCTION("""COMPUTED_VALUE"""),"")</f>
        <v/>
      </c>
      <c r="K223" s="252" t="str">
        <f>IFERROR(__xludf.DUMMYFUNCTION("""COMPUTED_VALUE"""),"AP")</f>
        <v>AP</v>
      </c>
      <c r="L223" s="250" t="str">
        <f>IFERROR(__xludf.DUMMYFUNCTION("""COMPUTED_VALUE"""),"")</f>
        <v/>
      </c>
      <c r="M223" s="252" t="str">
        <f>IFERROR(__xludf.DUMMYFUNCTION("""COMPUTED_VALUE"""),"％")</f>
        <v>％</v>
      </c>
      <c r="N223" s="246" t="str">
        <f>IFERROR(__xludf.DUMMYFUNCTION("""COMPUTED_VALUE"""),"")</f>
        <v/>
      </c>
      <c r="O223" s="217"/>
      <c r="P223" s="371" t="str">
        <f>IFERROR(__xludf.DUMMYFUNCTION("""COMPUTED_VALUE"""),"")</f>
        <v/>
      </c>
      <c r="Q223" s="458" t="str">
        <f>IFERROR(__xludf.DUMMYFUNCTION("""COMPUTED_VALUE"""),"")</f>
        <v/>
      </c>
      <c r="R223" s="459" t="str">
        <f>IFERROR(__xludf.DUMMYFUNCTION("""COMPUTED_VALUE"""),"")</f>
        <v/>
      </c>
      <c r="S223" s="459" t="str">
        <f>IFERROR(__xludf.DUMMYFUNCTION("""COMPUTED_VALUE"""),"")</f>
        <v/>
      </c>
      <c r="T223" t="str">
        <f>IFERROR(__xludf.DUMMYFUNCTION("""COMPUTED_VALUE"""),"")</f>
        <v/>
      </c>
      <c r="U223" t="str">
        <f>IFERROR(__xludf.DUMMYFUNCTION("""COMPUTED_VALUE"""),"")</f>
        <v/>
      </c>
      <c r="V223" t="str">
        <f>IFERROR(__xludf.DUMMYFUNCTION("""COMPUTED_VALUE"""),"")</f>
        <v/>
      </c>
      <c r="W223" t="str">
        <f>IFERROR(__xludf.DUMMYFUNCTION("""COMPUTED_VALUE"""),"")</f>
        <v/>
      </c>
      <c r="X223" t="str">
        <f>IFERROR(__xludf.DUMMYFUNCTION("""COMPUTED_VALUE"""),"")</f>
        <v/>
      </c>
      <c r="Y223" t="str">
        <f>IFERROR(__xludf.DUMMYFUNCTION("""COMPUTED_VALUE"""),"")</f>
        <v/>
      </c>
      <c r="Z223" t="str">
        <f>IFERROR(__xludf.DUMMYFUNCTION("""COMPUTED_VALUE"""),"")</f>
        <v/>
      </c>
      <c r="AA223" t="str">
        <f>IFERROR(__xludf.DUMMYFUNCTION("""COMPUTED_VALUE"""),"")</f>
        <v/>
      </c>
      <c r="AB223" t="str">
        <f>IFERROR(__xludf.DUMMYFUNCTION("""COMPUTED_VALUE"""),"")</f>
        <v/>
      </c>
      <c r="AC223" t="str">
        <f>IFERROR(__xludf.DUMMYFUNCTION("""COMPUTED_VALUE"""),"")</f>
        <v/>
      </c>
      <c r="AD223" t="str">
        <f>IFERROR(__xludf.DUMMYFUNCTION("""COMPUTED_VALUE"""),"")</f>
        <v/>
      </c>
      <c r="AE223" s="460" t="str">
        <f>IFERROR(__xludf.DUMMYFUNCTION("""COMPUTED_VALUE"""),"")</f>
        <v/>
      </c>
      <c r="AF223" s="372" t="str">
        <f>IFERROR(__xludf.DUMMYFUNCTION("""COMPUTED_VALUE"""),"")</f>
        <v/>
      </c>
    </row>
    <row r="224" ht="16.5" hidden="1" customHeight="1">
      <c r="A224" s="166"/>
      <c r="C224" s="263"/>
      <c r="D224" s="256">
        <f>IFERROR(__xludf.DUMMYFUNCTION("""COMPUTED_VALUE"""),5.0)</f>
        <v>5</v>
      </c>
      <c r="E224" s="257" t="str">
        <f>IFERROR(__xludf.DUMMYFUNCTION("""COMPUTED_VALUE"""),"")</f>
        <v/>
      </c>
      <c r="F224" s="42" t="str">
        <f>IFERROR(__xludf.DUMMYFUNCTION("""COMPUTED_VALUE"""),"")</f>
        <v/>
      </c>
      <c r="G224" s="42" t="str">
        <f>IFERROR(__xludf.DUMMYFUNCTION("""COMPUTED_VALUE"""),"")</f>
        <v/>
      </c>
      <c r="H224" s="259" t="str">
        <f>IFERROR(__xludf.DUMMYFUNCTION("""COMPUTED_VALUE"""),"")</f>
        <v/>
      </c>
      <c r="I224" s="260" t="str">
        <f>IFERROR(__xludf.DUMMYFUNCTION("""COMPUTED_VALUE"""),"")</f>
        <v/>
      </c>
      <c r="J224" s="261" t="str">
        <f>IFERROR(__xludf.DUMMYFUNCTION("""COMPUTED_VALUE"""),"")</f>
        <v/>
      </c>
      <c r="K224" s="262" t="str">
        <f>IFERROR(__xludf.DUMMYFUNCTION("""COMPUTED_VALUE"""),"AP")</f>
        <v>AP</v>
      </c>
      <c r="L224" s="261" t="str">
        <f>IFERROR(__xludf.DUMMYFUNCTION("""COMPUTED_VALUE"""),"")</f>
        <v/>
      </c>
      <c r="M224" s="262" t="str">
        <f>IFERROR(__xludf.DUMMYFUNCTION("""COMPUTED_VALUE"""),"％")</f>
        <v>％</v>
      </c>
      <c r="N224" s="259" t="str">
        <f>IFERROR(__xludf.DUMMYFUNCTION("""COMPUTED_VALUE"""),"")</f>
        <v/>
      </c>
      <c r="O224" s="263"/>
      <c r="P224" s="371" t="str">
        <f>IFERROR(__xludf.DUMMYFUNCTION("""COMPUTED_VALUE"""),"")</f>
        <v/>
      </c>
      <c r="Q224" s="458" t="str">
        <f>IFERROR(__xludf.DUMMYFUNCTION("""COMPUTED_VALUE"""),"")</f>
        <v/>
      </c>
      <c r="R224" s="459" t="str">
        <f>IFERROR(__xludf.DUMMYFUNCTION("""COMPUTED_VALUE"""),"")</f>
        <v/>
      </c>
      <c r="S224" s="459" t="str">
        <f>IFERROR(__xludf.DUMMYFUNCTION("""COMPUTED_VALUE"""),"")</f>
        <v/>
      </c>
      <c r="T224" t="str">
        <f>IFERROR(__xludf.DUMMYFUNCTION("""COMPUTED_VALUE"""),"")</f>
        <v/>
      </c>
      <c r="U224" t="str">
        <f>IFERROR(__xludf.DUMMYFUNCTION("""COMPUTED_VALUE"""),"")</f>
        <v/>
      </c>
      <c r="V224" t="str">
        <f>IFERROR(__xludf.DUMMYFUNCTION("""COMPUTED_VALUE"""),"")</f>
        <v/>
      </c>
      <c r="W224" t="str">
        <f>IFERROR(__xludf.DUMMYFUNCTION("""COMPUTED_VALUE"""),"")</f>
        <v/>
      </c>
      <c r="X224" t="str">
        <f>IFERROR(__xludf.DUMMYFUNCTION("""COMPUTED_VALUE"""),"")</f>
        <v/>
      </c>
      <c r="Y224" t="str">
        <f>IFERROR(__xludf.DUMMYFUNCTION("""COMPUTED_VALUE"""),"")</f>
        <v/>
      </c>
      <c r="Z224" t="str">
        <f>IFERROR(__xludf.DUMMYFUNCTION("""COMPUTED_VALUE"""),"")</f>
        <v/>
      </c>
      <c r="AA224" t="str">
        <f>IFERROR(__xludf.DUMMYFUNCTION("""COMPUTED_VALUE"""),"")</f>
        <v/>
      </c>
      <c r="AB224" t="str">
        <f>IFERROR(__xludf.DUMMYFUNCTION("""COMPUTED_VALUE"""),"")</f>
        <v/>
      </c>
      <c r="AC224" t="str">
        <f>IFERROR(__xludf.DUMMYFUNCTION("""COMPUTED_VALUE"""),"")</f>
        <v/>
      </c>
      <c r="AD224" t="str">
        <f>IFERROR(__xludf.DUMMYFUNCTION("""COMPUTED_VALUE"""),"")</f>
        <v/>
      </c>
      <c r="AE224" s="460" t="str">
        <f>IFERROR(__xludf.DUMMYFUNCTION("""COMPUTED_VALUE"""),"")</f>
        <v/>
      </c>
      <c r="AF224" s="372" t="str">
        <f>IFERROR(__xludf.DUMMYFUNCTION("""COMPUTED_VALUE"""),"")</f>
        <v/>
      </c>
    </row>
    <row r="225" ht="16.5" customHeight="1">
      <c r="A225" s="25" t="str">
        <f>IFERROR(__xludf.DUMMYFUNCTION("""COMPUTED_VALUE"""),"Item")</f>
        <v>Item</v>
      </c>
      <c r="B225" s="27"/>
      <c r="C225" s="28"/>
      <c r="D225" s="30" t="str">
        <f>IFERROR(__xludf.DUMMYFUNCTION("""COMPUTED_VALUE"""),"No.")</f>
        <v>No.</v>
      </c>
      <c r="E225" s="31" t="str">
        <f>IFERROR(__xludf.DUMMYFUNCTION("""COMPUTED_VALUE"""),"Node Code")</f>
        <v>Node Code</v>
      </c>
      <c r="F225" s="31" t="str">
        <f>IFERROR(__xludf.DUMMYFUNCTION("""COMPUTED_VALUE"""),"Area")</f>
        <v>Area</v>
      </c>
      <c r="G225" s="31" t="str">
        <f>IFERROR(__xludf.DUMMYFUNCTION("""COMPUTED_VALUE"""),"Quest")</f>
        <v>Quest</v>
      </c>
      <c r="H225" s="30" t="str">
        <f>IFERROR(__xludf.DUMMYFUNCTION("""COMPUTED_VALUE"""),"AP")</f>
        <v>AP</v>
      </c>
      <c r="I225" s="34" t="str">
        <f>IFERROR(__xludf.DUMMYFUNCTION("""COMPUTED_VALUE"""),"BP/AP")</f>
        <v>BP/AP</v>
      </c>
      <c r="J225" s="36" t="str">
        <f>IFERROR(__xludf.DUMMYFUNCTION("""COMPUTED_VALUE"""),"AP/Drop")</f>
        <v>AP/Drop</v>
      </c>
      <c r="K225" s="28"/>
      <c r="L225" s="36" t="str">
        <f>IFERROR(__xludf.DUMMYFUNCTION("""COMPUTED_VALUE"""),"Drop Chance")</f>
        <v>Drop Chance</v>
      </c>
      <c r="M225" s="28"/>
      <c r="N225" s="642" t="str">
        <f>IFERROR(__xludf.DUMMYFUNCTION("""COMPUTED_VALUE"""),"Runs")</f>
        <v>Runs</v>
      </c>
      <c r="O225" s="40" t="str">
        <f>IFERROR(__xludf.DUMMYFUNCTION("""COMPUTED_VALUE"""),"")</f>
        <v/>
      </c>
      <c r="P225" s="371" t="str">
        <f>IFERROR(__xludf.DUMMYFUNCTION("""COMPUTED_VALUE"""),"")</f>
        <v/>
      </c>
      <c r="Q225" s="458" t="str">
        <f>IFERROR(__xludf.DUMMYFUNCTION("""COMPUTED_VALUE"""),"")</f>
        <v/>
      </c>
      <c r="R225" s="459" t="str">
        <f>IFERROR(__xludf.DUMMYFUNCTION("""COMPUTED_VALUE"""),"")</f>
        <v/>
      </c>
      <c r="S225" s="459" t="str">
        <f>IFERROR(__xludf.DUMMYFUNCTION("""COMPUTED_VALUE"""),"")</f>
        <v/>
      </c>
      <c r="T225" t="str">
        <f>IFERROR(__xludf.DUMMYFUNCTION("""COMPUTED_VALUE"""),"")</f>
        <v/>
      </c>
      <c r="U225" t="str">
        <f>IFERROR(__xludf.DUMMYFUNCTION("""COMPUTED_VALUE"""),"")</f>
        <v/>
      </c>
      <c r="V225" t="str">
        <f>IFERROR(__xludf.DUMMYFUNCTION("""COMPUTED_VALUE"""),"")</f>
        <v/>
      </c>
      <c r="W225" t="str">
        <f>IFERROR(__xludf.DUMMYFUNCTION("""COMPUTED_VALUE"""),"")</f>
        <v/>
      </c>
      <c r="X225" t="str">
        <f>IFERROR(__xludf.DUMMYFUNCTION("""COMPUTED_VALUE"""),"")</f>
        <v/>
      </c>
      <c r="Y225" t="str">
        <f>IFERROR(__xludf.DUMMYFUNCTION("""COMPUTED_VALUE"""),"")</f>
        <v/>
      </c>
      <c r="Z225" t="str">
        <f>IFERROR(__xludf.DUMMYFUNCTION("""COMPUTED_VALUE"""),"")</f>
        <v/>
      </c>
      <c r="AA225" t="str">
        <f>IFERROR(__xludf.DUMMYFUNCTION("""COMPUTED_VALUE"""),"")</f>
        <v/>
      </c>
      <c r="AB225" t="str">
        <f>IFERROR(__xludf.DUMMYFUNCTION("""COMPUTED_VALUE"""),"")</f>
        <v/>
      </c>
      <c r="AC225" t="str">
        <f>IFERROR(__xludf.DUMMYFUNCTION("""COMPUTED_VALUE"""),"")</f>
        <v/>
      </c>
      <c r="AD225" t="str">
        <f>IFERROR(__xludf.DUMMYFUNCTION("""COMPUTED_VALUE"""),"")</f>
        <v/>
      </c>
      <c r="AE225" s="460" t="str">
        <f>IFERROR(__xludf.DUMMYFUNCTION("""COMPUTED_VALUE"""),"")</f>
        <v/>
      </c>
      <c r="AF225" s="372" t="str">
        <f>IFERROR(__xludf.DUMMYFUNCTION("""COMPUTED_VALUE"""),"")</f>
        <v/>
      </c>
    </row>
    <row r="226" ht="16.5" customHeight="1">
      <c r="A226" s="54"/>
      <c r="B226" s="55"/>
      <c r="C226" s="57"/>
      <c r="D226" s="57"/>
      <c r="E226" s="57"/>
      <c r="F226" s="57"/>
      <c r="G226" s="57"/>
      <c r="H226" s="57"/>
      <c r="I226" s="58" t="str">
        <f>IFERROR(__xludf.DUMMYFUNCTION("""COMPUTED_VALUE"""),"1P+2L")</f>
        <v>1P+2L</v>
      </c>
      <c r="J226" s="55"/>
      <c r="K226" s="57"/>
      <c r="L226" s="55"/>
      <c r="M226" s="57"/>
      <c r="N226" s="57"/>
      <c r="O226" s="57"/>
      <c r="P226" s="371" t="str">
        <f>IFERROR(__xludf.DUMMYFUNCTION("""COMPUTED_VALUE"""),"")</f>
        <v/>
      </c>
      <c r="Q226" s="458" t="str">
        <f>IFERROR(__xludf.DUMMYFUNCTION("""COMPUTED_VALUE"""),"")</f>
        <v/>
      </c>
      <c r="R226" s="459" t="str">
        <f>IFERROR(__xludf.DUMMYFUNCTION("""COMPUTED_VALUE"""),"")</f>
        <v/>
      </c>
      <c r="S226" s="459" t="str">
        <f>IFERROR(__xludf.DUMMYFUNCTION("""COMPUTED_VALUE"""),"")</f>
        <v/>
      </c>
      <c r="T226" t="str">
        <f>IFERROR(__xludf.DUMMYFUNCTION("""COMPUTED_VALUE"""),"")</f>
        <v/>
      </c>
      <c r="U226" t="str">
        <f>IFERROR(__xludf.DUMMYFUNCTION("""COMPUTED_VALUE"""),"")</f>
        <v/>
      </c>
      <c r="V226" t="str">
        <f>IFERROR(__xludf.DUMMYFUNCTION("""COMPUTED_VALUE"""),"")</f>
        <v/>
      </c>
      <c r="W226" t="str">
        <f>IFERROR(__xludf.DUMMYFUNCTION("""COMPUTED_VALUE"""),"")</f>
        <v/>
      </c>
      <c r="X226" t="str">
        <f>IFERROR(__xludf.DUMMYFUNCTION("""COMPUTED_VALUE"""),"")</f>
        <v/>
      </c>
      <c r="Y226" t="str">
        <f>IFERROR(__xludf.DUMMYFUNCTION("""COMPUTED_VALUE"""),"")</f>
        <v/>
      </c>
      <c r="Z226" t="str">
        <f>IFERROR(__xludf.DUMMYFUNCTION("""COMPUTED_VALUE"""),"")</f>
        <v/>
      </c>
      <c r="AA226" t="str">
        <f>IFERROR(__xludf.DUMMYFUNCTION("""COMPUTED_VALUE"""),"")</f>
        <v/>
      </c>
      <c r="AB226" t="str">
        <f>IFERROR(__xludf.DUMMYFUNCTION("""COMPUTED_VALUE"""),"")</f>
        <v/>
      </c>
      <c r="AC226" t="str">
        <f>IFERROR(__xludf.DUMMYFUNCTION("""COMPUTED_VALUE"""),"")</f>
        <v/>
      </c>
      <c r="AD226" t="str">
        <f>IFERROR(__xludf.DUMMYFUNCTION("""COMPUTED_VALUE"""),"")</f>
        <v/>
      </c>
      <c r="AE226" s="460" t="str">
        <f>IFERROR(__xludf.DUMMYFUNCTION("""COMPUTED_VALUE"""),"")</f>
        <v/>
      </c>
      <c r="AF226" s="372" t="str">
        <f>IFERROR(__xludf.DUMMYFUNCTION("""COMPUTED_VALUE"""),"")</f>
        <v/>
      </c>
    </row>
    <row r="227" ht="16.5" customHeight="1">
      <c r="A227" s="494" t="str">
        <f>IFERROR(__xludf.DUMMYFUNCTION("""COMPUTED_VALUE"""),"")</f>
        <v/>
      </c>
      <c r="B227" s="494" t="str">
        <f>IFERROR(__xludf.DUMMYFUNCTION("""COMPUTED_VALUE"""),"")</f>
        <v/>
      </c>
      <c r="C227" s="494" t="str">
        <f>IFERROR(__xludf.DUMMYFUNCTION("""COMPUTED_VALUE"""),"")</f>
        <v/>
      </c>
      <c r="D227" s="494" t="str">
        <f>IFERROR(__xludf.DUMMYFUNCTION("""COMPUTED_VALUE"""),"")</f>
        <v/>
      </c>
      <c r="E227" s="494" t="str">
        <f>IFERROR(__xludf.DUMMYFUNCTION("""COMPUTED_VALUE"""),"")</f>
        <v/>
      </c>
      <c r="F227" s="494" t="str">
        <f>IFERROR(__xludf.DUMMYFUNCTION("""COMPUTED_VALUE"""),"")</f>
        <v/>
      </c>
      <c r="G227" s="494" t="str">
        <f>IFERROR(__xludf.DUMMYFUNCTION("""COMPUTED_VALUE"""),"")</f>
        <v/>
      </c>
      <c r="H227" s="494" t="str">
        <f>IFERROR(__xludf.DUMMYFUNCTION("""COMPUTED_VALUE"""),"")</f>
        <v/>
      </c>
      <c r="I227" s="494" t="str">
        <f>IFERROR(__xludf.DUMMYFUNCTION("""COMPUTED_VALUE"""),"")</f>
        <v/>
      </c>
      <c r="J227" t="str">
        <f>IFERROR(__xludf.DUMMYFUNCTION("""COMPUTED_VALUE"""),"")</f>
        <v/>
      </c>
      <c r="K227" t="str">
        <f>IFERROR(__xludf.DUMMYFUNCTION("""COMPUTED_VALUE"""),"")</f>
        <v/>
      </c>
      <c r="L227" t="str">
        <f>IFERROR(__xludf.DUMMYFUNCTION("""COMPUTED_VALUE"""),"")</f>
        <v/>
      </c>
      <c r="M227" t="str">
        <f>IFERROR(__xludf.DUMMYFUNCTION("""COMPUTED_VALUE"""),"")</f>
        <v/>
      </c>
      <c r="N227" t="str">
        <f>IFERROR(__xludf.DUMMYFUNCTION("""COMPUTED_VALUE"""),"")</f>
        <v/>
      </c>
      <c r="O227" t="str">
        <f>IFERROR(__xludf.DUMMYFUNCTION("""COMPUTED_VALUE"""),"")</f>
        <v/>
      </c>
      <c r="P227" s="371" t="str">
        <f>IFERROR(__xludf.DUMMYFUNCTION("""COMPUTED_VALUE"""),"")</f>
        <v/>
      </c>
      <c r="Q227" s="458" t="str">
        <f>IFERROR(__xludf.DUMMYFUNCTION("""COMPUTED_VALUE"""),"")</f>
        <v/>
      </c>
      <c r="R227" s="459" t="str">
        <f>IFERROR(__xludf.DUMMYFUNCTION("""COMPUTED_VALUE"""),"")</f>
        <v/>
      </c>
      <c r="S227" s="459" t="str">
        <f>IFERROR(__xludf.DUMMYFUNCTION("""COMPUTED_VALUE"""),"")</f>
        <v/>
      </c>
      <c r="T227" t="str">
        <f>IFERROR(__xludf.DUMMYFUNCTION("""COMPUTED_VALUE"""),"")</f>
        <v/>
      </c>
      <c r="U227" t="str">
        <f>IFERROR(__xludf.DUMMYFUNCTION("""COMPUTED_VALUE"""),"")</f>
        <v/>
      </c>
      <c r="V227" t="str">
        <f>IFERROR(__xludf.DUMMYFUNCTION("""COMPUTED_VALUE"""),"")</f>
        <v/>
      </c>
      <c r="W227" t="str">
        <f>IFERROR(__xludf.DUMMYFUNCTION("""COMPUTED_VALUE"""),"")</f>
        <v/>
      </c>
      <c r="X227" t="str">
        <f>IFERROR(__xludf.DUMMYFUNCTION("""COMPUTED_VALUE"""),"")</f>
        <v/>
      </c>
      <c r="Y227" t="str">
        <f>IFERROR(__xludf.DUMMYFUNCTION("""COMPUTED_VALUE"""),"")</f>
        <v/>
      </c>
      <c r="Z227" t="str">
        <f>IFERROR(__xludf.DUMMYFUNCTION("""COMPUTED_VALUE"""),"")</f>
        <v/>
      </c>
      <c r="AA227" t="str">
        <f>IFERROR(__xludf.DUMMYFUNCTION("""COMPUTED_VALUE"""),"")</f>
        <v/>
      </c>
      <c r="AB227" t="str">
        <f>IFERROR(__xludf.DUMMYFUNCTION("""COMPUTED_VALUE"""),"")</f>
        <v/>
      </c>
      <c r="AC227" t="str">
        <f>IFERROR(__xludf.DUMMYFUNCTION("""COMPUTED_VALUE"""),"")</f>
        <v/>
      </c>
      <c r="AD227" t="str">
        <f>IFERROR(__xludf.DUMMYFUNCTION("""COMPUTED_VALUE"""),"")</f>
        <v/>
      </c>
      <c r="AE227" s="460" t="str">
        <f>IFERROR(__xludf.DUMMYFUNCTION("""COMPUTED_VALUE"""),"")</f>
        <v/>
      </c>
      <c r="AF227" s="372" t="str">
        <f>IFERROR(__xludf.DUMMYFUNCTION("""COMPUTED_VALUE"""),"")</f>
        <v/>
      </c>
    </row>
    <row r="228" ht="16.5" customHeight="1">
      <c r="A228" s="494" t="str">
        <f>IFERROR(__xludf.DUMMYFUNCTION("""COMPUTED_VALUE"""),"")</f>
        <v/>
      </c>
      <c r="B228" s="494" t="str">
        <f>IFERROR(__xludf.DUMMYFUNCTION("""COMPUTED_VALUE"""),"")</f>
        <v/>
      </c>
      <c r="C228" s="494" t="str">
        <f>IFERROR(__xludf.DUMMYFUNCTION("""COMPUTED_VALUE"""),"")</f>
        <v/>
      </c>
      <c r="D228" s="494" t="str">
        <f>IFERROR(__xludf.DUMMYFUNCTION("""COMPUTED_VALUE"""),"")</f>
        <v/>
      </c>
      <c r="E228" s="494" t="str">
        <f>IFERROR(__xludf.DUMMYFUNCTION("""COMPUTED_VALUE"""),"")</f>
        <v/>
      </c>
      <c r="F228" s="494" t="str">
        <f>IFERROR(__xludf.DUMMYFUNCTION("""COMPUTED_VALUE"""),"")</f>
        <v/>
      </c>
      <c r="G228" s="494" t="str">
        <f>IFERROR(__xludf.DUMMYFUNCTION("""COMPUTED_VALUE"""),"")</f>
        <v/>
      </c>
      <c r="H228" s="494" t="str">
        <f>IFERROR(__xludf.DUMMYFUNCTION("""COMPUTED_VALUE"""),"")</f>
        <v/>
      </c>
      <c r="I228" s="494" t="str">
        <f>IFERROR(__xludf.DUMMYFUNCTION("""COMPUTED_VALUE"""),"")</f>
        <v/>
      </c>
      <c r="J228" t="str">
        <f>IFERROR(__xludf.DUMMYFUNCTION("""COMPUTED_VALUE"""),"")</f>
        <v/>
      </c>
      <c r="K228" t="str">
        <f>IFERROR(__xludf.DUMMYFUNCTION("""COMPUTED_VALUE"""),"")</f>
        <v/>
      </c>
      <c r="L228" t="str">
        <f>IFERROR(__xludf.DUMMYFUNCTION("""COMPUTED_VALUE"""),"")</f>
        <v/>
      </c>
      <c r="M228" t="str">
        <f>IFERROR(__xludf.DUMMYFUNCTION("""COMPUTED_VALUE"""),"")</f>
        <v/>
      </c>
      <c r="N228" t="str">
        <f>IFERROR(__xludf.DUMMYFUNCTION("""COMPUTED_VALUE"""),"")</f>
        <v/>
      </c>
      <c r="O228" t="str">
        <f>IFERROR(__xludf.DUMMYFUNCTION("""COMPUTED_VALUE"""),"")</f>
        <v/>
      </c>
      <c r="P228" s="371" t="str">
        <f>IFERROR(__xludf.DUMMYFUNCTION("""COMPUTED_VALUE"""),"")</f>
        <v/>
      </c>
      <c r="Q228" s="458" t="str">
        <f>IFERROR(__xludf.DUMMYFUNCTION("""COMPUTED_VALUE"""),"")</f>
        <v/>
      </c>
      <c r="R228" s="459" t="str">
        <f>IFERROR(__xludf.DUMMYFUNCTION("""COMPUTED_VALUE"""),"")</f>
        <v/>
      </c>
      <c r="S228" s="459" t="str">
        <f>IFERROR(__xludf.DUMMYFUNCTION("""COMPUTED_VALUE"""),"")</f>
        <v/>
      </c>
      <c r="T228" t="str">
        <f>IFERROR(__xludf.DUMMYFUNCTION("""COMPUTED_VALUE"""),"")</f>
        <v/>
      </c>
      <c r="U228" t="str">
        <f>IFERROR(__xludf.DUMMYFUNCTION("""COMPUTED_VALUE"""),"")</f>
        <v/>
      </c>
      <c r="V228" t="str">
        <f>IFERROR(__xludf.DUMMYFUNCTION("""COMPUTED_VALUE"""),"")</f>
        <v/>
      </c>
      <c r="W228" t="str">
        <f>IFERROR(__xludf.DUMMYFUNCTION("""COMPUTED_VALUE"""),"")</f>
        <v/>
      </c>
      <c r="X228" t="str">
        <f>IFERROR(__xludf.DUMMYFUNCTION("""COMPUTED_VALUE"""),"")</f>
        <v/>
      </c>
      <c r="Y228" t="str">
        <f>IFERROR(__xludf.DUMMYFUNCTION("""COMPUTED_VALUE"""),"")</f>
        <v/>
      </c>
      <c r="Z228" t="str">
        <f>IFERROR(__xludf.DUMMYFUNCTION("""COMPUTED_VALUE"""),"")</f>
        <v/>
      </c>
      <c r="AA228" t="str">
        <f>IFERROR(__xludf.DUMMYFUNCTION("""COMPUTED_VALUE"""),"")</f>
        <v/>
      </c>
      <c r="AB228" t="str">
        <f>IFERROR(__xludf.DUMMYFUNCTION("""COMPUTED_VALUE"""),"")</f>
        <v/>
      </c>
      <c r="AC228" t="str">
        <f>IFERROR(__xludf.DUMMYFUNCTION("""COMPUTED_VALUE"""),"")</f>
        <v/>
      </c>
      <c r="AD228" t="str">
        <f>IFERROR(__xludf.DUMMYFUNCTION("""COMPUTED_VALUE"""),"")</f>
        <v/>
      </c>
      <c r="AE228" s="460" t="str">
        <f>IFERROR(__xludf.DUMMYFUNCTION("""COMPUTED_VALUE"""),"")</f>
        <v/>
      </c>
      <c r="AF228" s="372" t="str">
        <f>IFERROR(__xludf.DUMMYFUNCTION("""COMPUTED_VALUE"""),"")</f>
        <v/>
      </c>
    </row>
    <row r="229" ht="16.5" customHeight="1">
      <c r="A229" s="494" t="str">
        <f>IFERROR(__xludf.DUMMYFUNCTION("""COMPUTED_VALUE"""),"")</f>
        <v/>
      </c>
      <c r="B229" s="494" t="str">
        <f>IFERROR(__xludf.DUMMYFUNCTION("""COMPUTED_VALUE"""),"")</f>
        <v/>
      </c>
      <c r="C229" s="494" t="str">
        <f>IFERROR(__xludf.DUMMYFUNCTION("""COMPUTED_VALUE"""),"")</f>
        <v/>
      </c>
      <c r="D229" s="494" t="str">
        <f>IFERROR(__xludf.DUMMYFUNCTION("""COMPUTED_VALUE"""),"")</f>
        <v/>
      </c>
      <c r="E229" s="494" t="str">
        <f>IFERROR(__xludf.DUMMYFUNCTION("""COMPUTED_VALUE"""),"")</f>
        <v/>
      </c>
      <c r="F229" s="494" t="str">
        <f>IFERROR(__xludf.DUMMYFUNCTION("""COMPUTED_VALUE"""),"")</f>
        <v/>
      </c>
      <c r="G229" s="494" t="str">
        <f>IFERROR(__xludf.DUMMYFUNCTION("""COMPUTED_VALUE"""),"")</f>
        <v/>
      </c>
      <c r="H229" s="494" t="str">
        <f>IFERROR(__xludf.DUMMYFUNCTION("""COMPUTED_VALUE"""),"")</f>
        <v/>
      </c>
      <c r="I229" s="494" t="str">
        <f>IFERROR(__xludf.DUMMYFUNCTION("""COMPUTED_VALUE"""),"")</f>
        <v/>
      </c>
      <c r="J229" t="str">
        <f>IFERROR(__xludf.DUMMYFUNCTION("""COMPUTED_VALUE"""),"")</f>
        <v/>
      </c>
      <c r="K229" t="str">
        <f>IFERROR(__xludf.DUMMYFUNCTION("""COMPUTED_VALUE"""),"")</f>
        <v/>
      </c>
      <c r="L229" t="str">
        <f>IFERROR(__xludf.DUMMYFUNCTION("""COMPUTED_VALUE"""),"")</f>
        <v/>
      </c>
      <c r="M229" t="str">
        <f>IFERROR(__xludf.DUMMYFUNCTION("""COMPUTED_VALUE"""),"")</f>
        <v/>
      </c>
      <c r="N229" t="str">
        <f>IFERROR(__xludf.DUMMYFUNCTION("""COMPUTED_VALUE"""),"")</f>
        <v/>
      </c>
      <c r="O229" t="str">
        <f>IFERROR(__xludf.DUMMYFUNCTION("""COMPUTED_VALUE"""),"")</f>
        <v/>
      </c>
      <c r="P229" s="371" t="str">
        <f>IFERROR(__xludf.DUMMYFUNCTION("""COMPUTED_VALUE"""),"")</f>
        <v/>
      </c>
      <c r="Q229" s="458" t="str">
        <f>IFERROR(__xludf.DUMMYFUNCTION("""COMPUTED_VALUE"""),"")</f>
        <v/>
      </c>
      <c r="R229" s="459" t="str">
        <f>IFERROR(__xludf.DUMMYFUNCTION("""COMPUTED_VALUE"""),"")</f>
        <v/>
      </c>
      <c r="S229" s="459" t="str">
        <f>IFERROR(__xludf.DUMMYFUNCTION("""COMPUTED_VALUE"""),"")</f>
        <v/>
      </c>
      <c r="T229" t="str">
        <f>IFERROR(__xludf.DUMMYFUNCTION("""COMPUTED_VALUE"""),"")</f>
        <v/>
      </c>
      <c r="U229" t="str">
        <f>IFERROR(__xludf.DUMMYFUNCTION("""COMPUTED_VALUE"""),"")</f>
        <v/>
      </c>
      <c r="V229" t="str">
        <f>IFERROR(__xludf.DUMMYFUNCTION("""COMPUTED_VALUE"""),"")</f>
        <v/>
      </c>
      <c r="W229" t="str">
        <f>IFERROR(__xludf.DUMMYFUNCTION("""COMPUTED_VALUE"""),"")</f>
        <v/>
      </c>
      <c r="X229" t="str">
        <f>IFERROR(__xludf.DUMMYFUNCTION("""COMPUTED_VALUE"""),"")</f>
        <v/>
      </c>
      <c r="Y229" t="str">
        <f>IFERROR(__xludf.DUMMYFUNCTION("""COMPUTED_VALUE"""),"")</f>
        <v/>
      </c>
      <c r="Z229" t="str">
        <f>IFERROR(__xludf.DUMMYFUNCTION("""COMPUTED_VALUE"""),"")</f>
        <v/>
      </c>
      <c r="AA229" t="str">
        <f>IFERROR(__xludf.DUMMYFUNCTION("""COMPUTED_VALUE"""),"")</f>
        <v/>
      </c>
      <c r="AB229" t="str">
        <f>IFERROR(__xludf.DUMMYFUNCTION("""COMPUTED_VALUE"""),"")</f>
        <v/>
      </c>
      <c r="AC229" t="str">
        <f>IFERROR(__xludf.DUMMYFUNCTION("""COMPUTED_VALUE"""),"")</f>
        <v/>
      </c>
      <c r="AD229" t="str">
        <f>IFERROR(__xludf.DUMMYFUNCTION("""COMPUTED_VALUE"""),"")</f>
        <v/>
      </c>
      <c r="AE229" s="460" t="str">
        <f>IFERROR(__xludf.DUMMYFUNCTION("""COMPUTED_VALUE"""),"")</f>
        <v/>
      </c>
      <c r="AF229" s="372" t="str">
        <f>IFERROR(__xludf.DUMMYFUNCTION("""COMPUTED_VALUE"""),"")</f>
        <v/>
      </c>
    </row>
    <row r="230" ht="16.5" customHeight="1">
      <c r="A230" s="494" t="str">
        <f>IFERROR(__xludf.DUMMYFUNCTION("""COMPUTED_VALUE"""),"")</f>
        <v/>
      </c>
      <c r="B230" s="494" t="str">
        <f>IFERROR(__xludf.DUMMYFUNCTION("""COMPUTED_VALUE"""),"")</f>
        <v/>
      </c>
      <c r="C230" s="494" t="str">
        <f>IFERROR(__xludf.DUMMYFUNCTION("""COMPUTED_VALUE"""),"")</f>
        <v/>
      </c>
      <c r="D230" s="494" t="str">
        <f>IFERROR(__xludf.DUMMYFUNCTION("""COMPUTED_VALUE"""),"")</f>
        <v/>
      </c>
      <c r="E230" s="494" t="str">
        <f>IFERROR(__xludf.DUMMYFUNCTION("""COMPUTED_VALUE"""),"")</f>
        <v/>
      </c>
      <c r="F230" s="494" t="str">
        <f>IFERROR(__xludf.DUMMYFUNCTION("""COMPUTED_VALUE"""),"")</f>
        <v/>
      </c>
      <c r="G230" s="494" t="str">
        <f>IFERROR(__xludf.DUMMYFUNCTION("""COMPUTED_VALUE"""),"")</f>
        <v/>
      </c>
      <c r="H230" s="494" t="str">
        <f>IFERROR(__xludf.DUMMYFUNCTION("""COMPUTED_VALUE"""),"")</f>
        <v/>
      </c>
      <c r="I230" s="494" t="str">
        <f>IFERROR(__xludf.DUMMYFUNCTION("""COMPUTED_VALUE"""),"")</f>
        <v/>
      </c>
      <c r="J230" t="str">
        <f>IFERROR(__xludf.DUMMYFUNCTION("""COMPUTED_VALUE"""),"")</f>
        <v/>
      </c>
      <c r="K230" t="str">
        <f>IFERROR(__xludf.DUMMYFUNCTION("""COMPUTED_VALUE"""),"")</f>
        <v/>
      </c>
      <c r="L230" t="str">
        <f>IFERROR(__xludf.DUMMYFUNCTION("""COMPUTED_VALUE"""),"")</f>
        <v/>
      </c>
      <c r="M230" t="str">
        <f>IFERROR(__xludf.DUMMYFUNCTION("""COMPUTED_VALUE"""),"")</f>
        <v/>
      </c>
      <c r="N230" t="str">
        <f>IFERROR(__xludf.DUMMYFUNCTION("""COMPUTED_VALUE"""),"")</f>
        <v/>
      </c>
      <c r="O230" t="str">
        <f>IFERROR(__xludf.DUMMYFUNCTION("""COMPUTED_VALUE"""),"")</f>
        <v/>
      </c>
      <c r="P230" s="371" t="str">
        <f>IFERROR(__xludf.DUMMYFUNCTION("""COMPUTED_VALUE"""),"")</f>
        <v/>
      </c>
      <c r="Q230" s="458" t="str">
        <f>IFERROR(__xludf.DUMMYFUNCTION("""COMPUTED_VALUE"""),"")</f>
        <v/>
      </c>
      <c r="R230" s="459" t="str">
        <f>IFERROR(__xludf.DUMMYFUNCTION("""COMPUTED_VALUE"""),"")</f>
        <v/>
      </c>
      <c r="S230" s="459" t="str">
        <f>IFERROR(__xludf.DUMMYFUNCTION("""COMPUTED_VALUE"""),"")</f>
        <v/>
      </c>
      <c r="T230" t="str">
        <f>IFERROR(__xludf.DUMMYFUNCTION("""COMPUTED_VALUE"""),"")</f>
        <v/>
      </c>
      <c r="U230" t="str">
        <f>IFERROR(__xludf.DUMMYFUNCTION("""COMPUTED_VALUE"""),"")</f>
        <v/>
      </c>
      <c r="V230" t="str">
        <f>IFERROR(__xludf.DUMMYFUNCTION("""COMPUTED_VALUE"""),"")</f>
        <v/>
      </c>
      <c r="W230" t="str">
        <f>IFERROR(__xludf.DUMMYFUNCTION("""COMPUTED_VALUE"""),"")</f>
        <v/>
      </c>
      <c r="X230" t="str">
        <f>IFERROR(__xludf.DUMMYFUNCTION("""COMPUTED_VALUE"""),"")</f>
        <v/>
      </c>
      <c r="Y230" t="str">
        <f>IFERROR(__xludf.DUMMYFUNCTION("""COMPUTED_VALUE"""),"")</f>
        <v/>
      </c>
      <c r="Z230" t="str">
        <f>IFERROR(__xludf.DUMMYFUNCTION("""COMPUTED_VALUE"""),"")</f>
        <v/>
      </c>
      <c r="AA230" t="str">
        <f>IFERROR(__xludf.DUMMYFUNCTION("""COMPUTED_VALUE"""),"")</f>
        <v/>
      </c>
      <c r="AB230" t="str">
        <f>IFERROR(__xludf.DUMMYFUNCTION("""COMPUTED_VALUE"""),"")</f>
        <v/>
      </c>
      <c r="AC230" t="str">
        <f>IFERROR(__xludf.DUMMYFUNCTION("""COMPUTED_VALUE"""),"")</f>
        <v/>
      </c>
      <c r="AD230" t="str">
        <f>IFERROR(__xludf.DUMMYFUNCTION("""COMPUTED_VALUE"""),"")</f>
        <v/>
      </c>
      <c r="AE230" s="460" t="str">
        <f>IFERROR(__xludf.DUMMYFUNCTION("""COMPUTED_VALUE"""),"")</f>
        <v/>
      </c>
      <c r="AF230" s="372" t="str">
        <f>IFERROR(__xludf.DUMMYFUNCTION("""COMPUTED_VALUE"""),"")</f>
        <v/>
      </c>
    </row>
    <row r="231" ht="16.5" customHeight="1">
      <c r="A231" s="494" t="str">
        <f>IFERROR(__xludf.DUMMYFUNCTION("""COMPUTED_VALUE"""),"")</f>
        <v/>
      </c>
      <c r="B231" s="494" t="str">
        <f>IFERROR(__xludf.DUMMYFUNCTION("""COMPUTED_VALUE"""),"")</f>
        <v/>
      </c>
      <c r="C231" s="494" t="str">
        <f>IFERROR(__xludf.DUMMYFUNCTION("""COMPUTED_VALUE"""),"")</f>
        <v/>
      </c>
      <c r="D231" s="494" t="str">
        <f>IFERROR(__xludf.DUMMYFUNCTION("""COMPUTED_VALUE"""),"")</f>
        <v/>
      </c>
      <c r="E231" s="494" t="str">
        <f>IFERROR(__xludf.DUMMYFUNCTION("""COMPUTED_VALUE"""),"")</f>
        <v/>
      </c>
      <c r="F231" s="494" t="str">
        <f>IFERROR(__xludf.DUMMYFUNCTION("""COMPUTED_VALUE"""),"")</f>
        <v/>
      </c>
      <c r="G231" s="494" t="str">
        <f>IFERROR(__xludf.DUMMYFUNCTION("""COMPUTED_VALUE"""),"")</f>
        <v/>
      </c>
      <c r="H231" s="494" t="str">
        <f>IFERROR(__xludf.DUMMYFUNCTION("""COMPUTED_VALUE"""),"")</f>
        <v/>
      </c>
      <c r="I231" s="494" t="str">
        <f>IFERROR(__xludf.DUMMYFUNCTION("""COMPUTED_VALUE"""),"")</f>
        <v/>
      </c>
      <c r="J231" t="str">
        <f>IFERROR(__xludf.DUMMYFUNCTION("""COMPUTED_VALUE"""),"")</f>
        <v/>
      </c>
      <c r="K231" t="str">
        <f>IFERROR(__xludf.DUMMYFUNCTION("""COMPUTED_VALUE"""),"")</f>
        <v/>
      </c>
      <c r="L231" t="str">
        <f>IFERROR(__xludf.DUMMYFUNCTION("""COMPUTED_VALUE"""),"")</f>
        <v/>
      </c>
      <c r="M231" t="str">
        <f>IFERROR(__xludf.DUMMYFUNCTION("""COMPUTED_VALUE"""),"")</f>
        <v/>
      </c>
      <c r="N231" t="str">
        <f>IFERROR(__xludf.DUMMYFUNCTION("""COMPUTED_VALUE"""),"")</f>
        <v/>
      </c>
      <c r="O231" t="str">
        <f>IFERROR(__xludf.DUMMYFUNCTION("""COMPUTED_VALUE"""),"")</f>
        <v/>
      </c>
      <c r="P231" s="371" t="str">
        <f>IFERROR(__xludf.DUMMYFUNCTION("""COMPUTED_VALUE"""),"")</f>
        <v/>
      </c>
      <c r="Q231" s="458" t="str">
        <f>IFERROR(__xludf.DUMMYFUNCTION("""COMPUTED_VALUE"""),"")</f>
        <v/>
      </c>
      <c r="R231" s="459" t="str">
        <f>IFERROR(__xludf.DUMMYFUNCTION("""COMPUTED_VALUE"""),"")</f>
        <v/>
      </c>
      <c r="S231" s="459" t="str">
        <f>IFERROR(__xludf.DUMMYFUNCTION("""COMPUTED_VALUE"""),"")</f>
        <v/>
      </c>
      <c r="T231" t="str">
        <f>IFERROR(__xludf.DUMMYFUNCTION("""COMPUTED_VALUE"""),"")</f>
        <v/>
      </c>
      <c r="U231" t="str">
        <f>IFERROR(__xludf.DUMMYFUNCTION("""COMPUTED_VALUE"""),"")</f>
        <v/>
      </c>
      <c r="V231" t="str">
        <f>IFERROR(__xludf.DUMMYFUNCTION("""COMPUTED_VALUE"""),"")</f>
        <v/>
      </c>
      <c r="W231" t="str">
        <f>IFERROR(__xludf.DUMMYFUNCTION("""COMPUTED_VALUE"""),"")</f>
        <v/>
      </c>
      <c r="X231" t="str">
        <f>IFERROR(__xludf.DUMMYFUNCTION("""COMPUTED_VALUE"""),"")</f>
        <v/>
      </c>
      <c r="Y231" t="str">
        <f>IFERROR(__xludf.DUMMYFUNCTION("""COMPUTED_VALUE"""),"")</f>
        <v/>
      </c>
      <c r="Z231" t="str">
        <f>IFERROR(__xludf.DUMMYFUNCTION("""COMPUTED_VALUE"""),"")</f>
        <v/>
      </c>
      <c r="AA231" t="str">
        <f>IFERROR(__xludf.DUMMYFUNCTION("""COMPUTED_VALUE"""),"")</f>
        <v/>
      </c>
      <c r="AB231" t="str">
        <f>IFERROR(__xludf.DUMMYFUNCTION("""COMPUTED_VALUE"""),"")</f>
        <v/>
      </c>
      <c r="AC231" t="str">
        <f>IFERROR(__xludf.DUMMYFUNCTION("""COMPUTED_VALUE"""),"")</f>
        <v/>
      </c>
      <c r="AD231" t="str">
        <f>IFERROR(__xludf.DUMMYFUNCTION("""COMPUTED_VALUE"""),"")</f>
        <v/>
      </c>
      <c r="AE231" s="460" t="str">
        <f>IFERROR(__xludf.DUMMYFUNCTION("""COMPUTED_VALUE"""),"")</f>
        <v/>
      </c>
      <c r="AF231" s="372" t="str">
        <f>IFERROR(__xludf.DUMMYFUNCTION("""COMPUTED_VALUE"""),"")</f>
        <v/>
      </c>
    </row>
    <row r="232" ht="16.5" customHeight="1">
      <c r="A232" s="494" t="str">
        <f>IFERROR(__xludf.DUMMYFUNCTION("""COMPUTED_VALUE"""),"")</f>
        <v/>
      </c>
      <c r="B232" s="494" t="str">
        <f>IFERROR(__xludf.DUMMYFUNCTION("""COMPUTED_VALUE"""),"")</f>
        <v/>
      </c>
      <c r="C232" s="494" t="str">
        <f>IFERROR(__xludf.DUMMYFUNCTION("""COMPUTED_VALUE"""),"")</f>
        <v/>
      </c>
      <c r="D232" s="494" t="str">
        <f>IFERROR(__xludf.DUMMYFUNCTION("""COMPUTED_VALUE"""),"")</f>
        <v/>
      </c>
      <c r="E232" s="494" t="str">
        <f>IFERROR(__xludf.DUMMYFUNCTION("""COMPUTED_VALUE"""),"")</f>
        <v/>
      </c>
      <c r="F232" s="494" t="str">
        <f>IFERROR(__xludf.DUMMYFUNCTION("""COMPUTED_VALUE"""),"")</f>
        <v/>
      </c>
      <c r="G232" s="494" t="str">
        <f>IFERROR(__xludf.DUMMYFUNCTION("""COMPUTED_VALUE"""),"")</f>
        <v/>
      </c>
      <c r="H232" s="494" t="str">
        <f>IFERROR(__xludf.DUMMYFUNCTION("""COMPUTED_VALUE"""),"")</f>
        <v/>
      </c>
      <c r="I232" s="494" t="str">
        <f>IFERROR(__xludf.DUMMYFUNCTION("""COMPUTED_VALUE"""),"")</f>
        <v/>
      </c>
      <c r="J232" t="str">
        <f>IFERROR(__xludf.DUMMYFUNCTION("""COMPUTED_VALUE"""),"")</f>
        <v/>
      </c>
      <c r="K232" t="str">
        <f>IFERROR(__xludf.DUMMYFUNCTION("""COMPUTED_VALUE"""),"")</f>
        <v/>
      </c>
      <c r="L232" t="str">
        <f>IFERROR(__xludf.DUMMYFUNCTION("""COMPUTED_VALUE"""),"")</f>
        <v/>
      </c>
      <c r="M232" t="str">
        <f>IFERROR(__xludf.DUMMYFUNCTION("""COMPUTED_VALUE"""),"")</f>
        <v/>
      </c>
      <c r="N232" t="str">
        <f>IFERROR(__xludf.DUMMYFUNCTION("""COMPUTED_VALUE"""),"")</f>
        <v/>
      </c>
      <c r="O232" t="str">
        <f>IFERROR(__xludf.DUMMYFUNCTION("""COMPUTED_VALUE"""),"")</f>
        <v/>
      </c>
      <c r="P232" s="371" t="str">
        <f>IFERROR(__xludf.DUMMYFUNCTION("""COMPUTED_VALUE"""),"")</f>
        <v/>
      </c>
      <c r="Q232" s="458" t="str">
        <f>IFERROR(__xludf.DUMMYFUNCTION("""COMPUTED_VALUE"""),"")</f>
        <v/>
      </c>
      <c r="R232" s="459" t="str">
        <f>IFERROR(__xludf.DUMMYFUNCTION("""COMPUTED_VALUE"""),"")</f>
        <v/>
      </c>
      <c r="S232" s="459" t="str">
        <f>IFERROR(__xludf.DUMMYFUNCTION("""COMPUTED_VALUE"""),"")</f>
        <v/>
      </c>
      <c r="T232" t="str">
        <f>IFERROR(__xludf.DUMMYFUNCTION("""COMPUTED_VALUE"""),"")</f>
        <v/>
      </c>
      <c r="U232" t="str">
        <f>IFERROR(__xludf.DUMMYFUNCTION("""COMPUTED_VALUE"""),"")</f>
        <v/>
      </c>
      <c r="V232" t="str">
        <f>IFERROR(__xludf.DUMMYFUNCTION("""COMPUTED_VALUE"""),"")</f>
        <v/>
      </c>
      <c r="W232" t="str">
        <f>IFERROR(__xludf.DUMMYFUNCTION("""COMPUTED_VALUE"""),"")</f>
        <v/>
      </c>
      <c r="X232" t="str">
        <f>IFERROR(__xludf.DUMMYFUNCTION("""COMPUTED_VALUE"""),"")</f>
        <v/>
      </c>
      <c r="Y232" t="str">
        <f>IFERROR(__xludf.DUMMYFUNCTION("""COMPUTED_VALUE"""),"")</f>
        <v/>
      </c>
      <c r="Z232" t="str">
        <f>IFERROR(__xludf.DUMMYFUNCTION("""COMPUTED_VALUE"""),"")</f>
        <v/>
      </c>
      <c r="AA232" t="str">
        <f>IFERROR(__xludf.DUMMYFUNCTION("""COMPUTED_VALUE"""),"")</f>
        <v/>
      </c>
      <c r="AB232" t="str">
        <f>IFERROR(__xludf.DUMMYFUNCTION("""COMPUTED_VALUE"""),"")</f>
        <v/>
      </c>
      <c r="AC232" t="str">
        <f>IFERROR(__xludf.DUMMYFUNCTION("""COMPUTED_VALUE"""),"")</f>
        <v/>
      </c>
      <c r="AD232" t="str">
        <f>IFERROR(__xludf.DUMMYFUNCTION("""COMPUTED_VALUE"""),"")</f>
        <v/>
      </c>
      <c r="AE232" s="460" t="str">
        <f>IFERROR(__xludf.DUMMYFUNCTION("""COMPUTED_VALUE"""),"")</f>
        <v/>
      </c>
      <c r="AF232" s="372" t="str">
        <f>IFERROR(__xludf.DUMMYFUNCTION("""COMPUTED_VALUE"""),"")</f>
        <v/>
      </c>
    </row>
    <row r="233" ht="16.5" customHeight="1">
      <c r="A233" s="494" t="str">
        <f>IFERROR(__xludf.DUMMYFUNCTION("""COMPUTED_VALUE"""),"")</f>
        <v/>
      </c>
      <c r="B233" s="494" t="str">
        <f>IFERROR(__xludf.DUMMYFUNCTION("""COMPUTED_VALUE"""),"")</f>
        <v/>
      </c>
      <c r="C233" s="494" t="str">
        <f>IFERROR(__xludf.DUMMYFUNCTION("""COMPUTED_VALUE"""),"")</f>
        <v/>
      </c>
      <c r="D233" s="494" t="str">
        <f>IFERROR(__xludf.DUMMYFUNCTION("""COMPUTED_VALUE"""),"")</f>
        <v/>
      </c>
      <c r="E233" s="494" t="str">
        <f>IFERROR(__xludf.DUMMYFUNCTION("""COMPUTED_VALUE"""),"")</f>
        <v/>
      </c>
      <c r="F233" s="494" t="str">
        <f>IFERROR(__xludf.DUMMYFUNCTION("""COMPUTED_VALUE"""),"")</f>
        <v/>
      </c>
      <c r="G233" s="494" t="str">
        <f>IFERROR(__xludf.DUMMYFUNCTION("""COMPUTED_VALUE"""),"")</f>
        <v/>
      </c>
      <c r="H233" s="494" t="str">
        <f>IFERROR(__xludf.DUMMYFUNCTION("""COMPUTED_VALUE"""),"")</f>
        <v/>
      </c>
      <c r="I233" s="494" t="str">
        <f>IFERROR(__xludf.DUMMYFUNCTION("""COMPUTED_VALUE"""),"")</f>
        <v/>
      </c>
      <c r="J233" t="str">
        <f>IFERROR(__xludf.DUMMYFUNCTION("""COMPUTED_VALUE"""),"")</f>
        <v/>
      </c>
      <c r="K233" t="str">
        <f>IFERROR(__xludf.DUMMYFUNCTION("""COMPUTED_VALUE"""),"")</f>
        <v/>
      </c>
      <c r="L233" t="str">
        <f>IFERROR(__xludf.DUMMYFUNCTION("""COMPUTED_VALUE"""),"")</f>
        <v/>
      </c>
      <c r="M233" t="str">
        <f>IFERROR(__xludf.DUMMYFUNCTION("""COMPUTED_VALUE"""),"")</f>
        <v/>
      </c>
      <c r="N233" t="str">
        <f>IFERROR(__xludf.DUMMYFUNCTION("""COMPUTED_VALUE"""),"")</f>
        <v/>
      </c>
      <c r="O233" t="str">
        <f>IFERROR(__xludf.DUMMYFUNCTION("""COMPUTED_VALUE"""),"")</f>
        <v/>
      </c>
      <c r="P233" s="371" t="str">
        <f>IFERROR(__xludf.DUMMYFUNCTION("""COMPUTED_VALUE"""),"")</f>
        <v/>
      </c>
      <c r="Q233" s="458" t="str">
        <f>IFERROR(__xludf.DUMMYFUNCTION("""COMPUTED_VALUE"""),"")</f>
        <v/>
      </c>
      <c r="R233" s="459" t="str">
        <f>IFERROR(__xludf.DUMMYFUNCTION("""COMPUTED_VALUE"""),"")</f>
        <v/>
      </c>
      <c r="S233" s="459" t="str">
        <f>IFERROR(__xludf.DUMMYFUNCTION("""COMPUTED_VALUE"""),"")</f>
        <v/>
      </c>
      <c r="T233" t="str">
        <f>IFERROR(__xludf.DUMMYFUNCTION("""COMPUTED_VALUE"""),"")</f>
        <v/>
      </c>
      <c r="U233" t="str">
        <f>IFERROR(__xludf.DUMMYFUNCTION("""COMPUTED_VALUE"""),"")</f>
        <v/>
      </c>
      <c r="V233" t="str">
        <f>IFERROR(__xludf.DUMMYFUNCTION("""COMPUTED_VALUE"""),"")</f>
        <v/>
      </c>
      <c r="W233" t="str">
        <f>IFERROR(__xludf.DUMMYFUNCTION("""COMPUTED_VALUE"""),"")</f>
        <v/>
      </c>
      <c r="X233" t="str">
        <f>IFERROR(__xludf.DUMMYFUNCTION("""COMPUTED_VALUE"""),"")</f>
        <v/>
      </c>
      <c r="Y233" t="str">
        <f>IFERROR(__xludf.DUMMYFUNCTION("""COMPUTED_VALUE"""),"")</f>
        <v/>
      </c>
      <c r="Z233" t="str">
        <f>IFERROR(__xludf.DUMMYFUNCTION("""COMPUTED_VALUE"""),"")</f>
        <v/>
      </c>
      <c r="AA233" t="str">
        <f>IFERROR(__xludf.DUMMYFUNCTION("""COMPUTED_VALUE"""),"")</f>
        <v/>
      </c>
      <c r="AB233" t="str">
        <f>IFERROR(__xludf.DUMMYFUNCTION("""COMPUTED_VALUE"""),"")</f>
        <v/>
      </c>
      <c r="AC233" t="str">
        <f>IFERROR(__xludf.DUMMYFUNCTION("""COMPUTED_VALUE"""),"")</f>
        <v/>
      </c>
      <c r="AD233" t="str">
        <f>IFERROR(__xludf.DUMMYFUNCTION("""COMPUTED_VALUE"""),"")</f>
        <v/>
      </c>
      <c r="AE233" s="460" t="str">
        <f>IFERROR(__xludf.DUMMYFUNCTION("""COMPUTED_VALUE"""),"")</f>
        <v/>
      </c>
      <c r="AF233" s="372" t="str">
        <f>IFERROR(__xludf.DUMMYFUNCTION("""COMPUTED_VALUE"""),"")</f>
        <v/>
      </c>
    </row>
    <row r="234" ht="16.5" customHeight="1">
      <c r="A234" s="494" t="str">
        <f>IFERROR(__xludf.DUMMYFUNCTION("""COMPUTED_VALUE"""),"")</f>
        <v/>
      </c>
      <c r="B234" s="494" t="str">
        <f>IFERROR(__xludf.DUMMYFUNCTION("""COMPUTED_VALUE"""),"")</f>
        <v/>
      </c>
      <c r="C234" s="494" t="str">
        <f>IFERROR(__xludf.DUMMYFUNCTION("""COMPUTED_VALUE"""),"")</f>
        <v/>
      </c>
      <c r="D234" s="494" t="str">
        <f>IFERROR(__xludf.DUMMYFUNCTION("""COMPUTED_VALUE"""),"")</f>
        <v/>
      </c>
      <c r="E234" s="494" t="str">
        <f>IFERROR(__xludf.DUMMYFUNCTION("""COMPUTED_VALUE"""),"")</f>
        <v/>
      </c>
      <c r="F234" s="494" t="str">
        <f>IFERROR(__xludf.DUMMYFUNCTION("""COMPUTED_VALUE"""),"")</f>
        <v/>
      </c>
      <c r="G234" s="494" t="str">
        <f>IFERROR(__xludf.DUMMYFUNCTION("""COMPUTED_VALUE"""),"")</f>
        <v/>
      </c>
      <c r="H234" s="494" t="str">
        <f>IFERROR(__xludf.DUMMYFUNCTION("""COMPUTED_VALUE"""),"")</f>
        <v/>
      </c>
      <c r="I234" s="494" t="str">
        <f>IFERROR(__xludf.DUMMYFUNCTION("""COMPUTED_VALUE"""),"")</f>
        <v/>
      </c>
      <c r="J234" t="str">
        <f>IFERROR(__xludf.DUMMYFUNCTION("""COMPUTED_VALUE"""),"")</f>
        <v/>
      </c>
      <c r="K234" t="str">
        <f>IFERROR(__xludf.DUMMYFUNCTION("""COMPUTED_VALUE"""),"")</f>
        <v/>
      </c>
      <c r="L234" t="str">
        <f>IFERROR(__xludf.DUMMYFUNCTION("""COMPUTED_VALUE"""),"")</f>
        <v/>
      </c>
      <c r="M234" t="str">
        <f>IFERROR(__xludf.DUMMYFUNCTION("""COMPUTED_VALUE"""),"")</f>
        <v/>
      </c>
      <c r="N234" t="str">
        <f>IFERROR(__xludf.DUMMYFUNCTION("""COMPUTED_VALUE"""),"")</f>
        <v/>
      </c>
      <c r="O234" t="str">
        <f>IFERROR(__xludf.DUMMYFUNCTION("""COMPUTED_VALUE"""),"")</f>
        <v/>
      </c>
      <c r="P234" s="371" t="str">
        <f>IFERROR(__xludf.DUMMYFUNCTION("""COMPUTED_VALUE"""),"")</f>
        <v/>
      </c>
      <c r="Q234" s="458" t="str">
        <f>IFERROR(__xludf.DUMMYFUNCTION("""COMPUTED_VALUE"""),"")</f>
        <v/>
      </c>
      <c r="R234" s="459" t="str">
        <f>IFERROR(__xludf.DUMMYFUNCTION("""COMPUTED_VALUE"""),"")</f>
        <v/>
      </c>
      <c r="S234" s="459" t="str">
        <f>IFERROR(__xludf.DUMMYFUNCTION("""COMPUTED_VALUE"""),"")</f>
        <v/>
      </c>
      <c r="T234" t="str">
        <f>IFERROR(__xludf.DUMMYFUNCTION("""COMPUTED_VALUE"""),"")</f>
        <v/>
      </c>
      <c r="U234" t="str">
        <f>IFERROR(__xludf.DUMMYFUNCTION("""COMPUTED_VALUE"""),"")</f>
        <v/>
      </c>
      <c r="V234" t="str">
        <f>IFERROR(__xludf.DUMMYFUNCTION("""COMPUTED_VALUE"""),"")</f>
        <v/>
      </c>
      <c r="W234" t="str">
        <f>IFERROR(__xludf.DUMMYFUNCTION("""COMPUTED_VALUE"""),"")</f>
        <v/>
      </c>
      <c r="X234" t="str">
        <f>IFERROR(__xludf.DUMMYFUNCTION("""COMPUTED_VALUE"""),"")</f>
        <v/>
      </c>
      <c r="Y234" t="str">
        <f>IFERROR(__xludf.DUMMYFUNCTION("""COMPUTED_VALUE"""),"")</f>
        <v/>
      </c>
      <c r="Z234" t="str">
        <f>IFERROR(__xludf.DUMMYFUNCTION("""COMPUTED_VALUE"""),"")</f>
        <v/>
      </c>
      <c r="AA234" t="str">
        <f>IFERROR(__xludf.DUMMYFUNCTION("""COMPUTED_VALUE"""),"")</f>
        <v/>
      </c>
      <c r="AB234" t="str">
        <f>IFERROR(__xludf.DUMMYFUNCTION("""COMPUTED_VALUE"""),"")</f>
        <v/>
      </c>
      <c r="AC234" t="str">
        <f>IFERROR(__xludf.DUMMYFUNCTION("""COMPUTED_VALUE"""),"")</f>
        <v/>
      </c>
      <c r="AD234" t="str">
        <f>IFERROR(__xludf.DUMMYFUNCTION("""COMPUTED_VALUE"""),"")</f>
        <v/>
      </c>
      <c r="AE234" s="460" t="str">
        <f>IFERROR(__xludf.DUMMYFUNCTION("""COMPUTED_VALUE"""),"")</f>
        <v/>
      </c>
      <c r="AF234" s="372" t="str">
        <f>IFERROR(__xludf.DUMMYFUNCTION("""COMPUTED_VALUE"""),"")</f>
        <v/>
      </c>
    </row>
  </sheetData>
  <mergeCells count="439">
    <mergeCell ref="B109:B113"/>
    <mergeCell ref="C109:C113"/>
    <mergeCell ref="B126:B130"/>
    <mergeCell ref="B136:B140"/>
    <mergeCell ref="B131:B135"/>
    <mergeCell ref="C121:C125"/>
    <mergeCell ref="C136:C140"/>
    <mergeCell ref="C116:C120"/>
    <mergeCell ref="A104:A108"/>
    <mergeCell ref="A109:A113"/>
    <mergeCell ref="A136:A140"/>
    <mergeCell ref="A131:A135"/>
    <mergeCell ref="A116:A120"/>
    <mergeCell ref="A121:A125"/>
    <mergeCell ref="A126:A130"/>
    <mergeCell ref="B121:B125"/>
    <mergeCell ref="B116:B120"/>
    <mergeCell ref="B146:B150"/>
    <mergeCell ref="B141:B145"/>
    <mergeCell ref="C126:C130"/>
    <mergeCell ref="C131:C135"/>
    <mergeCell ref="C146:C150"/>
    <mergeCell ref="C141:C145"/>
    <mergeCell ref="G151:G152"/>
    <mergeCell ref="E151:E152"/>
    <mergeCell ref="F151:F152"/>
    <mergeCell ref="D151:D152"/>
    <mergeCell ref="J151:K152"/>
    <mergeCell ref="H151:H152"/>
    <mergeCell ref="G225:G226"/>
    <mergeCell ref="H225:H226"/>
    <mergeCell ref="J225:K226"/>
    <mergeCell ref="O225:O226"/>
    <mergeCell ref="L225:M226"/>
    <mergeCell ref="N225:N226"/>
    <mergeCell ref="O220:O224"/>
    <mergeCell ref="O215:O219"/>
    <mergeCell ref="F225:F226"/>
    <mergeCell ref="E225:E226"/>
    <mergeCell ref="O205:O209"/>
    <mergeCell ref="O200:O204"/>
    <mergeCell ref="O210:O214"/>
    <mergeCell ref="O195:O199"/>
    <mergeCell ref="O163:O167"/>
    <mergeCell ref="N188:N189"/>
    <mergeCell ref="O190:O194"/>
    <mergeCell ref="O168:O172"/>
    <mergeCell ref="N151:N152"/>
    <mergeCell ref="L151:M152"/>
    <mergeCell ref="O183:O187"/>
    <mergeCell ref="C94:C98"/>
    <mergeCell ref="C89:C93"/>
    <mergeCell ref="D114:D115"/>
    <mergeCell ref="E114:E115"/>
    <mergeCell ref="F114:F115"/>
    <mergeCell ref="H114:H115"/>
    <mergeCell ref="G114:G115"/>
    <mergeCell ref="O121:O125"/>
    <mergeCell ref="O116:O120"/>
    <mergeCell ref="G188:G189"/>
    <mergeCell ref="D188:D189"/>
    <mergeCell ref="E188:E189"/>
    <mergeCell ref="F188:F189"/>
    <mergeCell ref="J188:K189"/>
    <mergeCell ref="L188:M189"/>
    <mergeCell ref="H188:H189"/>
    <mergeCell ref="A188:C189"/>
    <mergeCell ref="B195:B199"/>
    <mergeCell ref="B190:B194"/>
    <mergeCell ref="B183:B187"/>
    <mergeCell ref="B173:B177"/>
    <mergeCell ref="B178:B182"/>
    <mergeCell ref="A114:C115"/>
    <mergeCell ref="A151:C152"/>
    <mergeCell ref="B153:B157"/>
    <mergeCell ref="B158:B162"/>
    <mergeCell ref="B163:B167"/>
    <mergeCell ref="B168:B172"/>
    <mergeCell ref="B84:B88"/>
    <mergeCell ref="B99:B103"/>
    <mergeCell ref="A99:A103"/>
    <mergeCell ref="A84:A88"/>
    <mergeCell ref="B104:B108"/>
    <mergeCell ref="C84:C88"/>
    <mergeCell ref="A89:A93"/>
    <mergeCell ref="C183:C187"/>
    <mergeCell ref="C173:C177"/>
    <mergeCell ref="C178:C182"/>
    <mergeCell ref="C104:C108"/>
    <mergeCell ref="C99:C103"/>
    <mergeCell ref="C163:C167"/>
    <mergeCell ref="C153:C157"/>
    <mergeCell ref="C195:C199"/>
    <mergeCell ref="C158:C162"/>
    <mergeCell ref="C190:C194"/>
    <mergeCell ref="C210:C214"/>
    <mergeCell ref="C220:C224"/>
    <mergeCell ref="A195:A199"/>
    <mergeCell ref="A190:A194"/>
    <mergeCell ref="D225:D226"/>
    <mergeCell ref="A225:C226"/>
    <mergeCell ref="A200:A204"/>
    <mergeCell ref="B200:B204"/>
    <mergeCell ref="A220:A224"/>
    <mergeCell ref="A158:A162"/>
    <mergeCell ref="A163:A167"/>
    <mergeCell ref="C168:C172"/>
    <mergeCell ref="A168:A172"/>
    <mergeCell ref="A173:A177"/>
    <mergeCell ref="A153:A157"/>
    <mergeCell ref="A146:A150"/>
    <mergeCell ref="A141:A145"/>
    <mergeCell ref="A178:A182"/>
    <mergeCell ref="A183:A187"/>
    <mergeCell ref="A205:A209"/>
    <mergeCell ref="B205:B209"/>
    <mergeCell ref="A210:A214"/>
    <mergeCell ref="B210:B214"/>
    <mergeCell ref="C205:C209"/>
    <mergeCell ref="C200:C204"/>
    <mergeCell ref="B215:B219"/>
    <mergeCell ref="B220:B224"/>
    <mergeCell ref="A215:A219"/>
    <mergeCell ref="C215:C219"/>
    <mergeCell ref="C30:C34"/>
    <mergeCell ref="C47:C51"/>
    <mergeCell ref="B25:B29"/>
    <mergeCell ref="C25:C29"/>
    <mergeCell ref="C20:C24"/>
    <mergeCell ref="C15:C19"/>
    <mergeCell ref="O15:O19"/>
    <mergeCell ref="O25:O29"/>
    <mergeCell ref="O40:O41"/>
    <mergeCell ref="O47:O51"/>
    <mergeCell ref="O20:O24"/>
    <mergeCell ref="B30:B34"/>
    <mergeCell ref="Q57:Q61"/>
    <mergeCell ref="D40:D41"/>
    <mergeCell ref="C42:C46"/>
    <mergeCell ref="L40:M41"/>
    <mergeCell ref="N40:N41"/>
    <mergeCell ref="H40:H41"/>
    <mergeCell ref="G40:G41"/>
    <mergeCell ref="C35:C39"/>
    <mergeCell ref="B35:B39"/>
    <mergeCell ref="C52:C56"/>
    <mergeCell ref="C57:C61"/>
    <mergeCell ref="B57:B61"/>
    <mergeCell ref="B52:B56"/>
    <mergeCell ref="B15:B19"/>
    <mergeCell ref="B20:B24"/>
    <mergeCell ref="S5:S9"/>
    <mergeCell ref="R5:R9"/>
    <mergeCell ref="U3:U4"/>
    <mergeCell ref="T3:T4"/>
    <mergeCell ref="R10:R14"/>
    <mergeCell ref="S10:S14"/>
    <mergeCell ref="Z3:AA4"/>
    <mergeCell ref="X3:X4"/>
    <mergeCell ref="N3:N4"/>
    <mergeCell ref="V3:V4"/>
    <mergeCell ref="W3:W4"/>
    <mergeCell ref="S121:S125"/>
    <mergeCell ref="S126:S130"/>
    <mergeCell ref="O114:O115"/>
    <mergeCell ref="O126:O130"/>
    <mergeCell ref="R79:R83"/>
    <mergeCell ref="R72:R76"/>
    <mergeCell ref="Q79:Q83"/>
    <mergeCell ref="Q72:Q76"/>
    <mergeCell ref="Q89:Q93"/>
    <mergeCell ref="R89:R93"/>
    <mergeCell ref="R52:R56"/>
    <mergeCell ref="R57:R61"/>
    <mergeCell ref="Q52:Q56"/>
    <mergeCell ref="Q62:Q66"/>
    <mergeCell ref="AE30:AE34"/>
    <mergeCell ref="AE35:AE39"/>
    <mergeCell ref="AE47:AE51"/>
    <mergeCell ref="AE42:AE46"/>
    <mergeCell ref="AE10:AE14"/>
    <mergeCell ref="AE20:AE24"/>
    <mergeCell ref="AE15:AE19"/>
    <mergeCell ref="AE5:AE9"/>
    <mergeCell ref="AE25:AE29"/>
    <mergeCell ref="L77:M78"/>
    <mergeCell ref="N77:N78"/>
    <mergeCell ref="G77:G78"/>
    <mergeCell ref="F77:F78"/>
    <mergeCell ref="E77:E78"/>
    <mergeCell ref="D77:D78"/>
    <mergeCell ref="B67:B71"/>
    <mergeCell ref="B72:B76"/>
    <mergeCell ref="Q77:S78"/>
    <mergeCell ref="C72:C76"/>
    <mergeCell ref="O72:O76"/>
    <mergeCell ref="O67:O71"/>
    <mergeCell ref="C67:C71"/>
    <mergeCell ref="J77:K78"/>
    <mergeCell ref="J40:K41"/>
    <mergeCell ref="E40:E41"/>
    <mergeCell ref="F40:F41"/>
    <mergeCell ref="A40:C41"/>
    <mergeCell ref="A94:A98"/>
    <mergeCell ref="B94:B98"/>
    <mergeCell ref="R94:R98"/>
    <mergeCell ref="J114:K115"/>
    <mergeCell ref="L114:M115"/>
    <mergeCell ref="N114:N115"/>
    <mergeCell ref="B89:B93"/>
    <mergeCell ref="B79:B83"/>
    <mergeCell ref="C79:C83"/>
    <mergeCell ref="C62:C66"/>
    <mergeCell ref="R62:R66"/>
    <mergeCell ref="R67:R71"/>
    <mergeCell ref="O62:O66"/>
    <mergeCell ref="O52:O56"/>
    <mergeCell ref="O57:O61"/>
    <mergeCell ref="H77:H78"/>
    <mergeCell ref="A77:C78"/>
    <mergeCell ref="A72:A76"/>
    <mergeCell ref="A79:A83"/>
    <mergeCell ref="A62:A66"/>
    <mergeCell ref="A67:A71"/>
    <mergeCell ref="A57:A61"/>
    <mergeCell ref="A52:A56"/>
    <mergeCell ref="A42:A46"/>
    <mergeCell ref="B42:B46"/>
    <mergeCell ref="B62:B66"/>
    <mergeCell ref="A3:C4"/>
    <mergeCell ref="A2:F2"/>
    <mergeCell ref="F3:F4"/>
    <mergeCell ref="A5:A9"/>
    <mergeCell ref="A10:A14"/>
    <mergeCell ref="A15:A19"/>
    <mergeCell ref="A20:A24"/>
    <mergeCell ref="B5:B9"/>
    <mergeCell ref="C5:C9"/>
    <mergeCell ref="H3:H4"/>
    <mergeCell ref="G3:G4"/>
    <mergeCell ref="B10:B14"/>
    <mergeCell ref="A25:A29"/>
    <mergeCell ref="D3:D4"/>
    <mergeCell ref="E3:E4"/>
    <mergeCell ref="C10:C14"/>
    <mergeCell ref="S15:S19"/>
    <mergeCell ref="R15:R19"/>
    <mergeCell ref="R20:R24"/>
    <mergeCell ref="R25:R29"/>
    <mergeCell ref="Q25:Q29"/>
    <mergeCell ref="Q15:Q19"/>
    <mergeCell ref="Q20:Q24"/>
    <mergeCell ref="O10:O14"/>
    <mergeCell ref="O5:O9"/>
    <mergeCell ref="Q10:Q14"/>
    <mergeCell ref="Q5:Q9"/>
    <mergeCell ref="S25:S29"/>
    <mergeCell ref="S20:S24"/>
    <mergeCell ref="X40:X41"/>
    <mergeCell ref="W40:W41"/>
    <mergeCell ref="V40:V41"/>
    <mergeCell ref="AE40:AE41"/>
    <mergeCell ref="AD40:AD41"/>
    <mergeCell ref="R30:R34"/>
    <mergeCell ref="Q30:Q34"/>
    <mergeCell ref="AB40:AC41"/>
    <mergeCell ref="Z40:AA41"/>
    <mergeCell ref="B47:B51"/>
    <mergeCell ref="A30:A34"/>
    <mergeCell ref="A35:A39"/>
    <mergeCell ref="A47:A51"/>
    <mergeCell ref="U40:U41"/>
    <mergeCell ref="O42:O46"/>
    <mergeCell ref="O3:O4"/>
    <mergeCell ref="Q3:S4"/>
    <mergeCell ref="AB3:AC4"/>
    <mergeCell ref="AD3:AD4"/>
    <mergeCell ref="AE3:AE4"/>
    <mergeCell ref="L3:M4"/>
    <mergeCell ref="J3:K4"/>
    <mergeCell ref="Q188:S189"/>
    <mergeCell ref="O188:O189"/>
    <mergeCell ref="X188:X189"/>
    <mergeCell ref="T188:T189"/>
    <mergeCell ref="U188:U189"/>
    <mergeCell ref="W188:W189"/>
    <mergeCell ref="V188:V189"/>
    <mergeCell ref="S183:S187"/>
    <mergeCell ref="Q183:Q187"/>
    <mergeCell ref="AE183:AE187"/>
    <mergeCell ref="AE188:AE189"/>
    <mergeCell ref="AE158:AE162"/>
    <mergeCell ref="AD188:AD189"/>
    <mergeCell ref="AB188:AC189"/>
    <mergeCell ref="Z188:AA189"/>
    <mergeCell ref="AE178:AE182"/>
    <mergeCell ref="AE173:AE177"/>
    <mergeCell ref="AE163:AE167"/>
    <mergeCell ref="AE168:AE172"/>
    <mergeCell ref="R178:R182"/>
    <mergeCell ref="R183:R187"/>
    <mergeCell ref="R163:R167"/>
    <mergeCell ref="Q163:Q167"/>
    <mergeCell ref="R158:R162"/>
    <mergeCell ref="S158:S162"/>
    <mergeCell ref="S168:S172"/>
    <mergeCell ref="S163:S167"/>
    <mergeCell ref="Q158:Q162"/>
    <mergeCell ref="R173:R177"/>
    <mergeCell ref="R168:R172"/>
    <mergeCell ref="Q173:Q177"/>
    <mergeCell ref="S173:S177"/>
    <mergeCell ref="Q168:Q172"/>
    <mergeCell ref="S178:S182"/>
    <mergeCell ref="Q178:Q182"/>
    <mergeCell ref="O173:O177"/>
    <mergeCell ref="O178:O182"/>
    <mergeCell ref="X114:X115"/>
    <mergeCell ref="W114:W115"/>
    <mergeCell ref="T114:T115"/>
    <mergeCell ref="T77:T78"/>
    <mergeCell ref="X77:X78"/>
    <mergeCell ref="W77:W78"/>
    <mergeCell ref="AB77:AC78"/>
    <mergeCell ref="Z77:AA78"/>
    <mergeCell ref="V77:V78"/>
    <mergeCell ref="V114:V115"/>
    <mergeCell ref="AE141:AE145"/>
    <mergeCell ref="AE146:AE150"/>
    <mergeCell ref="AE153:AE157"/>
    <mergeCell ref="AE151:AE152"/>
    <mergeCell ref="AE109:AE113"/>
    <mergeCell ref="AE116:AE120"/>
    <mergeCell ref="AE121:AE125"/>
    <mergeCell ref="AE131:AE135"/>
    <mergeCell ref="AE126:AE130"/>
    <mergeCell ref="AE136:AE140"/>
    <mergeCell ref="AE114:AE115"/>
    <mergeCell ref="R116:R120"/>
    <mergeCell ref="S116:S120"/>
    <mergeCell ref="S94:S98"/>
    <mergeCell ref="S89:S93"/>
    <mergeCell ref="S141:S145"/>
    <mergeCell ref="S153:S157"/>
    <mergeCell ref="Q99:Q103"/>
    <mergeCell ref="Q104:Q108"/>
    <mergeCell ref="S99:S103"/>
    <mergeCell ref="R99:R103"/>
    <mergeCell ref="O136:O140"/>
    <mergeCell ref="O131:O135"/>
    <mergeCell ref="O151:O152"/>
    <mergeCell ref="O146:O150"/>
    <mergeCell ref="O153:O157"/>
    <mergeCell ref="O141:O145"/>
    <mergeCell ref="O158:O162"/>
    <mergeCell ref="Q47:Q51"/>
    <mergeCell ref="R47:R51"/>
    <mergeCell ref="Q146:Q150"/>
    <mergeCell ref="S146:S150"/>
    <mergeCell ref="R146:R150"/>
    <mergeCell ref="Q131:Q135"/>
    <mergeCell ref="Q116:Q120"/>
    <mergeCell ref="Q141:Q145"/>
    <mergeCell ref="R141:R145"/>
    <mergeCell ref="Q153:Q157"/>
    <mergeCell ref="R153:R157"/>
    <mergeCell ref="Q151:S152"/>
    <mergeCell ref="S109:S113"/>
    <mergeCell ref="R109:R113"/>
    <mergeCell ref="Q126:Q130"/>
    <mergeCell ref="R121:R125"/>
    <mergeCell ref="R126:R130"/>
    <mergeCell ref="Q121:Q125"/>
    <mergeCell ref="S136:S140"/>
    <mergeCell ref="Q136:Q140"/>
    <mergeCell ref="R136:R140"/>
    <mergeCell ref="AE84:AE88"/>
    <mergeCell ref="AE89:AE93"/>
    <mergeCell ref="AD77:AD78"/>
    <mergeCell ref="AE94:AE98"/>
    <mergeCell ref="AE99:AE103"/>
    <mergeCell ref="AE67:AE71"/>
    <mergeCell ref="AE62:AE66"/>
    <mergeCell ref="AE57:AE61"/>
    <mergeCell ref="AE52:AE56"/>
    <mergeCell ref="AE72:AE76"/>
    <mergeCell ref="AE77:AE78"/>
    <mergeCell ref="AE104:AE108"/>
    <mergeCell ref="AE79:AE83"/>
    <mergeCell ref="AB114:AC115"/>
    <mergeCell ref="Z114:AA115"/>
    <mergeCell ref="AD114:AD115"/>
    <mergeCell ref="W151:W152"/>
    <mergeCell ref="X151:X152"/>
    <mergeCell ref="V151:V152"/>
    <mergeCell ref="U151:U152"/>
    <mergeCell ref="T151:T152"/>
    <mergeCell ref="Z151:AA152"/>
    <mergeCell ref="AD151:AD152"/>
    <mergeCell ref="AB151:AC152"/>
    <mergeCell ref="Q42:Q46"/>
    <mergeCell ref="Q84:Q88"/>
    <mergeCell ref="Q35:Q39"/>
    <mergeCell ref="S35:S39"/>
    <mergeCell ref="R42:R46"/>
    <mergeCell ref="S42:S46"/>
    <mergeCell ref="S52:S56"/>
    <mergeCell ref="S47:S51"/>
    <mergeCell ref="R35:R39"/>
    <mergeCell ref="O35:O39"/>
    <mergeCell ref="O99:O103"/>
    <mergeCell ref="O77:O78"/>
    <mergeCell ref="O89:O93"/>
    <mergeCell ref="O84:O88"/>
    <mergeCell ref="O79:O83"/>
    <mergeCell ref="O94:O98"/>
    <mergeCell ref="O30:O34"/>
    <mergeCell ref="U77:U78"/>
    <mergeCell ref="S57:S61"/>
    <mergeCell ref="S131:S135"/>
    <mergeCell ref="Q67:Q71"/>
    <mergeCell ref="Q40:S41"/>
    <mergeCell ref="S104:S108"/>
    <mergeCell ref="S79:S83"/>
    <mergeCell ref="S62:S66"/>
    <mergeCell ref="S72:S76"/>
    <mergeCell ref="S67:S71"/>
    <mergeCell ref="O104:O108"/>
    <mergeCell ref="O109:O113"/>
    <mergeCell ref="S84:S88"/>
    <mergeCell ref="R84:R88"/>
    <mergeCell ref="S30:S34"/>
    <mergeCell ref="T40:T41"/>
    <mergeCell ref="R131:R135"/>
    <mergeCell ref="R104:R108"/>
    <mergeCell ref="U114:U115"/>
    <mergeCell ref="Q114:S115"/>
    <mergeCell ref="Q109:Q113"/>
    <mergeCell ref="Q94:Q98"/>
  </mergeCells>
  <hyperlinks>
    <hyperlink r:id="rId1" ref="G2"/>
    <hyperlink r:id="rId2" ref="Q2"/>
    <hyperlink r:id="rId3" location="Pirate_Ship" ref="G5"/>
    <hyperlink r:id="rId4" location="Marseille" ref="G6"/>
    <hyperlink r:id="rId5" location="Tower.27s_Top_Floor" ref="W6"/>
    <hyperlink r:id="rId6" location="Pirate_Island" ref="G7"/>
    <hyperlink r:id="rId7" location="Riverside_Town" ref="W7"/>
    <hyperlink r:id="rId8" location="Dallas" ref="G8"/>
    <hyperlink r:id="rId9" location="Mediolanum" ref="G9"/>
    <hyperlink r:id="rId10" location="Holy_City_Districts" ref="W9"/>
    <hyperlink r:id="rId11" location="Unknown_Coordinates_X-C" ref="G10"/>
    <hyperlink r:id="rId12" location="Unknown_Coordinates_X-G" ref="G11"/>
    <hyperlink r:id="rId13" location="Unknown_Coordinates_X-D" ref="G12"/>
    <hyperlink r:id="rId14" location="Palace_of_the_Dragon_King" ref="W12"/>
    <hyperlink r:id="rId15" location="Unknown_Coordinates_X-B" ref="G13"/>
    <hyperlink r:id="rId16" location="Chicago" ref="W13"/>
    <hyperlink r:id="rId17" location="Unknown_Coordinates_X-E" ref="G14"/>
    <hyperlink r:id="rId18" location="Vast_Land_of_Nothingness" ref="W14"/>
    <hyperlink r:id="rId19" location="Deming" ref="G15"/>
    <hyperlink r:id="rId20" location="Island_of_Wyverns" ref="G16"/>
    <hyperlink r:id="rId21" location="Eridu" ref="G17"/>
    <hyperlink r:id="rId22" location="Tokejou" ref="W17"/>
    <hyperlink r:id="rId23" location="Mapped_Island" ref="G18"/>
    <hyperlink r:id="rId24" location="Subterranean_Large_River" ref="W18"/>
    <hyperlink r:id="rId25" location="Jungle_at_the_Foothills" ref="G19"/>
    <hyperlink r:id="rId26" location="Charlotte" ref="G20"/>
    <hyperlink r:id="rId27" location="Remnants_of_Western_Village" ref="G21"/>
    <hyperlink r:id="rId28" location="Riverton" ref="G22"/>
    <hyperlink r:id="rId29" location="Vast_Land_of_Nothingness" ref="W22"/>
    <hyperlink r:id="rId30" location="Massilia" ref="G23"/>
    <hyperlink r:id="rId31" location="Nippur" ref="W23"/>
    <hyperlink r:id="rId32" location="Archipelago" ref="G24"/>
    <hyperlink r:id="rId33" location="Wilderness_of_Death" ref="G25"/>
    <hyperlink r:id="rId34" location="Great_Temple" ref="G26"/>
    <hyperlink r:id="rId35" location="Nightless_City_.2F_The_City_That_Never_Sleeps" ref="G27"/>
    <hyperlink r:id="rId36" location="Great_Temple" ref="W27"/>
    <hyperlink r:id="rId37" location="Northern_Palisade" ref="G28"/>
    <hyperlink r:id="rId38" location="Shinjuku_Imperial_Garden" ref="W28"/>
    <hyperlink r:id="rId39" location="Concealed_Village" ref="G29"/>
    <hyperlink r:id="rId40" location="Chasm_on_The_Ground" ref="W29"/>
    <hyperlink r:id="rId41" location="Phragmites_Prairie_.2F_Field_of_Reeds" ref="G30"/>
    <hyperlink r:id="rId42" location="Plateau" ref="G31"/>
    <hyperlink r:id="rId43" location="Northern_Wall" ref="G32"/>
    <hyperlink r:id="rId44" location="Clerkenwell" ref="W32"/>
    <hyperlink r:id="rId45" location="Marshland.2FBog" ref="G33"/>
    <hyperlink r:id="rId46" location="Nippur" ref="G34"/>
    <hyperlink r:id="rId47" location="Shinjuku_Station" ref="G35"/>
    <hyperlink r:id="rId48" location="Yoyogi_2-chome" ref="G36"/>
    <hyperlink r:id="rId49" location="Japan_National_Route_20" ref="G37"/>
    <hyperlink r:id="rId50" location="Holy_City_Districts" ref="W37"/>
    <hyperlink r:id="rId51" location="Shinjuku_4-chome" ref="G38"/>
    <hyperlink r:id="rId52" location="Subterranean_Moor" ref="W38"/>
    <hyperlink r:id="rId53" location="Shinjuku_Imperial_Garden" ref="G39"/>
    <hyperlink r:id="rId54" location="Shinjuku_4-chome" ref="W39"/>
    <hyperlink r:id="rId55" location="Castle_Town" ref="W45"/>
    <hyperlink r:id="rId56" location="Hill_Behind_The_Hermitage" ref="W46"/>
    <hyperlink r:id="rId57" location="Shinjuku_Station" ref="W50"/>
    <hyperlink r:id="rId58" location="Atlas_Academy" ref="W51"/>
    <hyperlink r:id="rId59" location="Abolished_Metropolis_Babylon" ref="G52"/>
    <hyperlink r:id="rId60" location="Riverside_Town" ref="G53"/>
    <hyperlink r:id="rId61" location="Paddy_Fields" ref="G54"/>
    <hyperlink r:id="rId62" location="El_Dorado" ref="G55"/>
    <hyperlink r:id="rId63" location="Campsite" ref="W55"/>
    <hyperlink r:id="rId64" location="Hamlet" ref="G56"/>
    <hyperlink r:id="rId65" location="Subterranean_Large_River" ref="W56"/>
    <hyperlink r:id="rId66" location="Cuthah" ref="G57"/>
    <hyperlink r:id="rId67" location="Evening_Bell_Mausoleum" ref="G58"/>
    <hyperlink r:id="rId68" location="Stormy_Seas" ref="G59"/>
    <hyperlink r:id="rId69" location="Paddy_Fields" ref="G60"/>
    <hyperlink r:id="rId70" location="Eridu" ref="W60"/>
    <hyperlink r:id="rId71" location="Hermitage" ref="G61"/>
    <hyperlink r:id="rId72" location="Orleans" ref="W61"/>
    <hyperlink r:id="rId73" location="Peach_Blossom_Spring" ref="G62"/>
    <hyperlink r:id="rId74" location="Holy_City_Districts" ref="G63"/>
    <hyperlink r:id="rId75" location="Hill_Behind_The_Hermitage" ref="G64"/>
    <hyperlink r:id="rId76" location="Chasm_on_The_Ground" ref="W64"/>
    <hyperlink r:id="rId77" location="Two-Current_Sea" ref="G65"/>
    <hyperlink r:id="rId78" location="Dunes_of_Daybreak" ref="W66"/>
    <hyperlink r:id="rId79" location="Chasm_on_The_Ground" ref="G67"/>
    <hyperlink r:id="rId80" location="Marshland.2FBog" ref="G68"/>
    <hyperlink r:id="rId81" location="Sunken_Rock_Seas" ref="G69"/>
    <hyperlink r:id="rId82" location="Barrel_Tower" ref="W70"/>
    <hyperlink r:id="rId83" location="Kabukich.C5.8D" ref="W71"/>
    <hyperlink r:id="rId84" location="Subterranean_Large_River" ref="G72"/>
    <hyperlink r:id="rId85" location="Riverside_Town" ref="G73"/>
    <hyperlink r:id="rId86" location="Campsite" ref="G74"/>
    <hyperlink r:id="rId87" location="Jungle_at_the_Foothills" ref="G75"/>
    <hyperlink r:id="rId88" location="Mount_Ahv.C4.81z" ref="W75"/>
    <hyperlink r:id="rId89" location="Ur" ref="W76"/>
    <hyperlink r:id="rId90" location="Barrel_Tower" ref="G79"/>
    <hyperlink r:id="rId91" location="Chicago" ref="G80"/>
    <hyperlink r:id="rId92" location="Kabukich.C5.8D" ref="G81"/>
    <hyperlink r:id="rId93" location="Unknown_Coordinates_X-A" ref="W81"/>
    <hyperlink r:id="rId94" location="Clerkenwell" ref="G82"/>
    <hyperlink r:id="rId95" location="Unknown_Coordinates_X-C" ref="W82"/>
    <hyperlink r:id="rId96" location="Black_Hills" ref="G83"/>
    <hyperlink r:id="rId97" location="Unknown_Coordinates_X-D" ref="W83"/>
    <hyperlink r:id="rId98" location="Shinjuku_2-chome" ref="G84"/>
    <hyperlink r:id="rId99" location="Hyde_Park" ref="G85"/>
    <hyperlink r:id="rId100" location="Unknown_Coordinates_X-D" ref="W86"/>
    <hyperlink r:id="rId101" location="Shaped_Isle" ref="W87"/>
    <hyperlink r:id="rId102" location="Florence" ref="W88"/>
    <hyperlink r:id="rId103" location="Southwark_.2F_Borough_of_Southwark" ref="G89"/>
    <hyperlink r:id="rId104" location="Westminster_.2F_City_of_Westminster" ref="G90"/>
    <hyperlink r:id="rId105" location="City_Of_London" ref="G91"/>
    <hyperlink r:id="rId106" location="Bordeaux" ref="W91"/>
    <hyperlink r:id="rId107" location="Unknown_Coordinates_X-C" ref="W92"/>
    <hyperlink r:id="rId108" location="City_Of_London" ref="W93"/>
    <hyperlink r:id="rId109" location="Vast_Land_of_Nothingness" ref="G94"/>
    <hyperlink r:id="rId110" location="Caldera_Island" ref="G95"/>
    <hyperlink r:id="rId111" location="Thiers" ref="W95"/>
    <hyperlink r:id="rId112" location="La_Charit.C3.A9" ref="W97"/>
    <hyperlink r:id="rId113" location="Island_of_Wyverns" ref="W98"/>
    <hyperlink r:id="rId114" location="Sovereign_Castle" ref="G99"/>
    <hyperlink r:id="rId115" location="Holy_City_Main_Entrance" ref="G100"/>
    <hyperlink r:id="rId116" location="Round_Table_Fortress" ref="G101"/>
    <hyperlink r:id="rId117" location="Shinjuku_Imperial_Garden" ref="W101"/>
    <hyperlink r:id="rId118" location="Yoyogi_2-chome" ref="W102"/>
    <hyperlink r:id="rId119" location="Regent_Park" ref="W103"/>
    <hyperlink r:id="rId120" location="Observatory" ref="G104"/>
    <hyperlink r:id="rId121" location="Archipelago" ref="G105"/>
    <hyperlink r:id="rId122" location="Mt._Etna" ref="W106"/>
    <hyperlink r:id="rId123" location="Old_Street" ref="W107"/>
    <hyperlink r:id="rId124" location="Bordeaux" ref="W108"/>
    <hyperlink r:id="rId125" location="Castle_Town" ref="G109"/>
    <hyperlink r:id="rId126" location="Tokejou" ref="G110"/>
    <hyperlink r:id="rId127" location="Hamlet" ref="G111"/>
    <hyperlink r:id="rId128" location="Gaul" ref="W111"/>
    <hyperlink r:id="rId129" location="Battlefield" ref="G112"/>
    <hyperlink r:id="rId130" location="Peach_Blossom_Spring" ref="W112"/>
    <hyperlink r:id="rId131" location="Hermitage" ref="G113"/>
    <hyperlink r:id="rId132" location="Two-Current_Sea" ref="W113"/>
    <hyperlink r:id="rId133" location="Sovereign_Castle" ref="W120"/>
    <hyperlink r:id="rId134" location="Montgomery" ref="W124"/>
    <hyperlink r:id="rId135" location="Riverton" ref="W128"/>
    <hyperlink r:id="rId136" location="Des_Moines" ref="W130"/>
    <hyperlink r:id="rId137" location="Pirate_Island" ref="W135"/>
    <hyperlink r:id="rId138" location="Westminster_.2F_City_of_Westminster" ref="W139"/>
    <hyperlink r:id="rId139" location="SOHO" ref="W140"/>
    <hyperlink r:id="rId140" location="Des_Moines" ref="G141"/>
    <hyperlink r:id="rId141" location="Subterranean_Moor" ref="G142"/>
    <hyperlink r:id="rId142" location="Shinjuku_4-chome" ref="G143"/>
    <hyperlink r:id="rId143" location="Ur" ref="G144"/>
    <hyperlink r:id="rId144" location="Remnants_of_Western_Village" ref="W145"/>
    <hyperlink r:id="rId145" location="Shinjuku_Imperial_Garden" ref="G146"/>
    <hyperlink r:id="rId146" location="Charlotte" ref="W148"/>
    <hyperlink r:id="rId147" location="Nippur" ref="G153"/>
    <hyperlink r:id="rId148" location="Mobile_Coordinates.2C_Point_0" ref="W157"/>
    <hyperlink r:id="rId149" location="Holy_City_Districts" ref="G158"/>
    <hyperlink r:id="rId150" location="Tower.27s_Top_Floor" ref="G159"/>
    <hyperlink r:id="rId151" location="Washington" ref="G160"/>
    <hyperlink r:id="rId152" location="Montgomery" ref="W162"/>
    <hyperlink r:id="rId153" location="Campsite" ref="G163"/>
    <hyperlink r:id="rId154" location="Eastern_Village" ref="G164"/>
    <hyperlink r:id="rId155" location="Kearney" ref="G165"/>
    <hyperlink r:id="rId156" location="Riverton" ref="W167"/>
    <hyperlink r:id="rId157" location="Shinjuku_2-chome" ref="G168"/>
    <hyperlink r:id="rId158" location="Alexandria" ref="G169"/>
    <hyperlink r:id="rId159" location="Jura" ref="W172"/>
    <hyperlink r:id="rId160" location="Northern_Palisade" ref="G173"/>
    <hyperlink r:id="rId161" location="Northern_Hill" ref="G174"/>
    <hyperlink r:id="rId162" location="Lubbock" ref="G175"/>
    <hyperlink r:id="rId163" location="Orleans" ref="W177"/>
    <hyperlink r:id="rId164" location="Concealed_Village" ref="G178"/>
    <hyperlink r:id="rId165" location="Dunes_of_Daybreak" ref="G179"/>
    <hyperlink r:id="rId166" location="Lyon" ref="W182"/>
    <hyperlink r:id="rId167" location="Great_Temple" ref="G183"/>
    <hyperlink r:id="rId168" location="Desert_Sandstorm" ref="G184"/>
    <hyperlink r:id="rId169" location="Charlotte" ref="W187"/>
    <hyperlink r:id="rId170" location="Blood_Fort_Andromeda" ref="G190"/>
    <hyperlink r:id="rId171" location="Black_Cedar_Forest" ref="G191"/>
    <hyperlink r:id="rId172" location="Northern_Wall" ref="G192"/>
    <hyperlink r:id="rId173" location="Arakawa_Prairie" ref="G195"/>
    <hyperlink r:id="rId174" location="Mount_Ahv.C4.81z" ref="G196"/>
    <hyperlink r:id="rId175" location="Palace_of_the_Dragon_King" ref="G200"/>
    <hyperlink r:id="rId176" location="Tokejou" ref="G201"/>
  </hyperlinks>
  <drawing r:id="rId17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4.57"/>
    <col customWidth="1" hidden="1" min="2" max="2" width="2.86"/>
    <col customWidth="1" min="3" max="3" width="12.14"/>
    <col customWidth="1" min="4" max="4" width="3.86"/>
    <col customWidth="1" hidden="1" min="5" max="5" width="9.57"/>
    <col customWidth="1" min="6" max="6" width="18.71"/>
    <col customWidth="1" min="7" max="7" width="34.43"/>
    <col customWidth="1" min="8" max="8" width="3.29"/>
    <col customWidth="1" min="9" max="10" width="7.86"/>
    <col customWidth="1" min="11" max="11" width="3.0"/>
    <col customWidth="1" min="12" max="12" width="9.86"/>
    <col customWidth="1" min="13" max="13" width="2.71"/>
    <col customWidth="1" min="14" max="14" width="8.0"/>
    <col customWidth="1" min="15" max="15" width="12.14"/>
    <col customWidth="1" min="16" max="16" width="0.86"/>
    <col customWidth="1" min="17" max="17" width="14.57"/>
    <col customWidth="1" hidden="1" min="18" max="18" width="2.86"/>
    <col customWidth="1" min="19" max="19" width="10.86"/>
    <col customWidth="1" min="20" max="20" width="3.86"/>
    <col customWidth="1" hidden="1" min="21" max="21" width="9.57"/>
    <col customWidth="1" min="22" max="22" width="18.71"/>
    <col customWidth="1" min="23" max="23" width="34.43"/>
    <col customWidth="1" min="24" max="24" width="3.29"/>
    <col customWidth="1" min="25" max="26" width="7.86"/>
    <col customWidth="1" min="27" max="27" width="3.0"/>
    <col customWidth="1" min="28" max="28" width="9.86"/>
    <col customWidth="1" min="29" max="29" width="2.71"/>
    <col customWidth="1" min="30" max="30" width="8.0"/>
    <col customWidth="1" min="31" max="31" width="11.71"/>
    <col customWidth="1" min="32" max="32" width="5.71"/>
  </cols>
  <sheetData>
    <row r="1" hidden="1">
      <c r="A1" s="5" t="str">
        <f>IFERROR(__xludf.DUMMYFUNCTION("IMPORTRANGE(Setup!C5,Setup!C7&amp;""!""&amp;Setup!F7)"),"")</f>
        <v/>
      </c>
      <c r="B1" s="5" t="str">
        <f>IFERROR(__xludf.DUMMYFUNCTION("""COMPUTED_VALUE"""),"")</f>
        <v/>
      </c>
      <c r="C1" s="5" t="str">
        <f>IFERROR(__xludf.DUMMYFUNCTION("""COMPUTED_VALUE"""),"")</f>
        <v/>
      </c>
      <c r="D1" s="5" t="str">
        <f>IFERROR(__xludf.DUMMYFUNCTION("""COMPUTED_VALUE"""),"")</f>
        <v/>
      </c>
      <c r="E1" s="5">
        <f>IFERROR(__xludf.DUMMYFUNCTION("""COMPUTED_VALUE"""),2.0)</f>
        <v>2</v>
      </c>
      <c r="F1" s="5" t="str">
        <f>IFERROR(__xludf.DUMMYFUNCTION("""COMPUTED_VALUE"""),"")</f>
        <v/>
      </c>
      <c r="G1" s="7" t="str">
        <f>IFERROR(__xludf.DUMMYFUNCTION("""COMPUTED_VALUE"""),"")</f>
        <v/>
      </c>
      <c r="H1" s="8" t="str">
        <f>IFERROR(__xludf.DUMMYFUNCTION("""COMPUTED_VALUE"""),"")</f>
        <v/>
      </c>
      <c r="I1" s="8">
        <f>IFERROR(__xludf.DUMMYFUNCTION("""COMPUTED_VALUE"""),25.0)</f>
        <v>25</v>
      </c>
      <c r="J1" s="8" t="str">
        <f>IFERROR(__xludf.DUMMYFUNCTION("""COMPUTED_VALUE"""),"")</f>
        <v/>
      </c>
      <c r="K1" s="8" t="str">
        <f>IFERROR(__xludf.DUMMYFUNCTION("""COMPUTED_VALUE"""),"")</f>
        <v/>
      </c>
      <c r="L1" s="8" t="str">
        <f>IFERROR(__xludf.DUMMYFUNCTION("""COMPUTED_VALUE"""),"")</f>
        <v/>
      </c>
      <c r="M1" s="8" t="str">
        <f>IFERROR(__xludf.DUMMYFUNCTION("""COMPUTED_VALUE"""),"")</f>
        <v/>
      </c>
      <c r="N1" s="8" t="str">
        <f>IFERROR(__xludf.DUMMYFUNCTION("""COMPUTED_VALUE"""),"")</f>
        <v/>
      </c>
      <c r="O1" s="8" t="str">
        <f>IFERROR(__xludf.DUMMYFUNCTION("""COMPUTED_VALUE"""),"")</f>
        <v/>
      </c>
      <c r="P1" s="9" t="str">
        <f>IFERROR(__xludf.DUMMYFUNCTION("""COMPUTED_VALUE"""),"")</f>
        <v/>
      </c>
      <c r="Q1" s="11" t="str">
        <f>IFERROR(__xludf.DUMMYFUNCTION("""COMPUTED_VALUE"""),"")</f>
        <v/>
      </c>
      <c r="R1" s="11" t="str">
        <f>IFERROR(__xludf.DUMMYFUNCTION("""COMPUTED_VALUE"""),"")</f>
        <v/>
      </c>
      <c r="S1" s="11" t="str">
        <f>IFERROR(__xludf.DUMMYFUNCTION("""COMPUTED_VALUE"""),"")</f>
        <v/>
      </c>
      <c r="T1" s="11" t="str">
        <f>IFERROR(__xludf.DUMMYFUNCTION("""COMPUTED_VALUE"""),"")</f>
        <v/>
      </c>
      <c r="U1" s="11" t="str">
        <f>IFERROR(__xludf.DUMMYFUNCTION("""COMPUTED_VALUE"""),"")</f>
        <v/>
      </c>
      <c r="V1" s="11" t="str">
        <f>IFERROR(__xludf.DUMMYFUNCTION("""COMPUTED_VALUE"""),"")</f>
        <v/>
      </c>
      <c r="W1" s="11" t="str">
        <f>IFERROR(__xludf.DUMMYFUNCTION("""COMPUTED_VALUE"""),"")</f>
        <v/>
      </c>
      <c r="X1" s="11" t="str">
        <f>IFERROR(__xludf.DUMMYFUNCTION("""COMPUTED_VALUE"""),"")</f>
        <v/>
      </c>
      <c r="Y1" t="str">
        <f>IFERROR(__xludf.DUMMYFUNCTION("""COMPUTED_VALUE"""),"")</f>
        <v/>
      </c>
      <c r="Z1" s="12" t="str">
        <f>IFERROR(__xludf.DUMMYFUNCTION("""COMPUTED_VALUE"""),"")</f>
        <v/>
      </c>
      <c r="AA1" s="12" t="str">
        <f>IFERROR(__xludf.DUMMYFUNCTION("""COMPUTED_VALUE"""),"")</f>
        <v/>
      </c>
      <c r="AB1" t="str">
        <f>IFERROR(__xludf.DUMMYFUNCTION("""COMPUTED_VALUE"""),"")</f>
        <v/>
      </c>
      <c r="AC1" s="12" t="str">
        <f>IFERROR(__xludf.DUMMYFUNCTION("""COMPUTED_VALUE"""),"")</f>
        <v/>
      </c>
      <c r="AD1" s="12" t="str">
        <f>IFERROR(__xludf.DUMMYFUNCTION("""COMPUTED_VALUE"""),"")</f>
        <v/>
      </c>
      <c r="AE1" s="14" t="str">
        <f>IFERROR(__xludf.DUMMYFUNCTION("""COMPUTED_VALUE"""),"")</f>
        <v/>
      </c>
      <c r="AF1" s="12" t="str">
        <f>IFERROR(__xludf.DUMMYFUNCTION("""COMPUTED_VALUE"""),"")</f>
        <v/>
      </c>
    </row>
    <row r="2" ht="16.5" customHeight="1">
      <c r="A2" s="5" t="str">
        <f>IFERROR(__xludf.DUMMYFUNCTION("""COMPUTED_VALUE"""),"Best 5 Droprate Locations (NA)")</f>
        <v>Best 5 Droprate Locations (NA)</v>
      </c>
      <c r="G2" s="21" t="str">
        <f>IFERROR(__xludf.DUMMYFUNCTION("""COMPUTED_VALUE"""),"Advanced Sheet")</f>
        <v>Advanced Sheet</v>
      </c>
      <c r="H2" s="8" t="str">
        <f>IFERROR(__xludf.DUMMYFUNCTION("""COMPUTED_VALUE"""),"")</f>
        <v/>
      </c>
      <c r="I2" s="8" t="str">
        <f>IFERROR(__xludf.DUMMYFUNCTION("""COMPUTED_VALUE"""),"")</f>
        <v/>
      </c>
      <c r="J2" s="8" t="str">
        <f>IFERROR(__xludf.DUMMYFUNCTION("""COMPUTED_VALUE"""),"")</f>
        <v/>
      </c>
      <c r="K2" s="8" t="str">
        <f>IFERROR(__xludf.DUMMYFUNCTION("""COMPUTED_VALUE"""),"")</f>
        <v/>
      </c>
      <c r="L2" s="8" t="str">
        <f>IFERROR(__xludf.DUMMYFUNCTION("""COMPUTED_VALUE"""),"")</f>
        <v/>
      </c>
      <c r="M2" s="8" t="str">
        <f>IFERROR(__xludf.DUMMYFUNCTION("""COMPUTED_VALUE"""),"")</f>
        <v/>
      </c>
      <c r="N2" s="8" t="str">
        <f>IFERROR(__xludf.DUMMYFUNCTION("""COMPUTED_VALUE"""),"")</f>
        <v/>
      </c>
      <c r="O2" s="8" t="str">
        <f>IFERROR(__xludf.DUMMYFUNCTION("""COMPUTED_VALUE"""),"")</f>
        <v/>
      </c>
      <c r="P2" s="9" t="str">
        <f>IFERROR(__xludf.DUMMYFUNCTION("""COMPUTED_VALUE"""),"")</f>
        <v/>
      </c>
      <c r="Q2" s="21" t="str">
        <f>IFERROR(__xludf.DUMMYFUNCTION("""COMPUTED_VALUE"""),"Submissions")</f>
        <v>Submissions</v>
      </c>
      <c r="R2" s="11" t="str">
        <f>IFERROR(__xludf.DUMMYFUNCTION("""COMPUTED_VALUE"""),"")</f>
        <v/>
      </c>
      <c r="S2" s="11" t="str">
        <f>IFERROR(__xludf.DUMMYFUNCTION("""COMPUTED_VALUE"""),"")</f>
        <v/>
      </c>
      <c r="T2" s="11" t="str">
        <f>IFERROR(__xludf.DUMMYFUNCTION("""COMPUTED_VALUE"""),"")</f>
        <v/>
      </c>
      <c r="U2" s="11" t="str">
        <f>IFERROR(__xludf.DUMMYFUNCTION("""COMPUTED_VALUE"""),"")</f>
        <v/>
      </c>
      <c r="V2" s="11" t="str">
        <f>IFERROR(__xludf.DUMMYFUNCTION("""COMPUTED_VALUE"""),"")</f>
        <v/>
      </c>
      <c r="W2" s="11" t="str">
        <f>IFERROR(__xludf.DUMMYFUNCTION("""COMPUTED_VALUE"""),"")</f>
        <v/>
      </c>
      <c r="X2" s="11" t="str">
        <f>IFERROR(__xludf.DUMMYFUNCTION("""COMPUTED_VALUE"""),"")</f>
        <v/>
      </c>
      <c r="Y2" t="str">
        <f>IFERROR(__xludf.DUMMYFUNCTION("""COMPUTED_VALUE"""),"")</f>
        <v/>
      </c>
      <c r="Z2" s="12" t="str">
        <f>IFERROR(__xludf.DUMMYFUNCTION("""COMPUTED_VALUE"""),"")</f>
        <v/>
      </c>
      <c r="AA2" s="12" t="str">
        <f>IFERROR(__xludf.DUMMYFUNCTION("""COMPUTED_VALUE"""),"")</f>
        <v/>
      </c>
      <c r="AB2" t="str">
        <f>IFERROR(__xludf.DUMMYFUNCTION("""COMPUTED_VALUE"""),"")</f>
        <v/>
      </c>
      <c r="AC2" s="12" t="str">
        <f>IFERROR(__xludf.DUMMYFUNCTION("""COMPUTED_VALUE"""),"")</f>
        <v/>
      </c>
      <c r="AD2" s="12" t="str">
        <f>IFERROR(__xludf.DUMMYFUNCTION("""COMPUTED_VALUE"""),"")</f>
        <v/>
      </c>
      <c r="AE2" s="14" t="str">
        <f>IFERROR(__xludf.DUMMYFUNCTION("""COMPUTED_VALUE"""),"")</f>
        <v/>
      </c>
      <c r="AF2" s="12" t="str">
        <f>IFERROR(__xludf.DUMMYFUNCTION("""COMPUTED_VALUE"""),"")</f>
        <v/>
      </c>
    </row>
    <row r="3" ht="16.5" customHeight="1">
      <c r="A3" s="25" t="str">
        <f>IFERROR(__xludf.DUMMYFUNCTION("""COMPUTED_VALUE"""),"Item")</f>
        <v>Item</v>
      </c>
      <c r="B3" s="27"/>
      <c r="C3" s="28"/>
      <c r="D3" s="30" t="str">
        <f>IFERROR(__xludf.DUMMYFUNCTION("""COMPUTED_VALUE"""),"No.")</f>
        <v>No.</v>
      </c>
      <c r="E3" s="31" t="str">
        <f>IFERROR(__xludf.DUMMYFUNCTION("""COMPUTED_VALUE"""),"Node Code")</f>
        <v>Node Code</v>
      </c>
      <c r="F3" s="31" t="str">
        <f>IFERROR(__xludf.DUMMYFUNCTION("""COMPUTED_VALUE"""),"Area")</f>
        <v>Area</v>
      </c>
      <c r="G3" s="31" t="str">
        <f>IFERROR(__xludf.DUMMYFUNCTION("""COMPUTED_VALUE"""),"Quest")</f>
        <v>Quest</v>
      </c>
      <c r="H3" s="30" t="str">
        <f>IFERROR(__xludf.DUMMYFUNCTION("""COMPUTED_VALUE"""),"AP")</f>
        <v>AP</v>
      </c>
      <c r="I3" s="34" t="str">
        <f>IFERROR(__xludf.DUMMYFUNCTION("""COMPUTED_VALUE"""),"BP/AP")</f>
        <v>BP/AP</v>
      </c>
      <c r="J3" s="36" t="str">
        <f>IFERROR(__xludf.DUMMYFUNCTION("""COMPUTED_VALUE"""),"AP/Drop")</f>
        <v>AP/Drop</v>
      </c>
      <c r="K3" s="28"/>
      <c r="L3" s="36" t="str">
        <f>IFERROR(__xludf.DUMMYFUNCTION("""COMPUTED_VALUE"""),"Drop Chance")</f>
        <v>Drop Chance</v>
      </c>
      <c r="M3" s="28"/>
      <c r="N3" s="38" t="str">
        <f>IFERROR(__xludf.DUMMYFUNCTION("""COMPUTED_VALUE"""),"Runs")</f>
        <v>Runs</v>
      </c>
      <c r="O3" s="40" t="str">
        <f>IFERROR(__xludf.DUMMYFUNCTION("""COMPUTED_VALUE"""),"")</f>
        <v/>
      </c>
      <c r="P3" s="42" t="str">
        <f>IFERROR(__xludf.DUMMYFUNCTION("""COMPUTED_VALUE"""),"")</f>
        <v/>
      </c>
      <c r="Q3" s="25" t="str">
        <f>IFERROR(__xludf.DUMMYFUNCTION("""COMPUTED_VALUE"""),"Item")</f>
        <v>Item</v>
      </c>
      <c r="R3" s="27"/>
      <c r="S3" s="28"/>
      <c r="T3" s="30" t="str">
        <f>IFERROR(__xludf.DUMMYFUNCTION("""COMPUTED_VALUE"""),"No.")</f>
        <v>No.</v>
      </c>
      <c r="U3" s="31" t="str">
        <f>IFERROR(__xludf.DUMMYFUNCTION("""COMPUTED_VALUE"""),"Node Code")</f>
        <v>Node Code</v>
      </c>
      <c r="V3" s="31" t="str">
        <f>IFERROR(__xludf.DUMMYFUNCTION("""COMPUTED_VALUE"""),"Area")</f>
        <v>Area</v>
      </c>
      <c r="W3" s="31" t="str">
        <f>IFERROR(__xludf.DUMMYFUNCTION("""COMPUTED_VALUE"""),"Quest")</f>
        <v>Quest</v>
      </c>
      <c r="X3" s="30" t="str">
        <f>IFERROR(__xludf.DUMMYFUNCTION("""COMPUTED_VALUE"""),"AP")</f>
        <v>AP</v>
      </c>
      <c r="Y3" s="34" t="str">
        <f>IFERROR(__xludf.DUMMYFUNCTION("""COMPUTED_VALUE"""),"BP/AP")</f>
        <v>BP/AP</v>
      </c>
      <c r="Z3" s="36" t="str">
        <f>IFERROR(__xludf.DUMMYFUNCTION("""COMPUTED_VALUE"""),"AP/Drop")</f>
        <v>AP/Drop</v>
      </c>
      <c r="AA3" s="28"/>
      <c r="AB3" s="36" t="str">
        <f>IFERROR(__xludf.DUMMYFUNCTION("""COMPUTED_VALUE"""),"Drop Chance")</f>
        <v>Drop Chance</v>
      </c>
      <c r="AC3" s="28"/>
      <c r="AD3" s="38" t="str">
        <f>IFERROR(__xludf.DUMMYFUNCTION("""COMPUTED_VALUE"""),"Runs")</f>
        <v>Runs</v>
      </c>
      <c r="AE3" s="40" t="str">
        <f>IFERROR(__xludf.DUMMYFUNCTION("""COMPUTED_VALUE"""),"")</f>
        <v/>
      </c>
      <c r="AF3" s="51" t="str">
        <f>IFERROR(__xludf.DUMMYFUNCTION("""COMPUTED_VALUE"""),"")</f>
        <v/>
      </c>
    </row>
    <row r="4" ht="16.5" customHeight="1">
      <c r="A4" s="54"/>
      <c r="B4" s="55"/>
      <c r="C4" s="57"/>
      <c r="D4" s="57"/>
      <c r="E4" s="57"/>
      <c r="F4" s="57"/>
      <c r="G4" s="57"/>
      <c r="H4" s="57"/>
      <c r="I4" s="58" t="str">
        <f>IFERROR(__xludf.DUMMYFUNCTION("""COMPUTED_VALUE"""),"1P+2L")</f>
        <v>1P+2L</v>
      </c>
      <c r="J4" s="55"/>
      <c r="K4" s="57"/>
      <c r="L4" s="55"/>
      <c r="M4" s="57"/>
      <c r="N4" s="57"/>
      <c r="O4" s="57"/>
      <c r="P4" s="42" t="str">
        <f>IFERROR(__xludf.DUMMYFUNCTION("""COMPUTED_VALUE"""),"")</f>
        <v/>
      </c>
      <c r="Q4" s="54"/>
      <c r="R4" s="55"/>
      <c r="S4" s="57"/>
      <c r="T4" s="57"/>
      <c r="U4" s="57"/>
      <c r="V4" s="57"/>
      <c r="W4" s="57"/>
      <c r="X4" s="57"/>
      <c r="Y4" s="58" t="str">
        <f>IFERROR(__xludf.DUMMYFUNCTION("""COMPUTED_VALUE"""),"1P+2L")</f>
        <v>1P+2L</v>
      </c>
      <c r="Z4" s="55"/>
      <c r="AA4" s="57"/>
      <c r="AB4" s="55"/>
      <c r="AC4" s="57"/>
      <c r="AD4" s="57"/>
      <c r="AE4" s="57"/>
      <c r="AF4" s="51" t="str">
        <f>IFERROR(__xludf.DUMMYFUNCTION("""COMPUTED_VALUE"""),"")</f>
        <v/>
      </c>
    </row>
    <row r="5" ht="16.5" customHeight="1">
      <c r="A5" s="61" t="str">
        <f>IFERROR(__xludf.DUMMYFUNCTION("""COMPUTED_VALUE"""),"")</f>
        <v/>
      </c>
      <c r="B5" s="63" t="str">
        <f>IFERROR(__xludf.DUMMYFUNCTION("""COMPUTED_VALUE"""),"A301")</f>
        <v>A301</v>
      </c>
      <c r="C5" s="65" t="str">
        <f>IFERROR(__xludf.DUMMYFUNCTION("""COMPUTED_VALUE"""),"Proof of Hero")</f>
        <v>Proof of Hero</v>
      </c>
      <c r="D5" s="70">
        <f>IFERROR(__xludf.DUMMYFUNCTION("""COMPUTED_VALUE"""),1.0)</f>
        <v>1</v>
      </c>
      <c r="E5" s="73" t="str">
        <f>IFERROR(__xludf.DUMMYFUNCTION("""COMPUTED_VALUE"""),"EPU5")</f>
        <v>EPU5</v>
      </c>
      <c r="F5" s="76" t="str">
        <f>IFERROR(__xludf.DUMMYFUNCTION("""COMPUTED_VALUE"""),"E Pluribus Unum")</f>
        <v>E Pluribus Unum</v>
      </c>
      <c r="G5" s="85" t="str">
        <f>IFERROR(__xludf.DUMMYFUNCTION("""COMPUTED_VALUE"""),"Dallas")</f>
        <v>Dallas</v>
      </c>
      <c r="H5" s="87">
        <f>IFERROR(__xludf.DUMMYFUNCTION("""COMPUTED_VALUE"""),17.0)</f>
        <v>17</v>
      </c>
      <c r="I5" s="90">
        <f>IFERROR(__xludf.DUMMYFUNCTION("""COMPUTED_VALUE"""),42.11764705882353)</f>
        <v>42.11764706</v>
      </c>
      <c r="J5" s="92">
        <f>IFERROR(__xludf.DUMMYFUNCTION("""COMPUTED_VALUE"""),25.426625289609163)</f>
        <v>25.42662529</v>
      </c>
      <c r="K5" s="94" t="str">
        <f>IFERROR(__xludf.DUMMYFUNCTION("""COMPUTED_VALUE"""),"AP")</f>
        <v>AP</v>
      </c>
      <c r="L5" s="96">
        <f>IFERROR(__xludf.DUMMYFUNCTION("""COMPUTED_VALUE"""),66.85904954499493)</f>
        <v>66.85904954</v>
      </c>
      <c r="M5" s="94" t="str">
        <f>IFERROR(__xludf.DUMMYFUNCTION("""COMPUTED_VALUE"""),"％")</f>
        <v>％</v>
      </c>
      <c r="N5" s="87">
        <f>IFERROR(__xludf.DUMMYFUNCTION("""COMPUTED_VALUE"""),6923.0)</f>
        <v>6923</v>
      </c>
      <c r="O5" s="97" t="str">
        <f>IFERROR(__xludf.DUMMYFUNCTION("""COMPUTED_VALUE"""),"Proof of Hero")</f>
        <v>Proof of Hero</v>
      </c>
      <c r="P5" s="93" t="str">
        <f>IFERROR(__xludf.DUMMYFUNCTION("""COMPUTED_VALUE"""),"")</f>
        <v/>
      </c>
      <c r="Q5" s="61" t="str">
        <f>IFERROR(__xludf.DUMMYFUNCTION("""COMPUTED_VALUE"""),"")</f>
        <v/>
      </c>
      <c r="R5" s="95" t="str">
        <f>IFERROR(__xludf.DUMMYFUNCTION("""COMPUTED_VALUE"""),"B101")</f>
        <v>B101</v>
      </c>
      <c r="S5" s="65" t="str">
        <f>IFERROR(__xludf.DUMMYFUNCTION("""COMPUTED_VALUE"""),"Secret Gem of Saber")</f>
        <v>Secret Gem of Saber</v>
      </c>
      <c r="T5" s="70">
        <f>IFERROR(__xludf.DUMMYFUNCTION("""COMPUTED_VALUE"""),1.0)</f>
        <v>1</v>
      </c>
      <c r="U5" s="73" t="str">
        <f>IFERROR(__xludf.DUMMYFUNCTION("""COMPUTED_VALUE"""),"TRF28")</f>
        <v>TRF28</v>
      </c>
      <c r="V5" s="76" t="str">
        <f>IFERROR(__xludf.DUMMYFUNCTION("""COMPUTED_VALUE"""),"Chaldea Gate (Sun)")</f>
        <v>Chaldea Gate (Sun)</v>
      </c>
      <c r="W5" s="76" t="str">
        <f>IFERROR(__xludf.DUMMYFUNCTION("""COMPUTED_VALUE"""),"SUN Saber Training Ground- Exp")</f>
        <v>SUN Saber Training Ground- Exp</v>
      </c>
      <c r="X5" s="87">
        <f>IFERROR(__xludf.DUMMYFUNCTION("""COMPUTED_VALUE"""),40.0)</f>
        <v>40</v>
      </c>
      <c r="Y5" s="90">
        <f>IFERROR(__xludf.DUMMYFUNCTION("""COMPUTED_VALUE"""),19.7)</f>
        <v>19.7</v>
      </c>
      <c r="Z5" s="92">
        <f>IFERROR(__xludf.DUMMYFUNCTION("""COMPUTED_VALUE"""),143.71063146000265)</f>
        <v>143.7106315</v>
      </c>
      <c r="AA5" s="94" t="str">
        <f>IFERROR(__xludf.DUMMYFUNCTION("""COMPUTED_VALUE"""),"AP")</f>
        <v>AP</v>
      </c>
      <c r="AB5" s="96">
        <f>IFERROR(__xludf.DUMMYFUNCTION("""COMPUTED_VALUE"""),27.833709721839718)</f>
        <v>27.83370972</v>
      </c>
      <c r="AC5" s="94" t="str">
        <f>IFERROR(__xludf.DUMMYFUNCTION("""COMPUTED_VALUE"""),"％")</f>
        <v>％</v>
      </c>
      <c r="AD5" s="87">
        <f>IFERROR(__xludf.DUMMYFUNCTION("""COMPUTED_VALUE"""),21786.0)</f>
        <v>21786</v>
      </c>
      <c r="AE5" s="97" t="str">
        <f>IFERROR(__xludf.DUMMYFUNCTION("""COMPUTED_VALUE"""),"Secret Gem of Saber")</f>
        <v>Secret Gem of Saber</v>
      </c>
      <c r="AF5" s="98" t="str">
        <f>IFERROR(__xludf.DUMMYFUNCTION("""COMPUTED_VALUE"""),"")</f>
        <v/>
      </c>
    </row>
    <row r="6" ht="16.5" customHeight="1">
      <c r="B6" s="99"/>
      <c r="C6" s="100"/>
      <c r="D6" s="105">
        <f>IFERROR(__xludf.DUMMYFUNCTION("""COMPUTED_VALUE"""),2.0)</f>
        <v>2</v>
      </c>
      <c r="E6" s="106" t="str">
        <f>IFERROR(__xludf.DUMMYFUNCTION("""COMPUTED_VALUE"""),"EPU8")</f>
        <v>EPU8</v>
      </c>
      <c r="F6" s="107" t="str">
        <f>IFERROR(__xludf.DUMMYFUNCTION("""COMPUTED_VALUE"""),"E Pluribus Unum")</f>
        <v>E Pluribus Unum</v>
      </c>
      <c r="G6" s="114" t="str">
        <f>IFERROR(__xludf.DUMMYFUNCTION("""COMPUTED_VALUE"""),"Montgomery")</f>
        <v>Montgomery</v>
      </c>
      <c r="H6" s="116">
        <f>IFERROR(__xludf.DUMMYFUNCTION("""COMPUTED_VALUE"""),18.0)</f>
        <v>18</v>
      </c>
      <c r="I6" s="118">
        <f>IFERROR(__xludf.DUMMYFUNCTION("""COMPUTED_VALUE"""),42.44444444444444)</f>
        <v>42.44444444</v>
      </c>
      <c r="J6" s="120">
        <f>IFERROR(__xludf.DUMMYFUNCTION("""COMPUTED_VALUE"""),29.52073419442556)</f>
        <v>29.52073419</v>
      </c>
      <c r="K6" s="122" t="str">
        <f>IFERROR(__xludf.DUMMYFUNCTION("""COMPUTED_VALUE"""),"AP")</f>
        <v>AP</v>
      </c>
      <c r="L6" s="124">
        <f>IFERROR(__xludf.DUMMYFUNCTION("""COMPUTED_VALUE"""),60.97409326424871)</f>
        <v>60.97409326</v>
      </c>
      <c r="M6" s="122" t="str">
        <f>IFERROR(__xludf.DUMMYFUNCTION("""COMPUTED_VALUE"""),"％")</f>
        <v>％</v>
      </c>
      <c r="N6" s="116">
        <f>IFERROR(__xludf.DUMMYFUNCTION("""COMPUTED_VALUE"""),2123.0)</f>
        <v>2123</v>
      </c>
      <c r="O6" s="100"/>
      <c r="P6" s="93" t="str">
        <f>IFERROR(__xludf.DUMMYFUNCTION("""COMPUTED_VALUE"""),"")</f>
        <v/>
      </c>
      <c r="S6" s="100"/>
      <c r="T6" s="105">
        <f>IFERROR(__xludf.DUMMYFUNCTION("""COMPUTED_VALUE"""),2.0)</f>
        <v>2</v>
      </c>
      <c r="U6" s="106" t="str">
        <f>IFERROR(__xludf.DUMMYFUNCTION("""COMPUTED_VALUE"""),"TRF27")</f>
        <v>TRF27</v>
      </c>
      <c r="V6" s="107" t="str">
        <f>IFERROR(__xludf.DUMMYFUNCTION("""COMPUTED_VALUE"""),"Chaldea Gate (Sun)")</f>
        <v>Chaldea Gate (Sun)</v>
      </c>
      <c r="W6" s="107" t="str">
        <f>IFERROR(__xludf.DUMMYFUNCTION("""COMPUTED_VALUE"""),"SUN Saber Training Ground- Adv")</f>
        <v>SUN Saber Training Ground- Adv</v>
      </c>
      <c r="X6" s="116">
        <f>IFERROR(__xludf.DUMMYFUNCTION("""COMPUTED_VALUE"""),30.0)</f>
        <v>30</v>
      </c>
      <c r="Y6" s="118">
        <f>IFERROR(__xludf.DUMMYFUNCTION("""COMPUTED_VALUE"""),18.266666666666666)</f>
        <v>18.26666667</v>
      </c>
      <c r="Z6" s="120">
        <f>IFERROR(__xludf.DUMMYFUNCTION("""COMPUTED_VALUE"""),601.0043041606887)</f>
        <v>601.0043042</v>
      </c>
      <c r="AA6" s="122" t="str">
        <f>IFERROR(__xludf.DUMMYFUNCTION("""COMPUTED_VALUE"""),"AP")</f>
        <v>AP</v>
      </c>
      <c r="AB6" s="124">
        <f>IFERROR(__xludf.DUMMYFUNCTION("""COMPUTED_VALUE"""),4.991644783957986)</f>
        <v>4.991644784</v>
      </c>
      <c r="AC6" s="122" t="str">
        <f>IFERROR(__xludf.DUMMYFUNCTION("""COMPUTED_VALUE"""),"％")</f>
        <v>％</v>
      </c>
      <c r="AD6" s="116">
        <f>IFERROR(__xludf.DUMMYFUNCTION("""COMPUTED_VALUE"""),4189.0)</f>
        <v>4189</v>
      </c>
      <c r="AE6" s="100"/>
      <c r="AF6" s="98" t="str">
        <f>IFERROR(__xludf.DUMMYFUNCTION("""COMPUTED_VALUE"""),"")</f>
        <v/>
      </c>
    </row>
    <row r="7" ht="16.5" customHeight="1">
      <c r="B7" s="99"/>
      <c r="C7" s="100"/>
      <c r="D7" s="128">
        <f>IFERROR(__xludf.DUMMYFUNCTION("""COMPUTED_VALUE"""),3.0)</f>
        <v>3</v>
      </c>
      <c r="E7" s="129" t="str">
        <f>IFERROR(__xludf.DUMMYFUNCTION("""COMPUTED_VALUE"""),"OKN1")</f>
        <v>OKN1</v>
      </c>
      <c r="F7" s="131" t="str">
        <f>IFERROR(__xludf.DUMMYFUNCTION("""COMPUTED_VALUE"""),"Okeanos")</f>
        <v>Okeanos</v>
      </c>
      <c r="G7" s="134" t="str">
        <f>IFERROR(__xludf.DUMMYFUNCTION("""COMPUTED_VALUE"""),"Pirate Ship")</f>
        <v>Pirate Ship</v>
      </c>
      <c r="H7" s="136">
        <f>IFERROR(__xludf.DUMMYFUNCTION("""COMPUTED_VALUE"""),12.0)</f>
        <v>12</v>
      </c>
      <c r="I7" s="138">
        <f>IFERROR(__xludf.DUMMYFUNCTION("""COMPUTED_VALUE"""),33.666666666666664)</f>
        <v>33.66666667</v>
      </c>
      <c r="J7" s="140">
        <f>IFERROR(__xludf.DUMMYFUNCTION("""COMPUTED_VALUE"""),20.414613739890303)</f>
        <v>20.41461374</v>
      </c>
      <c r="K7" s="142" t="str">
        <f>IFERROR(__xludf.DUMMYFUNCTION("""COMPUTED_VALUE"""),"AP")</f>
        <v>AP</v>
      </c>
      <c r="L7" s="144">
        <f>IFERROR(__xludf.DUMMYFUNCTION("""COMPUTED_VALUE"""),58.78142076502732)</f>
        <v>58.78142077</v>
      </c>
      <c r="M7" s="142" t="str">
        <f>IFERROR(__xludf.DUMMYFUNCTION("""COMPUTED_VALUE"""),"％")</f>
        <v>％</v>
      </c>
      <c r="N7" s="136">
        <f>IFERROR(__xludf.DUMMYFUNCTION("""COMPUTED_VALUE"""),6222.0)</f>
        <v>6222</v>
      </c>
      <c r="O7" s="100"/>
      <c r="P7" s="93" t="str">
        <f>IFERROR(__xludf.DUMMYFUNCTION("""COMPUTED_VALUE"""),"")</f>
        <v/>
      </c>
      <c r="S7" s="100"/>
      <c r="T7" s="128">
        <f>IFERROR(__xludf.DUMMYFUNCTION("""COMPUTED_VALUE"""),3.0)</f>
        <v>3</v>
      </c>
      <c r="U7" s="129" t="str">
        <f>IFERROR(__xludf.DUMMYFUNCTION("""COMPUTED_VALUE"""),"SJK8")</f>
        <v>SJK8</v>
      </c>
      <c r="V7" s="131" t="str">
        <f>IFERROR(__xludf.DUMMYFUNCTION("""COMPUTED_VALUE"""),"Shinjuku")</f>
        <v>Shinjuku</v>
      </c>
      <c r="W7" s="134" t="str">
        <f>IFERROR(__xludf.DUMMYFUNCTION("""COMPUTED_VALUE"""),"Tower - Top Floor")</f>
        <v>Tower - Top Floor</v>
      </c>
      <c r="X7" s="136">
        <f>IFERROR(__xludf.DUMMYFUNCTION("""COMPUTED_VALUE"""),21.0)</f>
        <v>21</v>
      </c>
      <c r="Y7" s="138">
        <f>IFERROR(__xludf.DUMMYFUNCTION("""COMPUTED_VALUE"""),47.80952380952381)</f>
        <v>47.80952381</v>
      </c>
      <c r="Z7" s="140">
        <f>IFERROR(__xludf.DUMMYFUNCTION("""COMPUTED_VALUE"""),457.4396782841824)</f>
        <v>457.4396783</v>
      </c>
      <c r="AA7" s="142" t="str">
        <f>IFERROR(__xludf.DUMMYFUNCTION("""COMPUTED_VALUE"""),"AP")</f>
        <v>AP</v>
      </c>
      <c r="AB7" s="144">
        <f>IFERROR(__xludf.DUMMYFUNCTION("""COMPUTED_VALUE"""),4.59076923076923)</f>
        <v>4.590769231</v>
      </c>
      <c r="AC7" s="142" t="str">
        <f>IFERROR(__xludf.DUMMYFUNCTION("""COMPUTED_VALUE"""),"％")</f>
        <v>％</v>
      </c>
      <c r="AD7" s="136">
        <f>IFERROR(__xludf.DUMMYFUNCTION("""COMPUTED_VALUE"""),3250.0)</f>
        <v>3250</v>
      </c>
      <c r="AE7" s="100"/>
      <c r="AF7" s="98" t="str">
        <f>IFERROR(__xludf.DUMMYFUNCTION("""COMPUTED_VALUE"""),"")</f>
        <v/>
      </c>
    </row>
    <row r="8" ht="16.5" customHeight="1">
      <c r="B8" s="99"/>
      <c r="C8" s="100"/>
      <c r="D8" s="147">
        <f>IFERROR(__xludf.DUMMYFUNCTION("""COMPUTED_VALUE"""),4.0)</f>
        <v>4</v>
      </c>
      <c r="E8" s="149" t="str">
        <f>IFERROR(__xludf.DUMMYFUNCTION("""COMPUTED_VALUE"""),"EPU9")</f>
        <v>EPU9</v>
      </c>
      <c r="F8" s="151" t="str">
        <f>IFERROR(__xludf.DUMMYFUNCTION("""COMPUTED_VALUE"""),"E Pluribus Unum")</f>
        <v>E Pluribus Unum</v>
      </c>
      <c r="G8" s="153" t="str">
        <f>IFERROR(__xludf.DUMMYFUNCTION("""COMPUTED_VALUE"""),"Lubbock")</f>
        <v>Lubbock</v>
      </c>
      <c r="H8" s="155">
        <f>IFERROR(__xludf.DUMMYFUNCTION("""COMPUTED_VALUE"""),18.0)</f>
        <v>18</v>
      </c>
      <c r="I8" s="157">
        <f>IFERROR(__xludf.DUMMYFUNCTION("""COMPUTED_VALUE"""),43.77777777777778)</f>
        <v>43.77777778</v>
      </c>
      <c r="J8" s="159">
        <f>IFERROR(__xludf.DUMMYFUNCTION("""COMPUTED_VALUE"""),32.62093862815885)</f>
        <v>32.62093863</v>
      </c>
      <c r="K8" s="161" t="str">
        <f>IFERROR(__xludf.DUMMYFUNCTION("""COMPUTED_VALUE"""),"AP")</f>
        <v>AP</v>
      </c>
      <c r="L8" s="163">
        <f>IFERROR(__xludf.DUMMYFUNCTION("""COMPUTED_VALUE"""),55.179282868525895)</f>
        <v>55.17928287</v>
      </c>
      <c r="M8" s="161" t="str">
        <f>IFERROR(__xludf.DUMMYFUNCTION("""COMPUTED_VALUE"""),"％")</f>
        <v>％</v>
      </c>
      <c r="N8" s="155">
        <f>IFERROR(__xludf.DUMMYFUNCTION("""COMPUTED_VALUE"""),502.0)</f>
        <v>502</v>
      </c>
      <c r="O8" s="100"/>
      <c r="P8" s="93" t="str">
        <f>IFERROR(__xludf.DUMMYFUNCTION("""COMPUTED_VALUE"""),"")</f>
        <v/>
      </c>
      <c r="S8" s="100"/>
      <c r="T8" s="147">
        <f>IFERROR(__xludf.DUMMYFUNCTION("""COMPUTED_VALUE"""),4.0)</f>
        <v>4</v>
      </c>
      <c r="U8" s="149" t="str">
        <f>IFERROR(__xludf.DUMMYFUNCTION("""COMPUTED_VALUE"""),"AGT3")</f>
        <v>AGT3</v>
      </c>
      <c r="V8" s="151" t="str">
        <f>IFERROR(__xludf.DUMMYFUNCTION("""COMPUTED_VALUE"""),"Agartha")</f>
        <v>Agartha</v>
      </c>
      <c r="W8" s="153" t="str">
        <f>IFERROR(__xludf.DUMMYFUNCTION("""COMPUTED_VALUE"""),"Riverside Town")</f>
        <v>Riverside Town</v>
      </c>
      <c r="X8" s="155">
        <f>IFERROR(__xludf.DUMMYFUNCTION("""COMPUTED_VALUE"""),20.0)</f>
        <v>20</v>
      </c>
      <c r="Y8" s="157">
        <f>IFERROR(__xludf.DUMMYFUNCTION("""COMPUTED_VALUE"""),46.6)</f>
        <v>46.6</v>
      </c>
      <c r="Z8" s="159">
        <f>IFERROR(__xludf.DUMMYFUNCTION("""COMPUTED_VALUE"""),536.6986000351787)</f>
        <v>536.6986</v>
      </c>
      <c r="AA8" s="161" t="str">
        <f>IFERROR(__xludf.DUMMYFUNCTION("""COMPUTED_VALUE"""),"AP")</f>
        <v>AP</v>
      </c>
      <c r="AB8" s="163">
        <f>IFERROR(__xludf.DUMMYFUNCTION("""COMPUTED_VALUE"""),3.7264863367799115)</f>
        <v>3.726486337</v>
      </c>
      <c r="AC8" s="161" t="str">
        <f>IFERROR(__xludf.DUMMYFUNCTION("""COMPUTED_VALUE"""),"％")</f>
        <v>％</v>
      </c>
      <c r="AD8" s="155">
        <f>IFERROR(__xludf.DUMMYFUNCTION("""COMPUTED_VALUE"""),10832.0)</f>
        <v>10832</v>
      </c>
      <c r="AE8" s="100"/>
      <c r="AF8" s="98" t="str">
        <f>IFERROR(__xludf.DUMMYFUNCTION("""COMPUTED_VALUE"""),"")</f>
        <v/>
      </c>
    </row>
    <row r="9" ht="16.5" customHeight="1">
      <c r="A9" s="166"/>
      <c r="B9" s="167"/>
      <c r="C9" s="168"/>
      <c r="D9" s="169">
        <f>IFERROR(__xludf.DUMMYFUNCTION("""COMPUTED_VALUE"""),5.0)</f>
        <v>5</v>
      </c>
      <c r="E9" s="170" t="str">
        <f>IFERROR(__xludf.DUMMYFUNCTION("""COMPUTED_VALUE"""),"EPU6")</f>
        <v>EPU6</v>
      </c>
      <c r="F9" s="51" t="str">
        <f>IFERROR(__xludf.DUMMYFUNCTION("""COMPUTED_VALUE"""),"E Pluribus Unum")</f>
        <v>E Pluribus Unum</v>
      </c>
      <c r="G9" s="171" t="str">
        <f>IFERROR(__xludf.DUMMYFUNCTION("""COMPUTED_VALUE"""),"Alcatraz")</f>
        <v>Alcatraz</v>
      </c>
      <c r="H9" s="172">
        <f>IFERROR(__xludf.DUMMYFUNCTION("""COMPUTED_VALUE"""),18.0)</f>
        <v>18</v>
      </c>
      <c r="I9" s="173">
        <f>IFERROR(__xludf.DUMMYFUNCTION("""COMPUTED_VALUE"""),41.111111111111114)</f>
        <v>41.11111111</v>
      </c>
      <c r="J9" s="174">
        <f>IFERROR(__xludf.DUMMYFUNCTION("""COMPUTED_VALUE"""),33.63228699551569)</f>
        <v>33.632287</v>
      </c>
      <c r="K9" s="175" t="str">
        <f>IFERROR(__xludf.DUMMYFUNCTION("""COMPUTED_VALUE"""),"AP")</f>
        <v>AP</v>
      </c>
      <c r="L9" s="176">
        <f>IFERROR(__xludf.DUMMYFUNCTION("""COMPUTED_VALUE"""),53.52)</f>
        <v>53.52</v>
      </c>
      <c r="M9" s="175" t="str">
        <f>IFERROR(__xludf.DUMMYFUNCTION("""COMPUTED_VALUE"""),"％")</f>
        <v>％</v>
      </c>
      <c r="N9" s="172">
        <f>IFERROR(__xludf.DUMMYFUNCTION("""COMPUTED_VALUE"""),325.0)</f>
        <v>325</v>
      </c>
      <c r="O9" s="168"/>
      <c r="P9" s="177" t="str">
        <f>IFERROR(__xludf.DUMMYFUNCTION("""COMPUTED_VALUE"""),"")</f>
        <v/>
      </c>
      <c r="Q9" s="166"/>
      <c r="R9" s="178"/>
      <c r="S9" s="168"/>
      <c r="T9" s="169">
        <f>IFERROR(__xludf.DUMMYFUNCTION("""COMPUTED_VALUE"""),5.0)</f>
        <v>5</v>
      </c>
      <c r="U9" s="170" t="str">
        <f>IFERROR(__xludf.DUMMYFUNCTION("""COMPUTED_VALUE"""),"CML10")</f>
        <v>CML10</v>
      </c>
      <c r="V9" s="51" t="str">
        <f>IFERROR(__xludf.DUMMYFUNCTION("""COMPUTED_VALUE"""),"Camelot")</f>
        <v>Camelot</v>
      </c>
      <c r="W9" s="171" t="str">
        <f>IFERROR(__xludf.DUMMYFUNCTION("""COMPUTED_VALUE"""),"Holy City")</f>
        <v>Holy City</v>
      </c>
      <c r="X9" s="172">
        <f>IFERROR(__xludf.DUMMYFUNCTION("""COMPUTED_VALUE"""),20.0)</f>
        <v>20</v>
      </c>
      <c r="Y9" s="173">
        <f>IFERROR(__xludf.DUMMYFUNCTION("""COMPUTED_VALUE"""),45.4)</f>
        <v>45.4</v>
      </c>
      <c r="Z9" s="174">
        <f>IFERROR(__xludf.DUMMYFUNCTION("""COMPUTED_VALUE"""),610.5974794570805)</f>
        <v>610.5974795</v>
      </c>
      <c r="AA9" s="175" t="str">
        <f>IFERROR(__xludf.DUMMYFUNCTION("""COMPUTED_VALUE"""),"AP")</f>
        <v>AP</v>
      </c>
      <c r="AB9" s="176">
        <f>IFERROR(__xludf.DUMMYFUNCTION("""COMPUTED_VALUE"""),3.2754802751205627)</f>
        <v>3.275480275</v>
      </c>
      <c r="AC9" s="175" t="str">
        <f>IFERROR(__xludf.DUMMYFUNCTION("""COMPUTED_VALUE"""),"％")</f>
        <v>％</v>
      </c>
      <c r="AD9" s="172">
        <f>IFERROR(__xludf.DUMMYFUNCTION("""COMPUTED_VALUE"""),25298.0)</f>
        <v>25298</v>
      </c>
      <c r="AE9" s="168"/>
      <c r="AF9" s="98" t="str">
        <f>IFERROR(__xludf.DUMMYFUNCTION("""COMPUTED_VALUE"""),"")</f>
        <v/>
      </c>
    </row>
    <row r="10" ht="16.5" customHeight="1">
      <c r="A10" s="61" t="str">
        <f>IFERROR(__xludf.DUMMYFUNCTION("""COMPUTED_VALUE"""),"")</f>
        <v/>
      </c>
      <c r="B10" s="183" t="str">
        <f>IFERROR(__xludf.DUMMYFUNCTION("""COMPUTED_VALUE"""),"A302")</f>
        <v>A302</v>
      </c>
      <c r="C10" s="180" t="str">
        <f>IFERROR(__xludf.DUMMYFUNCTION("""COMPUTED_VALUE"""),"Evil Bone")</f>
        <v>Evil Bone</v>
      </c>
      <c r="D10" s="185">
        <f>IFERROR(__xludf.DUMMYFUNCTION("""COMPUTED_VALUE"""),1.0)</f>
        <v>1</v>
      </c>
      <c r="E10" s="187" t="str">
        <f>IFERROR(__xludf.DUMMYFUNCTION("""COMPUTED_VALUE"""),"FUY7")</f>
        <v>FUY7</v>
      </c>
      <c r="F10" s="188" t="str">
        <f>IFERROR(__xludf.DUMMYFUNCTION("""COMPUTED_VALUE"""),"Fuyuki")</f>
        <v>Fuyuki</v>
      </c>
      <c r="G10" s="193" t="str">
        <f>IFERROR(__xludf.DUMMYFUNCTION("""COMPUTED_VALUE"""),"Unknown Coordinates X-G")</f>
        <v>Unknown Coordinates X-G</v>
      </c>
      <c r="H10" s="195">
        <f>IFERROR(__xludf.DUMMYFUNCTION("""COMPUTED_VALUE"""),15.0)</f>
        <v>15</v>
      </c>
      <c r="I10" s="196">
        <f>IFERROR(__xludf.DUMMYFUNCTION("""COMPUTED_VALUE"""),36.53333333333333)</f>
        <v>36.53333333</v>
      </c>
      <c r="J10" s="198">
        <f>IFERROR(__xludf.DUMMYFUNCTION("""COMPUTED_VALUE"""),23.559001689141617)</f>
        <v>23.55900169</v>
      </c>
      <c r="K10" s="200" t="str">
        <f>IFERROR(__xludf.DUMMYFUNCTION("""COMPUTED_VALUE"""),"AP")</f>
        <v>AP</v>
      </c>
      <c r="L10" s="198">
        <f>IFERROR(__xludf.DUMMYFUNCTION("""COMPUTED_VALUE"""),63.66993049163678)</f>
        <v>63.66993049</v>
      </c>
      <c r="M10" s="201" t="str">
        <f>IFERROR(__xludf.DUMMYFUNCTION("""COMPUTED_VALUE"""),"％")</f>
        <v>％</v>
      </c>
      <c r="N10" s="195">
        <f>IFERROR(__xludf.DUMMYFUNCTION("""COMPUTED_VALUE"""),63014.0)</f>
        <v>63014</v>
      </c>
      <c r="O10" s="197" t="str">
        <f>IFERROR(__xludf.DUMMYFUNCTION("""COMPUTED_VALUE"""),"Evil Bone")</f>
        <v>Evil Bone</v>
      </c>
      <c r="P10" s="93" t="str">
        <f>IFERROR(__xludf.DUMMYFUNCTION("""COMPUTED_VALUE"""),"")</f>
        <v/>
      </c>
      <c r="Q10" s="61" t="str">
        <f>IFERROR(__xludf.DUMMYFUNCTION("""COMPUTED_VALUE"""),"")</f>
        <v/>
      </c>
      <c r="R10" s="202" t="str">
        <f>IFERROR(__xludf.DUMMYFUNCTION("""COMPUTED_VALUE"""),"B102")</f>
        <v>B102</v>
      </c>
      <c r="S10" s="180" t="str">
        <f>IFERROR(__xludf.DUMMYFUNCTION("""COMPUTED_VALUE"""),"Secret Gem of Archer")</f>
        <v>Secret Gem of Archer</v>
      </c>
      <c r="T10" s="185">
        <f>IFERROR(__xludf.DUMMYFUNCTION("""COMPUTED_VALUE"""),1.0)</f>
        <v>1</v>
      </c>
      <c r="U10" s="187" t="str">
        <f>IFERROR(__xludf.DUMMYFUNCTION("""COMPUTED_VALUE"""),"TRF4")</f>
        <v>TRF4</v>
      </c>
      <c r="V10" s="188" t="str">
        <f>IFERROR(__xludf.DUMMYFUNCTION("""COMPUTED_VALUE"""),"Chaldea Gate (Mon)")</f>
        <v>Chaldea Gate (Mon)</v>
      </c>
      <c r="W10" s="188" t="str">
        <f>IFERROR(__xludf.DUMMYFUNCTION("""COMPUTED_VALUE"""),"MON Archer Training Ground- Exp")</f>
        <v>MON Archer Training Ground- Exp</v>
      </c>
      <c r="X10" s="195">
        <f>IFERROR(__xludf.DUMMYFUNCTION("""COMPUTED_VALUE"""),40.0)</f>
        <v>40</v>
      </c>
      <c r="Y10" s="196">
        <f>IFERROR(__xludf.DUMMYFUNCTION("""COMPUTED_VALUE"""),19.7)</f>
        <v>19.7</v>
      </c>
      <c r="Z10" s="198">
        <f>IFERROR(__xludf.DUMMYFUNCTION("""COMPUTED_VALUE"""),136.00532764159905)</f>
        <v>136.0053276</v>
      </c>
      <c r="AA10" s="200" t="str">
        <f>IFERROR(__xludf.DUMMYFUNCTION("""COMPUTED_VALUE"""),"AP")</f>
        <v>AP</v>
      </c>
      <c r="AB10" s="198">
        <f>IFERROR(__xludf.DUMMYFUNCTION("""COMPUTED_VALUE"""),29.410612579389472)</f>
        <v>29.41061258</v>
      </c>
      <c r="AC10" s="201" t="str">
        <f>IFERROR(__xludf.DUMMYFUNCTION("""COMPUTED_VALUE"""),"％")</f>
        <v>％</v>
      </c>
      <c r="AD10" s="195">
        <f>IFERROR(__xludf.DUMMYFUNCTION("""COMPUTED_VALUE"""),9762.0)</f>
        <v>9762</v>
      </c>
      <c r="AE10" s="197" t="str">
        <f>IFERROR(__xludf.DUMMYFUNCTION("""COMPUTED_VALUE"""),"Secret Gem of Archer")</f>
        <v>Secret Gem of Archer</v>
      </c>
      <c r="AF10" s="98" t="str">
        <f>IFERROR(__xludf.DUMMYFUNCTION("""COMPUTED_VALUE"""),"")</f>
        <v/>
      </c>
    </row>
    <row r="11" ht="16.5" customHeight="1">
      <c r="B11" s="203"/>
      <c r="C11" s="204"/>
      <c r="D11" s="208">
        <f>IFERROR(__xludf.DUMMYFUNCTION("""COMPUTED_VALUE"""),2.0)</f>
        <v>2</v>
      </c>
      <c r="E11" s="210" t="str">
        <f>IFERROR(__xludf.DUMMYFUNCTION("""COMPUTED_VALUE"""),"CML1")</f>
        <v>CML1</v>
      </c>
      <c r="F11" s="212" t="str">
        <f>IFERROR(__xludf.DUMMYFUNCTION("""COMPUTED_VALUE"""),"Camelot")</f>
        <v>Camelot</v>
      </c>
      <c r="G11" s="216" t="str">
        <f>IFERROR(__xludf.DUMMYFUNCTION("""COMPUTED_VALUE"""),"Sandstorm Desert")</f>
        <v>Sandstorm Desert</v>
      </c>
      <c r="H11" s="218">
        <f>IFERROR(__xludf.DUMMYFUNCTION("""COMPUTED_VALUE"""),19.0)</f>
        <v>19</v>
      </c>
      <c r="I11" s="219">
        <f>IFERROR(__xludf.DUMMYFUNCTION("""COMPUTED_VALUE"""),42.73684210526316)</f>
        <v>42.73684211</v>
      </c>
      <c r="J11" s="220">
        <f>IFERROR(__xludf.DUMMYFUNCTION("""COMPUTED_VALUE"""),29.842903567573423)</f>
        <v>29.84290357</v>
      </c>
      <c r="K11" s="221" t="str">
        <f>IFERROR(__xludf.DUMMYFUNCTION("""COMPUTED_VALUE"""),"AP")</f>
        <v>AP</v>
      </c>
      <c r="L11" s="220">
        <f>IFERROR(__xludf.DUMMYFUNCTION("""COMPUTED_VALUE"""),63.66672719019519)</f>
        <v>63.66672719</v>
      </c>
      <c r="M11" s="221" t="str">
        <f>IFERROR(__xludf.DUMMYFUNCTION("""COMPUTED_VALUE"""),"％")</f>
        <v>％</v>
      </c>
      <c r="N11" s="218">
        <f>IFERROR(__xludf.DUMMYFUNCTION("""COMPUTED_VALUE"""),33045.0)</f>
        <v>33045</v>
      </c>
      <c r="O11" s="217"/>
      <c r="P11" s="93" t="str">
        <f>IFERROR(__xludf.DUMMYFUNCTION("""COMPUTED_VALUE"""),"")</f>
        <v/>
      </c>
      <c r="R11" s="203"/>
      <c r="S11" s="204"/>
      <c r="T11" s="208">
        <f>IFERROR(__xludf.DUMMYFUNCTION("""COMPUTED_VALUE"""),2.0)</f>
        <v>2</v>
      </c>
      <c r="U11" s="210" t="str">
        <f>IFERROR(__xludf.DUMMYFUNCTION("""COMPUTED_VALUE"""),"TRF3")</f>
        <v>TRF3</v>
      </c>
      <c r="V11" s="212" t="str">
        <f>IFERROR(__xludf.DUMMYFUNCTION("""COMPUTED_VALUE"""),"Chaldea Gate (Mon)")</f>
        <v>Chaldea Gate (Mon)</v>
      </c>
      <c r="W11" s="212" t="str">
        <f>IFERROR(__xludf.DUMMYFUNCTION("""COMPUTED_VALUE"""),"MON Archer Training Ground- Adv")</f>
        <v>MON Archer Training Ground- Adv</v>
      </c>
      <c r="X11" s="218">
        <f>IFERROR(__xludf.DUMMYFUNCTION("""COMPUTED_VALUE"""),30.0)</f>
        <v>30</v>
      </c>
      <c r="Y11" s="219">
        <f>IFERROR(__xludf.DUMMYFUNCTION("""COMPUTED_VALUE"""),18.266666666666666)</f>
        <v>18.26666667</v>
      </c>
      <c r="Z11" s="220">
        <f>IFERROR(__xludf.DUMMYFUNCTION("""COMPUTED_VALUE"""),179.5196883670507)</f>
        <v>179.5196884</v>
      </c>
      <c r="AA11" s="221" t="str">
        <f>IFERROR(__xludf.DUMMYFUNCTION("""COMPUTED_VALUE"""),"AP")</f>
        <v>AP</v>
      </c>
      <c r="AB11" s="220">
        <f>IFERROR(__xludf.DUMMYFUNCTION("""COMPUTED_VALUE"""),16.711258955987716)</f>
        <v>16.71125896</v>
      </c>
      <c r="AC11" s="221" t="str">
        <f>IFERROR(__xludf.DUMMYFUNCTION("""COMPUTED_VALUE"""),"％")</f>
        <v>％</v>
      </c>
      <c r="AD11" s="218">
        <f>IFERROR(__xludf.DUMMYFUNCTION("""COMPUTED_VALUE"""),977.0)</f>
        <v>977</v>
      </c>
      <c r="AE11" s="217"/>
      <c r="AF11" s="98" t="str">
        <f>IFERROR(__xludf.DUMMYFUNCTION("""COMPUTED_VALUE"""),"")</f>
        <v/>
      </c>
    </row>
    <row r="12" ht="16.5" customHeight="1">
      <c r="B12" s="203"/>
      <c r="C12" s="204"/>
      <c r="D12" s="225">
        <f>IFERROR(__xludf.DUMMYFUNCTION("""COMPUTED_VALUE"""),3.0)</f>
        <v>3</v>
      </c>
      <c r="E12" s="227" t="str">
        <f>IFERROR(__xludf.DUMMYFUNCTION("""COMPUTED_VALUE"""),"SEP6")</f>
        <v>SEP6</v>
      </c>
      <c r="F12" s="229" t="str">
        <f>IFERROR(__xludf.DUMMYFUNCTION("""COMPUTED_VALUE"""),"Septem")</f>
        <v>Septem</v>
      </c>
      <c r="G12" s="233" t="str">
        <f>IFERROR(__xludf.DUMMYFUNCTION("""COMPUTED_VALUE"""),"Germania")</f>
        <v>Germania</v>
      </c>
      <c r="H12" s="234">
        <f>IFERROR(__xludf.DUMMYFUNCTION("""COMPUTED_VALUE"""),15.0)</f>
        <v>15</v>
      </c>
      <c r="I12" s="235">
        <f>IFERROR(__xludf.DUMMYFUNCTION("""COMPUTED_VALUE"""),36.53333333333333)</f>
        <v>36.53333333</v>
      </c>
      <c r="J12" s="236">
        <f>IFERROR(__xludf.DUMMYFUNCTION("""COMPUTED_VALUE"""),31.307254579673426)</f>
        <v>31.30725458</v>
      </c>
      <c r="K12" s="237" t="str">
        <f>IFERROR(__xludf.DUMMYFUNCTION("""COMPUTED_VALUE"""),"AP")</f>
        <v>AP</v>
      </c>
      <c r="L12" s="236">
        <f>IFERROR(__xludf.DUMMYFUNCTION("""COMPUTED_VALUE"""),47.91221779548473)</f>
        <v>47.9122178</v>
      </c>
      <c r="M12" s="237" t="str">
        <f>IFERROR(__xludf.DUMMYFUNCTION("""COMPUTED_VALUE"""),"％")</f>
        <v>％</v>
      </c>
      <c r="N12" s="234">
        <f>IFERROR(__xludf.DUMMYFUNCTION("""COMPUTED_VALUE"""),3012.0)</f>
        <v>3012</v>
      </c>
      <c r="O12" s="217"/>
      <c r="P12" s="93" t="str">
        <f>IFERROR(__xludf.DUMMYFUNCTION("""COMPUTED_VALUE"""),"")</f>
        <v/>
      </c>
      <c r="R12" s="203"/>
      <c r="S12" s="204"/>
      <c r="T12" s="225">
        <f>IFERROR(__xludf.DUMMYFUNCTION("""COMPUTED_VALUE"""),3.0)</f>
        <v>3</v>
      </c>
      <c r="U12" s="227" t="str">
        <f>IFERROR(__xludf.DUMMYFUNCTION("""COMPUTED_VALUE"""),"AGT9")</f>
        <v>AGT9</v>
      </c>
      <c r="V12" s="229" t="str">
        <f>IFERROR(__xludf.DUMMYFUNCTION("""COMPUTED_VALUE"""),"Agartha")</f>
        <v>Agartha</v>
      </c>
      <c r="W12" s="233" t="str">
        <f>IFERROR(__xludf.DUMMYFUNCTION("""COMPUTED_VALUE"""),"Palace of Dragon King")</f>
        <v>Palace of Dragon King</v>
      </c>
      <c r="X12" s="234">
        <f>IFERROR(__xludf.DUMMYFUNCTION("""COMPUTED_VALUE"""),21.0)</f>
        <v>21</v>
      </c>
      <c r="Y12" s="235">
        <f>IFERROR(__xludf.DUMMYFUNCTION("""COMPUTED_VALUE"""),47.80952380952381)</f>
        <v>47.80952381</v>
      </c>
      <c r="Z12" s="236">
        <f>IFERROR(__xludf.DUMMYFUNCTION("""COMPUTED_VALUE"""),430.53971303355945)</f>
        <v>430.539713</v>
      </c>
      <c r="AA12" s="237" t="str">
        <f>IFERROR(__xludf.DUMMYFUNCTION("""COMPUTED_VALUE"""),"AP")</f>
        <v>AP</v>
      </c>
      <c r="AB12" s="236">
        <f>IFERROR(__xludf.DUMMYFUNCTION("""COMPUTED_VALUE"""),4.877598828696925)</f>
        <v>4.877598829</v>
      </c>
      <c r="AC12" s="237" t="str">
        <f>IFERROR(__xludf.DUMMYFUNCTION("""COMPUTED_VALUE"""),"％")</f>
        <v>％</v>
      </c>
      <c r="AD12" s="234">
        <f>IFERROR(__xludf.DUMMYFUNCTION("""COMPUTED_VALUE"""),2732.0)</f>
        <v>2732</v>
      </c>
      <c r="AE12" s="217"/>
      <c r="AF12" s="98" t="str">
        <f>IFERROR(__xludf.DUMMYFUNCTION("""COMPUTED_VALUE"""),"")</f>
        <v/>
      </c>
    </row>
    <row r="13" ht="16.5" customHeight="1">
      <c r="B13" s="203"/>
      <c r="C13" s="204"/>
      <c r="D13" s="239">
        <f>IFERROR(__xludf.DUMMYFUNCTION("""COMPUTED_VALUE"""),4.0)</f>
        <v>4</v>
      </c>
      <c r="E13" s="241" t="str">
        <f>IFERROR(__xludf.DUMMYFUNCTION("""COMPUTED_VALUE"""),"SMS5")</f>
        <v>SMS5</v>
      </c>
      <c r="F13" s="243" t="str">
        <f>IFERROR(__xludf.DUMMYFUNCTION("""COMPUTED_VALUE"""),"Shimosa")</f>
        <v>Shimosa</v>
      </c>
      <c r="G13" s="245" t="str">
        <f>IFERROR(__xludf.DUMMYFUNCTION("""COMPUTED_VALUE"""),"Battlefield")</f>
        <v>Battlefield</v>
      </c>
      <c r="H13" s="247">
        <f>IFERROR(__xludf.DUMMYFUNCTION("""COMPUTED_VALUE"""),21.0)</f>
        <v>21</v>
      </c>
      <c r="I13" s="249">
        <f>IFERROR(__xludf.DUMMYFUNCTION("""COMPUTED_VALUE"""),46.666666666666664)</f>
        <v>46.66666667</v>
      </c>
      <c r="J13" s="251">
        <f>IFERROR(__xludf.DUMMYFUNCTION("""COMPUTED_VALUE"""),52.89753598034033)</f>
        <v>52.89753598</v>
      </c>
      <c r="K13" s="253" t="str">
        <f>IFERROR(__xludf.DUMMYFUNCTION("""COMPUTED_VALUE"""),"AP")</f>
        <v>AP</v>
      </c>
      <c r="L13" s="251">
        <f>IFERROR(__xludf.DUMMYFUNCTION("""COMPUTED_VALUE"""),39.699391683961935)</f>
        <v>39.69939168</v>
      </c>
      <c r="M13" s="253" t="str">
        <f>IFERROR(__xludf.DUMMYFUNCTION("""COMPUTED_VALUE"""),"％")</f>
        <v>％</v>
      </c>
      <c r="N13" s="247">
        <f>IFERROR(__xludf.DUMMYFUNCTION("""COMPUTED_VALUE"""),55892.0)</f>
        <v>55892</v>
      </c>
      <c r="O13" s="217"/>
      <c r="P13" s="177" t="str">
        <f>IFERROR(__xludf.DUMMYFUNCTION("""COMPUTED_VALUE"""),"")</f>
        <v/>
      </c>
      <c r="R13" s="203"/>
      <c r="S13" s="204"/>
      <c r="T13" s="239">
        <f>IFERROR(__xludf.DUMMYFUNCTION("""COMPUTED_VALUE"""),4.0)</f>
        <v>4</v>
      </c>
      <c r="U13" s="241" t="str">
        <f>IFERROR(__xludf.DUMMYFUNCTION("""COMPUTED_VALUE"""),"EPU14")</f>
        <v>EPU14</v>
      </c>
      <c r="V13" s="243" t="str">
        <f>IFERROR(__xludf.DUMMYFUNCTION("""COMPUTED_VALUE"""),"E Pluribus Unum")</f>
        <v>E Pluribus Unum</v>
      </c>
      <c r="W13" s="245" t="str">
        <f>IFERROR(__xludf.DUMMYFUNCTION("""COMPUTED_VALUE"""),"Chicago")</f>
        <v>Chicago</v>
      </c>
      <c r="X13" s="247">
        <f>IFERROR(__xludf.DUMMYFUNCTION("""COMPUTED_VALUE"""),21.0)</f>
        <v>21</v>
      </c>
      <c r="Y13" s="249">
        <f>IFERROR(__xludf.DUMMYFUNCTION("""COMPUTED_VALUE"""),46.666666666666664)</f>
        <v>46.66666667</v>
      </c>
      <c r="Z13" s="251">
        <f>IFERROR(__xludf.DUMMYFUNCTION("""COMPUTED_VALUE"""),532.0943342214784)</f>
        <v>532.0943342</v>
      </c>
      <c r="AA13" s="253" t="str">
        <f>IFERROR(__xludf.DUMMYFUNCTION("""COMPUTED_VALUE"""),"AP")</f>
        <v>AP</v>
      </c>
      <c r="AB13" s="251">
        <f>IFERROR(__xludf.DUMMYFUNCTION("""COMPUTED_VALUE"""),3.9466685979142526)</f>
        <v>3.946668598</v>
      </c>
      <c r="AC13" s="253" t="str">
        <f>IFERROR(__xludf.DUMMYFUNCTION("""COMPUTED_VALUE"""),"％")</f>
        <v>％</v>
      </c>
      <c r="AD13" s="247">
        <f>IFERROR(__xludf.DUMMYFUNCTION("""COMPUTED_VALUE"""),3452.0)</f>
        <v>3452</v>
      </c>
      <c r="AE13" s="217"/>
      <c r="AF13" s="98" t="str">
        <f>IFERROR(__xludf.DUMMYFUNCTION("""COMPUTED_VALUE"""),"")</f>
        <v/>
      </c>
    </row>
    <row r="14" ht="16.5" customHeight="1">
      <c r="A14" s="166"/>
      <c r="B14" s="254"/>
      <c r="C14" s="255"/>
      <c r="D14" s="256">
        <f>IFERROR(__xludf.DUMMYFUNCTION("""COMPUTED_VALUE"""),5.0)</f>
        <v>5</v>
      </c>
      <c r="E14" s="257" t="str">
        <f>IFERROR(__xludf.DUMMYFUNCTION("""COMPUTED_VALUE"""),"LDN9")</f>
        <v>LDN9</v>
      </c>
      <c r="F14" s="42" t="str">
        <f>IFERROR(__xludf.DUMMYFUNCTION("""COMPUTED_VALUE"""),"London")</f>
        <v>London</v>
      </c>
      <c r="G14" s="258" t="str">
        <f>IFERROR(__xludf.DUMMYFUNCTION("""COMPUTED_VALUE"""),"Hyde Park")</f>
        <v>Hyde Park</v>
      </c>
      <c r="H14" s="259">
        <f>IFERROR(__xludf.DUMMYFUNCTION("""COMPUTED_VALUE"""),20.0)</f>
        <v>20</v>
      </c>
      <c r="I14" s="260">
        <f>IFERROR(__xludf.DUMMYFUNCTION("""COMPUTED_VALUE"""),44.2)</f>
        <v>44.2</v>
      </c>
      <c r="J14" s="261">
        <f>IFERROR(__xludf.DUMMYFUNCTION("""COMPUTED_VALUE"""),54.33299785522885)</f>
        <v>54.33299786</v>
      </c>
      <c r="K14" s="262" t="str">
        <f>IFERROR(__xludf.DUMMYFUNCTION("""COMPUTED_VALUE"""),"AP")</f>
        <v>AP</v>
      </c>
      <c r="L14" s="261">
        <f>IFERROR(__xludf.DUMMYFUNCTION("""COMPUTED_VALUE"""),36.8100432324576)</f>
        <v>36.81004323</v>
      </c>
      <c r="M14" s="262" t="str">
        <f>IFERROR(__xludf.DUMMYFUNCTION("""COMPUTED_VALUE"""),"％")</f>
        <v>％</v>
      </c>
      <c r="N14" s="259">
        <f>IFERROR(__xludf.DUMMYFUNCTION("""COMPUTED_VALUE"""),15035.0)</f>
        <v>15035</v>
      </c>
      <c r="O14" s="263"/>
      <c r="P14" s="93" t="str">
        <f>IFERROR(__xludf.DUMMYFUNCTION("""COMPUTED_VALUE"""),"")</f>
        <v/>
      </c>
      <c r="Q14" s="166"/>
      <c r="R14" s="254"/>
      <c r="S14" s="255"/>
      <c r="T14" s="256">
        <f>IFERROR(__xludf.DUMMYFUNCTION("""COMPUTED_VALUE"""),5.0)</f>
        <v>5</v>
      </c>
      <c r="U14" s="257" t="str">
        <f>IFERROR(__xludf.DUMMYFUNCTION("""COMPUTED_VALUE"""),"CML13")</f>
        <v>CML13</v>
      </c>
      <c r="V14" s="42" t="str">
        <f>IFERROR(__xludf.DUMMYFUNCTION("""COMPUTED_VALUE"""),"Camelot")</f>
        <v>Camelot</v>
      </c>
      <c r="W14" s="258" t="str">
        <f>IFERROR(__xludf.DUMMYFUNCTION("""COMPUTED_VALUE"""),"Land of the Void")</f>
        <v>Land of the Void</v>
      </c>
      <c r="X14" s="259">
        <f>IFERROR(__xludf.DUMMYFUNCTION("""COMPUTED_VALUE"""),22.0)</f>
        <v>22</v>
      </c>
      <c r="Y14" s="260">
        <f>IFERROR(__xludf.DUMMYFUNCTION("""COMPUTED_VALUE"""),47.81818181818182)</f>
        <v>47.81818182</v>
      </c>
      <c r="Z14" s="261">
        <f>IFERROR(__xludf.DUMMYFUNCTION("""COMPUTED_VALUE"""),671.8968102155818)</f>
        <v>671.8968102</v>
      </c>
      <c r="AA14" s="262" t="str">
        <f>IFERROR(__xludf.DUMMYFUNCTION("""COMPUTED_VALUE"""),"AP")</f>
        <v>AP</v>
      </c>
      <c r="AB14" s="261">
        <f>IFERROR(__xludf.DUMMYFUNCTION("""COMPUTED_VALUE"""),3.274312314853999)</f>
        <v>3.274312315</v>
      </c>
      <c r="AC14" s="262" t="str">
        <f>IFERROR(__xludf.DUMMYFUNCTION("""COMPUTED_VALUE"""),"％")</f>
        <v>％</v>
      </c>
      <c r="AD14" s="259">
        <f>IFERROR(__xludf.DUMMYFUNCTION("""COMPUTED_VALUE"""),4726.0)</f>
        <v>4726</v>
      </c>
      <c r="AE14" s="263"/>
      <c r="AF14" s="98" t="str">
        <f>IFERROR(__xludf.DUMMYFUNCTION("""COMPUTED_VALUE"""),"")</f>
        <v/>
      </c>
    </row>
    <row r="15" ht="16.5" customHeight="1">
      <c r="A15" s="61" t="str">
        <f>IFERROR(__xludf.DUMMYFUNCTION("""COMPUTED_VALUE"""),"")</f>
        <v/>
      </c>
      <c r="B15" s="264" t="str">
        <f>IFERROR(__xludf.DUMMYFUNCTION("""COMPUTED_VALUE"""),"A303")</f>
        <v>A303</v>
      </c>
      <c r="C15" s="65" t="str">
        <f>IFERROR(__xludf.DUMMYFUNCTION("""COMPUTED_VALUE"""),"Dragon Fang")</f>
        <v>Dragon Fang</v>
      </c>
      <c r="D15" s="70">
        <f>IFERROR(__xludf.DUMMYFUNCTION("""COMPUTED_VALUE"""),1.0)</f>
        <v>1</v>
      </c>
      <c r="E15" s="73" t="str">
        <f>IFERROR(__xludf.DUMMYFUNCTION("""COMPUTED_VALUE"""),"BBL7")</f>
        <v>BBL7</v>
      </c>
      <c r="F15" s="76" t="str">
        <f>IFERROR(__xludf.DUMMYFUNCTION("""COMPUTED_VALUE"""),"Babylonia")</f>
        <v>Babylonia</v>
      </c>
      <c r="G15" s="85" t="str">
        <f>IFERROR(__xludf.DUMMYFUNCTION("""COMPUTED_VALUE"""),"Eridu")</f>
        <v>Eridu</v>
      </c>
      <c r="H15" s="87">
        <f>IFERROR(__xludf.DUMMYFUNCTION("""COMPUTED_VALUE"""),21.0)</f>
        <v>21</v>
      </c>
      <c r="I15" s="90">
        <f>IFERROR(__xludf.DUMMYFUNCTION("""COMPUTED_VALUE"""),45.523809523809526)</f>
        <v>45.52380952</v>
      </c>
      <c r="J15" s="92">
        <f>IFERROR(__xludf.DUMMYFUNCTION("""COMPUTED_VALUE"""),31.75223661940714)</f>
        <v>31.75223662</v>
      </c>
      <c r="K15" s="94" t="str">
        <f>IFERROR(__xludf.DUMMYFUNCTION("""COMPUTED_VALUE"""),"AP")</f>
        <v>AP</v>
      </c>
      <c r="L15" s="96">
        <f>IFERROR(__xludf.DUMMYFUNCTION("""COMPUTED_VALUE"""),66.1370732767993)</f>
        <v>66.13707328</v>
      </c>
      <c r="M15" s="94" t="str">
        <f>IFERROR(__xludf.DUMMYFUNCTION("""COMPUTED_VALUE"""),"％")</f>
        <v>％</v>
      </c>
      <c r="N15" s="87">
        <f>IFERROR(__xludf.DUMMYFUNCTION("""COMPUTED_VALUE"""),9198.0)</f>
        <v>9198</v>
      </c>
      <c r="O15" s="97" t="str">
        <f>IFERROR(__xludf.DUMMYFUNCTION("""COMPUTED_VALUE"""),"Dragon Fang")</f>
        <v>Dragon Fang</v>
      </c>
      <c r="P15" s="93" t="str">
        <f>IFERROR(__xludf.DUMMYFUNCTION("""COMPUTED_VALUE"""),"")</f>
        <v/>
      </c>
      <c r="Q15" s="61" t="str">
        <f>IFERROR(__xludf.DUMMYFUNCTION("""COMPUTED_VALUE"""),"")</f>
        <v/>
      </c>
      <c r="R15" s="266" t="str">
        <f>IFERROR(__xludf.DUMMYFUNCTION("""COMPUTED_VALUE"""),"B103")</f>
        <v>B103</v>
      </c>
      <c r="S15" s="65" t="str">
        <f>IFERROR(__xludf.DUMMYFUNCTION("""COMPUTED_VALUE"""),"Secret Gem of Lancer")</f>
        <v>Secret Gem of Lancer</v>
      </c>
      <c r="T15" s="70">
        <f>IFERROR(__xludf.DUMMYFUNCTION("""COMPUTED_VALUE"""),1.0)</f>
        <v>1</v>
      </c>
      <c r="U15" s="73" t="str">
        <f>IFERROR(__xludf.DUMMYFUNCTION("""COMPUTED_VALUE"""),"TRF8")</f>
        <v>TRF8</v>
      </c>
      <c r="V15" s="76" t="str">
        <f>IFERROR(__xludf.DUMMYFUNCTION("""COMPUTED_VALUE"""),"Chaldea Gate (Tue)")</f>
        <v>Chaldea Gate (Tue)</v>
      </c>
      <c r="W15" s="76" t="str">
        <f>IFERROR(__xludf.DUMMYFUNCTION("""COMPUTED_VALUE"""),"TUE Lancer Training Ground- Exp")</f>
        <v>TUE Lancer Training Ground- Exp</v>
      </c>
      <c r="X15" s="87">
        <f>IFERROR(__xludf.DUMMYFUNCTION("""COMPUTED_VALUE"""),40.0)</f>
        <v>40</v>
      </c>
      <c r="Y15" s="90">
        <f>IFERROR(__xludf.DUMMYFUNCTION("""COMPUTED_VALUE"""),19.7)</f>
        <v>19.7</v>
      </c>
      <c r="Z15" s="92">
        <f>IFERROR(__xludf.DUMMYFUNCTION("""COMPUTED_VALUE"""),146.11168715745816)</f>
        <v>146.1116872</v>
      </c>
      <c r="AA15" s="94" t="str">
        <f>IFERROR(__xludf.DUMMYFUNCTION("""COMPUTED_VALUE"""),"AP")</f>
        <v>AP</v>
      </c>
      <c r="AB15" s="96">
        <f>IFERROR(__xludf.DUMMYFUNCTION("""COMPUTED_VALUE"""),27.376317923763178)</f>
        <v>27.37631792</v>
      </c>
      <c r="AC15" s="94" t="str">
        <f>IFERROR(__xludf.DUMMYFUNCTION("""COMPUTED_VALUE"""),"％")</f>
        <v>％</v>
      </c>
      <c r="AD15" s="87">
        <f>IFERROR(__xludf.DUMMYFUNCTION("""COMPUTED_VALUE"""),6165.0)</f>
        <v>6165</v>
      </c>
      <c r="AE15" s="97" t="str">
        <f>IFERROR(__xludf.DUMMYFUNCTION("""COMPUTED_VALUE"""),"Secret Gem of Lancer")</f>
        <v>Secret Gem of Lancer</v>
      </c>
      <c r="AF15" s="98" t="str">
        <f>IFERROR(__xludf.DUMMYFUNCTION("""COMPUTED_VALUE"""),"")</f>
        <v/>
      </c>
    </row>
    <row r="16" ht="16.5" customHeight="1">
      <c r="B16" s="268"/>
      <c r="C16" s="100"/>
      <c r="D16" s="105">
        <f>IFERROR(__xludf.DUMMYFUNCTION("""COMPUTED_VALUE"""),2.0)</f>
        <v>2</v>
      </c>
      <c r="E16" s="106" t="str">
        <f>IFERROR(__xludf.DUMMYFUNCTION("""COMPUTED_VALUE"""),"EPU4")</f>
        <v>EPU4</v>
      </c>
      <c r="F16" s="107" t="str">
        <f>IFERROR(__xludf.DUMMYFUNCTION("""COMPUTED_VALUE"""),"E Pluribus Unum")</f>
        <v>E Pluribus Unum</v>
      </c>
      <c r="G16" s="114" t="str">
        <f>IFERROR(__xludf.DUMMYFUNCTION("""COMPUTED_VALUE"""),"Deming")</f>
        <v>Deming</v>
      </c>
      <c r="H16" s="116">
        <f>IFERROR(__xludf.DUMMYFUNCTION("""COMPUTED_VALUE"""),17.0)</f>
        <v>17</v>
      </c>
      <c r="I16" s="118">
        <f>IFERROR(__xludf.DUMMYFUNCTION("""COMPUTED_VALUE"""),42.11764705882353)</f>
        <v>42.11764706</v>
      </c>
      <c r="J16" s="120">
        <f>IFERROR(__xludf.DUMMYFUNCTION("""COMPUTED_VALUE"""),27.1952556972115)</f>
        <v>27.1952557</v>
      </c>
      <c r="K16" s="122" t="str">
        <f>IFERROR(__xludf.DUMMYFUNCTION("""COMPUTED_VALUE"""),"AP")</f>
        <v>AP</v>
      </c>
      <c r="L16" s="124">
        <f>IFERROR(__xludf.DUMMYFUNCTION("""COMPUTED_VALUE"""),62.510903332830644)</f>
        <v>62.51090333</v>
      </c>
      <c r="M16" s="122" t="str">
        <f>IFERROR(__xludf.DUMMYFUNCTION("""COMPUTED_VALUE"""),"％")</f>
        <v>％</v>
      </c>
      <c r="N16" s="116">
        <f>IFERROR(__xludf.DUMMYFUNCTION("""COMPUTED_VALUE"""),6631.0)</f>
        <v>6631</v>
      </c>
      <c r="O16" s="100"/>
      <c r="P16" s="93" t="str">
        <f>IFERROR(__xludf.DUMMYFUNCTION("""COMPUTED_VALUE"""),"")</f>
        <v/>
      </c>
      <c r="R16" s="268"/>
      <c r="S16" s="100"/>
      <c r="T16" s="105">
        <f>IFERROR(__xludf.DUMMYFUNCTION("""COMPUTED_VALUE"""),2.0)</f>
        <v>2</v>
      </c>
      <c r="U16" s="106" t="str">
        <f>IFERROR(__xludf.DUMMYFUNCTION("""COMPUTED_VALUE"""),"TRF7")</f>
        <v>TRF7</v>
      </c>
      <c r="V16" s="107" t="str">
        <f>IFERROR(__xludf.DUMMYFUNCTION("""COMPUTED_VALUE"""),"Chaldea Gate (Tue)")</f>
        <v>Chaldea Gate (Tue)</v>
      </c>
      <c r="W16" s="107" t="str">
        <f>IFERROR(__xludf.DUMMYFUNCTION("""COMPUTED_VALUE"""),"TUE Lancer Training Ground- Adv")</f>
        <v>TUE Lancer Training Ground- Adv</v>
      </c>
      <c r="X16" s="116">
        <f>IFERROR(__xludf.DUMMYFUNCTION("""COMPUTED_VALUE"""),30.0)</f>
        <v>30</v>
      </c>
      <c r="Y16" s="118">
        <f>IFERROR(__xludf.DUMMYFUNCTION("""COMPUTED_VALUE"""),18.266666666666666)</f>
        <v>18.26666667</v>
      </c>
      <c r="Z16" s="120">
        <f>IFERROR(__xludf.DUMMYFUNCTION("""COMPUTED_VALUE"""),173.20417560301277)</f>
        <v>173.2041756</v>
      </c>
      <c r="AA16" s="122" t="str">
        <f>IFERROR(__xludf.DUMMYFUNCTION("""COMPUTED_VALUE"""),"AP")</f>
        <v>AP</v>
      </c>
      <c r="AB16" s="124">
        <f>IFERROR(__xludf.DUMMYFUNCTION("""COMPUTED_VALUE"""),17.320598591549295)</f>
        <v>17.32059859</v>
      </c>
      <c r="AC16" s="122" t="str">
        <f>IFERROR(__xludf.DUMMYFUNCTION("""COMPUTED_VALUE"""),"％")</f>
        <v>％</v>
      </c>
      <c r="AD16" s="116">
        <f>IFERROR(__xludf.DUMMYFUNCTION("""COMPUTED_VALUE"""),1136.0)</f>
        <v>1136</v>
      </c>
      <c r="AE16" s="100"/>
      <c r="AF16" s="98" t="str">
        <f>IFERROR(__xludf.DUMMYFUNCTION("""COMPUTED_VALUE"""),"")</f>
        <v/>
      </c>
    </row>
    <row r="17" ht="16.5" customHeight="1">
      <c r="B17" s="268"/>
      <c r="C17" s="100"/>
      <c r="D17" s="128">
        <f>IFERROR(__xludf.DUMMYFUNCTION("""COMPUTED_VALUE"""),3.0)</f>
        <v>3</v>
      </c>
      <c r="E17" s="129" t="str">
        <f>IFERROR(__xludf.DUMMYFUNCTION("""COMPUTED_VALUE"""),"OKN7")</f>
        <v>OKN7</v>
      </c>
      <c r="F17" s="131" t="str">
        <f>IFERROR(__xludf.DUMMYFUNCTION("""COMPUTED_VALUE"""),"Okeanos")</f>
        <v>Okeanos</v>
      </c>
      <c r="G17" s="134" t="str">
        <f>IFERROR(__xludf.DUMMYFUNCTION("""COMPUTED_VALUE"""),"Island of Wyverns")</f>
        <v>Island of Wyverns</v>
      </c>
      <c r="H17" s="136">
        <f>IFERROR(__xludf.DUMMYFUNCTION("""COMPUTED_VALUE"""),14.0)</f>
        <v>14</v>
      </c>
      <c r="I17" s="138">
        <f>IFERROR(__xludf.DUMMYFUNCTION("""COMPUTED_VALUE"""),37.42857142857143)</f>
        <v>37.42857143</v>
      </c>
      <c r="J17" s="140">
        <f>IFERROR(__xludf.DUMMYFUNCTION("""COMPUTED_VALUE"""),27.554131390731524)</f>
        <v>27.55413139</v>
      </c>
      <c r="K17" s="142" t="str">
        <f>IFERROR(__xludf.DUMMYFUNCTION("""COMPUTED_VALUE"""),"AP")</f>
        <v>AP</v>
      </c>
      <c r="L17" s="144">
        <f>IFERROR(__xludf.DUMMYFUNCTION("""COMPUTED_VALUE"""),50.80907759882871)</f>
        <v>50.8090776</v>
      </c>
      <c r="M17" s="142" t="str">
        <f>IFERROR(__xludf.DUMMYFUNCTION("""COMPUTED_VALUE"""),"％")</f>
        <v>％</v>
      </c>
      <c r="N17" s="136">
        <f>IFERROR(__xludf.DUMMYFUNCTION("""COMPUTED_VALUE"""),2049.0)</f>
        <v>2049</v>
      </c>
      <c r="O17" s="100"/>
      <c r="P17" s="177" t="str">
        <f>IFERROR(__xludf.DUMMYFUNCTION("""COMPUTED_VALUE"""),"")</f>
        <v/>
      </c>
      <c r="R17" s="268"/>
      <c r="S17" s="100"/>
      <c r="T17" s="128">
        <f>IFERROR(__xludf.DUMMYFUNCTION("""COMPUTED_VALUE"""),3.0)</f>
        <v>3</v>
      </c>
      <c r="U17" s="129" t="str">
        <f>IFERROR(__xludf.DUMMYFUNCTION("""COMPUTED_VALUE"""),"SMS6")</f>
        <v>SMS6</v>
      </c>
      <c r="V17" s="131" t="str">
        <f>IFERROR(__xludf.DUMMYFUNCTION("""COMPUTED_VALUE"""),"Shimosa")</f>
        <v>Shimosa</v>
      </c>
      <c r="W17" s="134" t="str">
        <f>IFERROR(__xludf.DUMMYFUNCTION("""COMPUTED_VALUE"""),"Toke Castle")</f>
        <v>Toke Castle</v>
      </c>
      <c r="X17" s="136">
        <f>IFERROR(__xludf.DUMMYFUNCTION("""COMPUTED_VALUE"""),21.0)</f>
        <v>21</v>
      </c>
      <c r="Y17" s="138">
        <f>IFERROR(__xludf.DUMMYFUNCTION("""COMPUTED_VALUE"""),47.80952380952381)</f>
        <v>47.80952381</v>
      </c>
      <c r="Z17" s="140">
        <f>IFERROR(__xludf.DUMMYFUNCTION("""COMPUTED_VALUE"""),512.1037431843271)</f>
        <v>512.1037432</v>
      </c>
      <c r="AA17" s="142" t="str">
        <f>IFERROR(__xludf.DUMMYFUNCTION("""COMPUTED_VALUE"""),"AP")</f>
        <v>AP</v>
      </c>
      <c r="AB17" s="144">
        <f>IFERROR(__xludf.DUMMYFUNCTION("""COMPUTED_VALUE"""),4.100731595793324)</f>
        <v>4.100731596</v>
      </c>
      <c r="AC17" s="142" t="str">
        <f>IFERROR(__xludf.DUMMYFUNCTION("""COMPUTED_VALUE"""),"％")</f>
        <v>％</v>
      </c>
      <c r="AD17" s="136">
        <f>IFERROR(__xludf.DUMMYFUNCTION("""COMPUTED_VALUE"""),2187.0)</f>
        <v>2187</v>
      </c>
      <c r="AE17" s="100"/>
      <c r="AF17" s="98" t="str">
        <f>IFERROR(__xludf.DUMMYFUNCTION("""COMPUTED_VALUE"""),"")</f>
        <v/>
      </c>
    </row>
    <row r="18" ht="16.5" customHeight="1">
      <c r="B18" s="268"/>
      <c r="C18" s="100"/>
      <c r="D18" s="147">
        <f>IFERROR(__xludf.DUMMYFUNCTION("""COMPUTED_VALUE"""),4.0)</f>
        <v>4</v>
      </c>
      <c r="E18" s="149" t="str">
        <f>IFERROR(__xludf.DUMMYFUNCTION("""COMPUTED_VALUE"""),"AGT8")</f>
        <v>AGT8</v>
      </c>
      <c r="F18" s="151" t="str">
        <f>IFERROR(__xludf.DUMMYFUNCTION("""COMPUTED_VALUE"""),"Agartha")</f>
        <v>Agartha</v>
      </c>
      <c r="G18" s="153" t="str">
        <f>IFERROR(__xludf.DUMMYFUNCTION("""COMPUTED_VALUE"""),"Foothills Jungle")</f>
        <v>Foothills Jungle</v>
      </c>
      <c r="H18" s="155">
        <f>IFERROR(__xludf.DUMMYFUNCTION("""COMPUTED_VALUE"""),21.0)</f>
        <v>21</v>
      </c>
      <c r="I18" s="157">
        <f>IFERROR(__xludf.DUMMYFUNCTION("""COMPUTED_VALUE"""),46.666666666666664)</f>
        <v>46.66666667</v>
      </c>
      <c r="J18" s="159">
        <f>IFERROR(__xludf.DUMMYFUNCTION("""COMPUTED_VALUE"""),42.5761439098882)</f>
        <v>42.57614391</v>
      </c>
      <c r="K18" s="161" t="str">
        <f>IFERROR(__xludf.DUMMYFUNCTION("""COMPUTED_VALUE"""),"AP")</f>
        <v>AP</v>
      </c>
      <c r="L18" s="163">
        <f>IFERROR(__xludf.DUMMYFUNCTION("""COMPUTED_VALUE"""),49.32339585389931)</f>
        <v>49.32339585</v>
      </c>
      <c r="M18" s="161" t="str">
        <f>IFERROR(__xludf.DUMMYFUNCTION("""COMPUTED_VALUE"""),"％")</f>
        <v>％</v>
      </c>
      <c r="N18" s="155">
        <f>IFERROR(__xludf.DUMMYFUNCTION("""COMPUTED_VALUE"""),18234.0)</f>
        <v>18234</v>
      </c>
      <c r="O18" s="100"/>
      <c r="P18" s="93" t="str">
        <f>IFERROR(__xludf.DUMMYFUNCTION("""COMPUTED_VALUE"""),"")</f>
        <v/>
      </c>
      <c r="R18" s="268"/>
      <c r="S18" s="100"/>
      <c r="T18" s="147">
        <f>IFERROR(__xludf.DUMMYFUNCTION("""COMPUTED_VALUE"""),4.0)</f>
        <v>4</v>
      </c>
      <c r="U18" s="149" t="str">
        <f>IFERROR(__xludf.DUMMYFUNCTION("""COMPUTED_VALUE"""),"AGT10")</f>
        <v>AGT10</v>
      </c>
      <c r="V18" s="151" t="str">
        <f>IFERROR(__xludf.DUMMYFUNCTION("""COMPUTED_VALUE"""),"Agartha")</f>
        <v>Agartha</v>
      </c>
      <c r="W18" s="153" t="str">
        <f>IFERROR(__xludf.DUMMYFUNCTION("""COMPUTED_VALUE"""),"Great Underground River")</f>
        <v>Great Underground River</v>
      </c>
      <c r="X18" s="155">
        <f>IFERROR(__xludf.DUMMYFUNCTION("""COMPUTED_VALUE"""),21.0)</f>
        <v>21</v>
      </c>
      <c r="Y18" s="157">
        <f>IFERROR(__xludf.DUMMYFUNCTION("""COMPUTED_VALUE"""),47.80952380952381)</f>
        <v>47.80952381</v>
      </c>
      <c r="Z18" s="159">
        <f>IFERROR(__xludf.DUMMYFUNCTION("""COMPUTED_VALUE"""),676.930549490581)</f>
        <v>676.9305495</v>
      </c>
      <c r="AA18" s="161" t="str">
        <f>IFERROR(__xludf.DUMMYFUNCTION("""COMPUTED_VALUE"""),"AP")</f>
        <v>AP</v>
      </c>
      <c r="AB18" s="163">
        <f>IFERROR(__xludf.DUMMYFUNCTION("""COMPUTED_VALUE"""),3.1022384815995365)</f>
        <v>3.102238482</v>
      </c>
      <c r="AC18" s="161" t="str">
        <f>IFERROR(__xludf.DUMMYFUNCTION("""COMPUTED_VALUE"""),"％")</f>
        <v>％</v>
      </c>
      <c r="AD18" s="155">
        <f>IFERROR(__xludf.DUMMYFUNCTION("""COMPUTED_VALUE"""),27608.0)</f>
        <v>27608</v>
      </c>
      <c r="AE18" s="100"/>
      <c r="AF18" s="98" t="str">
        <f>IFERROR(__xludf.DUMMYFUNCTION("""COMPUTED_VALUE"""),"")</f>
        <v/>
      </c>
    </row>
    <row r="19" ht="16.5" customHeight="1">
      <c r="A19" s="166"/>
      <c r="B19" s="269"/>
      <c r="C19" s="168"/>
      <c r="D19" s="169">
        <f>IFERROR(__xludf.DUMMYFUNCTION("""COMPUTED_VALUE"""),5.0)</f>
        <v>5</v>
      </c>
      <c r="E19" s="170" t="str">
        <f>IFERROR(__xludf.DUMMYFUNCTION("""COMPUTED_VALUE"""),"TRF16")</f>
        <v>TRF16</v>
      </c>
      <c r="F19" s="51" t="str">
        <f>IFERROR(__xludf.DUMMYFUNCTION("""COMPUTED_VALUE"""),"Chaldea Gate (Thu)")</f>
        <v>Chaldea Gate (Thu)</v>
      </c>
      <c r="G19" s="51" t="str">
        <f>IFERROR(__xludf.DUMMYFUNCTION("""COMPUTED_VALUE"""),"THU Rider Training Ground- Exp")</f>
        <v>THU Rider Training Ground- Exp</v>
      </c>
      <c r="H19" s="172">
        <f>IFERROR(__xludf.DUMMYFUNCTION("""COMPUTED_VALUE"""),40.0)</f>
        <v>40</v>
      </c>
      <c r="I19" s="173">
        <f>IFERROR(__xludf.DUMMYFUNCTION("""COMPUTED_VALUE"""),19.7)</f>
        <v>19.7</v>
      </c>
      <c r="J19" s="174">
        <f>IFERROR(__xludf.DUMMYFUNCTION("""COMPUTED_VALUE"""),86.2207465324265)</f>
        <v>86.22074653</v>
      </c>
      <c r="K19" s="175" t="str">
        <f>IFERROR(__xludf.DUMMYFUNCTION("""COMPUTED_VALUE"""),"AP")</f>
        <v>AP</v>
      </c>
      <c r="L19" s="176">
        <f>IFERROR(__xludf.DUMMYFUNCTION("""COMPUTED_VALUE"""),46.39254658385093)</f>
        <v>46.39254658</v>
      </c>
      <c r="M19" s="175" t="str">
        <f>IFERROR(__xludf.DUMMYFUNCTION("""COMPUTED_VALUE"""),"％")</f>
        <v>％</v>
      </c>
      <c r="N19" s="172">
        <f>IFERROR(__xludf.DUMMYFUNCTION("""COMPUTED_VALUE"""),4025.0)</f>
        <v>4025</v>
      </c>
      <c r="O19" s="168"/>
      <c r="P19" s="177" t="str">
        <f>IFERROR(__xludf.DUMMYFUNCTION("""COMPUTED_VALUE"""),"")</f>
        <v/>
      </c>
      <c r="Q19" s="166"/>
      <c r="R19" s="269"/>
      <c r="S19" s="168"/>
      <c r="T19" s="169">
        <f>IFERROR(__xludf.DUMMYFUNCTION("""COMPUTED_VALUE"""),5.0)</f>
        <v>5</v>
      </c>
      <c r="U19" s="170" t="str">
        <f>IFERROR(__xludf.DUMMYFUNCTION("""COMPUTED_VALUE"""),"")</f>
        <v/>
      </c>
      <c r="V19" s="51" t="str">
        <f>IFERROR(__xludf.DUMMYFUNCTION("""COMPUTED_VALUE"""),"")</f>
        <v/>
      </c>
      <c r="W19" s="51" t="str">
        <f>IFERROR(__xludf.DUMMYFUNCTION("""COMPUTED_VALUE"""),"")</f>
        <v/>
      </c>
      <c r="X19" s="172" t="str">
        <f>IFERROR(__xludf.DUMMYFUNCTION("""COMPUTED_VALUE"""),"")</f>
        <v/>
      </c>
      <c r="Y19" s="173" t="str">
        <f>IFERROR(__xludf.DUMMYFUNCTION("""COMPUTED_VALUE"""),"")</f>
        <v/>
      </c>
      <c r="Z19" s="174" t="str">
        <f>IFERROR(__xludf.DUMMYFUNCTION("""COMPUTED_VALUE"""),"")</f>
        <v/>
      </c>
      <c r="AA19" s="175" t="str">
        <f>IFERROR(__xludf.DUMMYFUNCTION("""COMPUTED_VALUE"""),"AP")</f>
        <v>AP</v>
      </c>
      <c r="AB19" s="176" t="str">
        <f>IFERROR(__xludf.DUMMYFUNCTION("""COMPUTED_VALUE"""),"")</f>
        <v/>
      </c>
      <c r="AC19" s="175" t="str">
        <f>IFERROR(__xludf.DUMMYFUNCTION("""COMPUTED_VALUE"""),"％")</f>
        <v>％</v>
      </c>
      <c r="AD19" s="172" t="str">
        <f>IFERROR(__xludf.DUMMYFUNCTION("""COMPUTED_VALUE"""),"")</f>
        <v/>
      </c>
      <c r="AE19" s="168"/>
      <c r="AF19" s="98" t="str">
        <f>IFERROR(__xludf.DUMMYFUNCTION("""COMPUTED_VALUE"""),"")</f>
        <v/>
      </c>
    </row>
    <row r="20" ht="16.5" customHeight="1">
      <c r="A20" s="61" t="str">
        <f>IFERROR(__xludf.DUMMYFUNCTION("""COMPUTED_VALUE"""),"")</f>
        <v/>
      </c>
      <c r="B20" s="183" t="str">
        <f>IFERROR(__xludf.DUMMYFUNCTION("""COMPUTED_VALUE"""),"A304")</f>
        <v>A304</v>
      </c>
      <c r="C20" s="180" t="str">
        <f>IFERROR(__xludf.DUMMYFUNCTION("""COMPUTED_VALUE"""),"Void's Dust")</f>
        <v>Void's Dust</v>
      </c>
      <c r="D20" s="185">
        <f>IFERROR(__xludf.DUMMYFUNCTION("""COMPUTED_VALUE"""),1.0)</f>
        <v>1</v>
      </c>
      <c r="E20" s="187" t="str">
        <f>IFERROR(__xludf.DUMMYFUNCTION("""COMPUTED_VALUE"""),"EPU12")</f>
        <v>EPU12</v>
      </c>
      <c r="F20" s="188" t="str">
        <f>IFERROR(__xludf.DUMMYFUNCTION("""COMPUTED_VALUE"""),"E Pluribus Unum")</f>
        <v>E Pluribus Unum</v>
      </c>
      <c r="G20" s="193" t="str">
        <f>IFERROR(__xludf.DUMMYFUNCTION("""COMPUTED_VALUE"""),"Charlotte")</f>
        <v>Charlotte</v>
      </c>
      <c r="H20" s="195">
        <f>IFERROR(__xludf.DUMMYFUNCTION("""COMPUTED_VALUE"""),20.0)</f>
        <v>20</v>
      </c>
      <c r="I20" s="196">
        <f>IFERROR(__xludf.DUMMYFUNCTION("""COMPUTED_VALUE"""),45.4)</f>
        <v>45.4</v>
      </c>
      <c r="J20" s="198">
        <f>IFERROR(__xludf.DUMMYFUNCTION("""COMPUTED_VALUE"""),31.058259854464577)</f>
        <v>31.05825985</v>
      </c>
      <c r="K20" s="200" t="str">
        <f>IFERROR(__xludf.DUMMYFUNCTION("""COMPUTED_VALUE"""),"AP")</f>
        <v>AP</v>
      </c>
      <c r="L20" s="198">
        <f>IFERROR(__xludf.DUMMYFUNCTION("""COMPUTED_VALUE"""),64.39510807662018)</f>
        <v>64.39510808</v>
      </c>
      <c r="M20" s="201" t="str">
        <f>IFERROR(__xludf.DUMMYFUNCTION("""COMPUTED_VALUE"""),"％")</f>
        <v>％</v>
      </c>
      <c r="N20" s="195">
        <f>IFERROR(__xludf.DUMMYFUNCTION("""COMPUTED_VALUE"""),153641.0)</f>
        <v>153641</v>
      </c>
      <c r="O20" s="197" t="str">
        <f>IFERROR(__xludf.DUMMYFUNCTION("""COMPUTED_VALUE"""),"Void's Dust")</f>
        <v>Void's Dust</v>
      </c>
      <c r="P20" s="93" t="str">
        <f>IFERROR(__xludf.DUMMYFUNCTION("""COMPUTED_VALUE"""),"")</f>
        <v/>
      </c>
      <c r="Q20" s="61" t="str">
        <f>IFERROR(__xludf.DUMMYFUNCTION("""COMPUTED_VALUE"""),"")</f>
        <v/>
      </c>
      <c r="R20" s="202" t="str">
        <f>IFERROR(__xludf.DUMMYFUNCTION("""COMPUTED_VALUE"""),"B104")</f>
        <v>B104</v>
      </c>
      <c r="S20" s="180" t="str">
        <f>IFERROR(__xludf.DUMMYFUNCTION("""COMPUTED_VALUE"""),"Secret Gem of Rider")</f>
        <v>Secret Gem of Rider</v>
      </c>
      <c r="T20" s="185">
        <f>IFERROR(__xludf.DUMMYFUNCTION("""COMPUTED_VALUE"""),1.0)</f>
        <v>1</v>
      </c>
      <c r="U20" s="187" t="str">
        <f>IFERROR(__xludf.DUMMYFUNCTION("""COMPUTED_VALUE"""),"TRF16")</f>
        <v>TRF16</v>
      </c>
      <c r="V20" s="188" t="str">
        <f>IFERROR(__xludf.DUMMYFUNCTION("""COMPUTED_VALUE"""),"Chaldea Gate (Thu)")</f>
        <v>Chaldea Gate (Thu)</v>
      </c>
      <c r="W20" s="188" t="str">
        <f>IFERROR(__xludf.DUMMYFUNCTION("""COMPUTED_VALUE"""),"THU Rider Training Ground- Exp")</f>
        <v>THU Rider Training Ground- Exp</v>
      </c>
      <c r="X20" s="195">
        <f>IFERROR(__xludf.DUMMYFUNCTION("""COMPUTED_VALUE"""),40.0)</f>
        <v>40</v>
      </c>
      <c r="Y20" s="196">
        <f>IFERROR(__xludf.DUMMYFUNCTION("""COMPUTED_VALUE"""),19.7)</f>
        <v>19.7</v>
      </c>
      <c r="Z20" s="198">
        <f>IFERROR(__xludf.DUMMYFUNCTION("""COMPUTED_VALUE"""),100.7610273869724)</f>
        <v>100.7610274</v>
      </c>
      <c r="AA20" s="200" t="str">
        <f>IFERROR(__xludf.DUMMYFUNCTION("""COMPUTED_VALUE"""),"AP")</f>
        <v>AP</v>
      </c>
      <c r="AB20" s="198">
        <f>IFERROR(__xludf.DUMMYFUNCTION("""COMPUTED_VALUE"""),39.69788819875777)</f>
        <v>39.6978882</v>
      </c>
      <c r="AC20" s="201" t="str">
        <f>IFERROR(__xludf.DUMMYFUNCTION("""COMPUTED_VALUE"""),"％")</f>
        <v>％</v>
      </c>
      <c r="AD20" s="195">
        <f>IFERROR(__xludf.DUMMYFUNCTION("""COMPUTED_VALUE"""),4025.0)</f>
        <v>4025</v>
      </c>
      <c r="AE20" s="197" t="str">
        <f>IFERROR(__xludf.DUMMYFUNCTION("""COMPUTED_VALUE"""),"Secret Gem of Rider")</f>
        <v>Secret Gem of Rider</v>
      </c>
      <c r="AF20" s="98" t="str">
        <f>IFERROR(__xludf.DUMMYFUNCTION("""COMPUTED_VALUE"""),"")</f>
        <v/>
      </c>
    </row>
    <row r="21" ht="16.5" customHeight="1">
      <c r="B21" s="203"/>
      <c r="C21" s="204"/>
      <c r="D21" s="208">
        <f>IFERROR(__xludf.DUMMYFUNCTION("""COMPUTED_VALUE"""),2.0)</f>
        <v>2</v>
      </c>
      <c r="E21" s="210" t="str">
        <f>IFERROR(__xludf.DUMMYFUNCTION("""COMPUTED_VALUE"""),"CML7")</f>
        <v>CML7</v>
      </c>
      <c r="F21" s="212" t="str">
        <f>IFERROR(__xludf.DUMMYFUNCTION("""COMPUTED_VALUE"""),"Camelot")</f>
        <v>Camelot</v>
      </c>
      <c r="G21" s="216" t="str">
        <f>IFERROR(__xludf.DUMMYFUNCTION("""COMPUTED_VALUE"""),"West Village Ruins")</f>
        <v>West Village Ruins</v>
      </c>
      <c r="H21" s="218">
        <f>IFERROR(__xludf.DUMMYFUNCTION("""COMPUTED_VALUE"""),20.0)</f>
        <v>20</v>
      </c>
      <c r="I21" s="219">
        <f>IFERROR(__xludf.DUMMYFUNCTION("""COMPUTED_VALUE"""),43.0)</f>
        <v>43</v>
      </c>
      <c r="J21" s="220">
        <f>IFERROR(__xludf.DUMMYFUNCTION("""COMPUTED_VALUE"""),41.203874330834765)</f>
        <v>41.20387433</v>
      </c>
      <c r="K21" s="221" t="str">
        <f>IFERROR(__xludf.DUMMYFUNCTION("""COMPUTED_VALUE"""),"AP")</f>
        <v>AP</v>
      </c>
      <c r="L21" s="220">
        <f>IFERROR(__xludf.DUMMYFUNCTION("""COMPUTED_VALUE"""),48.53912483912484)</f>
        <v>48.53912484</v>
      </c>
      <c r="M21" s="221" t="str">
        <f>IFERROR(__xludf.DUMMYFUNCTION("""COMPUTED_VALUE"""),"％")</f>
        <v>％</v>
      </c>
      <c r="N21" s="218">
        <f>IFERROR(__xludf.DUMMYFUNCTION("""COMPUTED_VALUE"""),777.0)</f>
        <v>777</v>
      </c>
      <c r="O21" s="217"/>
      <c r="P21" s="177" t="str">
        <f>IFERROR(__xludf.DUMMYFUNCTION("""COMPUTED_VALUE"""),"")</f>
        <v/>
      </c>
      <c r="R21" s="203"/>
      <c r="S21" s="204"/>
      <c r="T21" s="208">
        <f>IFERROR(__xludf.DUMMYFUNCTION("""COMPUTED_VALUE"""),2.0)</f>
        <v>2</v>
      </c>
      <c r="U21" s="210" t="str">
        <f>IFERROR(__xludf.DUMMYFUNCTION("""COMPUTED_VALUE"""),"TRF15")</f>
        <v>TRF15</v>
      </c>
      <c r="V21" s="212" t="str">
        <f>IFERROR(__xludf.DUMMYFUNCTION("""COMPUTED_VALUE"""),"Chaldea Gate (Thu)")</f>
        <v>Chaldea Gate (Thu)</v>
      </c>
      <c r="W21" s="212" t="str">
        <f>IFERROR(__xludf.DUMMYFUNCTION("""COMPUTED_VALUE"""),"THU Rider Training Ground- Adv")</f>
        <v>THU Rider Training Ground- Adv</v>
      </c>
      <c r="X21" s="218">
        <f>IFERROR(__xludf.DUMMYFUNCTION("""COMPUTED_VALUE"""),30.0)</f>
        <v>30</v>
      </c>
      <c r="Y21" s="219">
        <f>IFERROR(__xludf.DUMMYFUNCTION("""COMPUTED_VALUE"""),18.266666666666666)</f>
        <v>18.26666667</v>
      </c>
      <c r="Z21" s="220">
        <f>IFERROR(__xludf.DUMMYFUNCTION("""COMPUTED_VALUE"""),122.42891595877049)</f>
        <v>122.428916</v>
      </c>
      <c r="AA21" s="221" t="str">
        <f>IFERROR(__xludf.DUMMYFUNCTION("""COMPUTED_VALUE"""),"AP")</f>
        <v>AP</v>
      </c>
      <c r="AB21" s="220">
        <f>IFERROR(__xludf.DUMMYFUNCTION("""COMPUTED_VALUE"""),24.504015056461732)</f>
        <v>24.50401506</v>
      </c>
      <c r="AC21" s="221" t="str">
        <f>IFERROR(__xludf.DUMMYFUNCTION("""COMPUTED_VALUE"""),"％")</f>
        <v>％</v>
      </c>
      <c r="AD21" s="218">
        <f>IFERROR(__xludf.DUMMYFUNCTION("""COMPUTED_VALUE"""),797.0)</f>
        <v>797</v>
      </c>
      <c r="AE21" s="217"/>
      <c r="AF21" s="98" t="str">
        <f>IFERROR(__xludf.DUMMYFUNCTION("""COMPUTED_VALUE"""),"")</f>
        <v/>
      </c>
    </row>
    <row r="22" ht="16.5" customHeight="1">
      <c r="B22" s="203"/>
      <c r="C22" s="204"/>
      <c r="D22" s="225">
        <f>IFERROR(__xludf.DUMMYFUNCTION("""COMPUTED_VALUE"""),3.0)</f>
        <v>3</v>
      </c>
      <c r="E22" s="227" t="str">
        <f>IFERROR(__xludf.DUMMYFUNCTION("""COMPUTED_VALUE"""),"EPU2")</f>
        <v>EPU2</v>
      </c>
      <c r="F22" s="229" t="str">
        <f>IFERROR(__xludf.DUMMYFUNCTION("""COMPUTED_VALUE"""),"E Pluribus Unum")</f>
        <v>E Pluribus Unum</v>
      </c>
      <c r="G22" s="233" t="str">
        <f>IFERROR(__xludf.DUMMYFUNCTION("""COMPUTED_VALUE"""),"Riverton")</f>
        <v>Riverton</v>
      </c>
      <c r="H22" s="234">
        <f>IFERROR(__xludf.DUMMYFUNCTION("""COMPUTED_VALUE"""),17.0)</f>
        <v>17</v>
      </c>
      <c r="I22" s="235">
        <f>IFERROR(__xludf.DUMMYFUNCTION("""COMPUTED_VALUE"""),40.705882352941174)</f>
        <v>40.70588235</v>
      </c>
      <c r="J22" s="236">
        <f>IFERROR(__xludf.DUMMYFUNCTION("""COMPUTED_VALUE"""),52.97464924429456)</f>
        <v>52.97464924</v>
      </c>
      <c r="K22" s="237" t="str">
        <f>IFERROR(__xludf.DUMMYFUNCTION("""COMPUTED_VALUE"""),"AP")</f>
        <v>AP</v>
      </c>
      <c r="L22" s="236">
        <f>IFERROR(__xludf.DUMMYFUNCTION("""COMPUTED_VALUE"""),32.09082125603865)</f>
        <v>32.09082126</v>
      </c>
      <c r="M22" s="237" t="str">
        <f>IFERROR(__xludf.DUMMYFUNCTION("""COMPUTED_VALUE"""),"％")</f>
        <v>％</v>
      </c>
      <c r="N22" s="234">
        <f>IFERROR(__xludf.DUMMYFUNCTION("""COMPUTED_VALUE"""),414.0)</f>
        <v>414</v>
      </c>
      <c r="O22" s="217"/>
      <c r="P22" s="177" t="str">
        <f>IFERROR(__xludf.DUMMYFUNCTION("""COMPUTED_VALUE"""),"")</f>
        <v/>
      </c>
      <c r="R22" s="203"/>
      <c r="S22" s="204"/>
      <c r="T22" s="225">
        <f>IFERROR(__xludf.DUMMYFUNCTION("""COMPUTED_VALUE"""),3.0)</f>
        <v>3</v>
      </c>
      <c r="U22" s="227" t="str">
        <f>IFERROR(__xludf.DUMMYFUNCTION("""COMPUTED_VALUE"""),"CML13")</f>
        <v>CML13</v>
      </c>
      <c r="V22" s="229" t="str">
        <f>IFERROR(__xludf.DUMMYFUNCTION("""COMPUTED_VALUE"""),"Camelot")</f>
        <v>Camelot</v>
      </c>
      <c r="W22" s="233" t="str">
        <f>IFERROR(__xludf.DUMMYFUNCTION("""COMPUTED_VALUE"""),"Land of the Void")</f>
        <v>Land of the Void</v>
      </c>
      <c r="X22" s="234">
        <f>IFERROR(__xludf.DUMMYFUNCTION("""COMPUTED_VALUE"""),22.0)</f>
        <v>22</v>
      </c>
      <c r="Y22" s="235">
        <f>IFERROR(__xludf.DUMMYFUNCTION("""COMPUTED_VALUE"""),47.81818181818182)</f>
        <v>47.81818182</v>
      </c>
      <c r="Z22" s="236">
        <f>IFERROR(__xludf.DUMMYFUNCTION("""COMPUTED_VALUE"""),342.5088944524971)</f>
        <v>342.5088945</v>
      </c>
      <c r="AA22" s="237" t="str">
        <f>IFERROR(__xludf.DUMMYFUNCTION("""COMPUTED_VALUE"""),"AP")</f>
        <v>AP</v>
      </c>
      <c r="AB22" s="236">
        <f>IFERROR(__xludf.DUMMYFUNCTION("""COMPUTED_VALUE"""),6.423190859077444)</f>
        <v>6.423190859</v>
      </c>
      <c r="AC22" s="237" t="str">
        <f>IFERROR(__xludf.DUMMYFUNCTION("""COMPUTED_VALUE"""),"％")</f>
        <v>％</v>
      </c>
      <c r="AD22" s="234">
        <f>IFERROR(__xludf.DUMMYFUNCTION("""COMPUTED_VALUE"""),4726.0)</f>
        <v>4726</v>
      </c>
      <c r="AE22" s="217"/>
      <c r="AF22" s="98" t="str">
        <f>IFERROR(__xludf.DUMMYFUNCTION("""COMPUTED_VALUE"""),"")</f>
        <v/>
      </c>
    </row>
    <row r="23" ht="16.5" customHeight="1">
      <c r="B23" s="203"/>
      <c r="C23" s="204"/>
      <c r="D23" s="239">
        <f>IFERROR(__xludf.DUMMYFUNCTION("""COMPUTED_VALUE"""),4.0)</f>
        <v>4</v>
      </c>
      <c r="E23" s="241" t="str">
        <f>IFERROR(__xludf.DUMMYFUNCTION("""COMPUTED_VALUE"""),"AGT5")</f>
        <v>AGT5</v>
      </c>
      <c r="F23" s="243" t="str">
        <f>IFERROR(__xludf.DUMMYFUNCTION("""COMPUTED_VALUE"""),"Agartha")</f>
        <v>Agartha</v>
      </c>
      <c r="G23" s="245" t="str">
        <f>IFERROR(__xludf.DUMMYFUNCTION("""COMPUTED_VALUE"""),"Ys")</f>
        <v>Ys</v>
      </c>
      <c r="H23" s="247">
        <f>IFERROR(__xludf.DUMMYFUNCTION("""COMPUTED_VALUE"""),21.0)</f>
        <v>21</v>
      </c>
      <c r="I23" s="249">
        <f>IFERROR(__xludf.DUMMYFUNCTION("""COMPUTED_VALUE"""),45.523809523809526)</f>
        <v>45.52380952</v>
      </c>
      <c r="J23" s="251">
        <f>IFERROR(__xludf.DUMMYFUNCTION("""COMPUTED_VALUE"""),66.34579785264715)</f>
        <v>66.34579785</v>
      </c>
      <c r="K23" s="253" t="str">
        <f>IFERROR(__xludf.DUMMYFUNCTION("""COMPUTED_VALUE"""),"AP")</f>
        <v>AP</v>
      </c>
      <c r="L23" s="251">
        <f>IFERROR(__xludf.DUMMYFUNCTION("""COMPUTED_VALUE"""),31.652343750000004)</f>
        <v>31.65234375</v>
      </c>
      <c r="M23" s="253" t="str">
        <f>IFERROR(__xludf.DUMMYFUNCTION("""COMPUTED_VALUE"""),"％")</f>
        <v>％</v>
      </c>
      <c r="N23" s="247">
        <f>IFERROR(__xludf.DUMMYFUNCTION("""COMPUTED_VALUE"""),512.0)</f>
        <v>512</v>
      </c>
      <c r="O23" s="217"/>
      <c r="P23" s="93" t="str">
        <f>IFERROR(__xludf.DUMMYFUNCTION("""COMPUTED_VALUE"""),"")</f>
        <v/>
      </c>
      <c r="R23" s="203"/>
      <c r="S23" s="204"/>
      <c r="T23" s="239">
        <f>IFERROR(__xludf.DUMMYFUNCTION("""COMPUTED_VALUE"""),4.0)</f>
        <v>4</v>
      </c>
      <c r="U23" s="241" t="str">
        <f>IFERROR(__xludf.DUMMYFUNCTION("""COMPUTED_VALUE"""),"BBL12")</f>
        <v>BBL12</v>
      </c>
      <c r="V23" s="243" t="str">
        <f>IFERROR(__xludf.DUMMYFUNCTION("""COMPUTED_VALUE"""),"Babylonia")</f>
        <v>Babylonia</v>
      </c>
      <c r="W23" s="245" t="str">
        <f>IFERROR(__xludf.DUMMYFUNCTION("""COMPUTED_VALUE"""),"Nippur")</f>
        <v>Nippur</v>
      </c>
      <c r="X23" s="247">
        <f>IFERROR(__xludf.DUMMYFUNCTION("""COMPUTED_VALUE"""),21.0)</f>
        <v>21</v>
      </c>
      <c r="Y23" s="249">
        <f>IFERROR(__xludf.DUMMYFUNCTION("""COMPUTED_VALUE"""),48.95238095238095)</f>
        <v>48.95238095</v>
      </c>
      <c r="Z23" s="251">
        <f>IFERROR(__xludf.DUMMYFUNCTION("""COMPUTED_VALUE"""),599.7070497613317)</f>
        <v>599.7070498</v>
      </c>
      <c r="AA23" s="253" t="str">
        <f>IFERROR(__xludf.DUMMYFUNCTION("""COMPUTED_VALUE"""),"AP")</f>
        <v>AP</v>
      </c>
      <c r="AB23" s="251">
        <f>IFERROR(__xludf.DUMMYFUNCTION("""COMPUTED_VALUE"""),3.501709711159385)</f>
        <v>3.501709711</v>
      </c>
      <c r="AC23" s="253" t="str">
        <f>IFERROR(__xludf.DUMMYFUNCTION("""COMPUTED_VALUE"""),"％")</f>
        <v>％</v>
      </c>
      <c r="AD23" s="247">
        <f>IFERROR(__xludf.DUMMYFUNCTION("""COMPUTED_VALUE"""),24858.0)</f>
        <v>24858</v>
      </c>
      <c r="AE23" s="217"/>
      <c r="AF23" s="98" t="str">
        <f>IFERROR(__xludf.DUMMYFUNCTION("""COMPUTED_VALUE"""),"")</f>
        <v/>
      </c>
    </row>
    <row r="24" ht="16.5" customHeight="1">
      <c r="A24" s="166"/>
      <c r="B24" s="254"/>
      <c r="C24" s="255"/>
      <c r="D24" s="256">
        <f>IFERROR(__xludf.DUMMYFUNCTION("""COMPUTED_VALUE"""),5.0)</f>
        <v>5</v>
      </c>
      <c r="E24" s="257" t="str">
        <f>IFERROR(__xludf.DUMMYFUNCTION("""COMPUTED_VALUE"""),"SJK2")</f>
        <v>SJK2</v>
      </c>
      <c r="F24" s="42" t="str">
        <f>IFERROR(__xludf.DUMMYFUNCTION("""COMPUTED_VALUE"""),"Shinjuku")</f>
        <v>Shinjuku</v>
      </c>
      <c r="G24" s="258" t="str">
        <f>IFERROR(__xludf.DUMMYFUNCTION("""COMPUTED_VALUE"""),"Route 20")</f>
        <v>Route 20</v>
      </c>
      <c r="H24" s="259">
        <f>IFERROR(__xludf.DUMMYFUNCTION("""COMPUTED_VALUE"""),20.0)</f>
        <v>20</v>
      </c>
      <c r="I24" s="260">
        <f>IFERROR(__xludf.DUMMYFUNCTION("""COMPUTED_VALUE"""),46.6)</f>
        <v>46.6</v>
      </c>
      <c r="J24" s="261">
        <f>IFERROR(__xludf.DUMMYFUNCTION("""COMPUTED_VALUE"""),63.90250321214482)</f>
        <v>63.90250321</v>
      </c>
      <c r="K24" s="262" t="str">
        <f>IFERROR(__xludf.DUMMYFUNCTION("""COMPUTED_VALUE"""),"AP")</f>
        <v>AP</v>
      </c>
      <c r="L24" s="261">
        <f>IFERROR(__xludf.DUMMYFUNCTION("""COMPUTED_VALUE"""),31.297678486245825)</f>
        <v>31.29767849</v>
      </c>
      <c r="M24" s="262" t="str">
        <f>IFERROR(__xludf.DUMMYFUNCTION("""COMPUTED_VALUE"""),"％")</f>
        <v>％</v>
      </c>
      <c r="N24" s="259">
        <f>IFERROR(__xludf.DUMMYFUNCTION("""COMPUTED_VALUE"""),6289.0)</f>
        <v>6289</v>
      </c>
      <c r="O24" s="263"/>
      <c r="P24" s="93" t="str">
        <f>IFERROR(__xludf.DUMMYFUNCTION("""COMPUTED_VALUE"""),"")</f>
        <v/>
      </c>
      <c r="Q24" s="166"/>
      <c r="R24" s="254"/>
      <c r="S24" s="255"/>
      <c r="T24" s="256">
        <f>IFERROR(__xludf.DUMMYFUNCTION("""COMPUTED_VALUE"""),5.0)</f>
        <v>5</v>
      </c>
      <c r="U24" s="257" t="str">
        <f>IFERROR(__xludf.DUMMYFUNCTION("""COMPUTED_VALUE"""),"")</f>
        <v/>
      </c>
      <c r="V24" s="42" t="str">
        <f>IFERROR(__xludf.DUMMYFUNCTION("""COMPUTED_VALUE"""),"")</f>
        <v/>
      </c>
      <c r="W24" s="42" t="str">
        <f>IFERROR(__xludf.DUMMYFUNCTION("""COMPUTED_VALUE"""),"")</f>
        <v/>
      </c>
      <c r="X24" s="259" t="str">
        <f>IFERROR(__xludf.DUMMYFUNCTION("""COMPUTED_VALUE"""),"")</f>
        <v/>
      </c>
      <c r="Y24" s="260" t="str">
        <f>IFERROR(__xludf.DUMMYFUNCTION("""COMPUTED_VALUE"""),"")</f>
        <v/>
      </c>
      <c r="Z24" s="261" t="str">
        <f>IFERROR(__xludf.DUMMYFUNCTION("""COMPUTED_VALUE"""),"")</f>
        <v/>
      </c>
      <c r="AA24" s="262" t="str">
        <f>IFERROR(__xludf.DUMMYFUNCTION("""COMPUTED_VALUE"""),"AP")</f>
        <v>AP</v>
      </c>
      <c r="AB24" s="261" t="str">
        <f>IFERROR(__xludf.DUMMYFUNCTION("""COMPUTED_VALUE"""),"")</f>
        <v/>
      </c>
      <c r="AC24" s="262" t="str">
        <f>IFERROR(__xludf.DUMMYFUNCTION("""COMPUTED_VALUE"""),"％")</f>
        <v>％</v>
      </c>
      <c r="AD24" s="259" t="str">
        <f>IFERROR(__xludf.DUMMYFUNCTION("""COMPUTED_VALUE"""),"")</f>
        <v/>
      </c>
      <c r="AE24" s="263"/>
      <c r="AF24" s="98" t="str">
        <f>IFERROR(__xludf.DUMMYFUNCTION("""COMPUTED_VALUE"""),"")</f>
        <v/>
      </c>
    </row>
    <row r="25" ht="16.5" customHeight="1">
      <c r="A25" s="61" t="str">
        <f>IFERROR(__xludf.DUMMYFUNCTION("""COMPUTED_VALUE"""),"")</f>
        <v/>
      </c>
      <c r="B25" s="264" t="str">
        <f>IFERROR(__xludf.DUMMYFUNCTION("""COMPUTED_VALUE"""),"A305")</f>
        <v>A305</v>
      </c>
      <c r="C25" s="65" t="str">
        <f>IFERROR(__xludf.DUMMYFUNCTION("""COMPUTED_VALUE"""),"Fool's Chain")</f>
        <v>Fool's Chain</v>
      </c>
      <c r="D25" s="70">
        <f>IFERROR(__xludf.DUMMYFUNCTION("""COMPUTED_VALUE"""),1.0)</f>
        <v>1</v>
      </c>
      <c r="E25" s="73" t="str">
        <f>IFERROR(__xludf.DUMMYFUNCTION("""COMPUTED_VALUE"""),"CML3")</f>
        <v>CML3</v>
      </c>
      <c r="F25" s="76" t="str">
        <f>IFERROR(__xludf.DUMMYFUNCTION("""COMPUTED_VALUE"""),"Camelot")</f>
        <v>Camelot</v>
      </c>
      <c r="G25" s="85" t="str">
        <f>IFERROR(__xludf.DUMMYFUNCTION("""COMPUTED_VALUE"""),"Wastelands of Death")</f>
        <v>Wastelands of Death</v>
      </c>
      <c r="H25" s="87">
        <f>IFERROR(__xludf.DUMMYFUNCTION("""COMPUTED_VALUE"""),19.0)</f>
        <v>19</v>
      </c>
      <c r="I25" s="90">
        <f>IFERROR(__xludf.DUMMYFUNCTION("""COMPUTED_VALUE"""),44.0)</f>
        <v>44</v>
      </c>
      <c r="J25" s="92">
        <f>IFERROR(__xludf.DUMMYFUNCTION("""COMPUTED_VALUE"""),29.167942020877298)</f>
        <v>29.16794202</v>
      </c>
      <c r="K25" s="94" t="str">
        <f>IFERROR(__xludf.DUMMYFUNCTION("""COMPUTED_VALUE"""),"AP")</f>
        <v>AP</v>
      </c>
      <c r="L25" s="96">
        <f>IFERROR(__xludf.DUMMYFUNCTION("""COMPUTED_VALUE"""),65.1400088028169)</f>
        <v>65.1400088</v>
      </c>
      <c r="M25" s="94" t="str">
        <f>IFERROR(__xludf.DUMMYFUNCTION("""COMPUTED_VALUE"""),"％")</f>
        <v>％</v>
      </c>
      <c r="N25" s="87">
        <f>IFERROR(__xludf.DUMMYFUNCTION("""COMPUTED_VALUE"""),13632.0)</f>
        <v>13632</v>
      </c>
      <c r="O25" s="97" t="str">
        <f>IFERROR(__xludf.DUMMYFUNCTION("""COMPUTED_VALUE"""),"Fool's Chain")</f>
        <v>Fool's Chain</v>
      </c>
      <c r="P25" s="93" t="str">
        <f>IFERROR(__xludf.DUMMYFUNCTION("""COMPUTED_VALUE"""),"")</f>
        <v/>
      </c>
      <c r="Q25" s="61" t="str">
        <f>IFERROR(__xludf.DUMMYFUNCTION("""COMPUTED_VALUE"""),"")</f>
        <v/>
      </c>
      <c r="R25" s="266" t="str">
        <f>IFERROR(__xludf.DUMMYFUNCTION("""COMPUTED_VALUE"""),"B105")</f>
        <v>B105</v>
      </c>
      <c r="S25" s="65" t="str">
        <f>IFERROR(__xludf.DUMMYFUNCTION("""COMPUTED_VALUE"""),"Secret Gem of Caster")</f>
        <v>Secret Gem of Caster</v>
      </c>
      <c r="T25" s="70">
        <f>IFERROR(__xludf.DUMMYFUNCTION("""COMPUTED_VALUE"""),1.0)</f>
        <v>1</v>
      </c>
      <c r="U25" s="73" t="str">
        <f>IFERROR(__xludf.DUMMYFUNCTION("""COMPUTED_VALUE"""),"TRF20")</f>
        <v>TRF20</v>
      </c>
      <c r="V25" s="76" t="str">
        <f>IFERROR(__xludf.DUMMYFUNCTION("""COMPUTED_VALUE"""),"Chaldea Gate (Fri)")</f>
        <v>Chaldea Gate (Fri)</v>
      </c>
      <c r="W25" s="76" t="str">
        <f>IFERROR(__xludf.DUMMYFUNCTION("""COMPUTED_VALUE"""),"FRI Caster Training Ground- Exp")</f>
        <v>FRI Caster Training Ground- Exp</v>
      </c>
      <c r="X25" s="87">
        <f>IFERROR(__xludf.DUMMYFUNCTION("""COMPUTED_VALUE"""),40.0)</f>
        <v>40</v>
      </c>
      <c r="Y25" s="90">
        <f>IFERROR(__xludf.DUMMYFUNCTION("""COMPUTED_VALUE"""),19.7)</f>
        <v>19.7</v>
      </c>
      <c r="Z25" s="92">
        <f>IFERROR(__xludf.DUMMYFUNCTION("""COMPUTED_VALUE"""),52.424237642913816)</f>
        <v>52.42423764</v>
      </c>
      <c r="AA25" s="94" t="str">
        <f>IFERROR(__xludf.DUMMYFUNCTION("""COMPUTED_VALUE"""),"AP")</f>
        <v>AP</v>
      </c>
      <c r="AB25" s="96">
        <f>IFERROR(__xludf.DUMMYFUNCTION("""COMPUTED_VALUE"""),76.30058499364138)</f>
        <v>76.30058499</v>
      </c>
      <c r="AC25" s="94" t="str">
        <f>IFERROR(__xludf.DUMMYFUNCTION("""COMPUTED_VALUE"""),"％")</f>
        <v>％</v>
      </c>
      <c r="AD25" s="87">
        <f>IFERROR(__xludf.DUMMYFUNCTION("""COMPUTED_VALUE"""),11795.0)</f>
        <v>11795</v>
      </c>
      <c r="AE25" s="97" t="str">
        <f>IFERROR(__xludf.DUMMYFUNCTION("""COMPUTED_VALUE"""),"Secret Gem of Caster")</f>
        <v>Secret Gem of Caster</v>
      </c>
      <c r="AF25" s="98" t="str">
        <f>IFERROR(__xludf.DUMMYFUNCTION("""COMPUTED_VALUE"""),"")</f>
        <v/>
      </c>
    </row>
    <row r="26" ht="16.5" customHeight="1">
      <c r="B26" s="268"/>
      <c r="C26" s="100"/>
      <c r="D26" s="105">
        <f>IFERROR(__xludf.DUMMYFUNCTION("""COMPUTED_VALUE"""),2.0)</f>
        <v>2</v>
      </c>
      <c r="E26" s="106" t="str">
        <f>IFERROR(__xludf.DUMMYFUNCTION("""COMPUTED_VALUE"""),"CML14")</f>
        <v>CML14</v>
      </c>
      <c r="F26" s="107" t="str">
        <f>IFERROR(__xludf.DUMMYFUNCTION("""COMPUTED_VALUE"""),"Camelot")</f>
        <v>Camelot</v>
      </c>
      <c r="G26" s="114" t="str">
        <f>IFERROR(__xludf.DUMMYFUNCTION("""COMPUTED_VALUE"""),"Great Temple")</f>
        <v>Great Temple</v>
      </c>
      <c r="H26" s="116">
        <f>IFERROR(__xludf.DUMMYFUNCTION("""COMPUTED_VALUE"""),22.0)</f>
        <v>22</v>
      </c>
      <c r="I26" s="118">
        <f>IFERROR(__xludf.DUMMYFUNCTION("""COMPUTED_VALUE"""),48.90909090909091)</f>
        <v>48.90909091</v>
      </c>
      <c r="J26" s="120">
        <f>IFERROR(__xludf.DUMMYFUNCTION("""COMPUTED_VALUE"""),52.01841242507533)</f>
        <v>52.01841243</v>
      </c>
      <c r="K26" s="122" t="str">
        <f>IFERROR(__xludf.DUMMYFUNCTION("""COMPUTED_VALUE"""),"AP")</f>
        <v>AP</v>
      </c>
      <c r="L26" s="124">
        <f>IFERROR(__xludf.DUMMYFUNCTION("""COMPUTED_VALUE"""),42.292717086834735)</f>
        <v>42.29271709</v>
      </c>
      <c r="M26" s="122" t="str">
        <f>IFERROR(__xludf.DUMMYFUNCTION("""COMPUTED_VALUE"""),"％")</f>
        <v>％</v>
      </c>
      <c r="N26" s="116">
        <f>IFERROR(__xludf.DUMMYFUNCTION("""COMPUTED_VALUE"""),29274.0)</f>
        <v>29274</v>
      </c>
      <c r="O26" s="100"/>
      <c r="P26" s="93" t="str">
        <f>IFERROR(__xludf.DUMMYFUNCTION("""COMPUTED_VALUE"""),"")</f>
        <v/>
      </c>
      <c r="R26" s="268"/>
      <c r="S26" s="100"/>
      <c r="T26" s="105">
        <f>IFERROR(__xludf.DUMMYFUNCTION("""COMPUTED_VALUE"""),2.0)</f>
        <v>2</v>
      </c>
      <c r="U26" s="106" t="str">
        <f>IFERROR(__xludf.DUMMYFUNCTION("""COMPUTED_VALUE"""),"TRF19")</f>
        <v>TRF19</v>
      </c>
      <c r="V26" s="107" t="str">
        <f>IFERROR(__xludf.DUMMYFUNCTION("""COMPUTED_VALUE"""),"Chaldea Gate (Fri)")</f>
        <v>Chaldea Gate (Fri)</v>
      </c>
      <c r="W26" s="107" t="str">
        <f>IFERROR(__xludf.DUMMYFUNCTION("""COMPUTED_VALUE"""),"FRI Caster Training Ground- Adv")</f>
        <v>FRI Caster Training Ground- Adv</v>
      </c>
      <c r="X26" s="116">
        <f>IFERROR(__xludf.DUMMYFUNCTION("""COMPUTED_VALUE"""),30.0)</f>
        <v>30</v>
      </c>
      <c r="Y26" s="118">
        <f>IFERROR(__xludf.DUMMYFUNCTION("""COMPUTED_VALUE"""),18.266666666666666)</f>
        <v>18.26666667</v>
      </c>
      <c r="Z26" s="120">
        <f>IFERROR(__xludf.DUMMYFUNCTION("""COMPUTED_VALUE"""),124.50736964446088)</f>
        <v>124.5073696</v>
      </c>
      <c r="AA26" s="122" t="str">
        <f>IFERROR(__xludf.DUMMYFUNCTION("""COMPUTED_VALUE"""),"AP")</f>
        <v>AP</v>
      </c>
      <c r="AB26" s="124">
        <f>IFERROR(__xludf.DUMMYFUNCTION("""COMPUTED_VALUE"""),24.094959266802444)</f>
        <v>24.09495927</v>
      </c>
      <c r="AC26" s="122" t="str">
        <f>IFERROR(__xludf.DUMMYFUNCTION("""COMPUTED_VALUE"""),"％")</f>
        <v>％</v>
      </c>
      <c r="AD26" s="116">
        <f>IFERROR(__xludf.DUMMYFUNCTION("""COMPUTED_VALUE"""),1964.0)</f>
        <v>1964</v>
      </c>
      <c r="AE26" s="100"/>
      <c r="AF26" s="98" t="str">
        <f>IFERROR(__xludf.DUMMYFUNCTION("""COMPUTED_VALUE"""),"")</f>
        <v/>
      </c>
    </row>
    <row r="27" ht="16.5" customHeight="1">
      <c r="B27" s="268"/>
      <c r="C27" s="100"/>
      <c r="D27" s="128">
        <f>IFERROR(__xludf.DUMMYFUNCTION("""COMPUTED_VALUE"""),3.0)</f>
        <v>3</v>
      </c>
      <c r="E27" s="129" t="str">
        <f>IFERROR(__xludf.DUMMYFUNCTION("""COMPUTED_VALUE"""),"AGT7")</f>
        <v>AGT7</v>
      </c>
      <c r="F27" s="131" t="str">
        <f>IFERROR(__xludf.DUMMYFUNCTION("""COMPUTED_VALUE"""),"Agartha")</f>
        <v>Agartha</v>
      </c>
      <c r="G27" s="134" t="str">
        <f>IFERROR(__xludf.DUMMYFUNCTION("""COMPUTED_VALUE"""),"Nightless City")</f>
        <v>Nightless City</v>
      </c>
      <c r="H27" s="136">
        <f>IFERROR(__xludf.DUMMYFUNCTION("""COMPUTED_VALUE"""),21.0)</f>
        <v>21</v>
      </c>
      <c r="I27" s="138">
        <f>IFERROR(__xludf.DUMMYFUNCTION("""COMPUTED_VALUE"""),46.666666666666664)</f>
        <v>46.66666667</v>
      </c>
      <c r="J27" s="140">
        <f>IFERROR(__xludf.DUMMYFUNCTION("""COMPUTED_VALUE"""),53.67682774129681)</f>
        <v>53.67682774</v>
      </c>
      <c r="K27" s="142" t="str">
        <f>IFERROR(__xludf.DUMMYFUNCTION("""COMPUTED_VALUE"""),"AP")</f>
        <v>AP</v>
      </c>
      <c r="L27" s="144">
        <f>IFERROR(__xludf.DUMMYFUNCTION("""COMPUTED_VALUE"""),39.123027354024195)</f>
        <v>39.12302735</v>
      </c>
      <c r="M27" s="142" t="str">
        <f>IFERROR(__xludf.DUMMYFUNCTION("""COMPUTED_VALUE"""),"％")</f>
        <v>％</v>
      </c>
      <c r="N27" s="136">
        <f>IFERROR(__xludf.DUMMYFUNCTION("""COMPUTED_VALUE"""),7604.0)</f>
        <v>7604</v>
      </c>
      <c r="O27" s="100"/>
      <c r="P27" s="93" t="str">
        <f>IFERROR(__xludf.DUMMYFUNCTION("""COMPUTED_VALUE"""),"")</f>
        <v/>
      </c>
      <c r="R27" s="268"/>
      <c r="S27" s="100"/>
      <c r="T27" s="128">
        <f>IFERROR(__xludf.DUMMYFUNCTION("""COMPUTED_VALUE"""),3.0)</f>
        <v>3</v>
      </c>
      <c r="U27" s="129" t="str">
        <f>IFERROR(__xludf.DUMMYFUNCTION("""COMPUTED_VALUE"""),"CML14")</f>
        <v>CML14</v>
      </c>
      <c r="V27" s="131" t="str">
        <f>IFERROR(__xludf.DUMMYFUNCTION("""COMPUTED_VALUE"""),"Camelot")</f>
        <v>Camelot</v>
      </c>
      <c r="W27" s="134" t="str">
        <f>IFERROR(__xludf.DUMMYFUNCTION("""COMPUTED_VALUE"""),"Great Temple")</f>
        <v>Great Temple</v>
      </c>
      <c r="X27" s="136">
        <f>IFERROR(__xludf.DUMMYFUNCTION("""COMPUTED_VALUE"""),22.0)</f>
        <v>22</v>
      </c>
      <c r="Y27" s="138">
        <f>IFERROR(__xludf.DUMMYFUNCTION("""COMPUTED_VALUE"""),48.90909090909091)</f>
        <v>48.90909091</v>
      </c>
      <c r="Z27" s="140">
        <f>IFERROR(__xludf.DUMMYFUNCTION("""COMPUTED_VALUE"""),358.65010859274935)</f>
        <v>358.6501086</v>
      </c>
      <c r="AA27" s="142" t="str">
        <f>IFERROR(__xludf.DUMMYFUNCTION("""COMPUTED_VALUE"""),"AP")</f>
        <v>AP</v>
      </c>
      <c r="AB27" s="144">
        <f>IFERROR(__xludf.DUMMYFUNCTION("""COMPUTED_VALUE"""),6.134112181457949)</f>
        <v>6.134112181</v>
      </c>
      <c r="AC27" s="142" t="str">
        <f>IFERROR(__xludf.DUMMYFUNCTION("""COMPUTED_VALUE"""),"％")</f>
        <v>％</v>
      </c>
      <c r="AD27" s="136">
        <f>IFERROR(__xludf.DUMMYFUNCTION("""COMPUTED_VALUE"""),29274.0)</f>
        <v>29274</v>
      </c>
      <c r="AE27" s="100"/>
      <c r="AF27" s="98" t="str">
        <f>IFERROR(__xludf.DUMMYFUNCTION("""COMPUTED_VALUE"""),"")</f>
        <v/>
      </c>
    </row>
    <row r="28" ht="16.5" customHeight="1">
      <c r="B28" s="268"/>
      <c r="C28" s="100"/>
      <c r="D28" s="147">
        <f>IFERROR(__xludf.DUMMYFUNCTION("""COMPUTED_VALUE"""),4.0)</f>
        <v>4</v>
      </c>
      <c r="E28" s="149" t="str">
        <f>IFERROR(__xludf.DUMMYFUNCTION("""COMPUTED_VALUE"""),"AGT6")</f>
        <v>AGT6</v>
      </c>
      <c r="F28" s="151" t="str">
        <f>IFERROR(__xludf.DUMMYFUNCTION("""COMPUTED_VALUE"""),"Agartha")</f>
        <v>Agartha</v>
      </c>
      <c r="G28" s="153" t="str">
        <f>IFERROR(__xludf.DUMMYFUNCTION("""COMPUTED_VALUE"""),"Northern Cliffs")</f>
        <v>Northern Cliffs</v>
      </c>
      <c r="H28" s="155">
        <f>IFERROR(__xludf.DUMMYFUNCTION("""COMPUTED_VALUE"""),21.0)</f>
        <v>21</v>
      </c>
      <c r="I28" s="157">
        <f>IFERROR(__xludf.DUMMYFUNCTION("""COMPUTED_VALUE"""),45.523809523809526)</f>
        <v>45.52380952</v>
      </c>
      <c r="J28" s="159">
        <f>IFERROR(__xludf.DUMMYFUNCTION("""COMPUTED_VALUE"""),53.71696441754023)</f>
        <v>53.71696442</v>
      </c>
      <c r="K28" s="161" t="str">
        <f>IFERROR(__xludf.DUMMYFUNCTION("""COMPUTED_VALUE"""),"AP")</f>
        <v>AP</v>
      </c>
      <c r="L28" s="163">
        <f>IFERROR(__xludf.DUMMYFUNCTION("""COMPUTED_VALUE"""),39.093795093795094)</f>
        <v>39.09379509</v>
      </c>
      <c r="M28" s="161" t="str">
        <f>IFERROR(__xludf.DUMMYFUNCTION("""COMPUTED_VALUE"""),"％")</f>
        <v>％</v>
      </c>
      <c r="N28" s="155">
        <f>IFERROR(__xludf.DUMMYFUNCTION("""COMPUTED_VALUE"""),2079.0)</f>
        <v>2079</v>
      </c>
      <c r="O28" s="100"/>
      <c r="P28" s="93" t="str">
        <f>IFERROR(__xludf.DUMMYFUNCTION("""COMPUTED_VALUE"""),"")</f>
        <v/>
      </c>
      <c r="R28" s="268"/>
      <c r="S28" s="100"/>
      <c r="T28" s="147">
        <f>IFERROR(__xludf.DUMMYFUNCTION("""COMPUTED_VALUE"""),4.0)</f>
        <v>4</v>
      </c>
      <c r="U28" s="149" t="str">
        <f>IFERROR(__xludf.DUMMYFUNCTION("""COMPUTED_VALUE"""),"SJK9")</f>
        <v>SJK9</v>
      </c>
      <c r="V28" s="151" t="str">
        <f>IFERROR(__xludf.DUMMYFUNCTION("""COMPUTED_VALUE"""),"Shinjuku")</f>
        <v>Shinjuku</v>
      </c>
      <c r="W28" s="153" t="str">
        <f>IFERROR(__xludf.DUMMYFUNCTION("""COMPUTED_VALUE"""),"Shinjuku Gyoen")</f>
        <v>Shinjuku Gyoen</v>
      </c>
      <c r="X28" s="155">
        <f>IFERROR(__xludf.DUMMYFUNCTION("""COMPUTED_VALUE"""),21.0)</f>
        <v>21</v>
      </c>
      <c r="Y28" s="157">
        <f>IFERROR(__xludf.DUMMYFUNCTION("""COMPUTED_VALUE"""),48.95238095238095)</f>
        <v>48.95238095</v>
      </c>
      <c r="Z28" s="159">
        <f>IFERROR(__xludf.DUMMYFUNCTION("""COMPUTED_VALUE"""),462.6896175246478)</f>
        <v>462.6896175</v>
      </c>
      <c r="AA28" s="161" t="str">
        <f>IFERROR(__xludf.DUMMYFUNCTION("""COMPUTED_VALUE"""),"AP")</f>
        <v>AP</v>
      </c>
      <c r="AB28" s="163">
        <f>IFERROR(__xludf.DUMMYFUNCTION("""COMPUTED_VALUE"""),4.538679755199243)</f>
        <v>4.538679755</v>
      </c>
      <c r="AC28" s="161" t="str">
        <f>IFERROR(__xludf.DUMMYFUNCTION("""COMPUTED_VALUE"""),"％")</f>
        <v>％</v>
      </c>
      <c r="AD28" s="155">
        <f>IFERROR(__xludf.DUMMYFUNCTION("""COMPUTED_VALUE"""),45673.0)</f>
        <v>45673</v>
      </c>
      <c r="AE28" s="100"/>
      <c r="AF28" s="98" t="str">
        <f>IFERROR(__xludf.DUMMYFUNCTION("""COMPUTED_VALUE"""),"")</f>
        <v/>
      </c>
    </row>
    <row r="29" ht="16.5" customHeight="1">
      <c r="A29" s="166"/>
      <c r="B29" s="269"/>
      <c r="C29" s="168"/>
      <c r="D29" s="169">
        <f>IFERROR(__xludf.DUMMYFUNCTION("""COMPUTED_VALUE"""),5.0)</f>
        <v>5</v>
      </c>
      <c r="E29" s="170" t="str">
        <f>IFERROR(__xludf.DUMMYFUNCTION("""COMPUTED_VALUE"""),"CML11")</f>
        <v>CML11</v>
      </c>
      <c r="F29" s="51" t="str">
        <f>IFERROR(__xludf.DUMMYFUNCTION("""COMPUTED_VALUE"""),"Camelot")</f>
        <v>Camelot</v>
      </c>
      <c r="G29" s="171" t="str">
        <f>IFERROR(__xludf.DUMMYFUNCTION("""COMPUTED_VALUE"""),"Hidden Village")</f>
        <v>Hidden Village</v>
      </c>
      <c r="H29" s="172">
        <f>IFERROR(__xludf.DUMMYFUNCTION("""COMPUTED_VALUE"""),21.0)</f>
        <v>21</v>
      </c>
      <c r="I29" s="173">
        <f>IFERROR(__xludf.DUMMYFUNCTION("""COMPUTED_VALUE"""),47.80952380952381)</f>
        <v>47.80952381</v>
      </c>
      <c r="J29" s="174">
        <f>IFERROR(__xludf.DUMMYFUNCTION("""COMPUTED_VALUE"""),67.35087882152587)</f>
        <v>67.35087882</v>
      </c>
      <c r="K29" s="175" t="str">
        <f>IFERROR(__xludf.DUMMYFUNCTION("""COMPUTED_VALUE"""),"AP")</f>
        <v>AP</v>
      </c>
      <c r="L29" s="176">
        <f>IFERROR(__xludf.DUMMYFUNCTION("""COMPUTED_VALUE"""),31.17999403637809)</f>
        <v>31.17999404</v>
      </c>
      <c r="M29" s="175" t="str">
        <f>IFERROR(__xludf.DUMMYFUNCTION("""COMPUTED_VALUE"""),"％")</f>
        <v>％</v>
      </c>
      <c r="N29" s="172">
        <f>IFERROR(__xludf.DUMMYFUNCTION("""COMPUTED_VALUE"""),50305.0)</f>
        <v>50305</v>
      </c>
      <c r="O29" s="168"/>
      <c r="P29" s="93" t="str">
        <f>IFERROR(__xludf.DUMMYFUNCTION("""COMPUTED_VALUE"""),"")</f>
        <v/>
      </c>
      <c r="Q29" s="166"/>
      <c r="R29" s="269"/>
      <c r="S29" s="168"/>
      <c r="T29" s="169">
        <f>IFERROR(__xludf.DUMMYFUNCTION("""COMPUTED_VALUE"""),5.0)</f>
        <v>5</v>
      </c>
      <c r="U29" s="170" t="str">
        <f>IFERROR(__xludf.DUMMYFUNCTION("""COMPUTED_VALUE"""),"AGT12")</f>
        <v>AGT12</v>
      </c>
      <c r="V29" s="51" t="str">
        <f>IFERROR(__xludf.DUMMYFUNCTION("""COMPUTED_VALUE"""),"Agartha")</f>
        <v>Agartha</v>
      </c>
      <c r="W29" s="171" t="str">
        <f>IFERROR(__xludf.DUMMYFUNCTION("""COMPUTED_VALUE"""),"Chasm in the Earth")</f>
        <v>Chasm in the Earth</v>
      </c>
      <c r="X29" s="172">
        <f>IFERROR(__xludf.DUMMYFUNCTION("""COMPUTED_VALUE"""),21.0)</f>
        <v>21</v>
      </c>
      <c r="Y29" s="173">
        <f>IFERROR(__xludf.DUMMYFUNCTION("""COMPUTED_VALUE"""),48.95238095238095)</f>
        <v>48.95238095</v>
      </c>
      <c r="Z29" s="174">
        <f>IFERROR(__xludf.DUMMYFUNCTION("""COMPUTED_VALUE"""),565.900981266726)</f>
        <v>565.9009813</v>
      </c>
      <c r="AA29" s="175" t="str">
        <f>IFERROR(__xludf.DUMMYFUNCTION("""COMPUTED_VALUE"""),"AP")</f>
        <v>AP</v>
      </c>
      <c r="AB29" s="176">
        <f>IFERROR(__xludf.DUMMYFUNCTION("""COMPUTED_VALUE"""),3.710896551724138)</f>
        <v>3.710896552</v>
      </c>
      <c r="AC29" s="175" t="str">
        <f>IFERROR(__xludf.DUMMYFUNCTION("""COMPUTED_VALUE"""),"％")</f>
        <v>％</v>
      </c>
      <c r="AD29" s="172">
        <f>IFERROR(__xludf.DUMMYFUNCTION("""COMPUTED_VALUE"""),725.0)</f>
        <v>725</v>
      </c>
      <c r="AE29" s="168"/>
      <c r="AF29" s="98" t="str">
        <f>IFERROR(__xludf.DUMMYFUNCTION("""COMPUTED_VALUE"""),"")</f>
        <v/>
      </c>
    </row>
    <row r="30" ht="16.5" customHeight="1">
      <c r="A30" s="61" t="str">
        <f>IFERROR(__xludf.DUMMYFUNCTION("""COMPUTED_VALUE"""),"")</f>
        <v/>
      </c>
      <c r="B30" s="183" t="str">
        <f>IFERROR(__xludf.DUMMYFUNCTION("""COMPUTED_VALUE"""),"A306")</f>
        <v>A306</v>
      </c>
      <c r="C30" s="197" t="str">
        <f>IFERROR(__xludf.DUMMYFUNCTION("""COMPUTED_VALUE"""),"Deadly Poisonous Needle")</f>
        <v>Deadly Poisonous Needle</v>
      </c>
      <c r="D30" s="185">
        <f>IFERROR(__xludf.DUMMYFUNCTION("""COMPUTED_VALUE"""),1.0)</f>
        <v>1</v>
      </c>
      <c r="E30" s="187" t="str">
        <f>IFERROR(__xludf.DUMMYFUNCTION("""COMPUTED_VALUE"""),"BBL9")</f>
        <v>BBL9</v>
      </c>
      <c r="F30" s="188" t="str">
        <f>IFERROR(__xludf.DUMMYFUNCTION("""COMPUTED_VALUE"""),"Babylonia")</f>
        <v>Babylonia</v>
      </c>
      <c r="G30" s="193" t="str">
        <f>IFERROR(__xludf.DUMMYFUNCTION("""COMPUTED_VALUE"""),"Field of Reeds")</f>
        <v>Field of Reeds</v>
      </c>
      <c r="H30" s="195">
        <f>IFERROR(__xludf.DUMMYFUNCTION("""COMPUTED_VALUE"""),21.0)</f>
        <v>21</v>
      </c>
      <c r="I30" s="196">
        <f>IFERROR(__xludf.DUMMYFUNCTION("""COMPUTED_VALUE"""),46.666666666666664)</f>
        <v>46.66666667</v>
      </c>
      <c r="J30" s="198">
        <f>IFERROR(__xludf.DUMMYFUNCTION("""COMPUTED_VALUE"""),33.60343769183548)</f>
        <v>33.60343769</v>
      </c>
      <c r="K30" s="200" t="str">
        <f>IFERROR(__xludf.DUMMYFUNCTION("""COMPUTED_VALUE"""),"AP")</f>
        <v>AP</v>
      </c>
      <c r="L30" s="198">
        <f>IFERROR(__xludf.DUMMYFUNCTION("""COMPUTED_VALUE"""),62.49360613810742)</f>
        <v>62.49360614</v>
      </c>
      <c r="M30" s="201" t="str">
        <f>IFERROR(__xludf.DUMMYFUNCTION("""COMPUTED_VALUE"""),"％")</f>
        <v>％</v>
      </c>
      <c r="N30" s="195">
        <f>IFERROR(__xludf.DUMMYFUNCTION("""COMPUTED_VALUE"""),13685.0)</f>
        <v>13685</v>
      </c>
      <c r="O30" s="197" t="str">
        <f>IFERROR(__xludf.DUMMYFUNCTION("""COMPUTED_VALUE"""),"Deadly Poisonous Needle")</f>
        <v>Deadly Poisonous Needle</v>
      </c>
      <c r="P30" s="93" t="str">
        <f>IFERROR(__xludf.DUMMYFUNCTION("""COMPUTED_VALUE"""),"")</f>
        <v/>
      </c>
      <c r="Q30" s="61" t="str">
        <f>IFERROR(__xludf.DUMMYFUNCTION("""COMPUTED_VALUE"""),"")</f>
        <v/>
      </c>
      <c r="R30" s="202" t="str">
        <f>IFERROR(__xludf.DUMMYFUNCTION("""COMPUTED_VALUE"""),"B106")</f>
        <v>B106</v>
      </c>
      <c r="S30" s="197" t="str">
        <f>IFERROR(__xludf.DUMMYFUNCTION("""COMPUTED_VALUE"""),"Secret Gem of Assassin")</f>
        <v>Secret Gem of Assassin</v>
      </c>
      <c r="T30" s="185">
        <f>IFERROR(__xludf.DUMMYFUNCTION("""COMPUTED_VALUE"""),1.0)</f>
        <v>1</v>
      </c>
      <c r="U30" s="187" t="str">
        <f>IFERROR(__xludf.DUMMYFUNCTION("""COMPUTED_VALUE"""),"TRF24")</f>
        <v>TRF24</v>
      </c>
      <c r="V30" s="188" t="str">
        <f>IFERROR(__xludf.DUMMYFUNCTION("""COMPUTED_VALUE"""),"Chaldea Gate (Sat)")</f>
        <v>Chaldea Gate (Sat)</v>
      </c>
      <c r="W30" s="188" t="str">
        <f>IFERROR(__xludf.DUMMYFUNCTION("""COMPUTED_VALUE"""),"SAT Assassin Training Ground- Exp")</f>
        <v>SAT Assassin Training Ground- Exp</v>
      </c>
      <c r="X30" s="195">
        <f>IFERROR(__xludf.DUMMYFUNCTION("""COMPUTED_VALUE"""),40.0)</f>
        <v>40</v>
      </c>
      <c r="Y30" s="196">
        <f>IFERROR(__xludf.DUMMYFUNCTION("""COMPUTED_VALUE"""),19.7)</f>
        <v>19.7</v>
      </c>
      <c r="Z30" s="198">
        <f>IFERROR(__xludf.DUMMYFUNCTION("""COMPUTED_VALUE"""),157.66598680122686)</f>
        <v>157.6659868</v>
      </c>
      <c r="AA30" s="200" t="str">
        <f>IFERROR(__xludf.DUMMYFUNCTION("""COMPUTED_VALUE"""),"AP")</f>
        <v>AP</v>
      </c>
      <c r="AB30" s="198">
        <f>IFERROR(__xludf.DUMMYFUNCTION("""COMPUTED_VALUE"""),25.370088255261372)</f>
        <v>25.37008826</v>
      </c>
      <c r="AC30" s="201" t="str">
        <f>IFERROR(__xludf.DUMMYFUNCTION("""COMPUTED_VALUE"""),"％")</f>
        <v>％</v>
      </c>
      <c r="AD30" s="195">
        <f>IFERROR(__xludf.DUMMYFUNCTION("""COMPUTED_VALUE"""),7365.0)</f>
        <v>7365</v>
      </c>
      <c r="AE30" s="197" t="str">
        <f>IFERROR(__xludf.DUMMYFUNCTION("""COMPUTED_VALUE"""),"Secret Gem of Assassin")</f>
        <v>Secret Gem of Assassin</v>
      </c>
      <c r="AF30" s="98" t="str">
        <f>IFERROR(__xludf.DUMMYFUNCTION("""COMPUTED_VALUE"""),"")</f>
        <v/>
      </c>
    </row>
    <row r="31" ht="16.5" customHeight="1">
      <c r="B31" s="203"/>
      <c r="C31" s="217"/>
      <c r="D31" s="208">
        <f>IFERROR(__xludf.DUMMYFUNCTION("""COMPUTED_VALUE"""),2.0)</f>
        <v>2</v>
      </c>
      <c r="E31" s="210" t="str">
        <f>IFERROR(__xludf.DUMMYFUNCTION("""COMPUTED_VALUE"""),"BBL4")</f>
        <v>BBL4</v>
      </c>
      <c r="F31" s="212" t="str">
        <f>IFERROR(__xludf.DUMMYFUNCTION("""COMPUTED_VALUE"""),"Babylonia")</f>
        <v>Babylonia</v>
      </c>
      <c r="G31" s="216" t="str">
        <f>IFERROR(__xludf.DUMMYFUNCTION("""COMPUTED_VALUE"""),"Plateau")</f>
        <v>Plateau</v>
      </c>
      <c r="H31" s="218">
        <f>IFERROR(__xludf.DUMMYFUNCTION("""COMPUTED_VALUE"""),20.0)</f>
        <v>20</v>
      </c>
      <c r="I31" s="219">
        <f>IFERROR(__xludf.DUMMYFUNCTION("""COMPUTED_VALUE"""),46.6)</f>
        <v>46.6</v>
      </c>
      <c r="J31" s="220">
        <f>IFERROR(__xludf.DUMMYFUNCTION("""COMPUTED_VALUE"""),40.54057282372138)</f>
        <v>40.54057282</v>
      </c>
      <c r="K31" s="221" t="str">
        <f>IFERROR(__xludf.DUMMYFUNCTION("""COMPUTED_VALUE"""),"AP")</f>
        <v>AP</v>
      </c>
      <c r="L31" s="220">
        <f>IFERROR(__xludf.DUMMYFUNCTION("""COMPUTED_VALUE"""),49.33329404832056)</f>
        <v>49.33329405</v>
      </c>
      <c r="M31" s="221" t="str">
        <f>IFERROR(__xludf.DUMMYFUNCTION("""COMPUTED_VALUE"""),"％")</f>
        <v>％</v>
      </c>
      <c r="N31" s="218">
        <f>IFERROR(__xludf.DUMMYFUNCTION("""COMPUTED_VALUE"""),6788.0)</f>
        <v>6788</v>
      </c>
      <c r="O31" s="217"/>
      <c r="P31" s="93" t="str">
        <f>IFERROR(__xludf.DUMMYFUNCTION("""COMPUTED_VALUE"""),"")</f>
        <v/>
      </c>
      <c r="R31" s="203"/>
      <c r="S31" s="217"/>
      <c r="T31" s="208">
        <f>IFERROR(__xludf.DUMMYFUNCTION("""COMPUTED_VALUE"""),2.0)</f>
        <v>2</v>
      </c>
      <c r="U31" s="210" t="str">
        <f>IFERROR(__xludf.DUMMYFUNCTION("""COMPUTED_VALUE"""),"TRF23")</f>
        <v>TRF23</v>
      </c>
      <c r="V31" s="212" t="str">
        <f>IFERROR(__xludf.DUMMYFUNCTION("""COMPUTED_VALUE"""),"Chaldea Gate (Sat)")</f>
        <v>Chaldea Gate (Sat)</v>
      </c>
      <c r="W31" s="212" t="str">
        <f>IFERROR(__xludf.DUMMYFUNCTION("""COMPUTED_VALUE"""),"SAT Assassin Training Ground- Adv")</f>
        <v>SAT Assassin Training Ground- Adv</v>
      </c>
      <c r="X31" s="218">
        <f>IFERROR(__xludf.DUMMYFUNCTION("""COMPUTED_VALUE"""),30.0)</f>
        <v>30</v>
      </c>
      <c r="Y31" s="219">
        <f>IFERROR(__xludf.DUMMYFUNCTION("""COMPUTED_VALUE"""),18.266666666666666)</f>
        <v>18.26666667</v>
      </c>
      <c r="Z31" s="220">
        <f>IFERROR(__xludf.DUMMYFUNCTION("""COMPUTED_VALUE"""),205.4477588919394)</f>
        <v>205.4477589</v>
      </c>
      <c r="AA31" s="221" t="str">
        <f>IFERROR(__xludf.DUMMYFUNCTION("""COMPUTED_VALUE"""),"AP")</f>
        <v>AP</v>
      </c>
      <c r="AB31" s="220">
        <f>IFERROR(__xludf.DUMMYFUNCTION("""COMPUTED_VALUE"""),14.602252252252253)</f>
        <v>14.60225225</v>
      </c>
      <c r="AC31" s="221" t="str">
        <f>IFERROR(__xludf.DUMMYFUNCTION("""COMPUTED_VALUE"""),"％")</f>
        <v>％</v>
      </c>
      <c r="AD31" s="218">
        <f>IFERROR(__xludf.DUMMYFUNCTION("""COMPUTED_VALUE"""),888.0)</f>
        <v>888</v>
      </c>
      <c r="AE31" s="217"/>
      <c r="AF31" s="98" t="str">
        <f>IFERROR(__xludf.DUMMYFUNCTION("""COMPUTED_VALUE"""),"")</f>
        <v/>
      </c>
    </row>
    <row r="32" ht="16.5" customHeight="1">
      <c r="B32" s="203"/>
      <c r="C32" s="217"/>
      <c r="D32" s="225">
        <f>IFERROR(__xludf.DUMMYFUNCTION("""COMPUTED_VALUE"""),3.0)</f>
        <v>3</v>
      </c>
      <c r="E32" s="227" t="str">
        <f>IFERROR(__xludf.DUMMYFUNCTION("""COMPUTED_VALUE"""),"BBL11")</f>
        <v>BBL11</v>
      </c>
      <c r="F32" s="229" t="str">
        <f>IFERROR(__xludf.DUMMYFUNCTION("""COMPUTED_VALUE"""),"Babylonia")</f>
        <v>Babylonia</v>
      </c>
      <c r="G32" s="233" t="str">
        <f>IFERROR(__xludf.DUMMYFUNCTION("""COMPUTED_VALUE"""),"Northern Wall")</f>
        <v>Northern Wall</v>
      </c>
      <c r="H32" s="234">
        <f>IFERROR(__xludf.DUMMYFUNCTION("""COMPUTED_VALUE"""),21.0)</f>
        <v>21</v>
      </c>
      <c r="I32" s="235">
        <f>IFERROR(__xludf.DUMMYFUNCTION("""COMPUTED_VALUE"""),47.80952380952381)</f>
        <v>47.80952381</v>
      </c>
      <c r="J32" s="236">
        <f>IFERROR(__xludf.DUMMYFUNCTION("""COMPUTED_VALUE"""),49.64721699920376)</f>
        <v>49.647217</v>
      </c>
      <c r="K32" s="237" t="str">
        <f>IFERROR(__xludf.DUMMYFUNCTION("""COMPUTED_VALUE"""),"AP")</f>
        <v>AP</v>
      </c>
      <c r="L32" s="236">
        <f>IFERROR(__xludf.DUMMYFUNCTION("""COMPUTED_VALUE"""),42.29844343608786)</f>
        <v>42.29844344</v>
      </c>
      <c r="M32" s="237" t="str">
        <f>IFERROR(__xludf.DUMMYFUNCTION("""COMPUTED_VALUE"""),"％")</f>
        <v>％</v>
      </c>
      <c r="N32" s="234">
        <f>IFERROR(__xludf.DUMMYFUNCTION("""COMPUTED_VALUE"""),2891.0)</f>
        <v>2891</v>
      </c>
      <c r="O32" s="217"/>
      <c r="P32" s="177" t="str">
        <f>IFERROR(__xludf.DUMMYFUNCTION("""COMPUTED_VALUE"""),"")</f>
        <v/>
      </c>
      <c r="R32" s="203"/>
      <c r="S32" s="217"/>
      <c r="T32" s="225">
        <f>IFERROR(__xludf.DUMMYFUNCTION("""COMPUTED_VALUE"""),3.0)</f>
        <v>3</v>
      </c>
      <c r="U32" s="227" t="str">
        <f>IFERROR(__xludf.DUMMYFUNCTION("""COMPUTED_VALUE"""),"LDN7")</f>
        <v>LDN7</v>
      </c>
      <c r="V32" s="229" t="str">
        <f>IFERROR(__xludf.DUMMYFUNCTION("""COMPUTED_VALUE"""),"London")</f>
        <v>London</v>
      </c>
      <c r="W32" s="233" t="str">
        <f>IFERROR(__xludf.DUMMYFUNCTION("""COMPUTED_VALUE"""),"Clerkenwell")</f>
        <v>Clerkenwell</v>
      </c>
      <c r="X32" s="234">
        <f>IFERROR(__xludf.DUMMYFUNCTION("""COMPUTED_VALUE"""),18.0)</f>
        <v>18</v>
      </c>
      <c r="Y32" s="235">
        <f>IFERROR(__xludf.DUMMYFUNCTION("""COMPUTED_VALUE"""),43.77777777777778)</f>
        <v>43.77777778</v>
      </c>
      <c r="Z32" s="236">
        <f>IFERROR(__xludf.DUMMYFUNCTION("""COMPUTED_VALUE"""),547.7845074912336)</f>
        <v>547.7845075</v>
      </c>
      <c r="AA32" s="237" t="str">
        <f>IFERROR(__xludf.DUMMYFUNCTION("""COMPUTED_VALUE"""),"AP")</f>
        <v>AP</v>
      </c>
      <c r="AB32" s="236">
        <f>IFERROR(__xludf.DUMMYFUNCTION("""COMPUTED_VALUE"""),3.285963687150838)</f>
        <v>3.285963687</v>
      </c>
      <c r="AC32" s="237" t="str">
        <f>IFERROR(__xludf.DUMMYFUNCTION("""COMPUTED_VALUE"""),"％")</f>
        <v>％</v>
      </c>
      <c r="AD32" s="234">
        <f>IFERROR(__xludf.DUMMYFUNCTION("""COMPUTED_VALUE"""),2864.0)</f>
        <v>2864</v>
      </c>
      <c r="AE32" s="217"/>
      <c r="AF32" s="98" t="str">
        <f>IFERROR(__xludf.DUMMYFUNCTION("""COMPUTED_VALUE"""),"")</f>
        <v/>
      </c>
    </row>
    <row r="33" ht="16.5" customHeight="1">
      <c r="B33" s="203"/>
      <c r="C33" s="217"/>
      <c r="D33" s="239">
        <f>IFERROR(__xludf.DUMMYFUNCTION("""COMPUTED_VALUE"""),4.0)</f>
        <v>4</v>
      </c>
      <c r="E33" s="241" t="str">
        <f>IFERROR(__xludf.DUMMYFUNCTION("""COMPUTED_VALUE"""),"BBL5")</f>
        <v>BBL5</v>
      </c>
      <c r="F33" s="243" t="str">
        <f>IFERROR(__xludf.DUMMYFUNCTION("""COMPUTED_VALUE"""),"Babylonia")</f>
        <v>Babylonia</v>
      </c>
      <c r="G33" s="245" t="str">
        <f>IFERROR(__xludf.DUMMYFUNCTION("""COMPUTED_VALUE"""),"Bog")</f>
        <v>Bog</v>
      </c>
      <c r="H33" s="247">
        <f>IFERROR(__xludf.DUMMYFUNCTION("""COMPUTED_VALUE"""),21.0)</f>
        <v>21</v>
      </c>
      <c r="I33" s="249">
        <f>IFERROR(__xludf.DUMMYFUNCTION("""COMPUTED_VALUE"""),45.523809523809526)</f>
        <v>45.52380952</v>
      </c>
      <c r="J33" s="251">
        <f>IFERROR(__xludf.DUMMYFUNCTION("""COMPUTED_VALUE"""),54.28119438402214)</f>
        <v>54.28119438</v>
      </c>
      <c r="K33" s="253" t="str">
        <f>IFERROR(__xludf.DUMMYFUNCTION("""COMPUTED_VALUE"""),"AP")</f>
        <v>AP</v>
      </c>
      <c r="L33" s="251">
        <f>IFERROR(__xludf.DUMMYFUNCTION("""COMPUTED_VALUE"""),38.68743169398907)</f>
        <v>38.68743169</v>
      </c>
      <c r="M33" s="253" t="str">
        <f>IFERROR(__xludf.DUMMYFUNCTION("""COMPUTED_VALUE"""),"％")</f>
        <v>％</v>
      </c>
      <c r="N33" s="247">
        <f>IFERROR(__xludf.DUMMYFUNCTION("""COMPUTED_VALUE"""),1830.0)</f>
        <v>1830</v>
      </c>
      <c r="O33" s="217"/>
      <c r="P33" s="93" t="str">
        <f>IFERROR(__xludf.DUMMYFUNCTION("""COMPUTED_VALUE"""),"")</f>
        <v/>
      </c>
      <c r="R33" s="203"/>
      <c r="S33" s="217"/>
      <c r="T33" s="239">
        <f>IFERROR(__xludf.DUMMYFUNCTION("""COMPUTED_VALUE"""),4.0)</f>
        <v>4</v>
      </c>
      <c r="U33" s="241" t="str">
        <f>IFERROR(__xludf.DUMMYFUNCTION("""COMPUTED_VALUE"""),"")</f>
        <v/>
      </c>
      <c r="V33" s="243" t="str">
        <f>IFERROR(__xludf.DUMMYFUNCTION("""COMPUTED_VALUE"""),"")</f>
        <v/>
      </c>
      <c r="W33" s="243" t="str">
        <f>IFERROR(__xludf.DUMMYFUNCTION("""COMPUTED_VALUE"""),"")</f>
        <v/>
      </c>
      <c r="X33" s="247" t="str">
        <f>IFERROR(__xludf.DUMMYFUNCTION("""COMPUTED_VALUE"""),"")</f>
        <v/>
      </c>
      <c r="Y33" s="249" t="str">
        <f>IFERROR(__xludf.DUMMYFUNCTION("""COMPUTED_VALUE"""),"")</f>
        <v/>
      </c>
      <c r="Z33" s="251" t="str">
        <f>IFERROR(__xludf.DUMMYFUNCTION("""COMPUTED_VALUE"""),"")</f>
        <v/>
      </c>
      <c r="AA33" s="253" t="str">
        <f>IFERROR(__xludf.DUMMYFUNCTION("""COMPUTED_VALUE"""),"AP")</f>
        <v>AP</v>
      </c>
      <c r="AB33" s="251" t="str">
        <f>IFERROR(__xludf.DUMMYFUNCTION("""COMPUTED_VALUE"""),"")</f>
        <v/>
      </c>
      <c r="AC33" s="253" t="str">
        <f>IFERROR(__xludf.DUMMYFUNCTION("""COMPUTED_VALUE"""),"％")</f>
        <v>％</v>
      </c>
      <c r="AD33" s="247" t="str">
        <f>IFERROR(__xludf.DUMMYFUNCTION("""COMPUTED_VALUE"""),"")</f>
        <v/>
      </c>
      <c r="AE33" s="217"/>
      <c r="AF33" s="98" t="str">
        <f>IFERROR(__xludf.DUMMYFUNCTION("""COMPUTED_VALUE"""),"")</f>
        <v/>
      </c>
    </row>
    <row r="34" ht="16.5" customHeight="1">
      <c r="A34" s="166"/>
      <c r="B34" s="254"/>
      <c r="C34" s="263"/>
      <c r="D34" s="256">
        <f>IFERROR(__xludf.DUMMYFUNCTION("""COMPUTED_VALUE"""),5.0)</f>
        <v>5</v>
      </c>
      <c r="E34" s="257" t="str">
        <f>IFERROR(__xludf.DUMMYFUNCTION("""COMPUTED_VALUE"""),"BBL12")</f>
        <v>BBL12</v>
      </c>
      <c r="F34" s="42" t="str">
        <f>IFERROR(__xludf.DUMMYFUNCTION("""COMPUTED_VALUE"""),"Babylonia")</f>
        <v>Babylonia</v>
      </c>
      <c r="G34" s="258" t="str">
        <f>IFERROR(__xludf.DUMMYFUNCTION("""COMPUTED_VALUE"""),"Nippur")</f>
        <v>Nippur</v>
      </c>
      <c r="H34" s="259">
        <f>IFERROR(__xludf.DUMMYFUNCTION("""COMPUTED_VALUE"""),21.0)</f>
        <v>21</v>
      </c>
      <c r="I34" s="260">
        <f>IFERROR(__xludf.DUMMYFUNCTION("""COMPUTED_VALUE"""),48.95238095238095)</f>
        <v>48.95238095</v>
      </c>
      <c r="J34" s="261">
        <f>IFERROR(__xludf.DUMMYFUNCTION("""COMPUTED_VALUE"""),69.07602228987852)</f>
        <v>69.07602229</v>
      </c>
      <c r="K34" s="262" t="str">
        <f>IFERROR(__xludf.DUMMYFUNCTION("""COMPUTED_VALUE"""),"AP")</f>
        <v>AP</v>
      </c>
      <c r="L34" s="261">
        <f>IFERROR(__xludf.DUMMYFUNCTION("""COMPUTED_VALUE"""),30.40128731193177)</f>
        <v>30.40128731</v>
      </c>
      <c r="M34" s="262" t="str">
        <f>IFERROR(__xludf.DUMMYFUNCTION("""COMPUTED_VALUE"""),"％")</f>
        <v>％</v>
      </c>
      <c r="N34" s="259">
        <f>IFERROR(__xludf.DUMMYFUNCTION("""COMPUTED_VALUE"""),24858.0)</f>
        <v>24858</v>
      </c>
      <c r="O34" s="263"/>
      <c r="P34" s="93" t="str">
        <f>IFERROR(__xludf.DUMMYFUNCTION("""COMPUTED_VALUE"""),"")</f>
        <v/>
      </c>
      <c r="Q34" s="166"/>
      <c r="R34" s="254"/>
      <c r="S34" s="263"/>
      <c r="T34" s="256">
        <f>IFERROR(__xludf.DUMMYFUNCTION("""COMPUTED_VALUE"""),5.0)</f>
        <v>5</v>
      </c>
      <c r="U34" s="257" t="str">
        <f>IFERROR(__xludf.DUMMYFUNCTION("""COMPUTED_VALUE"""),"")</f>
        <v/>
      </c>
      <c r="V34" s="42" t="str">
        <f>IFERROR(__xludf.DUMMYFUNCTION("""COMPUTED_VALUE"""),"")</f>
        <v/>
      </c>
      <c r="W34" s="42" t="str">
        <f>IFERROR(__xludf.DUMMYFUNCTION("""COMPUTED_VALUE"""),"")</f>
        <v/>
      </c>
      <c r="X34" s="259" t="str">
        <f>IFERROR(__xludf.DUMMYFUNCTION("""COMPUTED_VALUE"""),"")</f>
        <v/>
      </c>
      <c r="Y34" s="260" t="str">
        <f>IFERROR(__xludf.DUMMYFUNCTION("""COMPUTED_VALUE"""),"")</f>
        <v/>
      </c>
      <c r="Z34" s="261" t="str">
        <f>IFERROR(__xludf.DUMMYFUNCTION("""COMPUTED_VALUE"""),"")</f>
        <v/>
      </c>
      <c r="AA34" s="262" t="str">
        <f>IFERROR(__xludf.DUMMYFUNCTION("""COMPUTED_VALUE"""),"AP")</f>
        <v>AP</v>
      </c>
      <c r="AB34" s="261" t="str">
        <f>IFERROR(__xludf.DUMMYFUNCTION("""COMPUTED_VALUE"""),"")</f>
        <v/>
      </c>
      <c r="AC34" s="262" t="str">
        <f>IFERROR(__xludf.DUMMYFUNCTION("""COMPUTED_VALUE"""),"％")</f>
        <v>％</v>
      </c>
      <c r="AD34" s="259" t="str">
        <f>IFERROR(__xludf.DUMMYFUNCTION("""COMPUTED_VALUE"""),"")</f>
        <v/>
      </c>
      <c r="AE34" s="263"/>
      <c r="AF34" s="98" t="str">
        <f>IFERROR(__xludf.DUMMYFUNCTION("""COMPUTED_VALUE"""),"")</f>
        <v/>
      </c>
    </row>
    <row r="35" ht="16.5" customHeight="1">
      <c r="A35" s="61" t="str">
        <f>IFERROR(__xludf.DUMMYFUNCTION("""COMPUTED_VALUE"""),"")</f>
        <v/>
      </c>
      <c r="B35" s="264" t="str">
        <f>IFERROR(__xludf.DUMMYFUNCTION("""COMPUTED_VALUE"""),"A307")</f>
        <v>A307</v>
      </c>
      <c r="C35" s="65" t="str">
        <f>IFERROR(__xludf.DUMMYFUNCTION("""COMPUTED_VALUE"""),"Mystic Spinal Fluid")</f>
        <v>Mystic Spinal Fluid</v>
      </c>
      <c r="D35" s="70">
        <f>IFERROR(__xludf.DUMMYFUNCTION("""COMPUTED_VALUE"""),1.0)</f>
        <v>1</v>
      </c>
      <c r="E35" s="73" t="str">
        <f>IFERROR(__xludf.DUMMYFUNCTION("""COMPUTED_VALUE"""),"SJK3")</f>
        <v>SJK3</v>
      </c>
      <c r="F35" s="76" t="str">
        <f>IFERROR(__xludf.DUMMYFUNCTION("""COMPUTED_VALUE"""),"Shinjuku")</f>
        <v>Shinjuku</v>
      </c>
      <c r="G35" s="85" t="str">
        <f>IFERROR(__xludf.DUMMYFUNCTION("""COMPUTED_VALUE"""),"Shinjuku Station")</f>
        <v>Shinjuku Station</v>
      </c>
      <c r="H35" s="87">
        <f>IFERROR(__xludf.DUMMYFUNCTION("""COMPUTED_VALUE"""),21.0)</f>
        <v>21</v>
      </c>
      <c r="I35" s="90">
        <f>IFERROR(__xludf.DUMMYFUNCTION("""COMPUTED_VALUE"""),45.523809523809526)</f>
        <v>45.52380952</v>
      </c>
      <c r="J35" s="92">
        <f>IFERROR(__xludf.DUMMYFUNCTION("""COMPUTED_VALUE"""),32.50292893206548)</f>
        <v>32.50292893</v>
      </c>
      <c r="K35" s="94" t="str">
        <f>IFERROR(__xludf.DUMMYFUNCTION("""COMPUTED_VALUE"""),"AP")</f>
        <v>AP</v>
      </c>
      <c r="L35" s="96">
        <f>IFERROR(__xludf.DUMMYFUNCTION("""COMPUTED_VALUE"""),64.60956193791702)</f>
        <v>64.60956194</v>
      </c>
      <c r="M35" s="94" t="str">
        <f>IFERROR(__xludf.DUMMYFUNCTION("""COMPUTED_VALUE"""),"％")</f>
        <v>％</v>
      </c>
      <c r="N35" s="87">
        <f>IFERROR(__xludf.DUMMYFUNCTION("""COMPUTED_VALUE"""),17235.0)</f>
        <v>17235</v>
      </c>
      <c r="O35" s="97" t="str">
        <f>IFERROR(__xludf.DUMMYFUNCTION("""COMPUTED_VALUE"""),"Mystic Spinal Fluid")</f>
        <v>Mystic Spinal Fluid</v>
      </c>
      <c r="P35" s="93" t="str">
        <f>IFERROR(__xludf.DUMMYFUNCTION("""COMPUTED_VALUE"""),"")</f>
        <v/>
      </c>
      <c r="Q35" s="61" t="str">
        <f>IFERROR(__xludf.DUMMYFUNCTION("""COMPUTED_VALUE"""),"")</f>
        <v/>
      </c>
      <c r="R35" s="266" t="str">
        <f>IFERROR(__xludf.DUMMYFUNCTION("""COMPUTED_VALUE"""),"B107")</f>
        <v>B107</v>
      </c>
      <c r="S35" s="65" t="str">
        <f>IFERROR(__xludf.DUMMYFUNCTION("""COMPUTED_VALUE"""),"Secret Gem of Berserker")</f>
        <v>Secret Gem of Berserker</v>
      </c>
      <c r="T35" s="70">
        <f>IFERROR(__xludf.DUMMYFUNCTION("""COMPUTED_VALUE"""),1.0)</f>
        <v>1</v>
      </c>
      <c r="U35" s="73" t="str">
        <f>IFERROR(__xludf.DUMMYFUNCTION("""COMPUTED_VALUE"""),"TRF12")</f>
        <v>TRF12</v>
      </c>
      <c r="V35" s="76" t="str">
        <f>IFERROR(__xludf.DUMMYFUNCTION("""COMPUTED_VALUE"""),"Chaldea Gate (Wed)")</f>
        <v>Chaldea Gate (Wed)</v>
      </c>
      <c r="W35" s="76" t="str">
        <f>IFERROR(__xludf.DUMMYFUNCTION("""COMPUTED_VALUE"""),"WED Berserker Training Ground- Exp")</f>
        <v>WED Berserker Training Ground- Exp</v>
      </c>
      <c r="X35" s="87">
        <f>IFERROR(__xludf.DUMMYFUNCTION("""COMPUTED_VALUE"""),40.0)</f>
        <v>40</v>
      </c>
      <c r="Y35" s="90">
        <f>IFERROR(__xludf.DUMMYFUNCTION("""COMPUTED_VALUE"""),19.7)</f>
        <v>19.7</v>
      </c>
      <c r="Z35" s="92">
        <f>IFERROR(__xludf.DUMMYFUNCTION("""COMPUTED_VALUE"""),164.28223387205662)</f>
        <v>164.2822339</v>
      </c>
      <c r="AA35" s="94" t="str">
        <f>IFERROR(__xludf.DUMMYFUNCTION("""COMPUTED_VALUE"""),"AP")</f>
        <v>AP</v>
      </c>
      <c r="AB35" s="96">
        <f>IFERROR(__xludf.DUMMYFUNCTION("""COMPUTED_VALUE"""),24.348341909662665)</f>
        <v>24.34834191</v>
      </c>
      <c r="AC35" s="94" t="str">
        <f>IFERROR(__xludf.DUMMYFUNCTION("""COMPUTED_VALUE"""),"％")</f>
        <v>％</v>
      </c>
      <c r="AD35" s="87">
        <f>IFERROR(__xludf.DUMMYFUNCTION("""COMPUTED_VALUE"""),3498.0)</f>
        <v>3498</v>
      </c>
      <c r="AE35" s="97" t="str">
        <f>IFERROR(__xludf.DUMMYFUNCTION("""COMPUTED_VALUE"""),"Secret Gem of Berserker")</f>
        <v>Secret Gem of Berserker</v>
      </c>
      <c r="AF35" s="98" t="str">
        <f>IFERROR(__xludf.DUMMYFUNCTION("""COMPUTED_VALUE"""),"")</f>
        <v/>
      </c>
    </row>
    <row r="36" ht="16.5" customHeight="1">
      <c r="B36" s="268"/>
      <c r="C36" s="100"/>
      <c r="D36" s="105">
        <f>IFERROR(__xludf.DUMMYFUNCTION("""COMPUTED_VALUE"""),2.0)</f>
        <v>2</v>
      </c>
      <c r="E36" s="106" t="str">
        <f>IFERROR(__xludf.DUMMYFUNCTION("""COMPUTED_VALUE"""),"SJK4")</f>
        <v>SJK4</v>
      </c>
      <c r="F36" s="107" t="str">
        <f>IFERROR(__xludf.DUMMYFUNCTION("""COMPUTED_VALUE"""),"Shinjuku")</f>
        <v>Shinjuku</v>
      </c>
      <c r="G36" s="114" t="str">
        <f>IFERROR(__xludf.DUMMYFUNCTION("""COMPUTED_VALUE"""),"Shinjuku 4-Chome")</f>
        <v>Shinjuku 4-Chome</v>
      </c>
      <c r="H36" s="116">
        <f>IFERROR(__xludf.DUMMYFUNCTION("""COMPUTED_VALUE"""),21.0)</f>
        <v>21</v>
      </c>
      <c r="I36" s="118">
        <f>IFERROR(__xludf.DUMMYFUNCTION("""COMPUTED_VALUE"""),45.523809523809526)</f>
        <v>45.52380952</v>
      </c>
      <c r="J36" s="120">
        <f>IFERROR(__xludf.DUMMYFUNCTION("""COMPUTED_VALUE"""),51.36852721657614)</f>
        <v>51.36852722</v>
      </c>
      <c r="K36" s="122" t="str">
        <f>IFERROR(__xludf.DUMMYFUNCTION("""COMPUTED_VALUE"""),"AP")</f>
        <v>AP</v>
      </c>
      <c r="L36" s="124">
        <f>IFERROR(__xludf.DUMMYFUNCTION("""COMPUTED_VALUE"""),40.88106305143103)</f>
        <v>40.88106305</v>
      </c>
      <c r="M36" s="122" t="str">
        <f>IFERROR(__xludf.DUMMYFUNCTION("""COMPUTED_VALUE"""),"％")</f>
        <v>％</v>
      </c>
      <c r="N36" s="116">
        <f>IFERROR(__xludf.DUMMYFUNCTION("""COMPUTED_VALUE"""),37176.0)</f>
        <v>37176</v>
      </c>
      <c r="O36" s="100"/>
      <c r="P36" s="93" t="str">
        <f>IFERROR(__xludf.DUMMYFUNCTION("""COMPUTED_VALUE"""),"")</f>
        <v/>
      </c>
      <c r="R36" s="268"/>
      <c r="S36" s="100"/>
      <c r="T36" s="105">
        <f>IFERROR(__xludf.DUMMYFUNCTION("""COMPUTED_VALUE"""),2.0)</f>
        <v>2</v>
      </c>
      <c r="U36" s="106" t="str">
        <f>IFERROR(__xludf.DUMMYFUNCTION("""COMPUTED_VALUE"""),"TRF11")</f>
        <v>TRF11</v>
      </c>
      <c r="V36" s="107" t="str">
        <f>IFERROR(__xludf.DUMMYFUNCTION("""COMPUTED_VALUE"""),"Chaldea Gate (Wed)")</f>
        <v>Chaldea Gate (Wed)</v>
      </c>
      <c r="W36" s="107" t="str">
        <f>IFERROR(__xludf.DUMMYFUNCTION("""COMPUTED_VALUE"""),"WED Berserker Training Ground- Adv")</f>
        <v>WED Berserker Training Ground- Adv</v>
      </c>
      <c r="X36" s="116">
        <f>IFERROR(__xludf.DUMMYFUNCTION("""COMPUTED_VALUE"""),30.0)</f>
        <v>30</v>
      </c>
      <c r="Y36" s="118">
        <f>IFERROR(__xludf.DUMMYFUNCTION("""COMPUTED_VALUE"""),18.266666666666666)</f>
        <v>18.26666667</v>
      </c>
      <c r="Z36" s="120">
        <f>IFERROR(__xludf.DUMMYFUNCTION("""COMPUTED_VALUE"""),219.49585571858293)</f>
        <v>219.4958557</v>
      </c>
      <c r="AA36" s="122" t="str">
        <f>IFERROR(__xludf.DUMMYFUNCTION("""COMPUTED_VALUE"""),"AP")</f>
        <v>AP</v>
      </c>
      <c r="AB36" s="124">
        <f>IFERROR(__xludf.DUMMYFUNCTION("""COMPUTED_VALUE"""),13.667684021543986)</f>
        <v>13.66768402</v>
      </c>
      <c r="AC36" s="122" t="str">
        <f>IFERROR(__xludf.DUMMYFUNCTION("""COMPUTED_VALUE"""),"％")</f>
        <v>％</v>
      </c>
      <c r="AD36" s="116">
        <f>IFERROR(__xludf.DUMMYFUNCTION("""COMPUTED_VALUE"""),557.0)</f>
        <v>557</v>
      </c>
      <c r="AE36" s="100"/>
      <c r="AF36" s="98" t="str">
        <f>IFERROR(__xludf.DUMMYFUNCTION("""COMPUTED_VALUE"""),"")</f>
        <v/>
      </c>
    </row>
    <row r="37" ht="16.5" customHeight="1">
      <c r="B37" s="268"/>
      <c r="C37" s="100"/>
      <c r="D37" s="128">
        <f>IFERROR(__xludf.DUMMYFUNCTION("""COMPUTED_VALUE"""),3.0)</f>
        <v>3</v>
      </c>
      <c r="E37" s="129" t="str">
        <f>IFERROR(__xludf.DUMMYFUNCTION("""COMPUTED_VALUE"""),"SJK1")</f>
        <v>SJK1</v>
      </c>
      <c r="F37" s="131" t="str">
        <f>IFERROR(__xludf.DUMMYFUNCTION("""COMPUTED_VALUE"""),"Shinjuku")</f>
        <v>Shinjuku</v>
      </c>
      <c r="G37" s="134" t="str">
        <f>IFERROR(__xludf.DUMMYFUNCTION("""COMPUTED_VALUE"""),"Yoyogi 2-Chome")</f>
        <v>Yoyogi 2-Chome</v>
      </c>
      <c r="H37" s="136">
        <f>IFERROR(__xludf.DUMMYFUNCTION("""COMPUTED_VALUE"""),20.0)</f>
        <v>20</v>
      </c>
      <c r="I37" s="138">
        <f>IFERROR(__xludf.DUMMYFUNCTION("""COMPUTED_VALUE"""),46.6)</f>
        <v>46.6</v>
      </c>
      <c r="J37" s="140">
        <f>IFERROR(__xludf.DUMMYFUNCTION("""COMPUTED_VALUE"""),50.26287333606771)</f>
        <v>50.26287334</v>
      </c>
      <c r="K37" s="142" t="str">
        <f>IFERROR(__xludf.DUMMYFUNCTION("""COMPUTED_VALUE"""),"AP")</f>
        <v>AP</v>
      </c>
      <c r="L37" s="144">
        <f>IFERROR(__xludf.DUMMYFUNCTION("""COMPUTED_VALUE"""),39.79080118694362)</f>
        <v>39.79080119</v>
      </c>
      <c r="M37" s="142" t="str">
        <f>IFERROR(__xludf.DUMMYFUNCTION("""COMPUTED_VALUE"""),"％")</f>
        <v>％</v>
      </c>
      <c r="N37" s="136">
        <f>IFERROR(__xludf.DUMMYFUNCTION("""COMPUTED_VALUE"""),337.0)</f>
        <v>337</v>
      </c>
      <c r="O37" s="100"/>
      <c r="P37" s="93" t="str">
        <f>IFERROR(__xludf.DUMMYFUNCTION("""COMPUTED_VALUE"""),"")</f>
        <v/>
      </c>
      <c r="R37" s="268"/>
      <c r="S37" s="100"/>
      <c r="T37" s="128">
        <f>IFERROR(__xludf.DUMMYFUNCTION("""COMPUTED_VALUE"""),3.0)</f>
        <v>3</v>
      </c>
      <c r="U37" s="129" t="str">
        <f>IFERROR(__xludf.DUMMYFUNCTION("""COMPUTED_VALUE"""),"CML10")</f>
        <v>CML10</v>
      </c>
      <c r="V37" s="131" t="str">
        <f>IFERROR(__xludf.DUMMYFUNCTION("""COMPUTED_VALUE"""),"Camelot")</f>
        <v>Camelot</v>
      </c>
      <c r="W37" s="134" t="str">
        <f>IFERROR(__xludf.DUMMYFUNCTION("""COMPUTED_VALUE"""),"Holy City")</f>
        <v>Holy City</v>
      </c>
      <c r="X37" s="136">
        <f>IFERROR(__xludf.DUMMYFUNCTION("""COMPUTED_VALUE"""),20.0)</f>
        <v>20</v>
      </c>
      <c r="Y37" s="138">
        <f>IFERROR(__xludf.DUMMYFUNCTION("""COMPUTED_VALUE"""),45.4)</f>
        <v>45.4</v>
      </c>
      <c r="Z37" s="140">
        <f>IFERROR(__xludf.DUMMYFUNCTION("""COMPUTED_VALUE"""),221.01619573972891)</f>
        <v>221.0161957</v>
      </c>
      <c r="AA37" s="142" t="str">
        <f>IFERROR(__xludf.DUMMYFUNCTION("""COMPUTED_VALUE"""),"AP")</f>
        <v>AP</v>
      </c>
      <c r="AB37" s="144">
        <f>IFERROR(__xludf.DUMMYFUNCTION("""COMPUTED_VALUE"""),9.049110601628588)</f>
        <v>9.049110602</v>
      </c>
      <c r="AC37" s="142" t="str">
        <f>IFERROR(__xludf.DUMMYFUNCTION("""COMPUTED_VALUE"""),"％")</f>
        <v>％</v>
      </c>
      <c r="AD37" s="136">
        <f>IFERROR(__xludf.DUMMYFUNCTION("""COMPUTED_VALUE"""),25298.0)</f>
        <v>25298</v>
      </c>
      <c r="AE37" s="100"/>
      <c r="AF37" s="98" t="str">
        <f>IFERROR(__xludf.DUMMYFUNCTION("""COMPUTED_VALUE"""),"")</f>
        <v/>
      </c>
    </row>
    <row r="38" ht="16.5" customHeight="1">
      <c r="B38" s="268"/>
      <c r="C38" s="100"/>
      <c r="D38" s="147">
        <f>IFERROR(__xludf.DUMMYFUNCTION("""COMPUTED_VALUE"""),4.0)</f>
        <v>4</v>
      </c>
      <c r="E38" s="149" t="str">
        <f>IFERROR(__xludf.DUMMYFUNCTION("""COMPUTED_VALUE"""),"SJK2")</f>
        <v>SJK2</v>
      </c>
      <c r="F38" s="151" t="str">
        <f>IFERROR(__xludf.DUMMYFUNCTION("""COMPUTED_VALUE"""),"Shinjuku")</f>
        <v>Shinjuku</v>
      </c>
      <c r="G38" s="153" t="str">
        <f>IFERROR(__xludf.DUMMYFUNCTION("""COMPUTED_VALUE"""),"Route 20")</f>
        <v>Route 20</v>
      </c>
      <c r="H38" s="155">
        <f>IFERROR(__xludf.DUMMYFUNCTION("""COMPUTED_VALUE"""),20.0)</f>
        <v>20</v>
      </c>
      <c r="I38" s="157">
        <f>IFERROR(__xludf.DUMMYFUNCTION("""COMPUTED_VALUE"""),46.6)</f>
        <v>46.6</v>
      </c>
      <c r="J38" s="159">
        <f>IFERROR(__xludf.DUMMYFUNCTION("""COMPUTED_VALUE"""),50.53816841127413)</f>
        <v>50.53816841</v>
      </c>
      <c r="K38" s="161" t="str">
        <f>IFERROR(__xludf.DUMMYFUNCTION("""COMPUTED_VALUE"""),"AP")</f>
        <v>AP</v>
      </c>
      <c r="L38" s="163">
        <f>IFERROR(__xludf.DUMMYFUNCTION("""COMPUTED_VALUE"""),39.5740499284465)</f>
        <v>39.57404993</v>
      </c>
      <c r="M38" s="161" t="str">
        <f>IFERROR(__xludf.DUMMYFUNCTION("""COMPUTED_VALUE"""),"％")</f>
        <v>％</v>
      </c>
      <c r="N38" s="155">
        <f>IFERROR(__xludf.DUMMYFUNCTION("""COMPUTED_VALUE"""),6289.0)</f>
        <v>6289</v>
      </c>
      <c r="O38" s="100"/>
      <c r="P38" s="93" t="str">
        <f>IFERROR(__xludf.DUMMYFUNCTION("""COMPUTED_VALUE"""),"")</f>
        <v/>
      </c>
      <c r="R38" s="268"/>
      <c r="S38" s="100"/>
      <c r="T38" s="147">
        <f>IFERROR(__xludf.DUMMYFUNCTION("""COMPUTED_VALUE"""),4.0)</f>
        <v>4</v>
      </c>
      <c r="U38" s="149" t="str">
        <f>IFERROR(__xludf.DUMMYFUNCTION("""COMPUTED_VALUE"""),"AGT1")</f>
        <v>AGT1</v>
      </c>
      <c r="V38" s="151" t="str">
        <f>IFERROR(__xludf.DUMMYFUNCTION("""COMPUTED_VALUE"""),"Agartha")</f>
        <v>Agartha</v>
      </c>
      <c r="W38" s="153" t="str">
        <f>IFERROR(__xludf.DUMMYFUNCTION("""COMPUTED_VALUE"""),"Underground Plains")</f>
        <v>Underground Plains</v>
      </c>
      <c r="X38" s="155">
        <f>IFERROR(__xludf.DUMMYFUNCTION("""COMPUTED_VALUE"""),20.0)</f>
        <v>20</v>
      </c>
      <c r="Y38" s="157">
        <f>IFERROR(__xludf.DUMMYFUNCTION("""COMPUTED_VALUE"""),46.6)</f>
        <v>46.6</v>
      </c>
      <c r="Z38" s="159">
        <f>IFERROR(__xludf.DUMMYFUNCTION("""COMPUTED_VALUE"""),384.5357709138028)</f>
        <v>384.5357709</v>
      </c>
      <c r="AA38" s="161" t="str">
        <f>IFERROR(__xludf.DUMMYFUNCTION("""COMPUTED_VALUE"""),"AP")</f>
        <v>AP</v>
      </c>
      <c r="AB38" s="163">
        <f>IFERROR(__xludf.DUMMYFUNCTION("""COMPUTED_VALUE"""),5.201076600096894)</f>
        <v>5.2010766</v>
      </c>
      <c r="AC38" s="161" t="str">
        <f>IFERROR(__xludf.DUMMYFUNCTION("""COMPUTED_VALUE"""),"％")</f>
        <v>％</v>
      </c>
      <c r="AD38" s="155">
        <f>IFERROR(__xludf.DUMMYFUNCTION("""COMPUTED_VALUE"""),18577.0)</f>
        <v>18577</v>
      </c>
      <c r="AE38" s="100"/>
      <c r="AF38" s="98" t="str">
        <f>IFERROR(__xludf.DUMMYFUNCTION("""COMPUTED_VALUE"""),"")</f>
        <v/>
      </c>
    </row>
    <row r="39" ht="16.5" customHeight="1">
      <c r="A39" s="166"/>
      <c r="B39" s="269"/>
      <c r="C39" s="168"/>
      <c r="D39" s="169">
        <f>IFERROR(__xludf.DUMMYFUNCTION("""COMPUTED_VALUE"""),5.0)</f>
        <v>5</v>
      </c>
      <c r="E39" s="170" t="str">
        <f>IFERROR(__xludf.DUMMYFUNCTION("""COMPUTED_VALUE"""),"SJK9")</f>
        <v>SJK9</v>
      </c>
      <c r="F39" s="51" t="str">
        <f>IFERROR(__xludf.DUMMYFUNCTION("""COMPUTED_VALUE"""),"Shinjuku")</f>
        <v>Shinjuku</v>
      </c>
      <c r="G39" s="171" t="str">
        <f>IFERROR(__xludf.DUMMYFUNCTION("""COMPUTED_VALUE"""),"Shinjuku Gyoen")</f>
        <v>Shinjuku Gyoen</v>
      </c>
      <c r="H39" s="172">
        <f>IFERROR(__xludf.DUMMYFUNCTION("""COMPUTED_VALUE"""),21.0)</f>
        <v>21</v>
      </c>
      <c r="I39" s="173">
        <f>IFERROR(__xludf.DUMMYFUNCTION("""COMPUTED_VALUE"""),48.95238095238095)</f>
        <v>48.95238095</v>
      </c>
      <c r="J39" s="174">
        <f>IFERROR(__xludf.DUMMYFUNCTION("""COMPUTED_VALUE"""),69.35235903430363)</f>
        <v>69.35235903</v>
      </c>
      <c r="K39" s="175" t="str">
        <f>IFERROR(__xludf.DUMMYFUNCTION("""COMPUTED_VALUE"""),"AP")</f>
        <v>AP</v>
      </c>
      <c r="L39" s="176">
        <f>IFERROR(__xludf.DUMMYFUNCTION("""COMPUTED_VALUE"""),30.280152387625073)</f>
        <v>30.28015239</v>
      </c>
      <c r="M39" s="175" t="str">
        <f>IFERROR(__xludf.DUMMYFUNCTION("""COMPUTED_VALUE"""),"％")</f>
        <v>％</v>
      </c>
      <c r="N39" s="172">
        <f>IFERROR(__xludf.DUMMYFUNCTION("""COMPUTED_VALUE"""),45673.0)</f>
        <v>45673</v>
      </c>
      <c r="O39" s="168"/>
      <c r="P39" s="93" t="str">
        <f>IFERROR(__xludf.DUMMYFUNCTION("""COMPUTED_VALUE"""),"")</f>
        <v/>
      </c>
      <c r="Q39" s="166"/>
      <c r="R39" s="268"/>
      <c r="S39" s="168"/>
      <c r="T39" s="169">
        <f>IFERROR(__xludf.DUMMYFUNCTION("""COMPUTED_VALUE"""),5.0)</f>
        <v>5</v>
      </c>
      <c r="U39" s="170" t="str">
        <f>IFERROR(__xludf.DUMMYFUNCTION("""COMPUTED_VALUE"""),"SJK4")</f>
        <v>SJK4</v>
      </c>
      <c r="V39" s="51" t="str">
        <f>IFERROR(__xludf.DUMMYFUNCTION("""COMPUTED_VALUE"""),"Shinjuku")</f>
        <v>Shinjuku</v>
      </c>
      <c r="W39" s="171" t="str">
        <f>IFERROR(__xludf.DUMMYFUNCTION("""COMPUTED_VALUE"""),"Shinjuku 4-Chome")</f>
        <v>Shinjuku 4-Chome</v>
      </c>
      <c r="X39" s="172">
        <f>IFERROR(__xludf.DUMMYFUNCTION("""COMPUTED_VALUE"""),21.0)</f>
        <v>21</v>
      </c>
      <c r="Y39" s="173">
        <f>IFERROR(__xludf.DUMMYFUNCTION("""COMPUTED_VALUE"""),45.523809523809526)</f>
        <v>45.52380952</v>
      </c>
      <c r="Z39" s="174">
        <f>IFERROR(__xludf.DUMMYFUNCTION("""COMPUTED_VALUE"""),404.91859056281226)</f>
        <v>404.9185906</v>
      </c>
      <c r="AA39" s="175" t="str">
        <f>IFERROR(__xludf.DUMMYFUNCTION("""COMPUTED_VALUE"""),"AP")</f>
        <v>AP</v>
      </c>
      <c r="AB39" s="176">
        <f>IFERROR(__xludf.DUMMYFUNCTION("""COMPUTED_VALUE"""),5.186227673768022)</f>
        <v>5.186227674</v>
      </c>
      <c r="AC39" s="175" t="str">
        <f>IFERROR(__xludf.DUMMYFUNCTION("""COMPUTED_VALUE"""),"％")</f>
        <v>％</v>
      </c>
      <c r="AD39" s="172">
        <f>IFERROR(__xludf.DUMMYFUNCTION("""COMPUTED_VALUE"""),37176.0)</f>
        <v>37176</v>
      </c>
      <c r="AE39" s="168"/>
      <c r="AF39" s="98" t="str">
        <f>IFERROR(__xludf.DUMMYFUNCTION("""COMPUTED_VALUE"""),"")</f>
        <v/>
      </c>
    </row>
    <row r="40" ht="16.5" customHeight="1">
      <c r="A40" s="352" t="str">
        <f>IFERROR(__xludf.DUMMYFUNCTION("""COMPUTED_VALUE"""),"Item")</f>
        <v>Item</v>
      </c>
      <c r="C40" s="353"/>
      <c r="D40" s="30" t="str">
        <f>IFERROR(__xludf.DUMMYFUNCTION("""COMPUTED_VALUE"""),"No.")</f>
        <v>No.</v>
      </c>
      <c r="E40" s="31" t="str">
        <f>IFERROR(__xludf.DUMMYFUNCTION("""COMPUTED_VALUE"""),"Node Code")</f>
        <v>Node Code</v>
      </c>
      <c r="F40" s="31" t="str">
        <f>IFERROR(__xludf.DUMMYFUNCTION("""COMPUTED_VALUE"""),"Area")</f>
        <v>Area</v>
      </c>
      <c r="G40" s="31" t="str">
        <f>IFERROR(__xludf.DUMMYFUNCTION("""COMPUTED_VALUE"""),"Quest")</f>
        <v>Quest</v>
      </c>
      <c r="H40" s="30" t="str">
        <f>IFERROR(__xludf.DUMMYFUNCTION("""COMPUTED_VALUE"""),"AP")</f>
        <v>AP</v>
      </c>
      <c r="I40" s="354" t="str">
        <f>IFERROR(__xludf.DUMMYFUNCTION("""COMPUTED_VALUE"""),"BP/AP")</f>
        <v>BP/AP</v>
      </c>
      <c r="J40" s="36" t="str">
        <f>IFERROR(__xludf.DUMMYFUNCTION("""COMPUTED_VALUE"""),"AP/Drop")</f>
        <v>AP/Drop</v>
      </c>
      <c r="K40" s="28"/>
      <c r="L40" s="36" t="str">
        <f>IFERROR(__xludf.DUMMYFUNCTION("""COMPUTED_VALUE"""),"Drop Chance")</f>
        <v>Drop Chance</v>
      </c>
      <c r="M40" s="28"/>
      <c r="N40" s="38" t="str">
        <f>IFERROR(__xludf.DUMMYFUNCTION("""COMPUTED_VALUE"""),"Runs")</f>
        <v>Runs</v>
      </c>
      <c r="O40" s="355" t="str">
        <f>IFERROR(__xludf.DUMMYFUNCTION("""COMPUTED_VALUE"""),"")</f>
        <v/>
      </c>
      <c r="P40" s="42" t="str">
        <f>IFERROR(__xludf.DUMMYFUNCTION("""COMPUTED_VALUE"""),"")</f>
        <v/>
      </c>
      <c r="Q40" s="352" t="str">
        <f>IFERROR(__xludf.DUMMYFUNCTION("""COMPUTED_VALUE"""),"Item")</f>
        <v>Item</v>
      </c>
      <c r="S40" s="353"/>
      <c r="T40" s="30" t="str">
        <f>IFERROR(__xludf.DUMMYFUNCTION("""COMPUTED_VALUE"""),"No.")</f>
        <v>No.</v>
      </c>
      <c r="U40" s="31" t="str">
        <f>IFERROR(__xludf.DUMMYFUNCTION("""COMPUTED_VALUE"""),"Node Code")</f>
        <v>Node Code</v>
      </c>
      <c r="V40" s="31" t="str">
        <f>IFERROR(__xludf.DUMMYFUNCTION("""COMPUTED_VALUE"""),"Area")</f>
        <v>Area</v>
      </c>
      <c r="W40" s="31" t="str">
        <f>IFERROR(__xludf.DUMMYFUNCTION("""COMPUTED_VALUE"""),"Quest")</f>
        <v>Quest</v>
      </c>
      <c r="X40" s="30" t="str">
        <f>IFERROR(__xludf.DUMMYFUNCTION("""COMPUTED_VALUE"""),"AP")</f>
        <v>AP</v>
      </c>
      <c r="Y40" s="354" t="str">
        <f>IFERROR(__xludf.DUMMYFUNCTION("""COMPUTED_VALUE"""),"BP/AP")</f>
        <v>BP/AP</v>
      </c>
      <c r="Z40" s="36" t="str">
        <f>IFERROR(__xludf.DUMMYFUNCTION("""COMPUTED_VALUE"""),"AP/Drop")</f>
        <v>AP/Drop</v>
      </c>
      <c r="AA40" s="28"/>
      <c r="AB40" s="36" t="str">
        <f>IFERROR(__xludf.DUMMYFUNCTION("""COMPUTED_VALUE"""),"Drop Chance")</f>
        <v>Drop Chance</v>
      </c>
      <c r="AC40" s="28"/>
      <c r="AD40" s="38" t="str">
        <f>IFERROR(__xludf.DUMMYFUNCTION("""COMPUTED_VALUE"""),"Runs")</f>
        <v>Runs</v>
      </c>
      <c r="AE40" s="355" t="str">
        <f>IFERROR(__xludf.DUMMYFUNCTION("""COMPUTED_VALUE"""),"")</f>
        <v/>
      </c>
      <c r="AF40" s="51" t="str">
        <f>IFERROR(__xludf.DUMMYFUNCTION("""COMPUTED_VALUE"""),"")</f>
        <v/>
      </c>
    </row>
    <row r="41" ht="16.5" customHeight="1">
      <c r="A41" s="54"/>
      <c r="B41" s="55"/>
      <c r="C41" s="57"/>
      <c r="D41" s="57"/>
      <c r="E41" s="57"/>
      <c r="F41" s="57"/>
      <c r="G41" s="57"/>
      <c r="H41" s="57"/>
      <c r="I41" s="58" t="str">
        <f>IFERROR(__xludf.DUMMYFUNCTION("""COMPUTED_VALUE"""),"1P+2L")</f>
        <v>1P+2L</v>
      </c>
      <c r="J41" s="55"/>
      <c r="K41" s="57"/>
      <c r="L41" s="55"/>
      <c r="M41" s="57"/>
      <c r="N41" s="57"/>
      <c r="O41" s="57"/>
      <c r="P41" s="42" t="str">
        <f>IFERROR(__xludf.DUMMYFUNCTION("""COMPUTED_VALUE"""),"")</f>
        <v/>
      </c>
      <c r="Q41" s="54"/>
      <c r="R41" s="55"/>
      <c r="S41" s="57"/>
      <c r="T41" s="57"/>
      <c r="U41" s="57"/>
      <c r="V41" s="57"/>
      <c r="W41" s="57"/>
      <c r="X41" s="57"/>
      <c r="Y41" s="58" t="str">
        <f>IFERROR(__xludf.DUMMYFUNCTION("""COMPUTED_VALUE"""),"1P+2L")</f>
        <v>1P+2L</v>
      </c>
      <c r="Z41" s="55"/>
      <c r="AA41" s="57"/>
      <c r="AB41" s="55"/>
      <c r="AC41" s="57"/>
      <c r="AD41" s="57"/>
      <c r="AE41" s="57"/>
      <c r="AF41" s="51" t="str">
        <f>IFERROR(__xludf.DUMMYFUNCTION("""COMPUTED_VALUE"""),"")</f>
        <v/>
      </c>
    </row>
    <row r="42" ht="16.5" customHeight="1">
      <c r="A42" s="61" t="str">
        <f>IFERROR(__xludf.DUMMYFUNCTION("""COMPUTED_VALUE"""),"")</f>
        <v/>
      </c>
      <c r="B42" s="183" t="str">
        <f>IFERROR(__xludf.DUMMYFUNCTION("""COMPUTED_VALUE"""),"A308")</f>
        <v>A308</v>
      </c>
      <c r="C42" s="180" t="str">
        <f>IFERROR(__xludf.DUMMYFUNCTION("""COMPUTED_VALUE"""),"Night-Weeping Iron Stake")</f>
        <v>Night-Weeping Iron Stake</v>
      </c>
      <c r="D42" s="185">
        <f>IFERROR(__xludf.DUMMYFUNCTION("""COMPUTED_VALUE"""),1.0)</f>
        <v>1</v>
      </c>
      <c r="E42" s="187" t="str">
        <f>IFERROR(__xludf.DUMMYFUNCTION("""COMPUTED_VALUE"""),"")</f>
        <v/>
      </c>
      <c r="F42" s="188" t="str">
        <f>IFERROR(__xludf.DUMMYFUNCTION("""COMPUTED_VALUE"""),"")</f>
        <v/>
      </c>
      <c r="G42" s="188" t="str">
        <f>IFERROR(__xludf.DUMMYFUNCTION("""COMPUTED_VALUE"""),"")</f>
        <v/>
      </c>
      <c r="H42" s="195" t="str">
        <f>IFERROR(__xludf.DUMMYFUNCTION("""COMPUTED_VALUE"""),"")</f>
        <v/>
      </c>
      <c r="I42" s="196" t="str">
        <f>IFERROR(__xludf.DUMMYFUNCTION("""COMPUTED_VALUE"""),"")</f>
        <v/>
      </c>
      <c r="J42" s="198" t="str">
        <f>IFERROR(__xludf.DUMMYFUNCTION("""COMPUTED_VALUE"""),"")</f>
        <v/>
      </c>
      <c r="K42" s="200" t="str">
        <f>IFERROR(__xludf.DUMMYFUNCTION("""COMPUTED_VALUE"""),"AP")</f>
        <v>AP</v>
      </c>
      <c r="L42" s="198" t="str">
        <f>IFERROR(__xludf.DUMMYFUNCTION("""COMPUTED_VALUE"""),"")</f>
        <v/>
      </c>
      <c r="M42" s="201" t="str">
        <f>IFERROR(__xludf.DUMMYFUNCTION("""COMPUTED_VALUE"""),"％")</f>
        <v>％</v>
      </c>
      <c r="N42" s="195" t="str">
        <f>IFERROR(__xludf.DUMMYFUNCTION("""COMPUTED_VALUE"""),"")</f>
        <v/>
      </c>
      <c r="O42" s="197" t="str">
        <f>IFERROR(__xludf.DUMMYFUNCTION("""COMPUTED_VALUE"""),"Night-Weeping Iron Stake")</f>
        <v>Night-Weeping Iron Stake</v>
      </c>
      <c r="P42" s="93" t="str">
        <f>IFERROR(__xludf.DUMMYFUNCTION("""COMPUTED_VALUE"""),"")</f>
        <v/>
      </c>
      <c r="Q42" s="61" t="str">
        <f>IFERROR(__xludf.DUMMYFUNCTION("""COMPUTED_VALUE"""),"")</f>
        <v/>
      </c>
      <c r="R42" s="183" t="str">
        <f>IFERROR(__xludf.DUMMYFUNCTION("""COMPUTED_VALUE"""),"B111")</f>
        <v>B111</v>
      </c>
      <c r="S42" s="180" t="str">
        <f>IFERROR(__xludf.DUMMYFUNCTION("""COMPUTED_VALUE"""),"Magic Gem of Saber")</f>
        <v>Magic Gem of Saber</v>
      </c>
      <c r="T42" s="185">
        <f>IFERROR(__xludf.DUMMYFUNCTION("""COMPUTED_VALUE"""),1.0)</f>
        <v>1</v>
      </c>
      <c r="U42" s="187" t="str">
        <f>IFERROR(__xludf.DUMMYFUNCTION("""COMPUTED_VALUE"""),"TRF27")</f>
        <v>TRF27</v>
      </c>
      <c r="V42" s="188" t="str">
        <f>IFERROR(__xludf.DUMMYFUNCTION("""COMPUTED_VALUE"""),"Chaldea Gate (Sun)")</f>
        <v>Chaldea Gate (Sun)</v>
      </c>
      <c r="W42" s="188" t="str">
        <f>IFERROR(__xludf.DUMMYFUNCTION("""COMPUTED_VALUE"""),"SUN Saber Training Ground- Adv")</f>
        <v>SUN Saber Training Ground- Adv</v>
      </c>
      <c r="X42" s="195">
        <f>IFERROR(__xludf.DUMMYFUNCTION("""COMPUTED_VALUE"""),30.0)</f>
        <v>30</v>
      </c>
      <c r="Y42" s="196">
        <f>IFERROR(__xludf.DUMMYFUNCTION("""COMPUTED_VALUE"""),18.266666666666666)</f>
        <v>18.26666667</v>
      </c>
      <c r="Z42" s="198">
        <f>IFERROR(__xludf.DUMMYFUNCTION("""COMPUTED_VALUE"""),22.420643669343093)</f>
        <v>22.42064367</v>
      </c>
      <c r="AA42" s="200" t="str">
        <f>IFERROR(__xludf.DUMMYFUNCTION("""COMPUTED_VALUE"""),"AP")</f>
        <v>AP</v>
      </c>
      <c r="AB42" s="198">
        <f>IFERROR(__xludf.DUMMYFUNCTION("""COMPUTED_VALUE"""),133.8052575226489)</f>
        <v>133.8052575</v>
      </c>
      <c r="AC42" s="201" t="str">
        <f>IFERROR(__xludf.DUMMYFUNCTION("""COMPUTED_VALUE"""),"％")</f>
        <v>％</v>
      </c>
      <c r="AD42" s="195">
        <f>IFERROR(__xludf.DUMMYFUNCTION("""COMPUTED_VALUE"""),4189.0)</f>
        <v>4189</v>
      </c>
      <c r="AE42" s="197" t="str">
        <f>IFERROR(__xludf.DUMMYFUNCTION("""COMPUTED_VALUE"""),"Magic Gem of Saber")</f>
        <v>Magic Gem of Saber</v>
      </c>
      <c r="AF42" s="98" t="str">
        <f>IFERROR(__xludf.DUMMYFUNCTION("""COMPUTED_VALUE"""),"")</f>
        <v/>
      </c>
    </row>
    <row r="43" ht="16.5" customHeight="1">
      <c r="B43" s="203"/>
      <c r="C43" s="204"/>
      <c r="D43" s="208">
        <f>IFERROR(__xludf.DUMMYFUNCTION("""COMPUTED_VALUE"""),2.0)</f>
        <v>2</v>
      </c>
      <c r="E43" s="210" t="str">
        <f>IFERROR(__xludf.DUMMYFUNCTION("""COMPUTED_VALUE"""),"")</f>
        <v/>
      </c>
      <c r="F43" s="212" t="str">
        <f>IFERROR(__xludf.DUMMYFUNCTION("""COMPUTED_VALUE"""),"")</f>
        <v/>
      </c>
      <c r="G43" s="212" t="str">
        <f>IFERROR(__xludf.DUMMYFUNCTION("""COMPUTED_VALUE"""),"")</f>
        <v/>
      </c>
      <c r="H43" s="218" t="str">
        <f>IFERROR(__xludf.DUMMYFUNCTION("""COMPUTED_VALUE"""),"")</f>
        <v/>
      </c>
      <c r="I43" s="219" t="str">
        <f>IFERROR(__xludf.DUMMYFUNCTION("""COMPUTED_VALUE"""),"")</f>
        <v/>
      </c>
      <c r="J43" s="220" t="str">
        <f>IFERROR(__xludf.DUMMYFUNCTION("""COMPUTED_VALUE"""),"")</f>
        <v/>
      </c>
      <c r="K43" s="221" t="str">
        <f>IFERROR(__xludf.DUMMYFUNCTION("""COMPUTED_VALUE"""),"AP")</f>
        <v>AP</v>
      </c>
      <c r="L43" s="220" t="str">
        <f>IFERROR(__xludf.DUMMYFUNCTION("""COMPUTED_VALUE"""),"")</f>
        <v/>
      </c>
      <c r="M43" s="221" t="str">
        <f>IFERROR(__xludf.DUMMYFUNCTION("""COMPUTED_VALUE"""),"％")</f>
        <v>％</v>
      </c>
      <c r="N43" s="218" t="str">
        <f>IFERROR(__xludf.DUMMYFUNCTION("""COMPUTED_VALUE"""),"")</f>
        <v/>
      </c>
      <c r="O43" s="217"/>
      <c r="P43" s="93" t="str">
        <f>IFERROR(__xludf.DUMMYFUNCTION("""COMPUTED_VALUE"""),"")</f>
        <v/>
      </c>
      <c r="R43" s="203"/>
      <c r="S43" s="204"/>
      <c r="T43" s="208">
        <f>IFERROR(__xludf.DUMMYFUNCTION("""COMPUTED_VALUE"""),2.0)</f>
        <v>2</v>
      </c>
      <c r="U43" s="210" t="str">
        <f>IFERROR(__xludf.DUMMYFUNCTION("""COMPUTED_VALUE"""),"TRF28")</f>
        <v>TRF28</v>
      </c>
      <c r="V43" s="212" t="str">
        <f>IFERROR(__xludf.DUMMYFUNCTION("""COMPUTED_VALUE"""),"Chaldea Gate (Sun)")</f>
        <v>Chaldea Gate (Sun)</v>
      </c>
      <c r="W43" s="212" t="str">
        <f>IFERROR(__xludf.DUMMYFUNCTION("""COMPUTED_VALUE"""),"SUN Saber Training Ground- Exp")</f>
        <v>SUN Saber Training Ground- Exp</v>
      </c>
      <c r="X43" s="218">
        <f>IFERROR(__xludf.DUMMYFUNCTION("""COMPUTED_VALUE"""),40.0)</f>
        <v>40</v>
      </c>
      <c r="Y43" s="219">
        <f>IFERROR(__xludf.DUMMYFUNCTION("""COMPUTED_VALUE"""),19.7)</f>
        <v>19.7</v>
      </c>
      <c r="Z43" s="220">
        <f>IFERROR(__xludf.DUMMYFUNCTION("""COMPUTED_VALUE"""),34.18253655797797)</f>
        <v>34.18253656</v>
      </c>
      <c r="AA43" s="221" t="str">
        <f>IFERROR(__xludf.DUMMYFUNCTION("""COMPUTED_VALUE"""),"AP")</f>
        <v>AP</v>
      </c>
      <c r="AB43" s="220">
        <f>IFERROR(__xludf.DUMMYFUNCTION("""COMPUTED_VALUE"""),117.01881729038705)</f>
        <v>117.0188173</v>
      </c>
      <c r="AC43" s="221" t="str">
        <f>IFERROR(__xludf.DUMMYFUNCTION("""COMPUTED_VALUE"""),"％")</f>
        <v>％</v>
      </c>
      <c r="AD43" s="218">
        <f>IFERROR(__xludf.DUMMYFUNCTION("""COMPUTED_VALUE"""),21786.0)</f>
        <v>21786</v>
      </c>
      <c r="AE43" s="217"/>
      <c r="AF43" s="98" t="str">
        <f>IFERROR(__xludf.DUMMYFUNCTION("""COMPUTED_VALUE"""),"")</f>
        <v/>
      </c>
    </row>
    <row r="44" ht="16.5" customHeight="1">
      <c r="B44" s="203"/>
      <c r="C44" s="204"/>
      <c r="D44" s="225">
        <f>IFERROR(__xludf.DUMMYFUNCTION("""COMPUTED_VALUE"""),3.0)</f>
        <v>3</v>
      </c>
      <c r="E44" s="227" t="str">
        <f>IFERROR(__xludf.DUMMYFUNCTION("""COMPUTED_VALUE"""),"")</f>
        <v/>
      </c>
      <c r="F44" s="229" t="str">
        <f>IFERROR(__xludf.DUMMYFUNCTION("""COMPUTED_VALUE"""),"")</f>
        <v/>
      </c>
      <c r="G44" s="229" t="str">
        <f>IFERROR(__xludf.DUMMYFUNCTION("""COMPUTED_VALUE"""),"")</f>
        <v/>
      </c>
      <c r="H44" s="234" t="str">
        <f>IFERROR(__xludf.DUMMYFUNCTION("""COMPUTED_VALUE"""),"")</f>
        <v/>
      </c>
      <c r="I44" s="235" t="str">
        <f>IFERROR(__xludf.DUMMYFUNCTION("""COMPUTED_VALUE"""),"")</f>
        <v/>
      </c>
      <c r="J44" s="236" t="str">
        <f>IFERROR(__xludf.DUMMYFUNCTION("""COMPUTED_VALUE"""),"")</f>
        <v/>
      </c>
      <c r="K44" s="237" t="str">
        <f>IFERROR(__xludf.DUMMYFUNCTION("""COMPUTED_VALUE"""),"AP")</f>
        <v>AP</v>
      </c>
      <c r="L44" s="236" t="str">
        <f>IFERROR(__xludf.DUMMYFUNCTION("""COMPUTED_VALUE"""),"")</f>
        <v/>
      </c>
      <c r="M44" s="237" t="str">
        <f>IFERROR(__xludf.DUMMYFUNCTION("""COMPUTED_VALUE"""),"％")</f>
        <v>％</v>
      </c>
      <c r="N44" s="234" t="str">
        <f>IFERROR(__xludf.DUMMYFUNCTION("""COMPUTED_VALUE"""),"")</f>
        <v/>
      </c>
      <c r="O44" s="217"/>
      <c r="P44" s="93" t="str">
        <f>IFERROR(__xludf.DUMMYFUNCTION("""COMPUTED_VALUE"""),"")</f>
        <v/>
      </c>
      <c r="R44" s="203"/>
      <c r="S44" s="204"/>
      <c r="T44" s="225">
        <f>IFERROR(__xludf.DUMMYFUNCTION("""COMPUTED_VALUE"""),3.0)</f>
        <v>3</v>
      </c>
      <c r="U44" s="227" t="str">
        <f>IFERROR(__xludf.DUMMYFUNCTION("""COMPUTED_VALUE"""),"TRF26")</f>
        <v>TRF26</v>
      </c>
      <c r="V44" s="229" t="str">
        <f>IFERROR(__xludf.DUMMYFUNCTION("""COMPUTED_VALUE"""),"Chaldea Gate (Sun)")</f>
        <v>Chaldea Gate (Sun)</v>
      </c>
      <c r="W44" s="229" t="str">
        <f>IFERROR(__xludf.DUMMYFUNCTION("""COMPUTED_VALUE"""),"SUN Saber Training Ground- Int")</f>
        <v>SUN Saber Training Ground- Int</v>
      </c>
      <c r="X44" s="234">
        <f>IFERROR(__xludf.DUMMYFUNCTION("""COMPUTED_VALUE"""),20.0)</f>
        <v>20</v>
      </c>
      <c r="Y44" s="235">
        <f>IFERROR(__xludf.DUMMYFUNCTION("""COMPUTED_VALUE"""),18.4)</f>
        <v>18.4</v>
      </c>
      <c r="Z44" s="236">
        <f>IFERROR(__xludf.DUMMYFUNCTION("""COMPUTED_VALUE"""),24.839931153184164)</f>
        <v>24.83993115</v>
      </c>
      <c r="AA44" s="237" t="str">
        <f>IFERROR(__xludf.DUMMYFUNCTION("""COMPUTED_VALUE"""),"AP")</f>
        <v>AP</v>
      </c>
      <c r="AB44" s="236">
        <f>IFERROR(__xludf.DUMMYFUNCTION("""COMPUTED_VALUE"""),80.51552106430155)</f>
        <v>80.51552106</v>
      </c>
      <c r="AC44" s="237" t="str">
        <f>IFERROR(__xludf.DUMMYFUNCTION("""COMPUTED_VALUE"""),"％")</f>
        <v>％</v>
      </c>
      <c r="AD44" s="234">
        <f>IFERROR(__xludf.DUMMYFUNCTION("""COMPUTED_VALUE"""),451.0)</f>
        <v>451</v>
      </c>
      <c r="AE44" s="217"/>
      <c r="AF44" s="98" t="str">
        <f>IFERROR(__xludf.DUMMYFUNCTION("""COMPUTED_VALUE"""),"")</f>
        <v/>
      </c>
    </row>
    <row r="45" ht="16.5" customHeight="1">
      <c r="B45" s="203"/>
      <c r="C45" s="204"/>
      <c r="D45" s="239">
        <f>IFERROR(__xludf.DUMMYFUNCTION("""COMPUTED_VALUE"""),4.0)</f>
        <v>4</v>
      </c>
      <c r="E45" s="241" t="str">
        <f>IFERROR(__xludf.DUMMYFUNCTION("""COMPUTED_VALUE"""),"")</f>
        <v/>
      </c>
      <c r="F45" s="243" t="str">
        <f>IFERROR(__xludf.DUMMYFUNCTION("""COMPUTED_VALUE"""),"")</f>
        <v/>
      </c>
      <c r="G45" s="243" t="str">
        <f>IFERROR(__xludf.DUMMYFUNCTION("""COMPUTED_VALUE"""),"")</f>
        <v/>
      </c>
      <c r="H45" s="247" t="str">
        <f>IFERROR(__xludf.DUMMYFUNCTION("""COMPUTED_VALUE"""),"")</f>
        <v/>
      </c>
      <c r="I45" s="249" t="str">
        <f>IFERROR(__xludf.DUMMYFUNCTION("""COMPUTED_VALUE"""),"")</f>
        <v/>
      </c>
      <c r="J45" s="251" t="str">
        <f>IFERROR(__xludf.DUMMYFUNCTION("""COMPUTED_VALUE"""),"")</f>
        <v/>
      </c>
      <c r="K45" s="253" t="str">
        <f>IFERROR(__xludf.DUMMYFUNCTION("""COMPUTED_VALUE"""),"AP")</f>
        <v>AP</v>
      </c>
      <c r="L45" s="251" t="str">
        <f>IFERROR(__xludf.DUMMYFUNCTION("""COMPUTED_VALUE"""),"")</f>
        <v/>
      </c>
      <c r="M45" s="253" t="str">
        <f>IFERROR(__xludf.DUMMYFUNCTION("""COMPUTED_VALUE"""),"％")</f>
        <v>％</v>
      </c>
      <c r="N45" s="247" t="str">
        <f>IFERROR(__xludf.DUMMYFUNCTION("""COMPUTED_VALUE"""),"")</f>
        <v/>
      </c>
      <c r="O45" s="217"/>
      <c r="P45" s="93" t="str">
        <f>IFERROR(__xludf.DUMMYFUNCTION("""COMPUTED_VALUE"""),"")</f>
        <v/>
      </c>
      <c r="R45" s="203"/>
      <c r="S45" s="204"/>
      <c r="T45" s="239">
        <f>IFERROR(__xludf.DUMMYFUNCTION("""COMPUTED_VALUE"""),4.0)</f>
        <v>4</v>
      </c>
      <c r="U45" s="241" t="str">
        <f>IFERROR(__xludf.DUMMYFUNCTION("""COMPUTED_VALUE"""),"SMS4")</f>
        <v>SMS4</v>
      </c>
      <c r="V45" s="243" t="str">
        <f>IFERROR(__xludf.DUMMYFUNCTION("""COMPUTED_VALUE"""),"Shimosa")</f>
        <v>Shimosa</v>
      </c>
      <c r="W45" s="245" t="str">
        <f>IFERROR(__xludf.DUMMYFUNCTION("""COMPUTED_VALUE"""),"Castle Town")</f>
        <v>Castle Town</v>
      </c>
      <c r="X45" s="247">
        <f>IFERROR(__xludf.DUMMYFUNCTION("""COMPUTED_VALUE"""),21.0)</f>
        <v>21</v>
      </c>
      <c r="Y45" s="249">
        <f>IFERROR(__xludf.DUMMYFUNCTION("""COMPUTED_VALUE"""),46.666666666666664)</f>
        <v>46.66666667</v>
      </c>
      <c r="Z45" s="251">
        <f>IFERROR(__xludf.DUMMYFUNCTION("""COMPUTED_VALUE"""),52.17829110780753)</f>
        <v>52.17829111</v>
      </c>
      <c r="AA45" s="253" t="str">
        <f>IFERROR(__xludf.DUMMYFUNCTION("""COMPUTED_VALUE"""),"AP")</f>
        <v>AP</v>
      </c>
      <c r="AB45" s="251">
        <f>IFERROR(__xludf.DUMMYFUNCTION("""COMPUTED_VALUE"""),40.24662278918087)</f>
        <v>40.24662279</v>
      </c>
      <c r="AC45" s="253" t="str">
        <f>IFERROR(__xludf.DUMMYFUNCTION("""COMPUTED_VALUE"""),"％")</f>
        <v>％</v>
      </c>
      <c r="AD45" s="247">
        <f>IFERROR(__xludf.DUMMYFUNCTION("""COMPUTED_VALUE"""),7438.0)</f>
        <v>7438</v>
      </c>
      <c r="AE45" s="217"/>
      <c r="AF45" s="98" t="str">
        <f>IFERROR(__xludf.DUMMYFUNCTION("""COMPUTED_VALUE"""),"")</f>
        <v/>
      </c>
    </row>
    <row r="46" ht="16.5" customHeight="1">
      <c r="A46" s="166"/>
      <c r="B46" s="254"/>
      <c r="C46" s="255"/>
      <c r="D46" s="256">
        <f>IFERROR(__xludf.DUMMYFUNCTION("""COMPUTED_VALUE"""),5.0)</f>
        <v>5</v>
      </c>
      <c r="E46" s="257" t="str">
        <f>IFERROR(__xludf.DUMMYFUNCTION("""COMPUTED_VALUE"""),"")</f>
        <v/>
      </c>
      <c r="F46" s="42" t="str">
        <f>IFERROR(__xludf.DUMMYFUNCTION("""COMPUTED_VALUE"""),"")</f>
        <v/>
      </c>
      <c r="G46" s="42" t="str">
        <f>IFERROR(__xludf.DUMMYFUNCTION("""COMPUTED_VALUE"""),"")</f>
        <v/>
      </c>
      <c r="H46" s="259" t="str">
        <f>IFERROR(__xludf.DUMMYFUNCTION("""COMPUTED_VALUE"""),"")</f>
        <v/>
      </c>
      <c r="I46" s="260" t="str">
        <f>IFERROR(__xludf.DUMMYFUNCTION("""COMPUTED_VALUE"""),"")</f>
        <v/>
      </c>
      <c r="J46" s="261" t="str">
        <f>IFERROR(__xludf.DUMMYFUNCTION("""COMPUTED_VALUE"""),"")</f>
        <v/>
      </c>
      <c r="K46" s="262" t="str">
        <f>IFERROR(__xludf.DUMMYFUNCTION("""COMPUTED_VALUE"""),"AP")</f>
        <v>AP</v>
      </c>
      <c r="L46" s="261" t="str">
        <f>IFERROR(__xludf.DUMMYFUNCTION("""COMPUTED_VALUE"""),"")</f>
        <v/>
      </c>
      <c r="M46" s="262" t="str">
        <f>IFERROR(__xludf.DUMMYFUNCTION("""COMPUTED_VALUE"""),"％")</f>
        <v>％</v>
      </c>
      <c r="N46" s="259" t="str">
        <f>IFERROR(__xludf.DUMMYFUNCTION("""COMPUTED_VALUE"""),"")</f>
        <v/>
      </c>
      <c r="O46" s="263"/>
      <c r="P46" s="93" t="str">
        <f>IFERROR(__xludf.DUMMYFUNCTION("""COMPUTED_VALUE"""),"")</f>
        <v/>
      </c>
      <c r="Q46" s="166"/>
      <c r="R46" s="254"/>
      <c r="S46" s="255"/>
      <c r="T46" s="256">
        <f>IFERROR(__xludf.DUMMYFUNCTION("""COMPUTED_VALUE"""),5.0)</f>
        <v>5</v>
      </c>
      <c r="U46" s="257" t="str">
        <f>IFERROR(__xludf.DUMMYFUNCTION("""COMPUTED_VALUE"""),"SMS7")</f>
        <v>SMS7</v>
      </c>
      <c r="V46" s="42" t="str">
        <f>IFERROR(__xludf.DUMMYFUNCTION("""COMPUTED_VALUE"""),"Shimosa")</f>
        <v>Shimosa</v>
      </c>
      <c r="W46" s="258" t="str">
        <f>IFERROR(__xludf.DUMMYFUNCTION("""COMPUTED_VALUE"""),"Rear Mountain (Nameless Sacred Mountain)")</f>
        <v>Rear Mountain (Nameless Sacred Mountain)</v>
      </c>
      <c r="X46" s="259">
        <f>IFERROR(__xludf.DUMMYFUNCTION("""COMPUTED_VALUE"""),21.0)</f>
        <v>21</v>
      </c>
      <c r="Y46" s="260">
        <f>IFERROR(__xludf.DUMMYFUNCTION("""COMPUTED_VALUE"""),47.80952380952381)</f>
        <v>47.80952381</v>
      </c>
      <c r="Z46" s="261">
        <f>IFERROR(__xludf.DUMMYFUNCTION("""COMPUTED_VALUE"""),85.68700642989685)</f>
        <v>85.68700643</v>
      </c>
      <c r="AA46" s="262" t="str">
        <f>IFERROR(__xludf.DUMMYFUNCTION("""COMPUTED_VALUE"""),"AP")</f>
        <v>AP</v>
      </c>
      <c r="AB46" s="261">
        <f>IFERROR(__xludf.DUMMYFUNCTION("""COMPUTED_VALUE"""),24.50779981114259)</f>
        <v>24.50779981</v>
      </c>
      <c r="AC46" s="262" t="str">
        <f>IFERROR(__xludf.DUMMYFUNCTION("""COMPUTED_VALUE"""),"％")</f>
        <v>％</v>
      </c>
      <c r="AD46" s="259">
        <f>IFERROR(__xludf.DUMMYFUNCTION("""COMPUTED_VALUE"""),8825.0)</f>
        <v>8825</v>
      </c>
      <c r="AE46" s="263"/>
      <c r="AF46" s="98" t="str">
        <f>IFERROR(__xludf.DUMMYFUNCTION("""COMPUTED_VALUE"""),"")</f>
        <v/>
      </c>
    </row>
    <row r="47" ht="16.5" customHeight="1">
      <c r="A47" s="61" t="str">
        <f>IFERROR(__xludf.DUMMYFUNCTION("""COMPUTED_VALUE"""),"")</f>
        <v/>
      </c>
      <c r="B47" s="360" t="str">
        <f>IFERROR(__xludf.DUMMYFUNCTION("""COMPUTED_VALUE"""),"A309")</f>
        <v>A309</v>
      </c>
      <c r="C47" s="65" t="str">
        <f>IFERROR(__xludf.DUMMYFUNCTION("""COMPUTED_VALUE"""),"Induced Oscillation Gunpowder")</f>
        <v>Induced Oscillation Gunpowder</v>
      </c>
      <c r="D47" s="70">
        <f>IFERROR(__xludf.DUMMYFUNCTION("""COMPUTED_VALUE"""),1.0)</f>
        <v>1</v>
      </c>
      <c r="E47" s="73" t="str">
        <f>IFERROR(__xludf.DUMMYFUNCTION("""COMPUTED_VALUE"""),"")</f>
        <v/>
      </c>
      <c r="F47" s="76" t="str">
        <f>IFERROR(__xludf.DUMMYFUNCTION("""COMPUTED_VALUE"""),"")</f>
        <v/>
      </c>
      <c r="G47" s="76" t="str">
        <f>IFERROR(__xludf.DUMMYFUNCTION("""COMPUTED_VALUE"""),"")</f>
        <v/>
      </c>
      <c r="H47" s="87" t="str">
        <f>IFERROR(__xludf.DUMMYFUNCTION("""COMPUTED_VALUE"""),"")</f>
        <v/>
      </c>
      <c r="I47" s="90" t="str">
        <f>IFERROR(__xludf.DUMMYFUNCTION("""COMPUTED_VALUE"""),"")</f>
        <v/>
      </c>
      <c r="J47" s="92" t="str">
        <f>IFERROR(__xludf.DUMMYFUNCTION("""COMPUTED_VALUE"""),"")</f>
        <v/>
      </c>
      <c r="K47" s="94" t="str">
        <f>IFERROR(__xludf.DUMMYFUNCTION("""COMPUTED_VALUE"""),"AP")</f>
        <v>AP</v>
      </c>
      <c r="L47" s="96" t="str">
        <f>IFERROR(__xludf.DUMMYFUNCTION("""COMPUTED_VALUE"""),"")</f>
        <v/>
      </c>
      <c r="M47" s="94" t="str">
        <f>IFERROR(__xludf.DUMMYFUNCTION("""COMPUTED_VALUE"""),"％")</f>
        <v>％</v>
      </c>
      <c r="N47" s="87" t="str">
        <f>IFERROR(__xludf.DUMMYFUNCTION("""COMPUTED_VALUE"""),"")</f>
        <v/>
      </c>
      <c r="O47" s="97" t="str">
        <f>IFERROR(__xludf.DUMMYFUNCTION("""COMPUTED_VALUE"""),"Induced Oscillation Gunpowder")</f>
        <v>Induced Oscillation Gunpowder</v>
      </c>
      <c r="P47" s="93" t="str">
        <f>IFERROR(__xludf.DUMMYFUNCTION("""COMPUTED_VALUE"""),"")</f>
        <v/>
      </c>
      <c r="Q47" s="61" t="str">
        <f>IFERROR(__xludf.DUMMYFUNCTION("""COMPUTED_VALUE"""),"")</f>
        <v/>
      </c>
      <c r="R47" s="361" t="str">
        <f>IFERROR(__xludf.DUMMYFUNCTION("""COMPUTED_VALUE"""),"B112")</f>
        <v>B112</v>
      </c>
      <c r="S47" s="65" t="str">
        <f>IFERROR(__xludf.DUMMYFUNCTION("""COMPUTED_VALUE"""),"Magic Gem of Archer")</f>
        <v>Magic Gem of Archer</v>
      </c>
      <c r="T47" s="70">
        <f>IFERROR(__xludf.DUMMYFUNCTION("""COMPUTED_VALUE"""),1.0)</f>
        <v>1</v>
      </c>
      <c r="U47" s="73" t="str">
        <f>IFERROR(__xludf.DUMMYFUNCTION("""COMPUTED_VALUE"""),"TRF3")</f>
        <v>TRF3</v>
      </c>
      <c r="V47" s="76" t="str">
        <f>IFERROR(__xludf.DUMMYFUNCTION("""COMPUTED_VALUE"""),"Chaldea Gate (Mon)")</f>
        <v>Chaldea Gate (Mon)</v>
      </c>
      <c r="W47" s="76" t="str">
        <f>IFERROR(__xludf.DUMMYFUNCTION("""COMPUTED_VALUE"""),"MON Archer Training Ground- Adv")</f>
        <v>MON Archer Training Ground- Adv</v>
      </c>
      <c r="X47" s="87">
        <f>IFERROR(__xludf.DUMMYFUNCTION("""COMPUTED_VALUE"""),30.0)</f>
        <v>30</v>
      </c>
      <c r="Y47" s="90">
        <f>IFERROR(__xludf.DUMMYFUNCTION("""COMPUTED_VALUE"""),18.266666666666666)</f>
        <v>18.26666667</v>
      </c>
      <c r="Z47" s="92">
        <f>IFERROR(__xludf.DUMMYFUNCTION("""COMPUTED_VALUE"""),19.33848014457345)</f>
        <v>19.33848014</v>
      </c>
      <c r="AA47" s="94" t="str">
        <f>IFERROR(__xludf.DUMMYFUNCTION("""COMPUTED_VALUE"""),"AP")</f>
        <v>AP</v>
      </c>
      <c r="AB47" s="96">
        <f>IFERROR(__xludf.DUMMYFUNCTION("""COMPUTED_VALUE"""),155.13111566018424)</f>
        <v>155.1311157</v>
      </c>
      <c r="AC47" s="94" t="str">
        <f>IFERROR(__xludf.DUMMYFUNCTION("""COMPUTED_VALUE"""),"％")</f>
        <v>％</v>
      </c>
      <c r="AD47" s="87">
        <f>IFERROR(__xludf.DUMMYFUNCTION("""COMPUTED_VALUE"""),977.0)</f>
        <v>977</v>
      </c>
      <c r="AE47" s="97" t="str">
        <f>IFERROR(__xludf.DUMMYFUNCTION("""COMPUTED_VALUE"""),"Magic Gem of Archer")</f>
        <v>Magic Gem of Archer</v>
      </c>
      <c r="AF47" s="98" t="str">
        <f>IFERROR(__xludf.DUMMYFUNCTION("""COMPUTED_VALUE"""),"")</f>
        <v/>
      </c>
    </row>
    <row r="48" ht="16.5" customHeight="1">
      <c r="B48" s="358"/>
      <c r="C48" s="100"/>
      <c r="D48" s="105">
        <f>IFERROR(__xludf.DUMMYFUNCTION("""COMPUTED_VALUE"""),2.0)</f>
        <v>2</v>
      </c>
      <c r="E48" s="106" t="str">
        <f>IFERROR(__xludf.DUMMYFUNCTION("""COMPUTED_VALUE"""),"")</f>
        <v/>
      </c>
      <c r="F48" s="107" t="str">
        <f>IFERROR(__xludf.DUMMYFUNCTION("""COMPUTED_VALUE"""),"")</f>
        <v/>
      </c>
      <c r="G48" s="107" t="str">
        <f>IFERROR(__xludf.DUMMYFUNCTION("""COMPUTED_VALUE"""),"")</f>
        <v/>
      </c>
      <c r="H48" s="116" t="str">
        <f>IFERROR(__xludf.DUMMYFUNCTION("""COMPUTED_VALUE"""),"")</f>
        <v/>
      </c>
      <c r="I48" s="118" t="str">
        <f>IFERROR(__xludf.DUMMYFUNCTION("""COMPUTED_VALUE"""),"")</f>
        <v/>
      </c>
      <c r="J48" s="120" t="str">
        <f>IFERROR(__xludf.DUMMYFUNCTION("""COMPUTED_VALUE"""),"")</f>
        <v/>
      </c>
      <c r="K48" s="122" t="str">
        <f>IFERROR(__xludf.DUMMYFUNCTION("""COMPUTED_VALUE"""),"AP")</f>
        <v>AP</v>
      </c>
      <c r="L48" s="124" t="str">
        <f>IFERROR(__xludf.DUMMYFUNCTION("""COMPUTED_VALUE"""),"")</f>
        <v/>
      </c>
      <c r="M48" s="122" t="str">
        <f>IFERROR(__xludf.DUMMYFUNCTION("""COMPUTED_VALUE"""),"％")</f>
        <v>％</v>
      </c>
      <c r="N48" s="116" t="str">
        <f>IFERROR(__xludf.DUMMYFUNCTION("""COMPUTED_VALUE"""),"")</f>
        <v/>
      </c>
      <c r="O48" s="100"/>
      <c r="P48" s="93" t="str">
        <f>IFERROR(__xludf.DUMMYFUNCTION("""COMPUTED_VALUE"""),"")</f>
        <v/>
      </c>
      <c r="R48" s="358"/>
      <c r="S48" s="100"/>
      <c r="T48" s="105">
        <f>IFERROR(__xludf.DUMMYFUNCTION("""COMPUTED_VALUE"""),2.0)</f>
        <v>2</v>
      </c>
      <c r="U48" s="106" t="str">
        <f>IFERROR(__xludf.DUMMYFUNCTION("""COMPUTED_VALUE"""),"TRF4")</f>
        <v>TRF4</v>
      </c>
      <c r="V48" s="107" t="str">
        <f>IFERROR(__xludf.DUMMYFUNCTION("""COMPUTED_VALUE"""),"Chaldea Gate (Mon)")</f>
        <v>Chaldea Gate (Mon)</v>
      </c>
      <c r="W48" s="107" t="str">
        <f>IFERROR(__xludf.DUMMYFUNCTION("""COMPUTED_VALUE"""),"MON Archer Training Ground- Exp")</f>
        <v>MON Archer Training Ground- Exp</v>
      </c>
      <c r="X48" s="116">
        <f>IFERROR(__xludf.DUMMYFUNCTION("""COMPUTED_VALUE"""),40.0)</f>
        <v>40</v>
      </c>
      <c r="Y48" s="118">
        <f>IFERROR(__xludf.DUMMYFUNCTION("""COMPUTED_VALUE"""),19.7)</f>
        <v>19.7</v>
      </c>
      <c r="Z48" s="120">
        <f>IFERROR(__xludf.DUMMYFUNCTION("""COMPUTED_VALUE"""),33.37866136685614)</f>
        <v>33.37866137</v>
      </c>
      <c r="AA48" s="122" t="str">
        <f>IFERROR(__xludf.DUMMYFUNCTION("""COMPUTED_VALUE"""),"AP")</f>
        <v>AP</v>
      </c>
      <c r="AB48" s="124">
        <f>IFERROR(__xludf.DUMMYFUNCTION("""COMPUTED_VALUE"""),119.8370406780861)</f>
        <v>119.8370407</v>
      </c>
      <c r="AC48" s="122" t="str">
        <f>IFERROR(__xludf.DUMMYFUNCTION("""COMPUTED_VALUE"""),"％")</f>
        <v>％</v>
      </c>
      <c r="AD48" s="116">
        <f>IFERROR(__xludf.DUMMYFUNCTION("""COMPUTED_VALUE"""),9762.0)</f>
        <v>9762</v>
      </c>
      <c r="AE48" s="100"/>
      <c r="AF48" s="98" t="str">
        <f>IFERROR(__xludf.DUMMYFUNCTION("""COMPUTED_VALUE"""),"")</f>
        <v/>
      </c>
    </row>
    <row r="49" ht="16.5" customHeight="1">
      <c r="B49" s="358"/>
      <c r="C49" s="100"/>
      <c r="D49" s="128">
        <f>IFERROR(__xludf.DUMMYFUNCTION("""COMPUTED_VALUE"""),3.0)</f>
        <v>3</v>
      </c>
      <c r="E49" s="129" t="str">
        <f>IFERROR(__xludf.DUMMYFUNCTION("""COMPUTED_VALUE"""),"")</f>
        <v/>
      </c>
      <c r="F49" s="131" t="str">
        <f>IFERROR(__xludf.DUMMYFUNCTION("""COMPUTED_VALUE"""),"")</f>
        <v/>
      </c>
      <c r="G49" s="131" t="str">
        <f>IFERROR(__xludf.DUMMYFUNCTION("""COMPUTED_VALUE"""),"")</f>
        <v/>
      </c>
      <c r="H49" s="136" t="str">
        <f>IFERROR(__xludf.DUMMYFUNCTION("""COMPUTED_VALUE"""),"")</f>
        <v/>
      </c>
      <c r="I49" s="138" t="str">
        <f>IFERROR(__xludf.DUMMYFUNCTION("""COMPUTED_VALUE"""),"")</f>
        <v/>
      </c>
      <c r="J49" s="140" t="str">
        <f>IFERROR(__xludf.DUMMYFUNCTION("""COMPUTED_VALUE"""),"")</f>
        <v/>
      </c>
      <c r="K49" s="142" t="str">
        <f>IFERROR(__xludf.DUMMYFUNCTION("""COMPUTED_VALUE"""),"AP")</f>
        <v>AP</v>
      </c>
      <c r="L49" s="144" t="str">
        <f>IFERROR(__xludf.DUMMYFUNCTION("""COMPUTED_VALUE"""),"")</f>
        <v/>
      </c>
      <c r="M49" s="142" t="str">
        <f>IFERROR(__xludf.DUMMYFUNCTION("""COMPUTED_VALUE"""),"％")</f>
        <v>％</v>
      </c>
      <c r="N49" s="136" t="str">
        <f>IFERROR(__xludf.DUMMYFUNCTION("""COMPUTED_VALUE"""),"")</f>
        <v/>
      </c>
      <c r="O49" s="100"/>
      <c r="P49" s="93" t="str">
        <f>IFERROR(__xludf.DUMMYFUNCTION("""COMPUTED_VALUE"""),"")</f>
        <v/>
      </c>
      <c r="R49" s="358"/>
      <c r="S49" s="100"/>
      <c r="T49" s="128">
        <f>IFERROR(__xludf.DUMMYFUNCTION("""COMPUTED_VALUE"""),3.0)</f>
        <v>3</v>
      </c>
      <c r="U49" s="129" t="str">
        <f>IFERROR(__xludf.DUMMYFUNCTION("""COMPUTED_VALUE"""),"TRF2")</f>
        <v>TRF2</v>
      </c>
      <c r="V49" s="131" t="str">
        <f>IFERROR(__xludf.DUMMYFUNCTION("""COMPUTED_VALUE"""),"Chaldea Gate (Mon)")</f>
        <v>Chaldea Gate (Mon)</v>
      </c>
      <c r="W49" s="131" t="str">
        <f>IFERROR(__xludf.DUMMYFUNCTION("""COMPUTED_VALUE"""),"MON Archer Training Ground- Int")</f>
        <v>MON Archer Training Ground- Int</v>
      </c>
      <c r="X49" s="136">
        <f>IFERROR(__xludf.DUMMYFUNCTION("""COMPUTED_VALUE"""),20.0)</f>
        <v>20</v>
      </c>
      <c r="Y49" s="138">
        <f>IFERROR(__xludf.DUMMYFUNCTION("""COMPUTED_VALUE"""),18.4)</f>
        <v>18.4</v>
      </c>
      <c r="Z49" s="140">
        <f>IFERROR(__xludf.DUMMYFUNCTION("""COMPUTED_VALUE"""),55.80572770371691)</f>
        <v>55.8057277</v>
      </c>
      <c r="AA49" s="142" t="str">
        <f>IFERROR(__xludf.DUMMYFUNCTION("""COMPUTED_VALUE"""),"AP")</f>
        <v>AP</v>
      </c>
      <c r="AB49" s="144">
        <f>IFERROR(__xludf.DUMMYFUNCTION("""COMPUTED_VALUE"""),35.83861517976032)</f>
        <v>35.83861518</v>
      </c>
      <c r="AC49" s="142" t="str">
        <f>IFERROR(__xludf.DUMMYFUNCTION("""COMPUTED_VALUE"""),"％")</f>
        <v>％</v>
      </c>
      <c r="AD49" s="136">
        <f>IFERROR(__xludf.DUMMYFUNCTION("""COMPUTED_VALUE"""),751.0)</f>
        <v>751</v>
      </c>
      <c r="AE49" s="100"/>
      <c r="AF49" s="98" t="str">
        <f>IFERROR(__xludf.DUMMYFUNCTION("""COMPUTED_VALUE"""),"")</f>
        <v/>
      </c>
    </row>
    <row r="50" ht="16.5" customHeight="1">
      <c r="B50" s="358"/>
      <c r="C50" s="100"/>
      <c r="D50" s="147">
        <f>IFERROR(__xludf.DUMMYFUNCTION("""COMPUTED_VALUE"""),4.0)</f>
        <v>4</v>
      </c>
      <c r="E50" s="149" t="str">
        <f>IFERROR(__xludf.DUMMYFUNCTION("""COMPUTED_VALUE"""),"")</f>
        <v/>
      </c>
      <c r="F50" s="151" t="str">
        <f>IFERROR(__xludf.DUMMYFUNCTION("""COMPUTED_VALUE"""),"")</f>
        <v/>
      </c>
      <c r="G50" s="151" t="str">
        <f>IFERROR(__xludf.DUMMYFUNCTION("""COMPUTED_VALUE"""),"")</f>
        <v/>
      </c>
      <c r="H50" s="155" t="str">
        <f>IFERROR(__xludf.DUMMYFUNCTION("""COMPUTED_VALUE"""),"")</f>
        <v/>
      </c>
      <c r="I50" s="157" t="str">
        <f>IFERROR(__xludf.DUMMYFUNCTION("""COMPUTED_VALUE"""),"")</f>
        <v/>
      </c>
      <c r="J50" s="159" t="str">
        <f>IFERROR(__xludf.DUMMYFUNCTION("""COMPUTED_VALUE"""),"")</f>
        <v/>
      </c>
      <c r="K50" s="161" t="str">
        <f>IFERROR(__xludf.DUMMYFUNCTION("""COMPUTED_VALUE"""),"AP")</f>
        <v>AP</v>
      </c>
      <c r="L50" s="163" t="str">
        <f>IFERROR(__xludf.DUMMYFUNCTION("""COMPUTED_VALUE"""),"")</f>
        <v/>
      </c>
      <c r="M50" s="161" t="str">
        <f>IFERROR(__xludf.DUMMYFUNCTION("""COMPUTED_VALUE"""),"％")</f>
        <v>％</v>
      </c>
      <c r="N50" s="155" t="str">
        <f>IFERROR(__xludf.DUMMYFUNCTION("""COMPUTED_VALUE"""),"")</f>
        <v/>
      </c>
      <c r="O50" s="100"/>
      <c r="P50" s="93" t="str">
        <f>IFERROR(__xludf.DUMMYFUNCTION("""COMPUTED_VALUE"""),"")</f>
        <v/>
      </c>
      <c r="R50" s="358"/>
      <c r="S50" s="100"/>
      <c r="T50" s="147">
        <f>IFERROR(__xludf.DUMMYFUNCTION("""COMPUTED_VALUE"""),4.0)</f>
        <v>4</v>
      </c>
      <c r="U50" s="149" t="str">
        <f>IFERROR(__xludf.DUMMYFUNCTION("""COMPUTED_VALUE"""),"SJK3")</f>
        <v>SJK3</v>
      </c>
      <c r="V50" s="151" t="str">
        <f>IFERROR(__xludf.DUMMYFUNCTION("""COMPUTED_VALUE"""),"Shinjuku")</f>
        <v>Shinjuku</v>
      </c>
      <c r="W50" s="153" t="str">
        <f>IFERROR(__xludf.DUMMYFUNCTION("""COMPUTED_VALUE"""),"Shinjuku Station")</f>
        <v>Shinjuku Station</v>
      </c>
      <c r="X50" s="155">
        <f>IFERROR(__xludf.DUMMYFUNCTION("""COMPUTED_VALUE"""),21.0)</f>
        <v>21</v>
      </c>
      <c r="Y50" s="157">
        <f>IFERROR(__xludf.DUMMYFUNCTION("""COMPUTED_VALUE"""),45.523809523809526)</f>
        <v>45.52380952</v>
      </c>
      <c r="Z50" s="159">
        <f>IFERROR(__xludf.DUMMYFUNCTION("""COMPUTED_VALUE"""),86.29027970462442)</f>
        <v>86.2902797</v>
      </c>
      <c r="AA50" s="161" t="str">
        <f>IFERROR(__xludf.DUMMYFUNCTION("""COMPUTED_VALUE"""),"AP")</f>
        <v>AP</v>
      </c>
      <c r="AB50" s="163">
        <f>IFERROR(__xludf.DUMMYFUNCTION("""COMPUTED_VALUE"""),24.33646069045547)</f>
        <v>24.33646069</v>
      </c>
      <c r="AC50" s="161" t="str">
        <f>IFERROR(__xludf.DUMMYFUNCTION("""COMPUTED_VALUE"""),"％")</f>
        <v>％</v>
      </c>
      <c r="AD50" s="155">
        <f>IFERROR(__xludf.DUMMYFUNCTION("""COMPUTED_VALUE"""),17235.0)</f>
        <v>17235</v>
      </c>
      <c r="AE50" s="100"/>
      <c r="AF50" s="98" t="str">
        <f>IFERROR(__xludf.DUMMYFUNCTION("""COMPUTED_VALUE"""),"")</f>
        <v/>
      </c>
    </row>
    <row r="51" ht="16.5" customHeight="1">
      <c r="A51" s="166"/>
      <c r="B51" s="359"/>
      <c r="C51" s="168"/>
      <c r="D51" s="169">
        <f>IFERROR(__xludf.DUMMYFUNCTION("""COMPUTED_VALUE"""),5.0)</f>
        <v>5</v>
      </c>
      <c r="E51" s="170" t="str">
        <f>IFERROR(__xludf.DUMMYFUNCTION("""COMPUTED_VALUE"""),"")</f>
        <v/>
      </c>
      <c r="F51" s="51" t="str">
        <f>IFERROR(__xludf.DUMMYFUNCTION("""COMPUTED_VALUE"""),"")</f>
        <v/>
      </c>
      <c r="G51" s="51" t="str">
        <f>IFERROR(__xludf.DUMMYFUNCTION("""COMPUTED_VALUE"""),"")</f>
        <v/>
      </c>
      <c r="H51" s="172" t="str">
        <f>IFERROR(__xludf.DUMMYFUNCTION("""COMPUTED_VALUE"""),"")</f>
        <v/>
      </c>
      <c r="I51" s="173" t="str">
        <f>IFERROR(__xludf.DUMMYFUNCTION("""COMPUTED_VALUE"""),"")</f>
        <v/>
      </c>
      <c r="J51" s="174" t="str">
        <f>IFERROR(__xludf.DUMMYFUNCTION("""COMPUTED_VALUE"""),"")</f>
        <v/>
      </c>
      <c r="K51" s="175" t="str">
        <f>IFERROR(__xludf.DUMMYFUNCTION("""COMPUTED_VALUE"""),"AP")</f>
        <v>AP</v>
      </c>
      <c r="L51" s="176" t="str">
        <f>IFERROR(__xludf.DUMMYFUNCTION("""COMPUTED_VALUE"""),"")</f>
        <v/>
      </c>
      <c r="M51" s="175" t="str">
        <f>IFERROR(__xludf.DUMMYFUNCTION("""COMPUTED_VALUE"""),"％")</f>
        <v>％</v>
      </c>
      <c r="N51" s="172" t="str">
        <f>IFERROR(__xludf.DUMMYFUNCTION("""COMPUTED_VALUE"""),"")</f>
        <v/>
      </c>
      <c r="O51" s="168"/>
      <c r="P51" s="93" t="str">
        <f>IFERROR(__xludf.DUMMYFUNCTION("""COMPUTED_VALUE"""),"")</f>
        <v/>
      </c>
      <c r="Q51" s="166"/>
      <c r="R51" s="359"/>
      <c r="S51" s="168"/>
      <c r="T51" s="169">
        <f>IFERROR(__xludf.DUMMYFUNCTION("""COMPUTED_VALUE"""),5.0)</f>
        <v>5</v>
      </c>
      <c r="U51" s="170" t="str">
        <f>IFERROR(__xludf.DUMMYFUNCTION("""COMPUTED_VALUE"""),"EPU14")</f>
        <v>EPU14</v>
      </c>
      <c r="V51" s="51" t="str">
        <f>IFERROR(__xludf.DUMMYFUNCTION("""COMPUTED_VALUE"""),"E Pluribus Unum")</f>
        <v>E Pluribus Unum</v>
      </c>
      <c r="W51" s="171" t="str">
        <f>IFERROR(__xludf.DUMMYFUNCTION("""COMPUTED_VALUE"""),"Chicago")</f>
        <v>Chicago</v>
      </c>
      <c r="X51" s="172">
        <f>IFERROR(__xludf.DUMMYFUNCTION("""COMPUTED_VALUE"""),21.0)</f>
        <v>21</v>
      </c>
      <c r="Y51" s="173">
        <f>IFERROR(__xludf.DUMMYFUNCTION("""COMPUTED_VALUE"""),46.666666666666664)</f>
        <v>46.66666667</v>
      </c>
      <c r="Z51" s="174">
        <f>IFERROR(__xludf.DUMMYFUNCTION("""COMPUTED_VALUE"""),127.1711386142956)</f>
        <v>127.1711386</v>
      </c>
      <c r="AA51" s="175" t="str">
        <f>IFERROR(__xludf.DUMMYFUNCTION("""COMPUTED_VALUE"""),"AP")</f>
        <v>AP</v>
      </c>
      <c r="AB51" s="176">
        <f>IFERROR(__xludf.DUMMYFUNCTION("""COMPUTED_VALUE"""),16.513180764774045)</f>
        <v>16.51318076</v>
      </c>
      <c r="AC51" s="175" t="str">
        <f>IFERROR(__xludf.DUMMYFUNCTION("""COMPUTED_VALUE"""),"％")</f>
        <v>％</v>
      </c>
      <c r="AD51" s="172">
        <f>IFERROR(__xludf.DUMMYFUNCTION("""COMPUTED_VALUE"""),3452.0)</f>
        <v>3452</v>
      </c>
      <c r="AE51" s="168"/>
      <c r="AF51" s="98" t="str">
        <f>IFERROR(__xludf.DUMMYFUNCTION("""COMPUTED_VALUE"""),"")</f>
        <v/>
      </c>
    </row>
    <row r="52" ht="16.5" customHeight="1">
      <c r="A52" s="61" t="str">
        <f>IFERROR(__xludf.DUMMYFUNCTION("""COMPUTED_VALUE"""),"")</f>
        <v/>
      </c>
      <c r="B52" s="183" t="str">
        <f>IFERROR(__xludf.DUMMYFUNCTION("""COMPUTED_VALUE"""),"A201")</f>
        <v>A201</v>
      </c>
      <c r="C52" s="180" t="str">
        <f>IFERROR(__xludf.DUMMYFUNCTION("""COMPUTED_VALUE"""),"Seed of Yggdrasil")</f>
        <v>Seed of Yggdrasil</v>
      </c>
      <c r="D52" s="185">
        <f>IFERROR(__xludf.DUMMYFUNCTION("""COMPUTED_VALUE"""),1.0)</f>
        <v>1</v>
      </c>
      <c r="E52" s="187" t="str">
        <f>IFERROR(__xludf.DUMMYFUNCTION("""COMPUTED_VALUE"""),"BBL1")</f>
        <v>BBL1</v>
      </c>
      <c r="F52" s="188" t="str">
        <f>IFERROR(__xludf.DUMMYFUNCTION("""COMPUTED_VALUE"""),"Babylonia")</f>
        <v>Babylonia</v>
      </c>
      <c r="G52" s="193" t="str">
        <f>IFERROR(__xludf.DUMMYFUNCTION("""COMPUTED_VALUE"""),"Fallen Babylon")</f>
        <v>Fallen Babylon</v>
      </c>
      <c r="H52" s="195">
        <f>IFERROR(__xludf.DUMMYFUNCTION("""COMPUTED_VALUE"""),20.0)</f>
        <v>20</v>
      </c>
      <c r="I52" s="196">
        <f>IFERROR(__xludf.DUMMYFUNCTION("""COMPUTED_VALUE"""),46.6)</f>
        <v>46.6</v>
      </c>
      <c r="J52" s="198">
        <f>IFERROR(__xludf.DUMMYFUNCTION("""COMPUTED_VALUE"""),39.70669461166831)</f>
        <v>39.70669461</v>
      </c>
      <c r="K52" s="200" t="str">
        <f>IFERROR(__xludf.DUMMYFUNCTION("""COMPUTED_VALUE"""),"AP")</f>
        <v>AP</v>
      </c>
      <c r="L52" s="198">
        <f>IFERROR(__xludf.DUMMYFUNCTION("""COMPUTED_VALUE"""),50.36933997050147)</f>
        <v>50.36933997</v>
      </c>
      <c r="M52" s="201" t="str">
        <f>IFERROR(__xludf.DUMMYFUNCTION("""COMPUTED_VALUE"""),"％")</f>
        <v>％</v>
      </c>
      <c r="N52" s="195">
        <f>IFERROR(__xludf.DUMMYFUNCTION("""COMPUTED_VALUE"""),5424.0)</f>
        <v>5424</v>
      </c>
      <c r="O52" s="197" t="str">
        <f>IFERROR(__xludf.DUMMYFUNCTION("""COMPUTED_VALUE"""),"Seed of Yggdrasil")</f>
        <v>Seed of Yggdrasil</v>
      </c>
      <c r="P52" s="93" t="str">
        <f>IFERROR(__xludf.DUMMYFUNCTION("""COMPUTED_VALUE"""),"")</f>
        <v/>
      </c>
      <c r="Q52" s="61" t="str">
        <f>IFERROR(__xludf.DUMMYFUNCTION("""COMPUTED_VALUE"""),"")</f>
        <v/>
      </c>
      <c r="R52" s="202" t="str">
        <f>IFERROR(__xludf.DUMMYFUNCTION("""COMPUTED_VALUE"""),"B113")</f>
        <v>B113</v>
      </c>
      <c r="S52" s="180" t="str">
        <f>IFERROR(__xludf.DUMMYFUNCTION("""COMPUTED_VALUE"""),"Magic Gem of Lancer")</f>
        <v>Magic Gem of Lancer</v>
      </c>
      <c r="T52" s="185">
        <f>IFERROR(__xludf.DUMMYFUNCTION("""COMPUTED_VALUE"""),1.0)</f>
        <v>1</v>
      </c>
      <c r="U52" s="187" t="str">
        <f>IFERROR(__xludf.DUMMYFUNCTION("""COMPUTED_VALUE"""),"TRF7")</f>
        <v>TRF7</v>
      </c>
      <c r="V52" s="188" t="str">
        <f>IFERROR(__xludf.DUMMYFUNCTION("""COMPUTED_VALUE"""),"Chaldea Gate (Tue)")</f>
        <v>Chaldea Gate (Tue)</v>
      </c>
      <c r="W52" s="188" t="str">
        <f>IFERROR(__xludf.DUMMYFUNCTION("""COMPUTED_VALUE"""),"TUE Lancer Training Ground- Adv")</f>
        <v>TUE Lancer Training Ground- Adv</v>
      </c>
      <c r="X52" s="195">
        <f>IFERROR(__xludf.DUMMYFUNCTION("""COMPUTED_VALUE"""),30.0)</f>
        <v>30</v>
      </c>
      <c r="Y52" s="196">
        <f>IFERROR(__xludf.DUMMYFUNCTION("""COMPUTED_VALUE"""),18.266666666666666)</f>
        <v>18.26666667</v>
      </c>
      <c r="Z52" s="198">
        <f>IFERROR(__xludf.DUMMYFUNCTION("""COMPUTED_VALUE"""),20.21959140762293)</f>
        <v>20.21959141</v>
      </c>
      <c r="AA52" s="200" t="str">
        <f>IFERROR(__xludf.DUMMYFUNCTION("""COMPUTED_VALUE"""),"AP")</f>
        <v>AP</v>
      </c>
      <c r="AB52" s="198">
        <f>IFERROR(__xludf.DUMMYFUNCTION("""COMPUTED_VALUE"""),148.37095070422535)</f>
        <v>148.3709507</v>
      </c>
      <c r="AC52" s="201" t="str">
        <f>IFERROR(__xludf.DUMMYFUNCTION("""COMPUTED_VALUE"""),"％")</f>
        <v>％</v>
      </c>
      <c r="AD52" s="195">
        <f>IFERROR(__xludf.DUMMYFUNCTION("""COMPUTED_VALUE"""),1136.0)</f>
        <v>1136</v>
      </c>
      <c r="AE52" s="197" t="str">
        <f>IFERROR(__xludf.DUMMYFUNCTION("""COMPUTED_VALUE"""),"Magic Gem of Lancer")</f>
        <v>Magic Gem of Lancer</v>
      </c>
      <c r="AF52" s="98" t="str">
        <f>IFERROR(__xludf.DUMMYFUNCTION("""COMPUTED_VALUE"""),"")</f>
        <v/>
      </c>
    </row>
    <row r="53" ht="16.5" customHeight="1">
      <c r="B53" s="203"/>
      <c r="C53" s="204"/>
      <c r="D53" s="208">
        <f>IFERROR(__xludf.DUMMYFUNCTION("""COMPUTED_VALUE"""),2.0)</f>
        <v>2</v>
      </c>
      <c r="E53" s="210" t="str">
        <f>IFERROR(__xludf.DUMMYFUNCTION("""COMPUTED_VALUE"""),"AGT3")</f>
        <v>AGT3</v>
      </c>
      <c r="F53" s="212" t="str">
        <f>IFERROR(__xludf.DUMMYFUNCTION("""COMPUTED_VALUE"""),"Agartha")</f>
        <v>Agartha</v>
      </c>
      <c r="G53" s="216" t="str">
        <f>IFERROR(__xludf.DUMMYFUNCTION("""COMPUTED_VALUE"""),"Riverside Town")</f>
        <v>Riverside Town</v>
      </c>
      <c r="H53" s="218">
        <f>IFERROR(__xludf.DUMMYFUNCTION("""COMPUTED_VALUE"""),20.0)</f>
        <v>20</v>
      </c>
      <c r="I53" s="219">
        <f>IFERROR(__xludf.DUMMYFUNCTION("""COMPUTED_VALUE"""),46.6)</f>
        <v>46.6</v>
      </c>
      <c r="J53" s="220">
        <f>IFERROR(__xludf.DUMMYFUNCTION("""COMPUTED_VALUE"""),49.84548681374736)</f>
        <v>49.84548681</v>
      </c>
      <c r="K53" s="221" t="str">
        <f>IFERROR(__xludf.DUMMYFUNCTION("""COMPUTED_VALUE"""),"AP")</f>
        <v>AP</v>
      </c>
      <c r="L53" s="220">
        <f>IFERROR(__xludf.DUMMYFUNCTION("""COMPUTED_VALUE"""),40.123993722304284)</f>
        <v>40.12399372</v>
      </c>
      <c r="M53" s="221" t="str">
        <f>IFERROR(__xludf.DUMMYFUNCTION("""COMPUTED_VALUE"""),"％")</f>
        <v>％</v>
      </c>
      <c r="N53" s="218">
        <f>IFERROR(__xludf.DUMMYFUNCTION("""COMPUTED_VALUE"""),10832.0)</f>
        <v>10832</v>
      </c>
      <c r="O53" s="217"/>
      <c r="P53" s="93" t="str">
        <f>IFERROR(__xludf.DUMMYFUNCTION("""COMPUTED_VALUE"""),"")</f>
        <v/>
      </c>
      <c r="R53" s="203"/>
      <c r="S53" s="204"/>
      <c r="T53" s="208">
        <f>IFERROR(__xludf.DUMMYFUNCTION("""COMPUTED_VALUE"""),2.0)</f>
        <v>2</v>
      </c>
      <c r="U53" s="210" t="str">
        <f>IFERROR(__xludf.DUMMYFUNCTION("""COMPUTED_VALUE"""),"TRF8")</f>
        <v>TRF8</v>
      </c>
      <c r="V53" s="212" t="str">
        <f>IFERROR(__xludf.DUMMYFUNCTION("""COMPUTED_VALUE"""),"Chaldea Gate (Tue)")</f>
        <v>Chaldea Gate (Tue)</v>
      </c>
      <c r="W53" s="212" t="str">
        <f>IFERROR(__xludf.DUMMYFUNCTION("""COMPUTED_VALUE"""),"TUE Lancer Training Ground- Exp")</f>
        <v>TUE Lancer Training Ground- Exp</v>
      </c>
      <c r="X53" s="218">
        <f>IFERROR(__xludf.DUMMYFUNCTION("""COMPUTED_VALUE"""),40.0)</f>
        <v>40</v>
      </c>
      <c r="Y53" s="219">
        <f>IFERROR(__xludf.DUMMYFUNCTION("""COMPUTED_VALUE"""),19.7)</f>
        <v>19.7</v>
      </c>
      <c r="Z53" s="220">
        <f>IFERROR(__xludf.DUMMYFUNCTION("""COMPUTED_VALUE"""),33.3439251451867)</f>
        <v>33.34392515</v>
      </c>
      <c r="AA53" s="221" t="str">
        <f>IFERROR(__xludf.DUMMYFUNCTION("""COMPUTED_VALUE"""),"AP")</f>
        <v>AP</v>
      </c>
      <c r="AB53" s="220">
        <f>IFERROR(__xludf.DUMMYFUNCTION("""COMPUTED_VALUE"""),119.96188158961881)</f>
        <v>119.9618816</v>
      </c>
      <c r="AC53" s="221" t="str">
        <f>IFERROR(__xludf.DUMMYFUNCTION("""COMPUTED_VALUE"""),"％")</f>
        <v>％</v>
      </c>
      <c r="AD53" s="218">
        <f>IFERROR(__xludf.DUMMYFUNCTION("""COMPUTED_VALUE"""),6165.0)</f>
        <v>6165</v>
      </c>
      <c r="AE53" s="217"/>
      <c r="AF53" s="98" t="str">
        <f>IFERROR(__xludf.DUMMYFUNCTION("""COMPUTED_VALUE"""),"")</f>
        <v/>
      </c>
    </row>
    <row r="54" ht="16.5" customHeight="1">
      <c r="B54" s="203"/>
      <c r="C54" s="204"/>
      <c r="D54" s="225">
        <f>IFERROR(__xludf.DUMMYFUNCTION("""COMPUTED_VALUE"""),3.0)</f>
        <v>3</v>
      </c>
      <c r="E54" s="227" t="str">
        <f>IFERROR(__xludf.DUMMYFUNCTION("""COMPUTED_VALUE"""),"SMS1")</f>
        <v>SMS1</v>
      </c>
      <c r="F54" s="229" t="str">
        <f>IFERROR(__xludf.DUMMYFUNCTION("""COMPUTED_VALUE"""),"Shimosa")</f>
        <v>Shimosa</v>
      </c>
      <c r="G54" s="233" t="str">
        <f>IFERROR(__xludf.DUMMYFUNCTION("""COMPUTED_VALUE"""),"Rice Field")</f>
        <v>Rice Field</v>
      </c>
      <c r="H54" s="234">
        <f>IFERROR(__xludf.DUMMYFUNCTION("""COMPUTED_VALUE"""),20.0)</f>
        <v>20</v>
      </c>
      <c r="I54" s="235">
        <f>IFERROR(__xludf.DUMMYFUNCTION("""COMPUTED_VALUE"""),46.6)</f>
        <v>46.6</v>
      </c>
      <c r="J54" s="236">
        <f>IFERROR(__xludf.DUMMYFUNCTION("""COMPUTED_VALUE"""),50.26012474122503)</f>
        <v>50.26012474</v>
      </c>
      <c r="K54" s="237" t="str">
        <f>IFERROR(__xludf.DUMMYFUNCTION("""COMPUTED_VALUE"""),"AP")</f>
        <v>AP</v>
      </c>
      <c r="L54" s="236">
        <f>IFERROR(__xludf.DUMMYFUNCTION("""COMPUTED_VALUE"""),39.79297724184782)</f>
        <v>39.79297724</v>
      </c>
      <c r="M54" s="237" t="str">
        <f>IFERROR(__xludf.DUMMYFUNCTION("""COMPUTED_VALUE"""),"％")</f>
        <v>％</v>
      </c>
      <c r="N54" s="234">
        <f>IFERROR(__xludf.DUMMYFUNCTION("""COMPUTED_VALUE"""),47104.0)</f>
        <v>47104</v>
      </c>
      <c r="O54" s="217"/>
      <c r="P54" s="93" t="str">
        <f>IFERROR(__xludf.DUMMYFUNCTION("""COMPUTED_VALUE"""),"")</f>
        <v/>
      </c>
      <c r="R54" s="203"/>
      <c r="S54" s="204"/>
      <c r="T54" s="225">
        <f>IFERROR(__xludf.DUMMYFUNCTION("""COMPUTED_VALUE"""),3.0)</f>
        <v>3</v>
      </c>
      <c r="U54" s="227" t="str">
        <f>IFERROR(__xludf.DUMMYFUNCTION("""COMPUTED_VALUE"""),"TRF6")</f>
        <v>TRF6</v>
      </c>
      <c r="V54" s="229" t="str">
        <f>IFERROR(__xludf.DUMMYFUNCTION("""COMPUTED_VALUE"""),"Chaldea Gate (Tue)")</f>
        <v>Chaldea Gate (Tue)</v>
      </c>
      <c r="W54" s="229" t="str">
        <f>IFERROR(__xludf.DUMMYFUNCTION("""COMPUTED_VALUE"""),"TUE Lancer Training Ground- Int")</f>
        <v>TUE Lancer Training Ground- Int</v>
      </c>
      <c r="X54" s="234">
        <f>IFERROR(__xludf.DUMMYFUNCTION("""COMPUTED_VALUE"""),20.0)</f>
        <v>20</v>
      </c>
      <c r="Y54" s="235">
        <f>IFERROR(__xludf.DUMMYFUNCTION("""COMPUTED_VALUE"""),18.4)</f>
        <v>18.4</v>
      </c>
      <c r="Z54" s="236">
        <f>IFERROR(__xludf.DUMMYFUNCTION("""COMPUTED_VALUE"""),31.246121611657436)</f>
        <v>31.24612161</v>
      </c>
      <c r="AA54" s="237" t="str">
        <f>IFERROR(__xludf.DUMMYFUNCTION("""COMPUTED_VALUE"""),"AP")</f>
        <v>AP</v>
      </c>
      <c r="AB54" s="236">
        <f>IFERROR(__xludf.DUMMYFUNCTION("""COMPUTED_VALUE"""),64.00794392523363)</f>
        <v>64.00794393</v>
      </c>
      <c r="AC54" s="237" t="str">
        <f>IFERROR(__xludf.DUMMYFUNCTION("""COMPUTED_VALUE"""),"％")</f>
        <v>％</v>
      </c>
      <c r="AD54" s="234">
        <f>IFERROR(__xludf.DUMMYFUNCTION("""COMPUTED_VALUE"""),428.0)</f>
        <v>428</v>
      </c>
      <c r="AE54" s="217"/>
      <c r="AF54" s="98" t="str">
        <f>IFERROR(__xludf.DUMMYFUNCTION("""COMPUTED_VALUE"""),"")</f>
        <v/>
      </c>
    </row>
    <row r="55" ht="16.5" customHeight="1">
      <c r="B55" s="203"/>
      <c r="C55" s="204"/>
      <c r="D55" s="239">
        <f>IFERROR(__xludf.DUMMYFUNCTION("""COMPUTED_VALUE"""),4.0)</f>
        <v>4</v>
      </c>
      <c r="E55" s="241" t="str">
        <f>IFERROR(__xludf.DUMMYFUNCTION("""COMPUTED_VALUE"""),"AGT11")</f>
        <v>AGT11</v>
      </c>
      <c r="F55" s="243" t="str">
        <f>IFERROR(__xludf.DUMMYFUNCTION("""COMPUTED_VALUE"""),"Agartha")</f>
        <v>Agartha</v>
      </c>
      <c r="G55" s="245" t="str">
        <f>IFERROR(__xludf.DUMMYFUNCTION("""COMPUTED_VALUE"""),"El Dorado")</f>
        <v>El Dorado</v>
      </c>
      <c r="H55" s="247">
        <f>IFERROR(__xludf.DUMMYFUNCTION("""COMPUTED_VALUE"""),21.0)</f>
        <v>21</v>
      </c>
      <c r="I55" s="249">
        <f>IFERROR(__xludf.DUMMYFUNCTION("""COMPUTED_VALUE"""),48.95238095238095)</f>
        <v>48.95238095</v>
      </c>
      <c r="J55" s="251">
        <f>IFERROR(__xludf.DUMMYFUNCTION("""COMPUTED_VALUE"""),55.00195444168116)</f>
        <v>55.00195444</v>
      </c>
      <c r="K55" s="253" t="str">
        <f>IFERROR(__xludf.DUMMYFUNCTION("""COMPUTED_VALUE"""),"AP")</f>
        <v>AP</v>
      </c>
      <c r="L55" s="251">
        <f>IFERROR(__xludf.DUMMYFUNCTION("""COMPUTED_VALUE"""),38.18046142754146)</f>
        <v>38.18046143</v>
      </c>
      <c r="M55" s="253" t="str">
        <f>IFERROR(__xludf.DUMMYFUNCTION("""COMPUTED_VALUE"""),"％")</f>
        <v>％</v>
      </c>
      <c r="N55" s="247">
        <f>IFERROR(__xludf.DUMMYFUNCTION("""COMPUTED_VALUE"""),1387.0)</f>
        <v>1387</v>
      </c>
      <c r="O55" s="217"/>
      <c r="P55" s="93" t="str">
        <f>IFERROR(__xludf.DUMMYFUNCTION("""COMPUTED_VALUE"""),"")</f>
        <v/>
      </c>
      <c r="R55" s="203"/>
      <c r="S55" s="204"/>
      <c r="T55" s="239">
        <f>IFERROR(__xludf.DUMMYFUNCTION("""COMPUTED_VALUE"""),4.0)</f>
        <v>4</v>
      </c>
      <c r="U55" s="241" t="str">
        <f>IFERROR(__xludf.DUMMYFUNCTION("""COMPUTED_VALUE"""),"AGT2")</f>
        <v>AGT2</v>
      </c>
      <c r="V55" s="243" t="str">
        <f>IFERROR(__xludf.DUMMYFUNCTION("""COMPUTED_VALUE"""),"Agartha")</f>
        <v>Agartha</v>
      </c>
      <c r="W55" s="245" t="str">
        <f>IFERROR(__xludf.DUMMYFUNCTION("""COMPUTED_VALUE"""),"Camping Ground")</f>
        <v>Camping Ground</v>
      </c>
      <c r="X55" s="247">
        <f>IFERROR(__xludf.DUMMYFUNCTION("""COMPUTED_VALUE"""),20.0)</f>
        <v>20</v>
      </c>
      <c r="Y55" s="249">
        <f>IFERROR(__xludf.DUMMYFUNCTION("""COMPUTED_VALUE"""),46.6)</f>
        <v>46.6</v>
      </c>
      <c r="Z55" s="251">
        <f>IFERROR(__xludf.DUMMYFUNCTION("""COMPUTED_VALUE"""),118.52282026238683)</f>
        <v>118.5228203</v>
      </c>
      <c r="AA55" s="253" t="str">
        <f>IFERROR(__xludf.DUMMYFUNCTION("""COMPUTED_VALUE"""),"AP")</f>
        <v>AP</v>
      </c>
      <c r="AB55" s="251">
        <f>IFERROR(__xludf.DUMMYFUNCTION("""COMPUTED_VALUE"""),16.874387527839644)</f>
        <v>16.87438753</v>
      </c>
      <c r="AC55" s="253" t="str">
        <f>IFERROR(__xludf.DUMMYFUNCTION("""COMPUTED_VALUE"""),"％")</f>
        <v>％</v>
      </c>
      <c r="AD55" s="247">
        <f>IFERROR(__xludf.DUMMYFUNCTION("""COMPUTED_VALUE"""),1347.0)</f>
        <v>1347</v>
      </c>
      <c r="AE55" s="217"/>
      <c r="AF55" s="98" t="str">
        <f>IFERROR(__xludf.DUMMYFUNCTION("""COMPUTED_VALUE"""),"")</f>
        <v/>
      </c>
    </row>
    <row r="56" ht="16.5" customHeight="1">
      <c r="A56" s="166"/>
      <c r="B56" s="254"/>
      <c r="C56" s="255"/>
      <c r="D56" s="256">
        <f>IFERROR(__xludf.DUMMYFUNCTION("""COMPUTED_VALUE"""),5.0)</f>
        <v>5</v>
      </c>
      <c r="E56" s="257" t="str">
        <f>IFERROR(__xludf.DUMMYFUNCTION("""COMPUTED_VALUE"""),"SMS2")</f>
        <v>SMS2</v>
      </c>
      <c r="F56" s="42" t="str">
        <f>IFERROR(__xludf.DUMMYFUNCTION("""COMPUTED_VALUE"""),"Shimosa")</f>
        <v>Shimosa</v>
      </c>
      <c r="G56" s="258" t="str">
        <f>IFERROR(__xludf.DUMMYFUNCTION("""COMPUTED_VALUE"""),"Village")</f>
        <v>Village</v>
      </c>
      <c r="H56" s="259">
        <f>IFERROR(__xludf.DUMMYFUNCTION("""COMPUTED_VALUE"""),21.0)</f>
        <v>21</v>
      </c>
      <c r="I56" s="260">
        <f>IFERROR(__xludf.DUMMYFUNCTION("""COMPUTED_VALUE"""),45.523809523809526)</f>
        <v>45.52380952</v>
      </c>
      <c r="J56" s="261">
        <f>IFERROR(__xludf.DUMMYFUNCTION("""COMPUTED_VALUE"""),58.71385434159399)</f>
        <v>58.71385434</v>
      </c>
      <c r="K56" s="262" t="str">
        <f>IFERROR(__xludf.DUMMYFUNCTION("""COMPUTED_VALUE"""),"AP")</f>
        <v>AP</v>
      </c>
      <c r="L56" s="261">
        <f>IFERROR(__xludf.DUMMYFUNCTION("""COMPUTED_VALUE"""),35.76668613479733)</f>
        <v>35.76668613</v>
      </c>
      <c r="M56" s="262" t="str">
        <f>IFERROR(__xludf.DUMMYFUNCTION("""COMPUTED_VALUE"""),"％")</f>
        <v>％</v>
      </c>
      <c r="N56" s="259">
        <f>IFERROR(__xludf.DUMMYFUNCTION("""COMPUTED_VALUE"""),8561.0)</f>
        <v>8561</v>
      </c>
      <c r="O56" s="263"/>
      <c r="P56" s="93" t="str">
        <f>IFERROR(__xludf.DUMMYFUNCTION("""COMPUTED_VALUE"""),"")</f>
        <v/>
      </c>
      <c r="Q56" s="166"/>
      <c r="R56" s="254"/>
      <c r="S56" s="255"/>
      <c r="T56" s="256">
        <f>IFERROR(__xludf.DUMMYFUNCTION("""COMPUTED_VALUE"""),5.0)</f>
        <v>5</v>
      </c>
      <c r="U56" s="257" t="str">
        <f>IFERROR(__xludf.DUMMYFUNCTION("""COMPUTED_VALUE"""),"AGT10")</f>
        <v>AGT10</v>
      </c>
      <c r="V56" s="42" t="str">
        <f>IFERROR(__xludf.DUMMYFUNCTION("""COMPUTED_VALUE"""),"Agartha")</f>
        <v>Agartha</v>
      </c>
      <c r="W56" s="258" t="str">
        <f>IFERROR(__xludf.DUMMYFUNCTION("""COMPUTED_VALUE"""),"Great Underground River")</f>
        <v>Great Underground River</v>
      </c>
      <c r="X56" s="259">
        <f>IFERROR(__xludf.DUMMYFUNCTION("""COMPUTED_VALUE"""),21.0)</f>
        <v>21</v>
      </c>
      <c r="Y56" s="260">
        <f>IFERROR(__xludf.DUMMYFUNCTION("""COMPUTED_VALUE"""),47.80952380952381)</f>
        <v>47.80952381</v>
      </c>
      <c r="Z56" s="261">
        <f>IFERROR(__xludf.DUMMYFUNCTION("""COMPUTED_VALUE"""),144.16817730829771)</f>
        <v>144.1681773</v>
      </c>
      <c r="AA56" s="262" t="str">
        <f>IFERROR(__xludf.DUMMYFUNCTION("""COMPUTED_VALUE"""),"AP")</f>
        <v>AP</v>
      </c>
      <c r="AB56" s="261">
        <f>IFERROR(__xludf.DUMMYFUNCTION("""COMPUTED_VALUE"""),14.566321356128658)</f>
        <v>14.56632136</v>
      </c>
      <c r="AC56" s="262" t="str">
        <f>IFERROR(__xludf.DUMMYFUNCTION("""COMPUTED_VALUE"""),"％")</f>
        <v>％</v>
      </c>
      <c r="AD56" s="259">
        <f>IFERROR(__xludf.DUMMYFUNCTION("""COMPUTED_VALUE"""),27608.0)</f>
        <v>27608</v>
      </c>
      <c r="AE56" s="263"/>
      <c r="AF56" s="98" t="str">
        <f>IFERROR(__xludf.DUMMYFUNCTION("""COMPUTED_VALUE"""),"")</f>
        <v/>
      </c>
    </row>
    <row r="57" ht="16.5" customHeight="1">
      <c r="A57" s="61" t="str">
        <f>IFERROR(__xludf.DUMMYFUNCTION("""COMPUTED_VALUE"""),"")</f>
        <v/>
      </c>
      <c r="B57" s="360" t="str">
        <f>IFERROR(__xludf.DUMMYFUNCTION("""COMPUTED_VALUE"""),"A202")</f>
        <v>A202</v>
      </c>
      <c r="C57" s="65" t="str">
        <f>IFERROR(__xludf.DUMMYFUNCTION("""COMPUTED_VALUE"""),"Ghost Lantern")</f>
        <v>Ghost Lantern</v>
      </c>
      <c r="D57" s="70">
        <f>IFERROR(__xludf.DUMMYFUNCTION("""COMPUTED_VALUE"""),1.0)</f>
        <v>1</v>
      </c>
      <c r="E57" s="73" t="str">
        <f>IFERROR(__xludf.DUMMYFUNCTION("""COMPUTED_VALUE"""),"BBL10")</f>
        <v>BBL10</v>
      </c>
      <c r="F57" s="76" t="str">
        <f>IFERROR(__xludf.DUMMYFUNCTION("""COMPUTED_VALUE"""),"Babylonia")</f>
        <v>Babylonia</v>
      </c>
      <c r="G57" s="85" t="str">
        <f>IFERROR(__xludf.DUMMYFUNCTION("""COMPUTED_VALUE"""),"Kutha")</f>
        <v>Kutha</v>
      </c>
      <c r="H57" s="87">
        <f>IFERROR(__xludf.DUMMYFUNCTION("""COMPUTED_VALUE"""),21.0)</f>
        <v>21</v>
      </c>
      <c r="I57" s="90">
        <f>IFERROR(__xludf.DUMMYFUNCTION("""COMPUTED_VALUE"""),47.80952380952381)</f>
        <v>47.80952381</v>
      </c>
      <c r="J57" s="92">
        <f>IFERROR(__xludf.DUMMYFUNCTION("""COMPUTED_VALUE"""),52.10552587096848)</f>
        <v>52.10552587</v>
      </c>
      <c r="K57" s="94" t="str">
        <f>IFERROR(__xludf.DUMMYFUNCTION("""COMPUTED_VALUE"""),"AP")</f>
        <v>AP</v>
      </c>
      <c r="L57" s="96">
        <f>IFERROR(__xludf.DUMMYFUNCTION("""COMPUTED_VALUE"""),40.30282709746247)</f>
        <v>40.3028271</v>
      </c>
      <c r="M57" s="94" t="str">
        <f>IFERROR(__xludf.DUMMYFUNCTION("""COMPUTED_VALUE"""),"％")</f>
        <v>％</v>
      </c>
      <c r="N57" s="87">
        <f>IFERROR(__xludf.DUMMYFUNCTION("""COMPUTED_VALUE"""),13123.0)</f>
        <v>13123</v>
      </c>
      <c r="O57" s="97" t="str">
        <f>IFERROR(__xludf.DUMMYFUNCTION("""COMPUTED_VALUE"""),"Ghost Lantern")</f>
        <v>Ghost Lantern</v>
      </c>
      <c r="P57" s="93" t="str">
        <f>IFERROR(__xludf.DUMMYFUNCTION("""COMPUTED_VALUE"""),"")</f>
        <v/>
      </c>
      <c r="Q57" s="61" t="str">
        <f>IFERROR(__xludf.DUMMYFUNCTION("""COMPUTED_VALUE"""),"")</f>
        <v/>
      </c>
      <c r="R57" s="361" t="str">
        <f>IFERROR(__xludf.DUMMYFUNCTION("""COMPUTED_VALUE"""),"B114")</f>
        <v>B114</v>
      </c>
      <c r="S57" s="65" t="str">
        <f>IFERROR(__xludf.DUMMYFUNCTION("""COMPUTED_VALUE"""),"Magic Gem of Rider")</f>
        <v>Magic Gem of Rider</v>
      </c>
      <c r="T57" s="70">
        <f>IFERROR(__xludf.DUMMYFUNCTION("""COMPUTED_VALUE"""),1.0)</f>
        <v>1</v>
      </c>
      <c r="U57" s="73" t="str">
        <f>IFERROR(__xludf.DUMMYFUNCTION("""COMPUTED_VALUE"""),"TRF15")</f>
        <v>TRF15</v>
      </c>
      <c r="V57" s="76" t="str">
        <f>IFERROR(__xludf.DUMMYFUNCTION("""COMPUTED_VALUE"""),"Chaldea Gate (Thu)")</f>
        <v>Chaldea Gate (Thu)</v>
      </c>
      <c r="W57" s="76" t="str">
        <f>IFERROR(__xludf.DUMMYFUNCTION("""COMPUTED_VALUE"""),"THU Rider Training Ground- Adv")</f>
        <v>THU Rider Training Ground- Adv</v>
      </c>
      <c r="X57" s="87">
        <f>IFERROR(__xludf.DUMMYFUNCTION("""COMPUTED_VALUE"""),30.0)</f>
        <v>30</v>
      </c>
      <c r="Y57" s="90">
        <f>IFERROR(__xludf.DUMMYFUNCTION("""COMPUTED_VALUE"""),18.266666666666666)</f>
        <v>18.26666667</v>
      </c>
      <c r="Z57" s="92">
        <f>IFERROR(__xludf.DUMMYFUNCTION("""COMPUTED_VALUE"""),24.99187319890751)</f>
        <v>24.9918732</v>
      </c>
      <c r="AA57" s="94" t="str">
        <f>IFERROR(__xludf.DUMMYFUNCTION("""COMPUTED_VALUE"""),"AP")</f>
        <v>AP</v>
      </c>
      <c r="AB57" s="96">
        <f>IFERROR(__xludf.DUMMYFUNCTION("""COMPUTED_VALUE"""),120.03902132998745)</f>
        <v>120.0390213</v>
      </c>
      <c r="AC57" s="94" t="str">
        <f>IFERROR(__xludf.DUMMYFUNCTION("""COMPUTED_VALUE"""),"％")</f>
        <v>％</v>
      </c>
      <c r="AD57" s="87">
        <f>IFERROR(__xludf.DUMMYFUNCTION("""COMPUTED_VALUE"""),797.0)</f>
        <v>797</v>
      </c>
      <c r="AE57" s="97" t="str">
        <f>IFERROR(__xludf.DUMMYFUNCTION("""COMPUTED_VALUE"""),"Magic Gem of Rider")</f>
        <v>Magic Gem of Rider</v>
      </c>
      <c r="AF57" s="98" t="str">
        <f>IFERROR(__xludf.DUMMYFUNCTION("""COMPUTED_VALUE"""),"")</f>
        <v/>
      </c>
    </row>
    <row r="58" ht="16.5" customHeight="1">
      <c r="B58" s="358"/>
      <c r="C58" s="100"/>
      <c r="D58" s="105">
        <f>IFERROR(__xludf.DUMMYFUNCTION("""COMPUTED_VALUE"""),2.0)</f>
        <v>2</v>
      </c>
      <c r="E58" s="106" t="str">
        <f>IFERROR(__xludf.DUMMYFUNCTION("""COMPUTED_VALUE"""),"CML6")</f>
        <v>CML6</v>
      </c>
      <c r="F58" s="107" t="str">
        <f>IFERROR(__xludf.DUMMYFUNCTION("""COMPUTED_VALUE"""),"Camelot")</f>
        <v>Camelot</v>
      </c>
      <c r="G58" s="114" t="str">
        <f>IFERROR(__xludf.DUMMYFUNCTION("""COMPUTED_VALUE"""),"Mausoleum of the Evening Bell")</f>
        <v>Mausoleum of the Evening Bell</v>
      </c>
      <c r="H58" s="116">
        <f>IFERROR(__xludf.DUMMYFUNCTION("""COMPUTED_VALUE"""),19.0)</f>
        <v>19</v>
      </c>
      <c r="I58" s="118">
        <f>IFERROR(__xludf.DUMMYFUNCTION("""COMPUTED_VALUE"""),45.26315789473684)</f>
        <v>45.26315789</v>
      </c>
      <c r="J58" s="120">
        <f>IFERROR(__xludf.DUMMYFUNCTION("""COMPUTED_VALUE"""),58.45147318010268)</f>
        <v>58.45147318</v>
      </c>
      <c r="K58" s="122" t="str">
        <f>IFERROR(__xludf.DUMMYFUNCTION("""COMPUTED_VALUE"""),"AP")</f>
        <v>AP</v>
      </c>
      <c r="L58" s="124">
        <f>IFERROR(__xludf.DUMMYFUNCTION("""COMPUTED_VALUE"""),32.505596465390276)</f>
        <v>32.50559647</v>
      </c>
      <c r="M58" s="122" t="str">
        <f>IFERROR(__xludf.DUMMYFUNCTION("""COMPUTED_VALUE"""),"％")</f>
        <v>％</v>
      </c>
      <c r="N58" s="116">
        <f>IFERROR(__xludf.DUMMYFUNCTION("""COMPUTED_VALUE"""),2716.0)</f>
        <v>2716</v>
      </c>
      <c r="O58" s="100"/>
      <c r="P58" s="93" t="str">
        <f>IFERROR(__xludf.DUMMYFUNCTION("""COMPUTED_VALUE"""),"")</f>
        <v/>
      </c>
      <c r="R58" s="358"/>
      <c r="S58" s="100"/>
      <c r="T58" s="105">
        <f>IFERROR(__xludf.DUMMYFUNCTION("""COMPUTED_VALUE"""),2.0)</f>
        <v>2</v>
      </c>
      <c r="U58" s="106" t="str">
        <f>IFERROR(__xludf.DUMMYFUNCTION("""COMPUTED_VALUE"""),"TRF16")</f>
        <v>TRF16</v>
      </c>
      <c r="V58" s="107" t="str">
        <f>IFERROR(__xludf.DUMMYFUNCTION("""COMPUTED_VALUE"""),"Chaldea Gate (Thu)")</f>
        <v>Chaldea Gate (Thu)</v>
      </c>
      <c r="W58" s="107" t="str">
        <f>IFERROR(__xludf.DUMMYFUNCTION("""COMPUTED_VALUE"""),"THU Rider Training Ground- Exp")</f>
        <v>THU Rider Training Ground- Exp</v>
      </c>
      <c r="X58" s="116">
        <f>IFERROR(__xludf.DUMMYFUNCTION("""COMPUTED_VALUE"""),40.0)</f>
        <v>40</v>
      </c>
      <c r="Y58" s="118">
        <f>IFERROR(__xludf.DUMMYFUNCTION("""COMPUTED_VALUE"""),19.7)</f>
        <v>19.7</v>
      </c>
      <c r="Z58" s="120">
        <f>IFERROR(__xludf.DUMMYFUNCTION("""COMPUTED_VALUE"""),41.72519424244152)</f>
        <v>41.72519424</v>
      </c>
      <c r="AA58" s="122" t="str">
        <f>IFERROR(__xludf.DUMMYFUNCTION("""COMPUTED_VALUE"""),"AP")</f>
        <v>AP</v>
      </c>
      <c r="AB58" s="124">
        <f>IFERROR(__xludf.DUMMYFUNCTION("""COMPUTED_VALUE"""),95.86534161490684)</f>
        <v>95.86534161</v>
      </c>
      <c r="AC58" s="122" t="str">
        <f>IFERROR(__xludf.DUMMYFUNCTION("""COMPUTED_VALUE"""),"％")</f>
        <v>％</v>
      </c>
      <c r="AD58" s="116">
        <f>IFERROR(__xludf.DUMMYFUNCTION("""COMPUTED_VALUE"""),4025.0)</f>
        <v>4025</v>
      </c>
      <c r="AE58" s="100"/>
      <c r="AF58" s="98" t="str">
        <f>IFERROR(__xludf.DUMMYFUNCTION("""COMPUTED_VALUE"""),"")</f>
        <v/>
      </c>
    </row>
    <row r="59" ht="16.5" customHeight="1">
      <c r="B59" s="358"/>
      <c r="C59" s="100"/>
      <c r="D59" s="128">
        <f>IFERROR(__xludf.DUMMYFUNCTION("""COMPUTED_VALUE"""),3.0)</f>
        <v>3</v>
      </c>
      <c r="E59" s="129" t="str">
        <f>IFERROR(__xludf.DUMMYFUNCTION("""COMPUTED_VALUE"""),"SMS1")</f>
        <v>SMS1</v>
      </c>
      <c r="F59" s="131" t="str">
        <f>IFERROR(__xludf.DUMMYFUNCTION("""COMPUTED_VALUE"""),"Shimosa")</f>
        <v>Shimosa</v>
      </c>
      <c r="G59" s="134" t="str">
        <f>IFERROR(__xludf.DUMMYFUNCTION("""COMPUTED_VALUE"""),"Rice Field")</f>
        <v>Rice Field</v>
      </c>
      <c r="H59" s="136">
        <f>IFERROR(__xludf.DUMMYFUNCTION("""COMPUTED_VALUE"""),20.0)</f>
        <v>20</v>
      </c>
      <c r="I59" s="138">
        <f>IFERROR(__xludf.DUMMYFUNCTION("""COMPUTED_VALUE"""),46.6)</f>
        <v>46.6</v>
      </c>
      <c r="J59" s="140">
        <f>IFERROR(__xludf.DUMMYFUNCTION("""COMPUTED_VALUE"""),77.48028532694066)</f>
        <v>77.48028533</v>
      </c>
      <c r="K59" s="142" t="str">
        <f>IFERROR(__xludf.DUMMYFUNCTION("""COMPUTED_VALUE"""),"AP")</f>
        <v>AP</v>
      </c>
      <c r="L59" s="144">
        <f>IFERROR(__xludf.DUMMYFUNCTION("""COMPUTED_VALUE"""),25.813018002717396)</f>
        <v>25.813018</v>
      </c>
      <c r="M59" s="142" t="str">
        <f>IFERROR(__xludf.DUMMYFUNCTION("""COMPUTED_VALUE"""),"％")</f>
        <v>％</v>
      </c>
      <c r="N59" s="136">
        <f>IFERROR(__xludf.DUMMYFUNCTION("""COMPUTED_VALUE"""),47104.0)</f>
        <v>47104</v>
      </c>
      <c r="O59" s="100"/>
      <c r="P59" s="93" t="str">
        <f>IFERROR(__xludf.DUMMYFUNCTION("""COMPUTED_VALUE"""),"")</f>
        <v/>
      </c>
      <c r="R59" s="358"/>
      <c r="S59" s="100"/>
      <c r="T59" s="128">
        <f>IFERROR(__xludf.DUMMYFUNCTION("""COMPUTED_VALUE"""),3.0)</f>
        <v>3</v>
      </c>
      <c r="U59" s="129" t="str">
        <f>IFERROR(__xludf.DUMMYFUNCTION("""COMPUTED_VALUE"""),"TRF14")</f>
        <v>TRF14</v>
      </c>
      <c r="V59" s="131" t="str">
        <f>IFERROR(__xludf.DUMMYFUNCTION("""COMPUTED_VALUE"""),"Chaldea Gate (Thu)")</f>
        <v>Chaldea Gate (Thu)</v>
      </c>
      <c r="W59" s="131" t="str">
        <f>IFERROR(__xludf.DUMMYFUNCTION("""COMPUTED_VALUE"""),"THU Rider Training Ground- Int")</f>
        <v>THU Rider Training Ground- Int</v>
      </c>
      <c r="X59" s="136">
        <f>IFERROR(__xludf.DUMMYFUNCTION("""COMPUTED_VALUE"""),20.0)</f>
        <v>20</v>
      </c>
      <c r="Y59" s="138">
        <f>IFERROR(__xludf.DUMMYFUNCTION("""COMPUTED_VALUE"""),18.4)</f>
        <v>18.4</v>
      </c>
      <c r="Z59" s="140">
        <f>IFERROR(__xludf.DUMMYFUNCTION("""COMPUTED_VALUE"""),21.45153693350536)</f>
        <v>21.45153693</v>
      </c>
      <c r="AA59" s="142" t="str">
        <f>IFERROR(__xludf.DUMMYFUNCTION("""COMPUTED_VALUE"""),"AP")</f>
        <v>AP</v>
      </c>
      <c r="AB59" s="144">
        <f>IFERROR(__xludf.DUMMYFUNCTION("""COMPUTED_VALUE"""),93.23341288782815)</f>
        <v>93.23341289</v>
      </c>
      <c r="AC59" s="142" t="str">
        <f>IFERROR(__xludf.DUMMYFUNCTION("""COMPUTED_VALUE"""),"％")</f>
        <v>％</v>
      </c>
      <c r="AD59" s="136">
        <f>IFERROR(__xludf.DUMMYFUNCTION("""COMPUTED_VALUE"""),838.0)</f>
        <v>838</v>
      </c>
      <c r="AE59" s="100"/>
      <c r="AF59" s="98" t="str">
        <f>IFERROR(__xludf.DUMMYFUNCTION("""COMPUTED_VALUE"""),"")</f>
        <v/>
      </c>
    </row>
    <row r="60" ht="16.5" customHeight="1">
      <c r="B60" s="358"/>
      <c r="C60" s="100"/>
      <c r="D60" s="147">
        <f>IFERROR(__xludf.DUMMYFUNCTION("""COMPUTED_VALUE"""),4.0)</f>
        <v>4</v>
      </c>
      <c r="E60" s="149" t="str">
        <f>IFERROR(__xludf.DUMMYFUNCTION("""COMPUTED_VALUE"""),"SMS3")</f>
        <v>SMS3</v>
      </c>
      <c r="F60" s="151" t="str">
        <f>IFERROR(__xludf.DUMMYFUNCTION("""COMPUTED_VALUE"""),"Shimosa")</f>
        <v>Shimosa</v>
      </c>
      <c r="G60" s="153" t="str">
        <f>IFERROR(__xludf.DUMMYFUNCTION("""COMPUTED_VALUE"""),"Monastery")</f>
        <v>Monastery</v>
      </c>
      <c r="H60" s="155">
        <f>IFERROR(__xludf.DUMMYFUNCTION("""COMPUTED_VALUE"""),21.0)</f>
        <v>21</v>
      </c>
      <c r="I60" s="157">
        <f>IFERROR(__xludf.DUMMYFUNCTION("""COMPUTED_VALUE"""),45.523809523809526)</f>
        <v>45.52380952</v>
      </c>
      <c r="J60" s="159">
        <f>IFERROR(__xludf.DUMMYFUNCTION("""COMPUTED_VALUE"""),83.70053826593814)</f>
        <v>83.70053827</v>
      </c>
      <c r="K60" s="161" t="str">
        <f>IFERROR(__xludf.DUMMYFUNCTION("""COMPUTED_VALUE"""),"AP")</f>
        <v>AP</v>
      </c>
      <c r="L60" s="163">
        <f>IFERROR(__xludf.DUMMYFUNCTION("""COMPUTED_VALUE"""),25.08944438717658)</f>
        <v>25.08944439</v>
      </c>
      <c r="M60" s="161" t="str">
        <f>IFERROR(__xludf.DUMMYFUNCTION("""COMPUTED_VALUE"""),"％")</f>
        <v>％</v>
      </c>
      <c r="N60" s="155">
        <f>IFERROR(__xludf.DUMMYFUNCTION("""COMPUTED_VALUE"""),9701.0)</f>
        <v>9701</v>
      </c>
      <c r="O60" s="100"/>
      <c r="P60" s="93" t="str">
        <f>IFERROR(__xludf.DUMMYFUNCTION("""COMPUTED_VALUE"""),"")</f>
        <v/>
      </c>
      <c r="R60" s="358"/>
      <c r="S60" s="100"/>
      <c r="T60" s="147">
        <f>IFERROR(__xludf.DUMMYFUNCTION("""COMPUTED_VALUE"""),4.0)</f>
        <v>4</v>
      </c>
      <c r="U60" s="149" t="str">
        <f>IFERROR(__xludf.DUMMYFUNCTION("""COMPUTED_VALUE"""),"BBL7")</f>
        <v>BBL7</v>
      </c>
      <c r="V60" s="151" t="str">
        <f>IFERROR(__xludf.DUMMYFUNCTION("""COMPUTED_VALUE"""),"Babylonia")</f>
        <v>Babylonia</v>
      </c>
      <c r="W60" s="153" t="str">
        <f>IFERROR(__xludf.DUMMYFUNCTION("""COMPUTED_VALUE"""),"Eridu")</f>
        <v>Eridu</v>
      </c>
      <c r="X60" s="155">
        <f>IFERROR(__xludf.DUMMYFUNCTION("""COMPUTED_VALUE"""),21.0)</f>
        <v>21</v>
      </c>
      <c r="Y60" s="157">
        <f>IFERROR(__xludf.DUMMYFUNCTION("""COMPUTED_VALUE"""),45.523809523809526)</f>
        <v>45.52380952</v>
      </c>
      <c r="Z60" s="159">
        <f>IFERROR(__xludf.DUMMYFUNCTION("""COMPUTED_VALUE"""),99.95260016062129)</f>
        <v>99.95260016</v>
      </c>
      <c r="AA60" s="161" t="str">
        <f>IFERROR(__xludf.DUMMYFUNCTION("""COMPUTED_VALUE"""),"AP")</f>
        <v>AP</v>
      </c>
      <c r="AB60" s="163">
        <f>IFERROR(__xludf.DUMMYFUNCTION("""COMPUTED_VALUE"""),21.009958686671016)</f>
        <v>21.00995869</v>
      </c>
      <c r="AC60" s="161" t="str">
        <f>IFERROR(__xludf.DUMMYFUNCTION("""COMPUTED_VALUE"""),"％")</f>
        <v>％</v>
      </c>
      <c r="AD60" s="155">
        <f>IFERROR(__xludf.DUMMYFUNCTION("""COMPUTED_VALUE"""),9198.0)</f>
        <v>9198</v>
      </c>
      <c r="AE60" s="100"/>
      <c r="AF60" s="98" t="str">
        <f>IFERROR(__xludf.DUMMYFUNCTION("""COMPUTED_VALUE"""),"")</f>
        <v/>
      </c>
    </row>
    <row r="61" ht="16.5" customHeight="1">
      <c r="A61" s="166"/>
      <c r="B61" s="359"/>
      <c r="C61" s="168"/>
      <c r="D61" s="169">
        <f>IFERROR(__xludf.DUMMYFUNCTION("""COMPUTED_VALUE"""),5.0)</f>
        <v>5</v>
      </c>
      <c r="E61" s="170" t="str">
        <f>IFERROR(__xludf.DUMMYFUNCTION("""COMPUTED_VALUE"""),"OKN9")</f>
        <v>OKN9</v>
      </c>
      <c r="F61" s="51" t="str">
        <f>IFERROR(__xludf.DUMMYFUNCTION("""COMPUTED_VALUE"""),"Okeanos")</f>
        <v>Okeanos</v>
      </c>
      <c r="G61" s="171" t="str">
        <f>IFERROR(__xludf.DUMMYFUNCTION("""COMPUTED_VALUE"""),"Stormy Seas")</f>
        <v>Stormy Seas</v>
      </c>
      <c r="H61" s="172">
        <f>IFERROR(__xludf.DUMMYFUNCTION("""COMPUTED_VALUE"""),15.0)</f>
        <v>15</v>
      </c>
      <c r="I61" s="173">
        <f>IFERROR(__xludf.DUMMYFUNCTION("""COMPUTED_VALUE"""),36.53333333333333)</f>
        <v>36.53333333</v>
      </c>
      <c r="J61" s="174">
        <f>IFERROR(__xludf.DUMMYFUNCTION("""COMPUTED_VALUE"""),71.79050756942873)</f>
        <v>71.79050757</v>
      </c>
      <c r="K61" s="175" t="str">
        <f>IFERROR(__xludf.DUMMYFUNCTION("""COMPUTED_VALUE"""),"AP")</f>
        <v>AP</v>
      </c>
      <c r="L61" s="176">
        <f>IFERROR(__xludf.DUMMYFUNCTION("""COMPUTED_VALUE"""),20.894127243066883)</f>
        <v>20.89412724</v>
      </c>
      <c r="M61" s="175" t="str">
        <f>IFERROR(__xludf.DUMMYFUNCTION("""COMPUTED_VALUE"""),"％")</f>
        <v>％</v>
      </c>
      <c r="N61" s="172">
        <f>IFERROR(__xludf.DUMMYFUNCTION("""COMPUTED_VALUE"""),2452.0)</f>
        <v>2452</v>
      </c>
      <c r="O61" s="168"/>
      <c r="P61" s="93" t="str">
        <f>IFERROR(__xludf.DUMMYFUNCTION("""COMPUTED_VALUE"""),"")</f>
        <v/>
      </c>
      <c r="Q61" s="166"/>
      <c r="R61" s="359"/>
      <c r="S61" s="168"/>
      <c r="T61" s="169">
        <f>IFERROR(__xludf.DUMMYFUNCTION("""COMPUTED_VALUE"""),5.0)</f>
        <v>5</v>
      </c>
      <c r="U61" s="170" t="str">
        <f>IFERROR(__xludf.DUMMYFUNCTION("""COMPUTED_VALUE"""),"BBL14")</f>
        <v>BBL14</v>
      </c>
      <c r="V61" s="51" t="str">
        <f>IFERROR(__xludf.DUMMYFUNCTION("""COMPUTED_VALUE"""),"Babylonia")</f>
        <v>Babylonia</v>
      </c>
      <c r="W61" s="171" t="str">
        <f>IFERROR(__xludf.DUMMYFUNCTION("""COMPUTED_VALUE"""),"Blood Fort")</f>
        <v>Blood Fort</v>
      </c>
      <c r="X61" s="172">
        <f>IFERROR(__xludf.DUMMYFUNCTION("""COMPUTED_VALUE"""),21.0)</f>
        <v>21</v>
      </c>
      <c r="Y61" s="173">
        <f>IFERROR(__xludf.DUMMYFUNCTION("""COMPUTED_VALUE"""),48.95238095238095)</f>
        <v>48.95238095</v>
      </c>
      <c r="Z61" s="174">
        <f>IFERROR(__xludf.DUMMYFUNCTION("""COMPUTED_VALUE"""),132.90614789647609)</f>
        <v>132.9061479</v>
      </c>
      <c r="AA61" s="175" t="str">
        <f>IFERROR(__xludf.DUMMYFUNCTION("""COMPUTED_VALUE"""),"AP")</f>
        <v>AP</v>
      </c>
      <c r="AB61" s="176">
        <f>IFERROR(__xludf.DUMMYFUNCTION("""COMPUTED_VALUE"""),15.800623471803144)</f>
        <v>15.80062347</v>
      </c>
      <c r="AC61" s="175" t="str">
        <f>IFERROR(__xludf.DUMMYFUNCTION("""COMPUTED_VALUE"""),"％")</f>
        <v>％</v>
      </c>
      <c r="AD61" s="172">
        <f>IFERROR(__xludf.DUMMYFUNCTION("""COMPUTED_VALUE"""),19222.0)</f>
        <v>19222</v>
      </c>
      <c r="AE61" s="168"/>
      <c r="AF61" s="98" t="str">
        <f>IFERROR(__xludf.DUMMYFUNCTION("""COMPUTED_VALUE"""),"")</f>
        <v/>
      </c>
    </row>
    <row r="62" ht="16.5" customHeight="1">
      <c r="A62" s="61" t="str">
        <f>IFERROR(__xludf.DUMMYFUNCTION("""COMPUTED_VALUE"""),"")</f>
        <v/>
      </c>
      <c r="B62" s="183" t="str">
        <f>IFERROR(__xludf.DUMMYFUNCTION("""COMPUTED_VALUE"""),"A203")</f>
        <v>A203</v>
      </c>
      <c r="C62" s="180" t="str">
        <f>IFERROR(__xludf.DUMMYFUNCTION("""COMPUTED_VALUE"""),"Octuplet Crystal")</f>
        <v>Octuplet Crystal</v>
      </c>
      <c r="D62" s="185">
        <f>IFERROR(__xludf.DUMMYFUNCTION("""COMPUTED_VALUE"""),1.0)</f>
        <v>1</v>
      </c>
      <c r="E62" s="187" t="str">
        <f>IFERROR(__xludf.DUMMYFUNCTION("""COMPUTED_VALUE"""),"AGT4")</f>
        <v>AGT4</v>
      </c>
      <c r="F62" s="188" t="str">
        <f>IFERROR(__xludf.DUMMYFUNCTION("""COMPUTED_VALUE"""),"Agartha")</f>
        <v>Agartha</v>
      </c>
      <c r="G62" s="193" t="str">
        <f>IFERROR(__xludf.DUMMYFUNCTION("""COMPUTED_VALUE"""),"Peach Blossom Shangri-La")</f>
        <v>Peach Blossom Shangri-La</v>
      </c>
      <c r="H62" s="195">
        <f>IFERROR(__xludf.DUMMYFUNCTION("""COMPUTED_VALUE"""),21.0)</f>
        <v>21</v>
      </c>
      <c r="I62" s="196">
        <f>IFERROR(__xludf.DUMMYFUNCTION("""COMPUTED_VALUE"""),45.523809523809526)</f>
        <v>45.52380952</v>
      </c>
      <c r="J62" s="198">
        <f>IFERROR(__xludf.DUMMYFUNCTION("""COMPUTED_VALUE"""),52.35963819163636)</f>
        <v>52.35963819</v>
      </c>
      <c r="K62" s="200" t="str">
        <f>IFERROR(__xludf.DUMMYFUNCTION("""COMPUTED_VALUE"""),"AP")</f>
        <v>AP</v>
      </c>
      <c r="L62" s="198">
        <f>IFERROR(__xludf.DUMMYFUNCTION("""COMPUTED_VALUE"""),40.10722901319518)</f>
        <v>40.10722901</v>
      </c>
      <c r="M62" s="201" t="str">
        <f>IFERROR(__xludf.DUMMYFUNCTION("""COMPUTED_VALUE"""),"％")</f>
        <v>％</v>
      </c>
      <c r="N62" s="195">
        <f>IFERROR(__xludf.DUMMYFUNCTION("""COMPUTED_VALUE"""),12353.0)</f>
        <v>12353</v>
      </c>
      <c r="O62" s="197" t="str">
        <f>IFERROR(__xludf.DUMMYFUNCTION("""COMPUTED_VALUE"""),"Octuplet Crystal")</f>
        <v>Octuplet Crystal</v>
      </c>
      <c r="P62" s="93" t="str">
        <f>IFERROR(__xludf.DUMMYFUNCTION("""COMPUTED_VALUE"""),"")</f>
        <v/>
      </c>
      <c r="Q62" s="61" t="str">
        <f>IFERROR(__xludf.DUMMYFUNCTION("""COMPUTED_VALUE"""),"")</f>
        <v/>
      </c>
      <c r="R62" s="202" t="str">
        <f>IFERROR(__xludf.DUMMYFUNCTION("""COMPUTED_VALUE"""),"B115")</f>
        <v>B115</v>
      </c>
      <c r="S62" s="180" t="str">
        <f>IFERROR(__xludf.DUMMYFUNCTION("""COMPUTED_VALUE"""),"Magic Gem of Caster")</f>
        <v>Magic Gem of Caster</v>
      </c>
      <c r="T62" s="185">
        <f>IFERROR(__xludf.DUMMYFUNCTION("""COMPUTED_VALUE"""),1.0)</f>
        <v>1</v>
      </c>
      <c r="U62" s="187" t="str">
        <f>IFERROR(__xludf.DUMMYFUNCTION("""COMPUTED_VALUE"""),"TRF19")</f>
        <v>TRF19</v>
      </c>
      <c r="V62" s="188" t="str">
        <f>IFERROR(__xludf.DUMMYFUNCTION("""COMPUTED_VALUE"""),"Chaldea Gate (Fri)")</f>
        <v>Chaldea Gate (Fri)</v>
      </c>
      <c r="W62" s="188" t="str">
        <f>IFERROR(__xludf.DUMMYFUNCTION("""COMPUTED_VALUE"""),"FRI Caster Training Ground- Adv")</f>
        <v>FRI Caster Training Ground- Adv</v>
      </c>
      <c r="X62" s="195">
        <f>IFERROR(__xludf.DUMMYFUNCTION("""COMPUTED_VALUE"""),30.0)</f>
        <v>30</v>
      </c>
      <c r="Y62" s="196">
        <f>IFERROR(__xludf.DUMMYFUNCTION("""COMPUTED_VALUE"""),18.266666666666666)</f>
        <v>18.26666667</v>
      </c>
      <c r="Z62" s="198">
        <f>IFERROR(__xludf.DUMMYFUNCTION("""COMPUTED_VALUE"""),17.964920839399646)</f>
        <v>17.96492084</v>
      </c>
      <c r="AA62" s="200" t="str">
        <f>IFERROR(__xludf.DUMMYFUNCTION("""COMPUTED_VALUE"""),"AP")</f>
        <v>AP</v>
      </c>
      <c r="AB62" s="198">
        <f>IFERROR(__xludf.DUMMYFUNCTION("""COMPUTED_VALUE"""),166.99210794297352)</f>
        <v>166.9921079</v>
      </c>
      <c r="AC62" s="201" t="str">
        <f>IFERROR(__xludf.DUMMYFUNCTION("""COMPUTED_VALUE"""),"％")</f>
        <v>％</v>
      </c>
      <c r="AD62" s="195">
        <f>IFERROR(__xludf.DUMMYFUNCTION("""COMPUTED_VALUE"""),1964.0)</f>
        <v>1964</v>
      </c>
      <c r="AE62" s="197" t="str">
        <f>IFERROR(__xludf.DUMMYFUNCTION("""COMPUTED_VALUE"""),"Magic Gem of Caster")</f>
        <v>Magic Gem of Caster</v>
      </c>
      <c r="AF62" s="98" t="str">
        <f>IFERROR(__xludf.DUMMYFUNCTION("""COMPUTED_VALUE"""),"")</f>
        <v/>
      </c>
    </row>
    <row r="63" ht="16.5" customHeight="1">
      <c r="B63" s="203"/>
      <c r="C63" s="204"/>
      <c r="D63" s="208">
        <f>IFERROR(__xludf.DUMMYFUNCTION("""COMPUTED_VALUE"""),2.0)</f>
        <v>2</v>
      </c>
      <c r="E63" s="210" t="str">
        <f>IFERROR(__xludf.DUMMYFUNCTION("""COMPUTED_VALUE"""),"CML10")</f>
        <v>CML10</v>
      </c>
      <c r="F63" s="212" t="str">
        <f>IFERROR(__xludf.DUMMYFUNCTION("""COMPUTED_VALUE"""),"Camelot")</f>
        <v>Camelot</v>
      </c>
      <c r="G63" s="216" t="str">
        <f>IFERROR(__xludf.DUMMYFUNCTION("""COMPUTED_VALUE"""),"Holy City")</f>
        <v>Holy City</v>
      </c>
      <c r="H63" s="218">
        <f>IFERROR(__xludf.DUMMYFUNCTION("""COMPUTED_VALUE"""),20.0)</f>
        <v>20</v>
      </c>
      <c r="I63" s="219">
        <f>IFERROR(__xludf.DUMMYFUNCTION("""COMPUTED_VALUE"""),45.4)</f>
        <v>45.4</v>
      </c>
      <c r="J63" s="220">
        <f>IFERROR(__xludf.DUMMYFUNCTION("""COMPUTED_VALUE"""),72.90365956313713)</f>
        <v>72.90365956</v>
      </c>
      <c r="K63" s="221" t="str">
        <f>IFERROR(__xludf.DUMMYFUNCTION("""COMPUTED_VALUE"""),"AP")</f>
        <v>AP</v>
      </c>
      <c r="L63" s="220">
        <f>IFERROR(__xludf.DUMMYFUNCTION("""COMPUTED_VALUE"""),27.43346509605502)</f>
        <v>27.4334651</v>
      </c>
      <c r="M63" s="221" t="str">
        <f>IFERROR(__xludf.DUMMYFUNCTION("""COMPUTED_VALUE"""),"％")</f>
        <v>％</v>
      </c>
      <c r="N63" s="218">
        <f>IFERROR(__xludf.DUMMYFUNCTION("""COMPUTED_VALUE"""),25298.0)</f>
        <v>25298</v>
      </c>
      <c r="O63" s="217"/>
      <c r="P63" s="93" t="str">
        <f>IFERROR(__xludf.DUMMYFUNCTION("""COMPUTED_VALUE"""),"")</f>
        <v/>
      </c>
      <c r="R63" s="203"/>
      <c r="S63" s="204"/>
      <c r="T63" s="208">
        <f>IFERROR(__xludf.DUMMYFUNCTION("""COMPUTED_VALUE"""),2.0)</f>
        <v>2</v>
      </c>
      <c r="U63" s="210" t="str">
        <f>IFERROR(__xludf.DUMMYFUNCTION("""COMPUTED_VALUE"""),"TRF20")</f>
        <v>TRF20</v>
      </c>
      <c r="V63" s="212" t="str">
        <f>IFERROR(__xludf.DUMMYFUNCTION("""COMPUTED_VALUE"""),"Chaldea Gate (Fri)")</f>
        <v>Chaldea Gate (Fri)</v>
      </c>
      <c r="W63" s="212" t="str">
        <f>IFERROR(__xludf.DUMMYFUNCTION("""COMPUTED_VALUE"""),"FRI Caster Training Ground- Exp")</f>
        <v>FRI Caster Training Ground- Exp</v>
      </c>
      <c r="X63" s="218">
        <f>IFERROR(__xludf.DUMMYFUNCTION("""COMPUTED_VALUE"""),40.0)</f>
        <v>40</v>
      </c>
      <c r="Y63" s="219">
        <f>IFERROR(__xludf.DUMMYFUNCTION("""COMPUTED_VALUE"""),19.7)</f>
        <v>19.7</v>
      </c>
      <c r="Z63" s="220">
        <f>IFERROR(__xludf.DUMMYFUNCTION("""COMPUTED_VALUE"""),43.931829867796665)</f>
        <v>43.93182987</v>
      </c>
      <c r="AA63" s="221" t="str">
        <f>IFERROR(__xludf.DUMMYFUNCTION("""COMPUTED_VALUE"""),"AP")</f>
        <v>AP</v>
      </c>
      <c r="AB63" s="220">
        <f>IFERROR(__xludf.DUMMYFUNCTION("""COMPUTED_VALUE"""),91.05015684612124)</f>
        <v>91.05015685</v>
      </c>
      <c r="AC63" s="221" t="str">
        <f>IFERROR(__xludf.DUMMYFUNCTION("""COMPUTED_VALUE"""),"％")</f>
        <v>％</v>
      </c>
      <c r="AD63" s="218">
        <f>IFERROR(__xludf.DUMMYFUNCTION("""COMPUTED_VALUE"""),11795.0)</f>
        <v>11795</v>
      </c>
      <c r="AE63" s="217"/>
      <c r="AF63" s="98" t="str">
        <f>IFERROR(__xludf.DUMMYFUNCTION("""COMPUTED_VALUE"""),"")</f>
        <v/>
      </c>
    </row>
    <row r="64" ht="16.5" customHeight="1">
      <c r="B64" s="203"/>
      <c r="C64" s="204"/>
      <c r="D64" s="225">
        <f>IFERROR(__xludf.DUMMYFUNCTION("""COMPUTED_VALUE"""),3.0)</f>
        <v>3</v>
      </c>
      <c r="E64" s="227" t="str">
        <f>IFERROR(__xludf.DUMMYFUNCTION("""COMPUTED_VALUE"""),"SMS7")</f>
        <v>SMS7</v>
      </c>
      <c r="F64" s="229" t="str">
        <f>IFERROR(__xludf.DUMMYFUNCTION("""COMPUTED_VALUE"""),"Shimosa")</f>
        <v>Shimosa</v>
      </c>
      <c r="G64" s="233" t="str">
        <f>IFERROR(__xludf.DUMMYFUNCTION("""COMPUTED_VALUE"""),"Rear Mountain (Nameless Sacred Mountain)")</f>
        <v>Rear Mountain (Nameless Sacred Mountain)</v>
      </c>
      <c r="H64" s="234">
        <f>IFERROR(__xludf.DUMMYFUNCTION("""COMPUTED_VALUE"""),21.0)</f>
        <v>21</v>
      </c>
      <c r="I64" s="235">
        <f>IFERROR(__xludf.DUMMYFUNCTION("""COMPUTED_VALUE"""),47.80952380952381)</f>
        <v>47.80952381</v>
      </c>
      <c r="J64" s="236">
        <f>IFERROR(__xludf.DUMMYFUNCTION("""COMPUTED_VALUE"""),85.68040388722966)</f>
        <v>85.68040389</v>
      </c>
      <c r="K64" s="237" t="str">
        <f>IFERROR(__xludf.DUMMYFUNCTION("""COMPUTED_VALUE"""),"AP")</f>
        <v>AP</v>
      </c>
      <c r="L64" s="236">
        <f>IFERROR(__xludf.DUMMYFUNCTION("""COMPUTED_VALUE"""),24.509688385269122)</f>
        <v>24.50968839</v>
      </c>
      <c r="M64" s="237" t="str">
        <f>IFERROR(__xludf.DUMMYFUNCTION("""COMPUTED_VALUE"""),"％")</f>
        <v>％</v>
      </c>
      <c r="N64" s="234">
        <f>IFERROR(__xludf.DUMMYFUNCTION("""COMPUTED_VALUE"""),8825.0)</f>
        <v>8825</v>
      </c>
      <c r="O64" s="217"/>
      <c r="P64" s="93" t="str">
        <f>IFERROR(__xludf.DUMMYFUNCTION("""COMPUTED_VALUE"""),"")</f>
        <v/>
      </c>
      <c r="R64" s="203"/>
      <c r="S64" s="204"/>
      <c r="T64" s="225">
        <f>IFERROR(__xludf.DUMMYFUNCTION("""COMPUTED_VALUE"""),3.0)</f>
        <v>3</v>
      </c>
      <c r="U64" s="227" t="str">
        <f>IFERROR(__xludf.DUMMYFUNCTION("""COMPUTED_VALUE"""),"TRF18")</f>
        <v>TRF18</v>
      </c>
      <c r="V64" s="229" t="str">
        <f>IFERROR(__xludf.DUMMYFUNCTION("""COMPUTED_VALUE"""),"Chaldea Gate (Fri)")</f>
        <v>Chaldea Gate (Fri)</v>
      </c>
      <c r="W64" s="229" t="str">
        <f>IFERROR(__xludf.DUMMYFUNCTION("""COMPUTED_VALUE"""),"FRI Caster Training Ground- Int")</f>
        <v>FRI Caster Training Ground- Int</v>
      </c>
      <c r="X64" s="234">
        <f>IFERROR(__xludf.DUMMYFUNCTION("""COMPUTED_VALUE"""),20.0)</f>
        <v>20</v>
      </c>
      <c r="Y64" s="235">
        <f>IFERROR(__xludf.DUMMYFUNCTION("""COMPUTED_VALUE"""),18.4)</f>
        <v>18.4</v>
      </c>
      <c r="Z64" s="236">
        <f>IFERROR(__xludf.DUMMYFUNCTION("""COMPUTED_VALUE"""),25.65249141054884)</f>
        <v>25.65249141</v>
      </c>
      <c r="AA64" s="237" t="str">
        <f>IFERROR(__xludf.DUMMYFUNCTION("""COMPUTED_VALUE"""),"AP")</f>
        <v>AP</v>
      </c>
      <c r="AB64" s="236">
        <f>IFERROR(__xludf.DUMMYFUNCTION("""COMPUTED_VALUE"""),77.96513671874999)</f>
        <v>77.96513672</v>
      </c>
      <c r="AC64" s="237" t="str">
        <f>IFERROR(__xludf.DUMMYFUNCTION("""COMPUTED_VALUE"""),"％")</f>
        <v>％</v>
      </c>
      <c r="AD64" s="234">
        <f>IFERROR(__xludf.DUMMYFUNCTION("""COMPUTED_VALUE"""),1024.0)</f>
        <v>1024</v>
      </c>
      <c r="AE64" s="217"/>
      <c r="AF64" s="98" t="str">
        <f>IFERROR(__xludf.DUMMYFUNCTION("""COMPUTED_VALUE"""),"")</f>
        <v/>
      </c>
    </row>
    <row r="65" ht="16.5" customHeight="1">
      <c r="B65" s="203"/>
      <c r="C65" s="204"/>
      <c r="D65" s="239">
        <f>IFERROR(__xludf.DUMMYFUNCTION("""COMPUTED_VALUE"""),4.0)</f>
        <v>4</v>
      </c>
      <c r="E65" s="241" t="str">
        <f>IFERROR(__xludf.DUMMYFUNCTION("""COMPUTED_VALUE"""),"TRF12")</f>
        <v>TRF12</v>
      </c>
      <c r="F65" s="243" t="str">
        <f>IFERROR(__xludf.DUMMYFUNCTION("""COMPUTED_VALUE"""),"Chaldea Gate (Wed)")</f>
        <v>Chaldea Gate (Wed)</v>
      </c>
      <c r="G65" s="243" t="str">
        <f>IFERROR(__xludf.DUMMYFUNCTION("""COMPUTED_VALUE"""),"WED Berserker Training Ground- Exp")</f>
        <v>WED Berserker Training Ground- Exp</v>
      </c>
      <c r="H65" s="247">
        <f>IFERROR(__xludf.DUMMYFUNCTION("""COMPUTED_VALUE"""),40.0)</f>
        <v>40</v>
      </c>
      <c r="I65" s="249">
        <f>IFERROR(__xludf.DUMMYFUNCTION("""COMPUTED_VALUE"""),19.7)</f>
        <v>19.7</v>
      </c>
      <c r="J65" s="251">
        <f>IFERROR(__xludf.DUMMYFUNCTION("""COMPUTED_VALUE"""),250.79089108555965)</f>
        <v>250.7908911</v>
      </c>
      <c r="K65" s="253" t="str">
        <f>IFERROR(__xludf.DUMMYFUNCTION("""COMPUTED_VALUE"""),"AP")</f>
        <v>AP</v>
      </c>
      <c r="L65" s="251">
        <f>IFERROR(__xludf.DUMMYFUNCTION("""COMPUTED_VALUE"""),15.94954259576901)</f>
        <v>15.9495426</v>
      </c>
      <c r="M65" s="253" t="str">
        <f>IFERROR(__xludf.DUMMYFUNCTION("""COMPUTED_VALUE"""),"％")</f>
        <v>％</v>
      </c>
      <c r="N65" s="247">
        <f>IFERROR(__xludf.DUMMYFUNCTION("""COMPUTED_VALUE"""),3498.0)</f>
        <v>3498</v>
      </c>
      <c r="O65" s="217"/>
      <c r="P65" s="93" t="str">
        <f>IFERROR(__xludf.DUMMYFUNCTION("""COMPUTED_VALUE"""),"")</f>
        <v/>
      </c>
      <c r="R65" s="203"/>
      <c r="S65" s="204"/>
      <c r="T65" s="239">
        <f>IFERROR(__xludf.DUMMYFUNCTION("""COMPUTED_VALUE"""),4.0)</f>
        <v>4</v>
      </c>
      <c r="U65" s="241" t="str">
        <f>IFERROR(__xludf.DUMMYFUNCTION("""COMPUTED_VALUE"""),"AGT12")</f>
        <v>AGT12</v>
      </c>
      <c r="V65" s="243" t="str">
        <f>IFERROR(__xludf.DUMMYFUNCTION("""COMPUTED_VALUE"""),"Agartha")</f>
        <v>Agartha</v>
      </c>
      <c r="W65" s="245" t="str">
        <f>IFERROR(__xludf.DUMMYFUNCTION("""COMPUTED_VALUE"""),"Chasm in the Earth")</f>
        <v>Chasm in the Earth</v>
      </c>
      <c r="X65" s="247">
        <f>IFERROR(__xludf.DUMMYFUNCTION("""COMPUTED_VALUE"""),21.0)</f>
        <v>21</v>
      </c>
      <c r="Y65" s="249">
        <f>IFERROR(__xludf.DUMMYFUNCTION("""COMPUTED_VALUE"""),48.95238095238095)</f>
        <v>48.95238095</v>
      </c>
      <c r="Z65" s="251">
        <f>IFERROR(__xludf.DUMMYFUNCTION("""COMPUTED_VALUE"""),42.56598076492954)</f>
        <v>42.56598076</v>
      </c>
      <c r="AA65" s="253" t="str">
        <f>IFERROR(__xludf.DUMMYFUNCTION("""COMPUTED_VALUE"""),"AP")</f>
        <v>AP</v>
      </c>
      <c r="AB65" s="251">
        <f>IFERROR(__xludf.DUMMYFUNCTION("""COMPUTED_VALUE"""),49.3351724137931)</f>
        <v>49.33517241</v>
      </c>
      <c r="AC65" s="253" t="str">
        <f>IFERROR(__xludf.DUMMYFUNCTION("""COMPUTED_VALUE"""),"％")</f>
        <v>％</v>
      </c>
      <c r="AD65" s="247">
        <f>IFERROR(__xludf.DUMMYFUNCTION("""COMPUTED_VALUE"""),725.0)</f>
        <v>725</v>
      </c>
      <c r="AE65" s="217"/>
      <c r="AF65" s="98" t="str">
        <f>IFERROR(__xludf.DUMMYFUNCTION("""COMPUTED_VALUE"""),"")</f>
        <v/>
      </c>
    </row>
    <row r="66" ht="16.5" customHeight="1">
      <c r="A66" s="166"/>
      <c r="B66" s="254"/>
      <c r="C66" s="255"/>
      <c r="D66" s="256">
        <f>IFERROR(__xludf.DUMMYFUNCTION("""COMPUTED_VALUE"""),5.0)</f>
        <v>5</v>
      </c>
      <c r="E66" s="257" t="str">
        <f>IFERROR(__xludf.DUMMYFUNCTION("""COMPUTED_VALUE"""),"TRF11")</f>
        <v>TRF11</v>
      </c>
      <c r="F66" s="42" t="str">
        <f>IFERROR(__xludf.DUMMYFUNCTION("""COMPUTED_VALUE"""),"Chaldea Gate (Wed)")</f>
        <v>Chaldea Gate (Wed)</v>
      </c>
      <c r="G66" s="42" t="str">
        <f>IFERROR(__xludf.DUMMYFUNCTION("""COMPUTED_VALUE"""),"WED Berserker Training Ground- Adv")</f>
        <v>WED Berserker Training Ground- Adv</v>
      </c>
      <c r="H66" s="259">
        <f>IFERROR(__xludf.DUMMYFUNCTION("""COMPUTED_VALUE"""),30.0)</f>
        <v>30</v>
      </c>
      <c r="I66" s="260">
        <f>IFERROR(__xludf.DUMMYFUNCTION("""COMPUTED_VALUE"""),18.266666666666666)</f>
        <v>18.26666667</v>
      </c>
      <c r="J66" s="261">
        <f>IFERROR(__xludf.DUMMYFUNCTION("""COMPUTED_VALUE"""),232.58079781755418)</f>
        <v>232.5807978</v>
      </c>
      <c r="K66" s="262" t="str">
        <f>IFERROR(__xludf.DUMMYFUNCTION("""COMPUTED_VALUE"""),"AP")</f>
        <v>AP</v>
      </c>
      <c r="L66" s="261">
        <f>IFERROR(__xludf.DUMMYFUNCTION("""COMPUTED_VALUE"""),12.89874326750449)</f>
        <v>12.89874327</v>
      </c>
      <c r="M66" s="262" t="str">
        <f>IFERROR(__xludf.DUMMYFUNCTION("""COMPUTED_VALUE"""),"％")</f>
        <v>％</v>
      </c>
      <c r="N66" s="259">
        <f>IFERROR(__xludf.DUMMYFUNCTION("""COMPUTED_VALUE"""),557.0)</f>
        <v>557</v>
      </c>
      <c r="O66" s="263"/>
      <c r="P66" s="93" t="str">
        <f>IFERROR(__xludf.DUMMYFUNCTION("""COMPUTED_VALUE"""),"")</f>
        <v/>
      </c>
      <c r="Q66" s="166"/>
      <c r="R66" s="254"/>
      <c r="S66" s="255"/>
      <c r="T66" s="256">
        <f>IFERROR(__xludf.DUMMYFUNCTION("""COMPUTED_VALUE"""),5.0)</f>
        <v>5</v>
      </c>
      <c r="U66" s="257" t="str">
        <f>IFERROR(__xludf.DUMMYFUNCTION("""COMPUTED_VALUE"""),"CML2")</f>
        <v>CML2</v>
      </c>
      <c r="V66" s="42" t="str">
        <f>IFERROR(__xludf.DUMMYFUNCTION("""COMPUTED_VALUE"""),"Camelot")</f>
        <v>Camelot</v>
      </c>
      <c r="W66" s="258" t="str">
        <f>IFERROR(__xludf.DUMMYFUNCTION("""COMPUTED_VALUE"""),"Dune of Dawn")</f>
        <v>Dune of Dawn</v>
      </c>
      <c r="X66" s="259">
        <f>IFERROR(__xludf.DUMMYFUNCTION("""COMPUTED_VALUE"""),19.0)</f>
        <v>19</v>
      </c>
      <c r="Y66" s="260">
        <f>IFERROR(__xludf.DUMMYFUNCTION("""COMPUTED_VALUE"""),42.73684210526316)</f>
        <v>42.73684211</v>
      </c>
      <c r="Z66" s="261">
        <f>IFERROR(__xludf.DUMMYFUNCTION("""COMPUTED_VALUE"""),45.211342964151946)</f>
        <v>45.21134296</v>
      </c>
      <c r="AA66" s="262" t="str">
        <f>IFERROR(__xludf.DUMMYFUNCTION("""COMPUTED_VALUE"""),"AP")</f>
        <v>AP</v>
      </c>
      <c r="AB66" s="261">
        <f>IFERROR(__xludf.DUMMYFUNCTION("""COMPUTED_VALUE"""),42.024852071005924)</f>
        <v>42.02485207</v>
      </c>
      <c r="AC66" s="262" t="str">
        <f>IFERROR(__xludf.DUMMYFUNCTION("""COMPUTED_VALUE"""),"％")</f>
        <v>％</v>
      </c>
      <c r="AD66" s="259">
        <f>IFERROR(__xludf.DUMMYFUNCTION("""COMPUTED_VALUE"""),338.0)</f>
        <v>338</v>
      </c>
      <c r="AE66" s="263"/>
      <c r="AF66" s="98" t="str">
        <f>IFERROR(__xludf.DUMMYFUNCTION("""COMPUTED_VALUE"""),"")</f>
        <v/>
      </c>
    </row>
    <row r="67" ht="16.5" customHeight="1">
      <c r="A67" s="61" t="str">
        <f>IFERROR(__xludf.DUMMYFUNCTION("""COMPUTED_VALUE"""),"")</f>
        <v/>
      </c>
      <c r="B67" s="360" t="str">
        <f>IFERROR(__xludf.DUMMYFUNCTION("""COMPUTED_VALUE"""),"A204")</f>
        <v>A204</v>
      </c>
      <c r="C67" s="65" t="str">
        <f>IFERROR(__xludf.DUMMYFUNCTION("""COMPUTED_VALUE"""),"Serpent Jewel")</f>
        <v>Serpent Jewel</v>
      </c>
      <c r="D67" s="70">
        <f>IFERROR(__xludf.DUMMYFUNCTION("""COMPUTED_VALUE"""),1.0)</f>
        <v>1</v>
      </c>
      <c r="E67" s="73" t="str">
        <f>IFERROR(__xludf.DUMMYFUNCTION("""COMPUTED_VALUE"""),"AGT12")</f>
        <v>AGT12</v>
      </c>
      <c r="F67" s="76" t="str">
        <f>IFERROR(__xludf.DUMMYFUNCTION("""COMPUTED_VALUE"""),"Agartha")</f>
        <v>Agartha</v>
      </c>
      <c r="G67" s="85" t="str">
        <f>IFERROR(__xludf.DUMMYFUNCTION("""COMPUTED_VALUE"""),"Chasm in the Earth")</f>
        <v>Chasm in the Earth</v>
      </c>
      <c r="H67" s="87">
        <f>IFERROR(__xludf.DUMMYFUNCTION("""COMPUTED_VALUE"""),21.0)</f>
        <v>21</v>
      </c>
      <c r="I67" s="90">
        <f>IFERROR(__xludf.DUMMYFUNCTION("""COMPUTED_VALUE"""),48.95238095238095)</f>
        <v>48.95238095</v>
      </c>
      <c r="J67" s="92">
        <f>IFERROR(__xludf.DUMMYFUNCTION("""COMPUTED_VALUE"""),55.570560925044525)</f>
        <v>55.57056093</v>
      </c>
      <c r="K67" s="94" t="str">
        <f>IFERROR(__xludf.DUMMYFUNCTION("""COMPUTED_VALUE"""),"AP")</f>
        <v>AP</v>
      </c>
      <c r="L67" s="96">
        <f>IFERROR(__xludf.DUMMYFUNCTION("""COMPUTED_VALUE"""),37.789793103448275)</f>
        <v>37.7897931</v>
      </c>
      <c r="M67" s="94" t="str">
        <f>IFERROR(__xludf.DUMMYFUNCTION("""COMPUTED_VALUE"""),"％")</f>
        <v>％</v>
      </c>
      <c r="N67" s="87">
        <f>IFERROR(__xludf.DUMMYFUNCTION("""COMPUTED_VALUE"""),725.0)</f>
        <v>725</v>
      </c>
      <c r="O67" s="97" t="str">
        <f>IFERROR(__xludf.DUMMYFUNCTION("""COMPUTED_VALUE"""),"Serpent Jewel")</f>
        <v>Serpent Jewel</v>
      </c>
      <c r="P67" s="93" t="str">
        <f>IFERROR(__xludf.DUMMYFUNCTION("""COMPUTED_VALUE"""),"")</f>
        <v/>
      </c>
      <c r="Q67" s="61" t="str">
        <f>IFERROR(__xludf.DUMMYFUNCTION("""COMPUTED_VALUE"""),"")</f>
        <v/>
      </c>
      <c r="R67" s="361" t="str">
        <f>IFERROR(__xludf.DUMMYFUNCTION("""COMPUTED_VALUE"""),"B116")</f>
        <v>B116</v>
      </c>
      <c r="S67" s="65" t="str">
        <f>IFERROR(__xludf.DUMMYFUNCTION("""COMPUTED_VALUE"""),"Magic Gem of Assassin")</f>
        <v>Magic Gem of Assassin</v>
      </c>
      <c r="T67" s="70">
        <f>IFERROR(__xludf.DUMMYFUNCTION("""COMPUTED_VALUE"""),1.0)</f>
        <v>1</v>
      </c>
      <c r="U67" s="73" t="str">
        <f>IFERROR(__xludf.DUMMYFUNCTION("""COMPUTED_VALUE"""),"TRF23")</f>
        <v>TRF23</v>
      </c>
      <c r="V67" s="76" t="str">
        <f>IFERROR(__xludf.DUMMYFUNCTION("""COMPUTED_VALUE"""),"Chaldea Gate (Sat)")</f>
        <v>Chaldea Gate (Sat)</v>
      </c>
      <c r="W67" s="76" t="str">
        <f>IFERROR(__xludf.DUMMYFUNCTION("""COMPUTED_VALUE"""),"SAT Assassin Training Ground- Adv")</f>
        <v>SAT Assassin Training Ground- Adv</v>
      </c>
      <c r="X67" s="87">
        <f>IFERROR(__xludf.DUMMYFUNCTION("""COMPUTED_VALUE"""),30.0)</f>
        <v>30</v>
      </c>
      <c r="Y67" s="90">
        <f>IFERROR(__xludf.DUMMYFUNCTION("""COMPUTED_VALUE"""),18.266666666666666)</f>
        <v>18.26666667</v>
      </c>
      <c r="Z67" s="92">
        <f>IFERROR(__xludf.DUMMYFUNCTION("""COMPUTED_VALUE"""),20.30070031319774)</f>
        <v>20.30070031</v>
      </c>
      <c r="AA67" s="94" t="str">
        <f>IFERROR(__xludf.DUMMYFUNCTION("""COMPUTED_VALUE"""),"AP")</f>
        <v>AP</v>
      </c>
      <c r="AB67" s="96">
        <f>IFERROR(__xludf.DUMMYFUNCTION("""COMPUTED_VALUE"""),147.77815315315314)</f>
        <v>147.7781532</v>
      </c>
      <c r="AC67" s="94" t="str">
        <f>IFERROR(__xludf.DUMMYFUNCTION("""COMPUTED_VALUE"""),"％")</f>
        <v>％</v>
      </c>
      <c r="AD67" s="87">
        <f>IFERROR(__xludf.DUMMYFUNCTION("""COMPUTED_VALUE"""),888.0)</f>
        <v>888</v>
      </c>
      <c r="AE67" s="97" t="str">
        <f>IFERROR(__xludf.DUMMYFUNCTION("""COMPUTED_VALUE"""),"Magic Gem of Assassin")</f>
        <v>Magic Gem of Assassin</v>
      </c>
      <c r="AF67" s="98" t="str">
        <f>IFERROR(__xludf.DUMMYFUNCTION("""COMPUTED_VALUE"""),"")</f>
        <v/>
      </c>
    </row>
    <row r="68" ht="16.5" customHeight="1">
      <c r="B68" s="358"/>
      <c r="C68" s="100"/>
      <c r="D68" s="105">
        <f>IFERROR(__xludf.DUMMYFUNCTION("""COMPUTED_VALUE"""),2.0)</f>
        <v>2</v>
      </c>
      <c r="E68" s="106" t="str">
        <f>IFERROR(__xludf.DUMMYFUNCTION("""COMPUTED_VALUE"""),"BBL5")</f>
        <v>BBL5</v>
      </c>
      <c r="F68" s="107" t="str">
        <f>IFERROR(__xludf.DUMMYFUNCTION("""COMPUTED_VALUE"""),"Babylonia")</f>
        <v>Babylonia</v>
      </c>
      <c r="G68" s="114" t="str">
        <f>IFERROR(__xludf.DUMMYFUNCTION("""COMPUTED_VALUE"""),"Bog")</f>
        <v>Bog</v>
      </c>
      <c r="H68" s="116">
        <f>IFERROR(__xludf.DUMMYFUNCTION("""COMPUTED_VALUE"""),21.0)</f>
        <v>21</v>
      </c>
      <c r="I68" s="118">
        <f>IFERROR(__xludf.DUMMYFUNCTION("""COMPUTED_VALUE"""),45.523809523809526)</f>
        <v>45.52380952</v>
      </c>
      <c r="J68" s="120">
        <f>IFERROR(__xludf.DUMMYFUNCTION("""COMPUTED_VALUE"""),83.45276872964168)</f>
        <v>83.45276873</v>
      </c>
      <c r="K68" s="122" t="str">
        <f>IFERROR(__xludf.DUMMYFUNCTION("""COMPUTED_VALUE"""),"AP")</f>
        <v>AP</v>
      </c>
      <c r="L68" s="124">
        <f>IFERROR(__xludf.DUMMYFUNCTION("""COMPUTED_VALUE"""),25.16393442622951)</f>
        <v>25.16393443</v>
      </c>
      <c r="M68" s="122" t="str">
        <f>IFERROR(__xludf.DUMMYFUNCTION("""COMPUTED_VALUE"""),"％")</f>
        <v>％</v>
      </c>
      <c r="N68" s="116">
        <f>IFERROR(__xludf.DUMMYFUNCTION("""COMPUTED_VALUE"""),1830.0)</f>
        <v>1830</v>
      </c>
      <c r="O68" s="100"/>
      <c r="P68" s="93" t="str">
        <f>IFERROR(__xludf.DUMMYFUNCTION("""COMPUTED_VALUE"""),"")</f>
        <v/>
      </c>
      <c r="R68" s="358"/>
      <c r="S68" s="100"/>
      <c r="T68" s="105">
        <f>IFERROR(__xludf.DUMMYFUNCTION("""COMPUTED_VALUE"""),2.0)</f>
        <v>2</v>
      </c>
      <c r="U68" s="106" t="str">
        <f>IFERROR(__xludf.DUMMYFUNCTION("""COMPUTED_VALUE"""),"TRF24")</f>
        <v>TRF24</v>
      </c>
      <c r="V68" s="107" t="str">
        <f>IFERROR(__xludf.DUMMYFUNCTION("""COMPUTED_VALUE"""),"Chaldea Gate (Sat)")</f>
        <v>Chaldea Gate (Sat)</v>
      </c>
      <c r="W68" s="107" t="str">
        <f>IFERROR(__xludf.DUMMYFUNCTION("""COMPUTED_VALUE"""),"SAT Assassin Training Ground- Exp")</f>
        <v>SAT Assassin Training Ground- Exp</v>
      </c>
      <c r="X68" s="116">
        <f>IFERROR(__xludf.DUMMYFUNCTION("""COMPUTED_VALUE"""),40.0)</f>
        <v>40</v>
      </c>
      <c r="Y68" s="118">
        <f>IFERROR(__xludf.DUMMYFUNCTION("""COMPUTED_VALUE"""),19.7)</f>
        <v>19.7</v>
      </c>
      <c r="Z68" s="120">
        <f>IFERROR(__xludf.DUMMYFUNCTION("""COMPUTED_VALUE"""),33.8451891637033)</f>
        <v>33.84518916</v>
      </c>
      <c r="AA68" s="122" t="str">
        <f>IFERROR(__xludf.DUMMYFUNCTION("""COMPUTED_VALUE"""),"AP")</f>
        <v>AP</v>
      </c>
      <c r="AB68" s="124">
        <f>IFERROR(__xludf.DUMMYFUNCTION("""COMPUTED_VALUE"""),118.18518669382212)</f>
        <v>118.1851867</v>
      </c>
      <c r="AC68" s="122" t="str">
        <f>IFERROR(__xludf.DUMMYFUNCTION("""COMPUTED_VALUE"""),"％")</f>
        <v>％</v>
      </c>
      <c r="AD68" s="116">
        <f>IFERROR(__xludf.DUMMYFUNCTION("""COMPUTED_VALUE"""),7365.0)</f>
        <v>7365</v>
      </c>
      <c r="AE68" s="100"/>
      <c r="AF68" s="98" t="str">
        <f>IFERROR(__xludf.DUMMYFUNCTION("""COMPUTED_VALUE"""),"")</f>
        <v/>
      </c>
    </row>
    <row r="69" ht="16.5" customHeight="1">
      <c r="B69" s="358"/>
      <c r="C69" s="100"/>
      <c r="D69" s="128">
        <f>IFERROR(__xludf.DUMMYFUNCTION("""COMPUTED_VALUE"""),3.0)</f>
        <v>3</v>
      </c>
      <c r="E69" s="129" t="str">
        <f>IFERROR(__xludf.DUMMYFUNCTION("""COMPUTED_VALUE"""),"TRF20")</f>
        <v>TRF20</v>
      </c>
      <c r="F69" s="131" t="str">
        <f>IFERROR(__xludf.DUMMYFUNCTION("""COMPUTED_VALUE"""),"Chaldea Gate (Fri)")</f>
        <v>Chaldea Gate (Fri)</v>
      </c>
      <c r="G69" s="131" t="str">
        <f>IFERROR(__xludf.DUMMYFUNCTION("""COMPUTED_VALUE"""),"FRI Caster Training Ground- Exp")</f>
        <v>FRI Caster Training Ground- Exp</v>
      </c>
      <c r="H69" s="136">
        <f>IFERROR(__xludf.DUMMYFUNCTION("""COMPUTED_VALUE"""),40.0)</f>
        <v>40</v>
      </c>
      <c r="I69" s="138">
        <f>IFERROR(__xludf.DUMMYFUNCTION("""COMPUTED_VALUE"""),19.7)</f>
        <v>19.7</v>
      </c>
      <c r="J69" s="140">
        <f>IFERROR(__xludf.DUMMYFUNCTION("""COMPUTED_VALUE"""),159.6886106529553)</f>
        <v>159.6886107</v>
      </c>
      <c r="K69" s="142" t="str">
        <f>IFERROR(__xludf.DUMMYFUNCTION("""COMPUTED_VALUE"""),"AP")</f>
        <v>AP</v>
      </c>
      <c r="L69" s="144">
        <f>IFERROR(__xludf.DUMMYFUNCTION("""COMPUTED_VALUE"""),25.048749460868162)</f>
        <v>25.04874946</v>
      </c>
      <c r="M69" s="142" t="str">
        <f>IFERROR(__xludf.DUMMYFUNCTION("""COMPUTED_VALUE"""),"％")</f>
        <v>％</v>
      </c>
      <c r="N69" s="136">
        <f>IFERROR(__xludf.DUMMYFUNCTION("""COMPUTED_VALUE"""),11795.0)</f>
        <v>11795</v>
      </c>
      <c r="O69" s="100"/>
      <c r="P69" s="93" t="str">
        <f>IFERROR(__xludf.DUMMYFUNCTION("""COMPUTED_VALUE"""),"")</f>
        <v/>
      </c>
      <c r="R69" s="358"/>
      <c r="S69" s="100"/>
      <c r="T69" s="128">
        <f>IFERROR(__xludf.DUMMYFUNCTION("""COMPUTED_VALUE"""),3.0)</f>
        <v>3</v>
      </c>
      <c r="U69" s="129" t="str">
        <f>IFERROR(__xludf.DUMMYFUNCTION("""COMPUTED_VALUE"""),"TRF22")</f>
        <v>TRF22</v>
      </c>
      <c r="V69" s="131" t="str">
        <f>IFERROR(__xludf.DUMMYFUNCTION("""COMPUTED_VALUE"""),"Chaldea Gate (Sat)")</f>
        <v>Chaldea Gate (Sat)</v>
      </c>
      <c r="W69" s="131" t="str">
        <f>IFERROR(__xludf.DUMMYFUNCTION("""COMPUTED_VALUE"""),"SAT Assassin Training Ground- Int")</f>
        <v>SAT Assassin Training Ground- Int</v>
      </c>
      <c r="X69" s="136">
        <f>IFERROR(__xludf.DUMMYFUNCTION("""COMPUTED_VALUE"""),20.0)</f>
        <v>20</v>
      </c>
      <c r="Y69" s="138">
        <f>IFERROR(__xludf.DUMMYFUNCTION("""COMPUTED_VALUE"""),18.4)</f>
        <v>18.4</v>
      </c>
      <c r="Z69" s="140">
        <f>IFERROR(__xludf.DUMMYFUNCTION("""COMPUTED_VALUE"""),18.50684024223679)</f>
        <v>18.50684024</v>
      </c>
      <c r="AA69" s="142" t="str">
        <f>IFERROR(__xludf.DUMMYFUNCTION("""COMPUTED_VALUE"""),"AP")</f>
        <v>AP</v>
      </c>
      <c r="AB69" s="144">
        <f>IFERROR(__xludf.DUMMYFUNCTION("""COMPUTED_VALUE"""),108.06815068493151)</f>
        <v>108.0681507</v>
      </c>
      <c r="AC69" s="142" t="str">
        <f>IFERROR(__xludf.DUMMYFUNCTION("""COMPUTED_VALUE"""),"％")</f>
        <v>％</v>
      </c>
      <c r="AD69" s="136">
        <f>IFERROR(__xludf.DUMMYFUNCTION("""COMPUTED_VALUE"""),584.0)</f>
        <v>584</v>
      </c>
      <c r="AE69" s="100"/>
      <c r="AF69" s="98" t="str">
        <f>IFERROR(__xludf.DUMMYFUNCTION("""COMPUTED_VALUE"""),"")</f>
        <v/>
      </c>
    </row>
    <row r="70" ht="16.5" customHeight="1">
      <c r="B70" s="358"/>
      <c r="C70" s="100"/>
      <c r="D70" s="147">
        <f>IFERROR(__xludf.DUMMYFUNCTION("""COMPUTED_VALUE"""),4.0)</f>
        <v>4</v>
      </c>
      <c r="E70" s="149" t="str">
        <f>IFERROR(__xludf.DUMMYFUNCTION("""COMPUTED_VALUE"""),"TRF19")</f>
        <v>TRF19</v>
      </c>
      <c r="F70" s="151" t="str">
        <f>IFERROR(__xludf.DUMMYFUNCTION("""COMPUTED_VALUE"""),"Chaldea Gate (Fri)")</f>
        <v>Chaldea Gate (Fri)</v>
      </c>
      <c r="G70" s="151" t="str">
        <f>IFERROR(__xludf.DUMMYFUNCTION("""COMPUTED_VALUE"""),"FRI Caster Training Ground- Adv")</f>
        <v>FRI Caster Training Ground- Adv</v>
      </c>
      <c r="H70" s="155">
        <f>IFERROR(__xludf.DUMMYFUNCTION("""COMPUTED_VALUE"""),30.0)</f>
        <v>30</v>
      </c>
      <c r="I70" s="157">
        <f>IFERROR(__xludf.DUMMYFUNCTION("""COMPUTED_VALUE"""),18.266666666666666)</f>
        <v>18.26666667</v>
      </c>
      <c r="J70" s="159">
        <f>IFERROR(__xludf.DUMMYFUNCTION("""COMPUTED_VALUE"""),131.52255437694205)</f>
        <v>131.5225544</v>
      </c>
      <c r="K70" s="161" t="str">
        <f>IFERROR(__xludf.DUMMYFUNCTION("""COMPUTED_VALUE"""),"AP")</f>
        <v>AP</v>
      </c>
      <c r="L70" s="163">
        <f>IFERROR(__xludf.DUMMYFUNCTION("""COMPUTED_VALUE"""),22.80977596741344)</f>
        <v>22.80977597</v>
      </c>
      <c r="M70" s="161" t="str">
        <f>IFERROR(__xludf.DUMMYFUNCTION("""COMPUTED_VALUE"""),"％")</f>
        <v>％</v>
      </c>
      <c r="N70" s="155">
        <f>IFERROR(__xludf.DUMMYFUNCTION("""COMPUTED_VALUE"""),1964.0)</f>
        <v>1964</v>
      </c>
      <c r="O70" s="100"/>
      <c r="P70" s="93" t="str">
        <f>IFERROR(__xludf.DUMMYFUNCTION("""COMPUTED_VALUE"""),"")</f>
        <v/>
      </c>
      <c r="R70" s="358"/>
      <c r="S70" s="100"/>
      <c r="T70" s="147">
        <f>IFERROR(__xludf.DUMMYFUNCTION("""COMPUTED_VALUE"""),4.0)</f>
        <v>4</v>
      </c>
      <c r="U70" s="149" t="str">
        <f>IFERROR(__xludf.DUMMYFUNCTION("""COMPUTED_VALUE"""),"SJK6")</f>
        <v>SJK6</v>
      </c>
      <c r="V70" s="151" t="str">
        <f>IFERROR(__xludf.DUMMYFUNCTION("""COMPUTED_VALUE"""),"Shinjuku")</f>
        <v>Shinjuku</v>
      </c>
      <c r="W70" s="153" t="str">
        <f>IFERROR(__xludf.DUMMYFUNCTION("""COMPUTED_VALUE"""),"Barrel Tower")</f>
        <v>Barrel Tower</v>
      </c>
      <c r="X70" s="155">
        <f>IFERROR(__xludf.DUMMYFUNCTION("""COMPUTED_VALUE"""),21.0)</f>
        <v>21</v>
      </c>
      <c r="Y70" s="157">
        <f>IFERROR(__xludf.DUMMYFUNCTION("""COMPUTED_VALUE"""),46.666666666666664)</f>
        <v>46.66666667</v>
      </c>
      <c r="Z70" s="159">
        <f>IFERROR(__xludf.DUMMYFUNCTION("""COMPUTED_VALUE"""),46.76036627297935)</f>
        <v>46.76036627</v>
      </c>
      <c r="AA70" s="161" t="str">
        <f>IFERROR(__xludf.DUMMYFUNCTION("""COMPUTED_VALUE"""),"AP")</f>
        <v>AP</v>
      </c>
      <c r="AB70" s="163">
        <f>IFERROR(__xludf.DUMMYFUNCTION("""COMPUTED_VALUE"""),44.90982786021274)</f>
        <v>44.90982786</v>
      </c>
      <c r="AC70" s="161" t="str">
        <f>IFERROR(__xludf.DUMMYFUNCTION("""COMPUTED_VALUE"""),"％")</f>
        <v>％</v>
      </c>
      <c r="AD70" s="155">
        <f>IFERROR(__xludf.DUMMYFUNCTION("""COMPUTED_VALUE"""),8513.0)</f>
        <v>8513</v>
      </c>
      <c r="AE70" s="100"/>
      <c r="AF70" s="98" t="str">
        <f>IFERROR(__xludf.DUMMYFUNCTION("""COMPUTED_VALUE"""),"")</f>
        <v/>
      </c>
    </row>
    <row r="71" ht="16.5" customHeight="1">
      <c r="A71" s="166"/>
      <c r="B71" s="359"/>
      <c r="C71" s="168"/>
      <c r="D71" s="169">
        <f>IFERROR(__xludf.DUMMYFUNCTION("""COMPUTED_VALUE"""),5.0)</f>
        <v>5</v>
      </c>
      <c r="E71" s="170" t="str">
        <f>IFERROR(__xludf.DUMMYFUNCTION("""COMPUTED_VALUE"""),"OKN5")</f>
        <v>OKN5</v>
      </c>
      <c r="F71" s="51" t="str">
        <f>IFERROR(__xludf.DUMMYFUNCTION("""COMPUTED_VALUE"""),"Okeanos")</f>
        <v>Okeanos</v>
      </c>
      <c r="G71" s="171" t="str">
        <f>IFERROR(__xludf.DUMMYFUNCTION("""COMPUTED_VALUE"""),"Sunken Rock Seas")</f>
        <v>Sunken Rock Seas</v>
      </c>
      <c r="H71" s="172">
        <f>IFERROR(__xludf.DUMMYFUNCTION("""COMPUTED_VALUE"""),17.0)</f>
        <v>17</v>
      </c>
      <c r="I71" s="173">
        <f>IFERROR(__xludf.DUMMYFUNCTION("""COMPUTED_VALUE"""),39.294117647058826)</f>
        <v>39.29411765</v>
      </c>
      <c r="J71" s="174">
        <f>IFERROR(__xludf.DUMMYFUNCTION("""COMPUTED_VALUE"""),101.11996017919364)</f>
        <v>101.1199602</v>
      </c>
      <c r="K71" s="175" t="str">
        <f>IFERROR(__xludf.DUMMYFUNCTION("""COMPUTED_VALUE"""),"AP")</f>
        <v>AP</v>
      </c>
      <c r="L71" s="176">
        <f>IFERROR(__xludf.DUMMYFUNCTION("""COMPUTED_VALUE"""),16.811715481171547)</f>
        <v>16.81171548</v>
      </c>
      <c r="M71" s="175" t="str">
        <f>IFERROR(__xludf.DUMMYFUNCTION("""COMPUTED_VALUE"""),"％")</f>
        <v>％</v>
      </c>
      <c r="N71" s="172">
        <f>IFERROR(__xludf.DUMMYFUNCTION("""COMPUTED_VALUE"""),1912.0)</f>
        <v>1912</v>
      </c>
      <c r="O71" s="168"/>
      <c r="P71" s="93" t="str">
        <f>IFERROR(__xludf.DUMMYFUNCTION("""COMPUTED_VALUE"""),"")</f>
        <v/>
      </c>
      <c r="Q71" s="166"/>
      <c r="R71" s="359"/>
      <c r="S71" s="168"/>
      <c r="T71" s="169">
        <f>IFERROR(__xludf.DUMMYFUNCTION("""COMPUTED_VALUE"""),5.0)</f>
        <v>5</v>
      </c>
      <c r="U71" s="170" t="str">
        <f>IFERROR(__xludf.DUMMYFUNCTION("""COMPUTED_VALUE"""),"SJK5")</f>
        <v>SJK5</v>
      </c>
      <c r="V71" s="51" t="str">
        <f>IFERROR(__xludf.DUMMYFUNCTION("""COMPUTED_VALUE"""),"Shinjuku")</f>
        <v>Shinjuku</v>
      </c>
      <c r="W71" s="171" t="str">
        <f>IFERROR(__xludf.DUMMYFUNCTION("""COMPUTED_VALUE"""),"Kabukicho")</f>
        <v>Kabukicho</v>
      </c>
      <c r="X71" s="172">
        <f>IFERROR(__xludf.DUMMYFUNCTION("""COMPUTED_VALUE"""),21.0)</f>
        <v>21</v>
      </c>
      <c r="Y71" s="173">
        <f>IFERROR(__xludf.DUMMYFUNCTION("""COMPUTED_VALUE"""),46.666666666666664)</f>
        <v>46.66666667</v>
      </c>
      <c r="Z71" s="174">
        <f>IFERROR(__xludf.DUMMYFUNCTION("""COMPUTED_VALUE"""),56.86551018582706)</f>
        <v>56.86551019</v>
      </c>
      <c r="AA71" s="175" t="str">
        <f>IFERROR(__xludf.DUMMYFUNCTION("""COMPUTED_VALUE"""),"AP")</f>
        <v>AP</v>
      </c>
      <c r="AB71" s="176">
        <f>IFERROR(__xludf.DUMMYFUNCTION("""COMPUTED_VALUE"""),36.92923870967741)</f>
        <v>36.92923871</v>
      </c>
      <c r="AC71" s="175" t="str">
        <f>IFERROR(__xludf.DUMMYFUNCTION("""COMPUTED_VALUE"""),"％")</f>
        <v>％</v>
      </c>
      <c r="AD71" s="172">
        <f>IFERROR(__xludf.DUMMYFUNCTION("""COMPUTED_VALUE"""),3875.0)</f>
        <v>3875</v>
      </c>
      <c r="AE71" s="168"/>
      <c r="AF71" s="98" t="str">
        <f>IFERROR(__xludf.DUMMYFUNCTION("""COMPUTED_VALUE"""),"")</f>
        <v/>
      </c>
    </row>
    <row r="72" ht="16.5" customHeight="1">
      <c r="A72" s="61" t="str">
        <f>IFERROR(__xludf.DUMMYFUNCTION("""COMPUTED_VALUE"""),"")</f>
        <v/>
      </c>
      <c r="B72" s="183" t="str">
        <f>IFERROR(__xludf.DUMMYFUNCTION("""COMPUTED_VALUE"""),"A205")</f>
        <v>A205</v>
      </c>
      <c r="C72" s="197" t="str">
        <f>IFERROR(__xludf.DUMMYFUNCTION("""COMPUTED_VALUE"""),"Phoenix Feather")</f>
        <v>Phoenix Feather</v>
      </c>
      <c r="D72" s="185">
        <f>IFERROR(__xludf.DUMMYFUNCTION("""COMPUTED_VALUE"""),1.0)</f>
        <v>1</v>
      </c>
      <c r="E72" s="187" t="str">
        <f>IFERROR(__xludf.DUMMYFUNCTION("""COMPUTED_VALUE"""),"AGT10")</f>
        <v>AGT10</v>
      </c>
      <c r="F72" s="188" t="str">
        <f>IFERROR(__xludf.DUMMYFUNCTION("""COMPUTED_VALUE"""),"Agartha")</f>
        <v>Agartha</v>
      </c>
      <c r="G72" s="193" t="str">
        <f>IFERROR(__xludf.DUMMYFUNCTION("""COMPUTED_VALUE"""),"Great Underground River")</f>
        <v>Great Underground River</v>
      </c>
      <c r="H72" s="195">
        <f>IFERROR(__xludf.DUMMYFUNCTION("""COMPUTED_VALUE"""),21.0)</f>
        <v>21</v>
      </c>
      <c r="I72" s="196">
        <f>IFERROR(__xludf.DUMMYFUNCTION("""COMPUTED_VALUE"""),47.80952380952381)</f>
        <v>47.80952381</v>
      </c>
      <c r="J72" s="198">
        <f>IFERROR(__xludf.DUMMYFUNCTION("""COMPUTED_VALUE"""),69.7785425998768)</f>
        <v>69.7785426</v>
      </c>
      <c r="K72" s="200" t="str">
        <f>IFERROR(__xludf.DUMMYFUNCTION("""COMPUTED_VALUE"""),"AP")</f>
        <v>AP</v>
      </c>
      <c r="L72" s="198">
        <f>IFERROR(__xludf.DUMMYFUNCTION("""COMPUTED_VALUE"""),30.09521153288902)</f>
        <v>30.09521153</v>
      </c>
      <c r="M72" s="201" t="str">
        <f>IFERROR(__xludf.DUMMYFUNCTION("""COMPUTED_VALUE"""),"％")</f>
        <v>％</v>
      </c>
      <c r="N72" s="195">
        <f>IFERROR(__xludf.DUMMYFUNCTION("""COMPUTED_VALUE"""),27608.0)</f>
        <v>27608</v>
      </c>
      <c r="O72" s="197" t="str">
        <f>IFERROR(__xludf.DUMMYFUNCTION("""COMPUTED_VALUE"""),"Phoenix Feather")</f>
        <v>Phoenix Feather</v>
      </c>
      <c r="P72" s="93" t="str">
        <f>IFERROR(__xludf.DUMMYFUNCTION("""COMPUTED_VALUE"""),"")</f>
        <v/>
      </c>
      <c r="Q72" s="61" t="str">
        <f>IFERROR(__xludf.DUMMYFUNCTION("""COMPUTED_VALUE"""),"")</f>
        <v/>
      </c>
      <c r="R72" s="202" t="str">
        <f>IFERROR(__xludf.DUMMYFUNCTION("""COMPUTED_VALUE"""),"B117")</f>
        <v>B117</v>
      </c>
      <c r="S72" s="197" t="str">
        <f>IFERROR(__xludf.DUMMYFUNCTION("""COMPUTED_VALUE"""),"Magic Gem of Berserker")</f>
        <v>Magic Gem of Berserker</v>
      </c>
      <c r="T72" s="185">
        <f>IFERROR(__xludf.DUMMYFUNCTION("""COMPUTED_VALUE"""),1.0)</f>
        <v>1</v>
      </c>
      <c r="U72" s="187" t="str">
        <f>IFERROR(__xludf.DUMMYFUNCTION("""COMPUTED_VALUE"""),"TRF11")</f>
        <v>TRF11</v>
      </c>
      <c r="V72" s="188" t="str">
        <f>IFERROR(__xludf.DUMMYFUNCTION("""COMPUTED_VALUE"""),"Chaldea Gate (Wed)")</f>
        <v>Chaldea Gate (Wed)</v>
      </c>
      <c r="W72" s="188" t="str">
        <f>IFERROR(__xludf.DUMMYFUNCTION("""COMPUTED_VALUE"""),"WED Berserker Training Ground- Adv")</f>
        <v>WED Berserker Training Ground- Adv</v>
      </c>
      <c r="X72" s="195">
        <f>IFERROR(__xludf.DUMMYFUNCTION("""COMPUTED_VALUE"""),30.0)</f>
        <v>30</v>
      </c>
      <c r="Y72" s="196">
        <f>IFERROR(__xludf.DUMMYFUNCTION("""COMPUTED_VALUE"""),18.266666666666666)</f>
        <v>18.26666667</v>
      </c>
      <c r="Z72" s="198">
        <f>IFERROR(__xludf.DUMMYFUNCTION("""COMPUTED_VALUE"""),22.525315704903534)</f>
        <v>22.5253157</v>
      </c>
      <c r="AA72" s="200" t="str">
        <f>IFERROR(__xludf.DUMMYFUNCTION("""COMPUTED_VALUE"""),"AP")</f>
        <v>AP</v>
      </c>
      <c r="AB72" s="198">
        <f>IFERROR(__xludf.DUMMYFUNCTION("""COMPUTED_VALUE"""),133.18348294434472)</f>
        <v>133.1834829</v>
      </c>
      <c r="AC72" s="201" t="str">
        <f>IFERROR(__xludf.DUMMYFUNCTION("""COMPUTED_VALUE"""),"％")</f>
        <v>％</v>
      </c>
      <c r="AD72" s="195">
        <f>IFERROR(__xludf.DUMMYFUNCTION("""COMPUTED_VALUE"""),557.0)</f>
        <v>557</v>
      </c>
      <c r="AE72" s="197" t="str">
        <f>IFERROR(__xludf.DUMMYFUNCTION("""COMPUTED_VALUE"""),"Magic Gem of Berserker")</f>
        <v>Magic Gem of Berserker</v>
      </c>
      <c r="AF72" s="98" t="str">
        <f>IFERROR(__xludf.DUMMYFUNCTION("""COMPUTED_VALUE"""),"")</f>
        <v/>
      </c>
    </row>
    <row r="73" ht="16.5" customHeight="1">
      <c r="B73" s="203"/>
      <c r="C73" s="217"/>
      <c r="D73" s="208">
        <f>IFERROR(__xludf.DUMMYFUNCTION("""COMPUTED_VALUE"""),2.0)</f>
        <v>2</v>
      </c>
      <c r="E73" s="210" t="str">
        <f>IFERROR(__xludf.DUMMYFUNCTION("""COMPUTED_VALUE"""),"AGT3")</f>
        <v>AGT3</v>
      </c>
      <c r="F73" s="212" t="str">
        <f>IFERROR(__xludf.DUMMYFUNCTION("""COMPUTED_VALUE"""),"Agartha")</f>
        <v>Agartha</v>
      </c>
      <c r="G73" s="216" t="str">
        <f>IFERROR(__xludf.DUMMYFUNCTION("""COMPUTED_VALUE"""),"Riverside Town")</f>
        <v>Riverside Town</v>
      </c>
      <c r="H73" s="218">
        <f>IFERROR(__xludf.DUMMYFUNCTION("""COMPUTED_VALUE"""),20.0)</f>
        <v>20</v>
      </c>
      <c r="I73" s="219">
        <f>IFERROR(__xludf.DUMMYFUNCTION("""COMPUTED_VALUE"""),46.6)</f>
        <v>46.6</v>
      </c>
      <c r="J73" s="220">
        <f>IFERROR(__xludf.DUMMYFUNCTION("""COMPUTED_VALUE"""),97.97058350020532)</f>
        <v>97.9705835</v>
      </c>
      <c r="K73" s="221" t="str">
        <f>IFERROR(__xludf.DUMMYFUNCTION("""COMPUTED_VALUE"""),"AP")</f>
        <v>AP</v>
      </c>
      <c r="L73" s="220">
        <f>IFERROR(__xludf.DUMMYFUNCTION("""COMPUTED_VALUE"""),20.414290989660262)</f>
        <v>20.41429099</v>
      </c>
      <c r="M73" s="221" t="str">
        <f>IFERROR(__xludf.DUMMYFUNCTION("""COMPUTED_VALUE"""),"％")</f>
        <v>％</v>
      </c>
      <c r="N73" s="218">
        <f>IFERROR(__xludf.DUMMYFUNCTION("""COMPUTED_VALUE"""),10832.0)</f>
        <v>10832</v>
      </c>
      <c r="O73" s="217"/>
      <c r="P73" s="93" t="str">
        <f>IFERROR(__xludf.DUMMYFUNCTION("""COMPUTED_VALUE"""),"")</f>
        <v/>
      </c>
      <c r="R73" s="203"/>
      <c r="S73" s="217"/>
      <c r="T73" s="208">
        <f>IFERROR(__xludf.DUMMYFUNCTION("""COMPUTED_VALUE"""),2.0)</f>
        <v>2</v>
      </c>
      <c r="U73" s="210" t="str">
        <f>IFERROR(__xludf.DUMMYFUNCTION("""COMPUTED_VALUE"""),"TRF12")</f>
        <v>TRF12</v>
      </c>
      <c r="V73" s="212" t="str">
        <f>IFERROR(__xludf.DUMMYFUNCTION("""COMPUTED_VALUE"""),"Chaldea Gate (Wed)")</f>
        <v>Chaldea Gate (Wed)</v>
      </c>
      <c r="W73" s="212" t="str">
        <f>IFERROR(__xludf.DUMMYFUNCTION("""COMPUTED_VALUE"""),"WED Berserker Training Ground- Exp")</f>
        <v>WED Berserker Training Ground- Exp</v>
      </c>
      <c r="X73" s="218">
        <f>IFERROR(__xludf.DUMMYFUNCTION("""COMPUTED_VALUE"""),40.0)</f>
        <v>40</v>
      </c>
      <c r="Y73" s="219">
        <f>IFERROR(__xludf.DUMMYFUNCTION("""COMPUTED_VALUE"""),19.7)</f>
        <v>19.7</v>
      </c>
      <c r="Z73" s="220">
        <f>IFERROR(__xludf.DUMMYFUNCTION("""COMPUTED_VALUE"""),35.376571365001666)</f>
        <v>35.37657137</v>
      </c>
      <c r="AA73" s="221" t="str">
        <f>IFERROR(__xludf.DUMMYFUNCTION("""COMPUTED_VALUE"""),"AP")</f>
        <v>AP</v>
      </c>
      <c r="AB73" s="220">
        <f>IFERROR(__xludf.DUMMYFUNCTION("""COMPUTED_VALUE"""),113.06918238993711)</f>
        <v>113.0691824</v>
      </c>
      <c r="AC73" s="221" t="str">
        <f>IFERROR(__xludf.DUMMYFUNCTION("""COMPUTED_VALUE"""),"％")</f>
        <v>％</v>
      </c>
      <c r="AD73" s="218">
        <f>IFERROR(__xludf.DUMMYFUNCTION("""COMPUTED_VALUE"""),3498.0)</f>
        <v>3498</v>
      </c>
      <c r="AE73" s="217"/>
      <c r="AF73" s="98" t="str">
        <f>IFERROR(__xludf.DUMMYFUNCTION("""COMPUTED_VALUE"""),"")</f>
        <v/>
      </c>
    </row>
    <row r="74" ht="16.5" customHeight="1">
      <c r="B74" s="203"/>
      <c r="C74" s="217"/>
      <c r="D74" s="225">
        <f>IFERROR(__xludf.DUMMYFUNCTION("""COMPUTED_VALUE"""),3.0)</f>
        <v>3</v>
      </c>
      <c r="E74" s="227" t="str">
        <f>IFERROR(__xludf.DUMMYFUNCTION("""COMPUTED_VALUE"""),"TRF4")</f>
        <v>TRF4</v>
      </c>
      <c r="F74" s="229" t="str">
        <f>IFERROR(__xludf.DUMMYFUNCTION("""COMPUTED_VALUE"""),"Chaldea Gate (Mon)")</f>
        <v>Chaldea Gate (Mon)</v>
      </c>
      <c r="G74" s="229" t="str">
        <f>IFERROR(__xludf.DUMMYFUNCTION("""COMPUTED_VALUE"""),"MON Archer Training Ground- Exp")</f>
        <v>MON Archer Training Ground- Exp</v>
      </c>
      <c r="H74" s="234">
        <f>IFERROR(__xludf.DUMMYFUNCTION("""COMPUTED_VALUE"""),40.0)</f>
        <v>40</v>
      </c>
      <c r="I74" s="235">
        <f>IFERROR(__xludf.DUMMYFUNCTION("""COMPUTED_VALUE"""),19.7)</f>
        <v>19.7</v>
      </c>
      <c r="J74" s="236">
        <f>IFERROR(__xludf.DUMMYFUNCTION("""COMPUTED_VALUE"""),202.04476672077226)</f>
        <v>202.0447667</v>
      </c>
      <c r="K74" s="237" t="str">
        <f>IFERROR(__xludf.DUMMYFUNCTION("""COMPUTED_VALUE"""),"AP")</f>
        <v>AP</v>
      </c>
      <c r="L74" s="236">
        <f>IFERROR(__xludf.DUMMYFUNCTION("""COMPUTED_VALUE"""),19.79759270641262)</f>
        <v>19.79759271</v>
      </c>
      <c r="M74" s="237" t="str">
        <f>IFERROR(__xludf.DUMMYFUNCTION("""COMPUTED_VALUE"""),"％")</f>
        <v>％</v>
      </c>
      <c r="N74" s="234">
        <f>IFERROR(__xludf.DUMMYFUNCTION("""COMPUTED_VALUE"""),9762.0)</f>
        <v>9762</v>
      </c>
      <c r="O74" s="217"/>
      <c r="P74" s="93" t="str">
        <f>IFERROR(__xludf.DUMMYFUNCTION("""COMPUTED_VALUE"""),"")</f>
        <v/>
      </c>
      <c r="R74" s="203"/>
      <c r="S74" s="217"/>
      <c r="T74" s="225">
        <f>IFERROR(__xludf.DUMMYFUNCTION("""COMPUTED_VALUE"""),3.0)</f>
        <v>3</v>
      </c>
      <c r="U74" s="227" t="str">
        <f>IFERROR(__xludf.DUMMYFUNCTION("""COMPUTED_VALUE"""),"TRF10")</f>
        <v>TRF10</v>
      </c>
      <c r="V74" s="229" t="str">
        <f>IFERROR(__xludf.DUMMYFUNCTION("""COMPUTED_VALUE"""),"Chaldea Gate (Wed)")</f>
        <v>Chaldea Gate (Wed)</v>
      </c>
      <c r="W74" s="229" t="str">
        <f>IFERROR(__xludf.DUMMYFUNCTION("""COMPUTED_VALUE"""),"WED Berserker Training Ground- Int")</f>
        <v>WED Berserker Training Ground- Int</v>
      </c>
      <c r="X74" s="234">
        <f>IFERROR(__xludf.DUMMYFUNCTION("""COMPUTED_VALUE"""),20.0)</f>
        <v>20</v>
      </c>
      <c r="Y74" s="235">
        <f>IFERROR(__xludf.DUMMYFUNCTION("""COMPUTED_VALUE"""),18.4)</f>
        <v>18.4</v>
      </c>
      <c r="Z74" s="236">
        <f>IFERROR(__xludf.DUMMYFUNCTION("""COMPUTED_VALUE"""),31.50163946488602)</f>
        <v>31.50163946</v>
      </c>
      <c r="AA74" s="237" t="str">
        <f>IFERROR(__xludf.DUMMYFUNCTION("""COMPUTED_VALUE"""),"AP")</f>
        <v>AP</v>
      </c>
      <c r="AB74" s="236">
        <f>IFERROR(__xludf.DUMMYFUNCTION("""COMPUTED_VALUE"""),63.48875912408759)</f>
        <v>63.48875912</v>
      </c>
      <c r="AC74" s="237" t="str">
        <f>IFERROR(__xludf.DUMMYFUNCTION("""COMPUTED_VALUE"""),"％")</f>
        <v>％</v>
      </c>
      <c r="AD74" s="234">
        <f>IFERROR(__xludf.DUMMYFUNCTION("""COMPUTED_VALUE"""),685.0)</f>
        <v>685</v>
      </c>
      <c r="AE74" s="217"/>
      <c r="AF74" s="98" t="str">
        <f>IFERROR(__xludf.DUMMYFUNCTION("""COMPUTED_VALUE"""),"")</f>
        <v/>
      </c>
    </row>
    <row r="75" ht="16.5" customHeight="1">
      <c r="B75" s="203"/>
      <c r="C75" s="217"/>
      <c r="D75" s="239">
        <f>IFERROR(__xludf.DUMMYFUNCTION("""COMPUTED_VALUE"""),4.0)</f>
        <v>4</v>
      </c>
      <c r="E75" s="241" t="str">
        <f>IFERROR(__xludf.DUMMYFUNCTION("""COMPUTED_VALUE"""),"TRF27")</f>
        <v>TRF27</v>
      </c>
      <c r="F75" s="243" t="str">
        <f>IFERROR(__xludf.DUMMYFUNCTION("""COMPUTED_VALUE"""),"Chaldea Gate (Sun)")</f>
        <v>Chaldea Gate (Sun)</v>
      </c>
      <c r="G75" s="243" t="str">
        <f>IFERROR(__xludf.DUMMYFUNCTION("""COMPUTED_VALUE"""),"SUN Saber Training Ground- Adv")</f>
        <v>SUN Saber Training Ground- Adv</v>
      </c>
      <c r="H75" s="247">
        <f>IFERROR(__xludf.DUMMYFUNCTION("""COMPUTED_VALUE"""),30.0)</f>
        <v>30</v>
      </c>
      <c r="I75" s="249">
        <f>IFERROR(__xludf.DUMMYFUNCTION("""COMPUTED_VALUE"""),18.266666666666666)</f>
        <v>18.26666667</v>
      </c>
      <c r="J75" s="251">
        <f>IFERROR(__xludf.DUMMYFUNCTION("""COMPUTED_VALUE"""),170.68095821460682)</f>
        <v>170.6809582</v>
      </c>
      <c r="K75" s="253" t="str">
        <f>IFERROR(__xludf.DUMMYFUNCTION("""COMPUTED_VALUE"""),"AP")</f>
        <v>AP</v>
      </c>
      <c r="L75" s="251">
        <f>IFERROR(__xludf.DUMMYFUNCTION("""COMPUTED_VALUE"""),17.576653139174027)</f>
        <v>17.57665314</v>
      </c>
      <c r="M75" s="253" t="str">
        <f>IFERROR(__xludf.DUMMYFUNCTION("""COMPUTED_VALUE"""),"％")</f>
        <v>％</v>
      </c>
      <c r="N75" s="247">
        <f>IFERROR(__xludf.DUMMYFUNCTION("""COMPUTED_VALUE"""),4189.0)</f>
        <v>4189</v>
      </c>
      <c r="O75" s="217"/>
      <c r="P75" s="93" t="str">
        <f>IFERROR(__xludf.DUMMYFUNCTION("""COMPUTED_VALUE"""),"")</f>
        <v/>
      </c>
      <c r="R75" s="203"/>
      <c r="S75" s="217"/>
      <c r="T75" s="239">
        <f>IFERROR(__xludf.DUMMYFUNCTION("""COMPUTED_VALUE"""),4.0)</f>
        <v>4</v>
      </c>
      <c r="U75" s="241" t="str">
        <f>IFERROR(__xludf.DUMMYFUNCTION("""COMPUTED_VALUE"""),"BBL13")</f>
        <v>BBL13</v>
      </c>
      <c r="V75" s="243" t="str">
        <f>IFERROR(__xludf.DUMMYFUNCTION("""COMPUTED_VALUE"""),"Babylonia")</f>
        <v>Babylonia</v>
      </c>
      <c r="W75" s="245" t="str">
        <f>IFERROR(__xludf.DUMMYFUNCTION("""COMPUTED_VALUE"""),"Mt. Ebih")</f>
        <v>Mt. Ebih</v>
      </c>
      <c r="X75" s="247">
        <f>IFERROR(__xludf.DUMMYFUNCTION("""COMPUTED_VALUE"""),21.0)</f>
        <v>21</v>
      </c>
      <c r="Y75" s="249">
        <f>IFERROR(__xludf.DUMMYFUNCTION("""COMPUTED_VALUE"""),48.95238095238095)</f>
        <v>48.95238095</v>
      </c>
      <c r="Z75" s="251">
        <f>IFERROR(__xludf.DUMMYFUNCTION("""COMPUTED_VALUE"""),88.19912638585804)</f>
        <v>88.19912639</v>
      </c>
      <c r="AA75" s="253" t="str">
        <f>IFERROR(__xludf.DUMMYFUNCTION("""COMPUTED_VALUE"""),"AP")</f>
        <v>AP</v>
      </c>
      <c r="AB75" s="251">
        <f>IFERROR(__xludf.DUMMYFUNCTION("""COMPUTED_VALUE"""),23.809759643341735)</f>
        <v>23.80975964</v>
      </c>
      <c r="AC75" s="253" t="str">
        <f>IFERROR(__xludf.DUMMYFUNCTION("""COMPUTED_VALUE"""),"％")</f>
        <v>％</v>
      </c>
      <c r="AD75" s="247">
        <f>IFERROR(__xludf.DUMMYFUNCTION("""COMPUTED_VALUE"""),10318.0)</f>
        <v>10318</v>
      </c>
      <c r="AE75" s="217"/>
      <c r="AF75" s="98" t="str">
        <f>IFERROR(__xludf.DUMMYFUNCTION("""COMPUTED_VALUE"""),"")</f>
        <v/>
      </c>
    </row>
    <row r="76" ht="16.5" customHeight="1">
      <c r="A76" s="166"/>
      <c r="B76" s="254"/>
      <c r="C76" s="263"/>
      <c r="D76" s="256">
        <f>IFERROR(__xludf.DUMMYFUNCTION("""COMPUTED_VALUE"""),5.0)</f>
        <v>5</v>
      </c>
      <c r="E76" s="257" t="str">
        <f>IFERROR(__xludf.DUMMYFUNCTION("""COMPUTED_VALUE"""),"AGT8")</f>
        <v>AGT8</v>
      </c>
      <c r="F76" s="42" t="str">
        <f>IFERROR(__xludf.DUMMYFUNCTION("""COMPUTED_VALUE"""),"Agartha")</f>
        <v>Agartha</v>
      </c>
      <c r="G76" s="258" t="str">
        <f>IFERROR(__xludf.DUMMYFUNCTION("""COMPUTED_VALUE"""),"Foothills Jungle")</f>
        <v>Foothills Jungle</v>
      </c>
      <c r="H76" s="259">
        <f>IFERROR(__xludf.DUMMYFUNCTION("""COMPUTED_VALUE"""),21.0)</f>
        <v>21</v>
      </c>
      <c r="I76" s="260">
        <f>IFERROR(__xludf.DUMMYFUNCTION("""COMPUTED_VALUE"""),46.666666666666664)</f>
        <v>46.66666667</v>
      </c>
      <c r="J76" s="261">
        <f>IFERROR(__xludf.DUMMYFUNCTION("""COMPUTED_VALUE"""),147.96710141925752)</f>
        <v>147.9671014</v>
      </c>
      <c r="K76" s="262" t="str">
        <f>IFERROR(__xludf.DUMMYFUNCTION("""COMPUTED_VALUE"""),"AP")</f>
        <v>AP</v>
      </c>
      <c r="L76" s="261">
        <f>IFERROR(__xludf.DUMMYFUNCTION("""COMPUTED_VALUE"""),14.192343972798069)</f>
        <v>14.19234397</v>
      </c>
      <c r="M76" s="262" t="str">
        <f>IFERROR(__xludf.DUMMYFUNCTION("""COMPUTED_VALUE"""),"％")</f>
        <v>％</v>
      </c>
      <c r="N76" s="259">
        <f>IFERROR(__xludf.DUMMYFUNCTION("""COMPUTED_VALUE"""),18234.0)</f>
        <v>18234</v>
      </c>
      <c r="O76" s="263"/>
      <c r="P76" s="93" t="str">
        <f>IFERROR(__xludf.DUMMYFUNCTION("""COMPUTED_VALUE"""),"")</f>
        <v/>
      </c>
      <c r="Q76" s="166"/>
      <c r="R76" s="254"/>
      <c r="S76" s="263"/>
      <c r="T76" s="256">
        <f>IFERROR(__xludf.DUMMYFUNCTION("""COMPUTED_VALUE"""),5.0)</f>
        <v>5</v>
      </c>
      <c r="U76" s="257" t="str">
        <f>IFERROR(__xludf.DUMMYFUNCTION("""COMPUTED_VALUE"""),"BBL6")</f>
        <v>BBL6</v>
      </c>
      <c r="V76" s="42" t="str">
        <f>IFERROR(__xludf.DUMMYFUNCTION("""COMPUTED_VALUE"""),"Babylonia")</f>
        <v>Babylonia</v>
      </c>
      <c r="W76" s="258" t="str">
        <f>IFERROR(__xludf.DUMMYFUNCTION("""COMPUTED_VALUE"""),"Ur")</f>
        <v>Ur</v>
      </c>
      <c r="X76" s="259">
        <f>IFERROR(__xludf.DUMMYFUNCTION("""COMPUTED_VALUE"""),21.0)</f>
        <v>21</v>
      </c>
      <c r="Y76" s="260">
        <f>IFERROR(__xludf.DUMMYFUNCTION("""COMPUTED_VALUE"""),45.523809523809526)</f>
        <v>45.52380952</v>
      </c>
      <c r="Z76" s="261">
        <f>IFERROR(__xludf.DUMMYFUNCTION("""COMPUTED_VALUE"""),91.63386477123629)</f>
        <v>91.63386477</v>
      </c>
      <c r="AA76" s="262" t="str">
        <f>IFERROR(__xludf.DUMMYFUNCTION("""COMPUTED_VALUE"""),"AP")</f>
        <v>AP</v>
      </c>
      <c r="AB76" s="261">
        <f>IFERROR(__xludf.DUMMYFUNCTION("""COMPUTED_VALUE"""),22.91729160657629)</f>
        <v>22.91729161</v>
      </c>
      <c r="AC76" s="262" t="str">
        <f>IFERROR(__xludf.DUMMYFUNCTION("""COMPUTED_VALUE"""),"％")</f>
        <v>％</v>
      </c>
      <c r="AD76" s="259">
        <f>IFERROR(__xludf.DUMMYFUNCTION("""COMPUTED_VALUE"""),20802.0)</f>
        <v>20802</v>
      </c>
      <c r="AE76" s="263"/>
      <c r="AF76" s="98" t="str">
        <f>IFERROR(__xludf.DUMMYFUNCTION("""COMPUTED_VALUE"""),"")</f>
        <v/>
      </c>
    </row>
    <row r="77" ht="16.5" customHeight="1">
      <c r="A77" s="352" t="str">
        <f>IFERROR(__xludf.DUMMYFUNCTION("""COMPUTED_VALUE"""),"Item")</f>
        <v>Item</v>
      </c>
      <c r="C77" s="353"/>
      <c r="D77" s="30" t="str">
        <f>IFERROR(__xludf.DUMMYFUNCTION("""COMPUTED_VALUE"""),"No.")</f>
        <v>No.</v>
      </c>
      <c r="E77" s="31" t="str">
        <f>IFERROR(__xludf.DUMMYFUNCTION("""COMPUTED_VALUE"""),"Node Code")</f>
        <v>Node Code</v>
      </c>
      <c r="F77" s="31" t="str">
        <f>IFERROR(__xludf.DUMMYFUNCTION("""COMPUTED_VALUE"""),"Area")</f>
        <v>Area</v>
      </c>
      <c r="G77" s="31" t="str">
        <f>IFERROR(__xludf.DUMMYFUNCTION("""COMPUTED_VALUE"""),"Quest")</f>
        <v>Quest</v>
      </c>
      <c r="H77" s="30" t="str">
        <f>IFERROR(__xludf.DUMMYFUNCTION("""COMPUTED_VALUE"""),"AP")</f>
        <v>AP</v>
      </c>
      <c r="I77" s="365" t="str">
        <f>IFERROR(__xludf.DUMMYFUNCTION("""COMPUTED_VALUE"""),"BP/AP")</f>
        <v>BP/AP</v>
      </c>
      <c r="J77" s="36" t="str">
        <f>IFERROR(__xludf.DUMMYFUNCTION("""COMPUTED_VALUE"""),"AP/Drop")</f>
        <v>AP/Drop</v>
      </c>
      <c r="K77" s="28"/>
      <c r="L77" s="36" t="str">
        <f>IFERROR(__xludf.DUMMYFUNCTION("""COMPUTED_VALUE"""),"Drop Chance")</f>
        <v>Drop Chance</v>
      </c>
      <c r="M77" s="28"/>
      <c r="N77" s="38" t="str">
        <f>IFERROR(__xludf.DUMMYFUNCTION("""COMPUTED_VALUE"""),"Runs")</f>
        <v>Runs</v>
      </c>
      <c r="O77" s="355" t="str">
        <f>IFERROR(__xludf.DUMMYFUNCTION("""COMPUTED_VALUE"""),"")</f>
        <v/>
      </c>
      <c r="P77" s="42" t="str">
        <f>IFERROR(__xludf.DUMMYFUNCTION("""COMPUTED_VALUE"""),"")</f>
        <v/>
      </c>
      <c r="Q77" s="352" t="str">
        <f>IFERROR(__xludf.DUMMYFUNCTION("""COMPUTED_VALUE"""),"Item")</f>
        <v>Item</v>
      </c>
      <c r="S77" s="353"/>
      <c r="T77" s="30" t="str">
        <f>IFERROR(__xludf.DUMMYFUNCTION("""COMPUTED_VALUE"""),"No.")</f>
        <v>No.</v>
      </c>
      <c r="U77" s="31" t="str">
        <f>IFERROR(__xludf.DUMMYFUNCTION("""COMPUTED_VALUE"""),"Node Code")</f>
        <v>Node Code</v>
      </c>
      <c r="V77" s="31" t="str">
        <f>IFERROR(__xludf.DUMMYFUNCTION("""COMPUTED_VALUE"""),"Area")</f>
        <v>Area</v>
      </c>
      <c r="W77" s="31" t="str">
        <f>IFERROR(__xludf.DUMMYFUNCTION("""COMPUTED_VALUE"""),"Quest")</f>
        <v>Quest</v>
      </c>
      <c r="X77" s="30" t="str">
        <f>IFERROR(__xludf.DUMMYFUNCTION("""COMPUTED_VALUE"""),"AP")</f>
        <v>AP</v>
      </c>
      <c r="Y77" s="365" t="str">
        <f>IFERROR(__xludf.DUMMYFUNCTION("""COMPUTED_VALUE"""),"BP/AP")</f>
        <v>BP/AP</v>
      </c>
      <c r="Z77" s="36" t="str">
        <f>IFERROR(__xludf.DUMMYFUNCTION("""COMPUTED_VALUE"""),"AP/Drop")</f>
        <v>AP/Drop</v>
      </c>
      <c r="AA77" s="28"/>
      <c r="AB77" s="36" t="str">
        <f>IFERROR(__xludf.DUMMYFUNCTION("""COMPUTED_VALUE"""),"Drop Chance")</f>
        <v>Drop Chance</v>
      </c>
      <c r="AC77" s="28"/>
      <c r="AD77" s="38" t="str">
        <f>IFERROR(__xludf.DUMMYFUNCTION("""COMPUTED_VALUE"""),"Runs")</f>
        <v>Runs</v>
      </c>
      <c r="AE77" s="355" t="str">
        <f>IFERROR(__xludf.DUMMYFUNCTION("""COMPUTED_VALUE"""),"")</f>
        <v/>
      </c>
      <c r="AF77" s="51" t="str">
        <f>IFERROR(__xludf.DUMMYFUNCTION("""COMPUTED_VALUE"""),"")</f>
        <v/>
      </c>
    </row>
    <row r="78" ht="16.5" customHeight="1">
      <c r="A78" s="54"/>
      <c r="B78" s="55"/>
      <c r="C78" s="57"/>
      <c r="D78" s="57"/>
      <c r="E78" s="57"/>
      <c r="F78" s="57"/>
      <c r="G78" s="57"/>
      <c r="H78" s="57"/>
      <c r="I78" s="58" t="str">
        <f>IFERROR(__xludf.DUMMYFUNCTION("""COMPUTED_VALUE"""),"1P+2L")</f>
        <v>1P+2L</v>
      </c>
      <c r="J78" s="55"/>
      <c r="K78" s="57"/>
      <c r="L78" s="55"/>
      <c r="M78" s="57"/>
      <c r="N78" s="57"/>
      <c r="O78" s="57"/>
      <c r="P78" s="42" t="str">
        <f>IFERROR(__xludf.DUMMYFUNCTION("""COMPUTED_VALUE"""),"")</f>
        <v/>
      </c>
      <c r="Q78" s="54"/>
      <c r="R78" s="55"/>
      <c r="S78" s="57"/>
      <c r="T78" s="57"/>
      <c r="U78" s="57"/>
      <c r="V78" s="57"/>
      <c r="W78" s="57"/>
      <c r="X78" s="57"/>
      <c r="Y78" s="58" t="str">
        <f>IFERROR(__xludf.DUMMYFUNCTION("""COMPUTED_VALUE"""),"1P+2L")</f>
        <v>1P+2L</v>
      </c>
      <c r="Z78" s="55"/>
      <c r="AA78" s="57"/>
      <c r="AB78" s="55"/>
      <c r="AC78" s="57"/>
      <c r="AD78" s="57"/>
      <c r="AE78" s="57"/>
      <c r="AF78" s="51" t="str">
        <f>IFERROR(__xludf.DUMMYFUNCTION("""COMPUTED_VALUE"""),"")</f>
        <v/>
      </c>
    </row>
    <row r="79" ht="16.5" customHeight="1">
      <c r="A79" s="61" t="str">
        <f>IFERROR(__xludf.DUMMYFUNCTION("""COMPUTED_VALUE"""),"")</f>
        <v/>
      </c>
      <c r="B79" s="63" t="str">
        <f>IFERROR(__xludf.DUMMYFUNCTION("""COMPUTED_VALUE"""),"A206")</f>
        <v>A206</v>
      </c>
      <c r="C79" s="65" t="str">
        <f>IFERROR(__xludf.DUMMYFUNCTION("""COMPUTED_VALUE"""),"Eternal Gear")</f>
        <v>Eternal Gear</v>
      </c>
      <c r="D79" s="70">
        <f>IFERROR(__xludf.DUMMYFUNCTION("""COMPUTED_VALUE"""),1.0)</f>
        <v>1</v>
      </c>
      <c r="E79" s="73" t="str">
        <f>IFERROR(__xludf.DUMMYFUNCTION("""COMPUTED_VALUE"""),"SJK6")</f>
        <v>SJK6</v>
      </c>
      <c r="F79" s="76" t="str">
        <f>IFERROR(__xludf.DUMMYFUNCTION("""COMPUTED_VALUE"""),"Shinjuku")</f>
        <v>Shinjuku</v>
      </c>
      <c r="G79" s="85" t="str">
        <f>IFERROR(__xludf.DUMMYFUNCTION("""COMPUTED_VALUE"""),"Barrel Tower")</f>
        <v>Barrel Tower</v>
      </c>
      <c r="H79" s="87">
        <f>IFERROR(__xludf.DUMMYFUNCTION("""COMPUTED_VALUE"""),21.0)</f>
        <v>21</v>
      </c>
      <c r="I79" s="90">
        <f>IFERROR(__xludf.DUMMYFUNCTION("""COMPUTED_VALUE"""),46.666666666666664)</f>
        <v>46.66666667</v>
      </c>
      <c r="J79" s="92">
        <f>IFERROR(__xludf.DUMMYFUNCTION("""COMPUTED_VALUE"""),46.01229599228483)</f>
        <v>46.01229599</v>
      </c>
      <c r="K79" s="94" t="str">
        <f>IFERROR(__xludf.DUMMYFUNCTION("""COMPUTED_VALUE"""),"AP")</f>
        <v>AP</v>
      </c>
      <c r="L79" s="96">
        <f>IFERROR(__xludf.DUMMYFUNCTION("""COMPUTED_VALUE"""),45.63997415717139)</f>
        <v>45.63997416</v>
      </c>
      <c r="M79" s="94" t="str">
        <f>IFERROR(__xludf.DUMMYFUNCTION("""COMPUTED_VALUE"""),"％")</f>
        <v>％</v>
      </c>
      <c r="N79" s="87">
        <f>IFERROR(__xludf.DUMMYFUNCTION("""COMPUTED_VALUE"""),8513.0)</f>
        <v>8513</v>
      </c>
      <c r="O79" s="97" t="str">
        <f>IFERROR(__xludf.DUMMYFUNCTION("""COMPUTED_VALUE"""),"Eternal Gear")</f>
        <v>Eternal Gear</v>
      </c>
      <c r="P79" s="362" t="str">
        <f>IFERROR(__xludf.DUMMYFUNCTION("""COMPUTED_VALUE"""),"")</f>
        <v/>
      </c>
      <c r="Q79" s="61" t="str">
        <f>IFERROR(__xludf.DUMMYFUNCTION("""COMPUTED_VALUE"""),"")</f>
        <v/>
      </c>
      <c r="R79" s="363" t="str">
        <f>IFERROR(__xludf.DUMMYFUNCTION("""COMPUTED_VALUE"""),"B121")</f>
        <v>B121</v>
      </c>
      <c r="S79" s="65" t="str">
        <f>IFERROR(__xludf.DUMMYFUNCTION("""COMPUTED_VALUE"""),"Gem of Saber")</f>
        <v>Gem of Saber</v>
      </c>
      <c r="T79" s="70">
        <f>IFERROR(__xludf.DUMMYFUNCTION("""COMPUTED_VALUE"""),1.0)</f>
        <v>1</v>
      </c>
      <c r="U79" s="73" t="str">
        <f>IFERROR(__xludf.DUMMYFUNCTION("""COMPUTED_VALUE"""),"TRF25")</f>
        <v>TRF25</v>
      </c>
      <c r="V79" s="76" t="str">
        <f>IFERROR(__xludf.DUMMYFUNCTION("""COMPUTED_VALUE"""),"Chaldea Gate (Sun)")</f>
        <v>Chaldea Gate (Sun)</v>
      </c>
      <c r="W79" s="76" t="str">
        <f>IFERROR(__xludf.DUMMYFUNCTION("""COMPUTED_VALUE"""),"SUN Saber Training Ground- Nov")</f>
        <v>SUN Saber Training Ground- Nov</v>
      </c>
      <c r="X79" s="87">
        <f>IFERROR(__xludf.DUMMYFUNCTION("""COMPUTED_VALUE"""),10.0)</f>
        <v>10</v>
      </c>
      <c r="Y79" s="90">
        <f>IFERROR(__xludf.DUMMYFUNCTION("""COMPUTED_VALUE"""),18.8)</f>
        <v>18.8</v>
      </c>
      <c r="Z79" s="92">
        <f>IFERROR(__xludf.DUMMYFUNCTION("""COMPUTED_VALUE"""),7.7327371045436255)</f>
        <v>7.732737105</v>
      </c>
      <c r="AA79" s="94" t="str">
        <f>IFERROR(__xludf.DUMMYFUNCTION("""COMPUTED_VALUE"""),"AP")</f>
        <v>AP</v>
      </c>
      <c r="AB79" s="96">
        <f>IFERROR(__xludf.DUMMYFUNCTION("""COMPUTED_VALUE"""),129.32031523642732)</f>
        <v>129.3203152</v>
      </c>
      <c r="AC79" s="94" t="str">
        <f>IFERROR(__xludf.DUMMYFUNCTION("""COMPUTED_VALUE"""),"％")</f>
        <v>％</v>
      </c>
      <c r="AD79" s="87">
        <f>IFERROR(__xludf.DUMMYFUNCTION("""COMPUTED_VALUE"""),4568.0)</f>
        <v>4568</v>
      </c>
      <c r="AE79" s="97" t="str">
        <f>IFERROR(__xludf.DUMMYFUNCTION("""COMPUTED_VALUE"""),"Gem of Saber")</f>
        <v>Gem of Saber</v>
      </c>
      <c r="AF79" s="364" t="str">
        <f>IFERROR(__xludf.DUMMYFUNCTION("""COMPUTED_VALUE"""),"")</f>
        <v/>
      </c>
    </row>
    <row r="80" ht="16.5" customHeight="1">
      <c r="B80" s="99"/>
      <c r="C80" s="100"/>
      <c r="D80" s="105">
        <f>IFERROR(__xludf.DUMMYFUNCTION("""COMPUTED_VALUE"""),2.0)</f>
        <v>2</v>
      </c>
      <c r="E80" s="106" t="str">
        <f>IFERROR(__xludf.DUMMYFUNCTION("""COMPUTED_VALUE"""),"EPU14")</f>
        <v>EPU14</v>
      </c>
      <c r="F80" s="107" t="str">
        <f>IFERROR(__xludf.DUMMYFUNCTION("""COMPUTED_VALUE"""),"E Pluribus Unum")</f>
        <v>E Pluribus Unum</v>
      </c>
      <c r="G80" s="114" t="str">
        <f>IFERROR(__xludf.DUMMYFUNCTION("""COMPUTED_VALUE"""),"Chicago")</f>
        <v>Chicago</v>
      </c>
      <c r="H80" s="116">
        <f>IFERROR(__xludf.DUMMYFUNCTION("""COMPUTED_VALUE"""),21.0)</f>
        <v>21</v>
      </c>
      <c r="I80" s="118">
        <f>IFERROR(__xludf.DUMMYFUNCTION("""COMPUTED_VALUE"""),46.666666666666664)</f>
        <v>46.66666667</v>
      </c>
      <c r="J80" s="120">
        <f>IFERROR(__xludf.DUMMYFUNCTION("""COMPUTED_VALUE"""),51.258916500263034)</f>
        <v>51.2589165</v>
      </c>
      <c r="K80" s="122" t="str">
        <f>IFERROR(__xludf.DUMMYFUNCTION("""COMPUTED_VALUE"""),"AP")</f>
        <v>AP</v>
      </c>
      <c r="L80" s="124">
        <f>IFERROR(__xludf.DUMMYFUNCTION("""COMPUTED_VALUE"""),40.96848203939746)</f>
        <v>40.96848204</v>
      </c>
      <c r="M80" s="122" t="str">
        <f>IFERROR(__xludf.DUMMYFUNCTION("""COMPUTED_VALUE"""),"％")</f>
        <v>％</v>
      </c>
      <c r="N80" s="116">
        <f>IFERROR(__xludf.DUMMYFUNCTION("""COMPUTED_VALUE"""),3452.0)</f>
        <v>3452</v>
      </c>
      <c r="O80" s="100"/>
      <c r="P80" s="362" t="str">
        <f>IFERROR(__xludf.DUMMYFUNCTION("""COMPUTED_VALUE"""),"")</f>
        <v/>
      </c>
      <c r="R80" s="99"/>
      <c r="S80" s="100"/>
      <c r="T80" s="105">
        <f>IFERROR(__xludf.DUMMYFUNCTION("""COMPUTED_VALUE"""),2.0)</f>
        <v>2</v>
      </c>
      <c r="U80" s="106" t="str">
        <f>IFERROR(__xludf.DUMMYFUNCTION("""COMPUTED_VALUE"""),"TRF26")</f>
        <v>TRF26</v>
      </c>
      <c r="V80" s="107" t="str">
        <f>IFERROR(__xludf.DUMMYFUNCTION("""COMPUTED_VALUE"""),"Chaldea Gate (Sun)")</f>
        <v>Chaldea Gate (Sun)</v>
      </c>
      <c r="W80" s="107" t="str">
        <f>IFERROR(__xludf.DUMMYFUNCTION("""COMPUTED_VALUE"""),"SUN Saber Training Ground- Int")</f>
        <v>SUN Saber Training Ground- Int</v>
      </c>
      <c r="X80" s="116">
        <f>IFERROR(__xludf.DUMMYFUNCTION("""COMPUTED_VALUE"""),20.0)</f>
        <v>20</v>
      </c>
      <c r="Y80" s="118">
        <f>IFERROR(__xludf.DUMMYFUNCTION("""COMPUTED_VALUE"""),18.4)</f>
        <v>18.4</v>
      </c>
      <c r="Z80" s="120">
        <f>IFERROR(__xludf.DUMMYFUNCTION("""COMPUTED_VALUE"""),18.25578335930701)</f>
        <v>18.25578336</v>
      </c>
      <c r="AA80" s="122" t="str">
        <f>IFERROR(__xludf.DUMMYFUNCTION("""COMPUTED_VALUE"""),"AP")</f>
        <v>AP</v>
      </c>
      <c r="AB80" s="124">
        <f>IFERROR(__xludf.DUMMYFUNCTION("""COMPUTED_VALUE"""),109.55432372505543)</f>
        <v>109.5543237</v>
      </c>
      <c r="AC80" s="122" t="str">
        <f>IFERROR(__xludf.DUMMYFUNCTION("""COMPUTED_VALUE"""),"％")</f>
        <v>％</v>
      </c>
      <c r="AD80" s="116">
        <f>IFERROR(__xludf.DUMMYFUNCTION("""COMPUTED_VALUE"""),451.0)</f>
        <v>451</v>
      </c>
      <c r="AE80" s="100"/>
      <c r="AF80" s="364" t="str">
        <f>IFERROR(__xludf.DUMMYFUNCTION("""COMPUTED_VALUE"""),"")</f>
        <v/>
      </c>
    </row>
    <row r="81" ht="16.5" customHeight="1">
      <c r="B81" s="99"/>
      <c r="C81" s="100"/>
      <c r="D81" s="128">
        <f>IFERROR(__xludf.DUMMYFUNCTION("""COMPUTED_VALUE"""),3.0)</f>
        <v>3</v>
      </c>
      <c r="E81" s="129" t="str">
        <f>IFERROR(__xludf.DUMMYFUNCTION("""COMPUTED_VALUE"""),"SJK5")</f>
        <v>SJK5</v>
      </c>
      <c r="F81" s="131" t="str">
        <f>IFERROR(__xludf.DUMMYFUNCTION("""COMPUTED_VALUE"""),"Shinjuku")</f>
        <v>Shinjuku</v>
      </c>
      <c r="G81" s="134" t="str">
        <f>IFERROR(__xludf.DUMMYFUNCTION("""COMPUTED_VALUE"""),"Kabukicho")</f>
        <v>Kabukicho</v>
      </c>
      <c r="H81" s="136">
        <f>IFERROR(__xludf.DUMMYFUNCTION("""COMPUTED_VALUE"""),21.0)</f>
        <v>21</v>
      </c>
      <c r="I81" s="138">
        <f>IFERROR(__xludf.DUMMYFUNCTION("""COMPUTED_VALUE"""),46.666666666666664)</f>
        <v>46.66666667</v>
      </c>
      <c r="J81" s="140">
        <f>IFERROR(__xludf.DUMMYFUNCTION("""COMPUTED_VALUE"""),66.95238502701955)</f>
        <v>66.95238503</v>
      </c>
      <c r="K81" s="142" t="str">
        <f>IFERROR(__xludf.DUMMYFUNCTION("""COMPUTED_VALUE"""),"AP")</f>
        <v>AP</v>
      </c>
      <c r="L81" s="144">
        <f>IFERROR(__xludf.DUMMYFUNCTION("""COMPUTED_VALUE"""),31.36557419354839)</f>
        <v>31.36557419</v>
      </c>
      <c r="M81" s="142" t="str">
        <f>IFERROR(__xludf.DUMMYFUNCTION("""COMPUTED_VALUE"""),"％")</f>
        <v>％</v>
      </c>
      <c r="N81" s="136">
        <f>IFERROR(__xludf.DUMMYFUNCTION("""COMPUTED_VALUE"""),3875.0)</f>
        <v>3875</v>
      </c>
      <c r="O81" s="100"/>
      <c r="P81" s="362" t="str">
        <f>IFERROR(__xludf.DUMMYFUNCTION("""COMPUTED_VALUE"""),"")</f>
        <v/>
      </c>
      <c r="R81" s="99"/>
      <c r="S81" s="100"/>
      <c r="T81" s="128">
        <f>IFERROR(__xludf.DUMMYFUNCTION("""COMPUTED_VALUE"""),3.0)</f>
        <v>3</v>
      </c>
      <c r="U81" s="129" t="str">
        <f>IFERROR(__xludf.DUMMYFUNCTION("""COMPUTED_VALUE"""),"AGT11")</f>
        <v>AGT11</v>
      </c>
      <c r="V81" s="131" t="str">
        <f>IFERROR(__xludf.DUMMYFUNCTION("""COMPUTED_VALUE"""),"Agartha")</f>
        <v>Agartha</v>
      </c>
      <c r="W81" s="134" t="str">
        <f>IFERROR(__xludf.DUMMYFUNCTION("""COMPUTED_VALUE"""),"El Dorado")</f>
        <v>El Dorado</v>
      </c>
      <c r="X81" s="136">
        <f>IFERROR(__xludf.DUMMYFUNCTION("""COMPUTED_VALUE"""),21.0)</f>
        <v>21</v>
      </c>
      <c r="Y81" s="138">
        <f>IFERROR(__xludf.DUMMYFUNCTION("""COMPUTED_VALUE"""),48.95238095238095)</f>
        <v>48.95238095</v>
      </c>
      <c r="Z81" s="140">
        <f>IFERROR(__xludf.DUMMYFUNCTION("""COMPUTED_VALUE"""),40.23205221174764)</f>
        <v>40.23205221</v>
      </c>
      <c r="AA81" s="142" t="str">
        <f>IFERROR(__xludf.DUMMYFUNCTION("""COMPUTED_VALUE"""),"AP")</f>
        <v>AP</v>
      </c>
      <c r="AB81" s="144">
        <f>IFERROR(__xludf.DUMMYFUNCTION("""COMPUTED_VALUE"""),52.19718817591925)</f>
        <v>52.19718818</v>
      </c>
      <c r="AC81" s="142" t="str">
        <f>IFERROR(__xludf.DUMMYFUNCTION("""COMPUTED_VALUE"""),"％")</f>
        <v>％</v>
      </c>
      <c r="AD81" s="136">
        <f>IFERROR(__xludf.DUMMYFUNCTION("""COMPUTED_VALUE"""),1387.0)</f>
        <v>1387</v>
      </c>
      <c r="AE81" s="100"/>
      <c r="AF81" s="364" t="str">
        <f>IFERROR(__xludf.DUMMYFUNCTION("""COMPUTED_VALUE"""),"")</f>
        <v/>
      </c>
    </row>
    <row r="82" ht="16.5" customHeight="1">
      <c r="B82" s="99"/>
      <c r="C82" s="100"/>
      <c r="D82" s="147">
        <f>IFERROR(__xludf.DUMMYFUNCTION("""COMPUTED_VALUE"""),4.0)</f>
        <v>4</v>
      </c>
      <c r="E82" s="149" t="str">
        <f>IFERROR(__xludf.DUMMYFUNCTION("""COMPUTED_VALUE"""),"LDN7")</f>
        <v>LDN7</v>
      </c>
      <c r="F82" s="151" t="str">
        <f>IFERROR(__xludf.DUMMYFUNCTION("""COMPUTED_VALUE"""),"London")</f>
        <v>London</v>
      </c>
      <c r="G82" s="153" t="str">
        <f>IFERROR(__xludf.DUMMYFUNCTION("""COMPUTED_VALUE"""),"Clerkenwell")</f>
        <v>Clerkenwell</v>
      </c>
      <c r="H82" s="155">
        <f>IFERROR(__xludf.DUMMYFUNCTION("""COMPUTED_VALUE"""),18.0)</f>
        <v>18</v>
      </c>
      <c r="I82" s="157">
        <f>IFERROR(__xludf.DUMMYFUNCTION("""COMPUTED_VALUE"""),43.77777777777778)</f>
        <v>43.77777778</v>
      </c>
      <c r="J82" s="159">
        <f>IFERROR(__xludf.DUMMYFUNCTION("""COMPUTED_VALUE"""),70.22763496669255)</f>
        <v>70.22763497</v>
      </c>
      <c r="K82" s="161" t="str">
        <f>IFERROR(__xludf.DUMMYFUNCTION("""COMPUTED_VALUE"""),"AP")</f>
        <v>AP</v>
      </c>
      <c r="L82" s="163">
        <f>IFERROR(__xludf.DUMMYFUNCTION("""COMPUTED_VALUE"""),25.630935754189945)</f>
        <v>25.63093575</v>
      </c>
      <c r="M82" s="161" t="str">
        <f>IFERROR(__xludf.DUMMYFUNCTION("""COMPUTED_VALUE"""),"％")</f>
        <v>％</v>
      </c>
      <c r="N82" s="155">
        <f>IFERROR(__xludf.DUMMYFUNCTION("""COMPUTED_VALUE"""),2864.0)</f>
        <v>2864</v>
      </c>
      <c r="O82" s="100"/>
      <c r="P82" s="362" t="str">
        <f>IFERROR(__xludf.DUMMYFUNCTION("""COMPUTED_VALUE"""),"")</f>
        <v/>
      </c>
      <c r="R82" s="99"/>
      <c r="S82" s="100"/>
      <c r="T82" s="147">
        <f>IFERROR(__xludf.DUMMYFUNCTION("""COMPUTED_VALUE"""),4.0)</f>
        <v>4</v>
      </c>
      <c r="U82" s="149" t="str">
        <f>IFERROR(__xludf.DUMMYFUNCTION("""COMPUTED_VALUE"""),"OKN11")</f>
        <v>OKN11</v>
      </c>
      <c r="V82" s="151" t="str">
        <f>IFERROR(__xludf.DUMMYFUNCTION("""COMPUTED_VALUE"""),"Okeanos")</f>
        <v>Okeanos</v>
      </c>
      <c r="W82" s="153" t="str">
        <f>IFERROR(__xludf.DUMMYFUNCTION("""COMPUTED_VALUE"""),"Archipelago (Hidden island)")</f>
        <v>Archipelago (Hidden island)</v>
      </c>
      <c r="X82" s="155">
        <f>IFERROR(__xludf.DUMMYFUNCTION("""COMPUTED_VALUE"""),16.0)</f>
        <v>16</v>
      </c>
      <c r="Y82" s="157">
        <f>IFERROR(__xludf.DUMMYFUNCTION("""COMPUTED_VALUE"""),38.75)</f>
        <v>38.75</v>
      </c>
      <c r="Z82" s="159">
        <f>IFERROR(__xludf.DUMMYFUNCTION("""COMPUTED_VALUE"""),33.56660873921688)</f>
        <v>33.56660874</v>
      </c>
      <c r="AA82" s="161" t="str">
        <f>IFERROR(__xludf.DUMMYFUNCTION("""COMPUTED_VALUE"""),"AP")</f>
        <v>AP</v>
      </c>
      <c r="AB82" s="163">
        <f>IFERROR(__xludf.DUMMYFUNCTION("""COMPUTED_VALUE"""),47.66641791044776)</f>
        <v>47.66641791</v>
      </c>
      <c r="AC82" s="161" t="str">
        <f>IFERROR(__xludf.DUMMYFUNCTION("""COMPUTED_VALUE"""),"％")</f>
        <v>％</v>
      </c>
      <c r="AD82" s="155">
        <f>IFERROR(__xludf.DUMMYFUNCTION("""COMPUTED_VALUE"""),804.0)</f>
        <v>804</v>
      </c>
      <c r="AE82" s="100"/>
      <c r="AF82" s="364" t="str">
        <f>IFERROR(__xludf.DUMMYFUNCTION("""COMPUTED_VALUE"""),"")</f>
        <v/>
      </c>
    </row>
    <row r="83" ht="16.5" customHeight="1">
      <c r="A83" s="166"/>
      <c r="B83" s="167"/>
      <c r="C83" s="168"/>
      <c r="D83" s="169">
        <f>IFERROR(__xludf.DUMMYFUNCTION("""COMPUTED_VALUE"""),5.0)</f>
        <v>5</v>
      </c>
      <c r="E83" s="170" t="str">
        <f>IFERROR(__xludf.DUMMYFUNCTION("""COMPUTED_VALUE"""),"SJK8")</f>
        <v>SJK8</v>
      </c>
      <c r="F83" s="51" t="str">
        <f>IFERROR(__xludf.DUMMYFUNCTION("""COMPUTED_VALUE"""),"Shinjuku")</f>
        <v>Shinjuku</v>
      </c>
      <c r="G83" s="171" t="str">
        <f>IFERROR(__xludf.DUMMYFUNCTION("""COMPUTED_VALUE"""),"Tower - Top Floor")</f>
        <v>Tower - Top Floor</v>
      </c>
      <c r="H83" s="172">
        <f>IFERROR(__xludf.DUMMYFUNCTION("""COMPUTED_VALUE"""),21.0)</f>
        <v>21</v>
      </c>
      <c r="I83" s="173">
        <f>IFERROR(__xludf.DUMMYFUNCTION("""COMPUTED_VALUE"""),47.80952380952381)</f>
        <v>47.80952381</v>
      </c>
      <c r="J83" s="174">
        <f>IFERROR(__xludf.DUMMYFUNCTION("""COMPUTED_VALUE"""),98.51327944572748)</f>
        <v>98.51327945</v>
      </c>
      <c r="K83" s="175" t="str">
        <f>IFERROR(__xludf.DUMMYFUNCTION("""COMPUTED_VALUE"""),"AP")</f>
        <v>AP</v>
      </c>
      <c r="L83" s="176">
        <f>IFERROR(__xludf.DUMMYFUNCTION("""COMPUTED_VALUE"""),21.31692307692308)</f>
        <v>21.31692308</v>
      </c>
      <c r="M83" s="175" t="str">
        <f>IFERROR(__xludf.DUMMYFUNCTION("""COMPUTED_VALUE"""),"％")</f>
        <v>％</v>
      </c>
      <c r="N83" s="172">
        <f>IFERROR(__xludf.DUMMYFUNCTION("""COMPUTED_VALUE"""),3250.0)</f>
        <v>3250</v>
      </c>
      <c r="O83" s="168"/>
      <c r="P83" s="362" t="str">
        <f>IFERROR(__xludf.DUMMYFUNCTION("""COMPUTED_VALUE"""),"")</f>
        <v/>
      </c>
      <c r="Q83" s="166"/>
      <c r="R83" s="167"/>
      <c r="S83" s="168"/>
      <c r="T83" s="169">
        <f>IFERROR(__xludf.DUMMYFUNCTION("""COMPUTED_VALUE"""),5.0)</f>
        <v>5</v>
      </c>
      <c r="U83" s="170" t="str">
        <f>IFERROR(__xludf.DUMMYFUNCTION("""COMPUTED_VALUE"""),"AGT3")</f>
        <v>AGT3</v>
      </c>
      <c r="V83" s="51" t="str">
        <f>IFERROR(__xludf.DUMMYFUNCTION("""COMPUTED_VALUE"""),"Agartha")</f>
        <v>Agartha</v>
      </c>
      <c r="W83" s="171" t="str">
        <f>IFERROR(__xludf.DUMMYFUNCTION("""COMPUTED_VALUE"""),"Riverside Town")</f>
        <v>Riverside Town</v>
      </c>
      <c r="X83" s="172">
        <f>IFERROR(__xludf.DUMMYFUNCTION("""COMPUTED_VALUE"""),20.0)</f>
        <v>20</v>
      </c>
      <c r="Y83" s="173">
        <f>IFERROR(__xludf.DUMMYFUNCTION("""COMPUTED_VALUE"""),46.6)</f>
        <v>46.6</v>
      </c>
      <c r="Z83" s="174">
        <f>IFERROR(__xludf.DUMMYFUNCTION("""COMPUTED_VALUE"""),50.88127428656651)</f>
        <v>50.88127429</v>
      </c>
      <c r="AA83" s="175" t="str">
        <f>IFERROR(__xludf.DUMMYFUNCTION("""COMPUTED_VALUE"""),"AP")</f>
        <v>AP</v>
      </c>
      <c r="AB83" s="176">
        <f>IFERROR(__xludf.DUMMYFUNCTION("""COMPUTED_VALUE"""),39.30719165435746)</f>
        <v>39.30719165</v>
      </c>
      <c r="AC83" s="175" t="str">
        <f>IFERROR(__xludf.DUMMYFUNCTION("""COMPUTED_VALUE"""),"％")</f>
        <v>％</v>
      </c>
      <c r="AD83" s="172">
        <f>IFERROR(__xludf.DUMMYFUNCTION("""COMPUTED_VALUE"""),10832.0)</f>
        <v>10832</v>
      </c>
      <c r="AE83" s="168"/>
      <c r="AF83" s="364" t="str">
        <f>IFERROR(__xludf.DUMMYFUNCTION("""COMPUTED_VALUE"""),"")</f>
        <v/>
      </c>
    </row>
    <row r="84" ht="16.5" customHeight="1">
      <c r="A84" s="61" t="str">
        <f>IFERROR(__xludf.DUMMYFUNCTION("""COMPUTED_VALUE"""),"")</f>
        <v/>
      </c>
      <c r="B84" s="366" t="str">
        <f>IFERROR(__xludf.DUMMYFUNCTION("""COMPUTED_VALUE"""),"A207")</f>
        <v>A207</v>
      </c>
      <c r="C84" s="180" t="str">
        <f>IFERROR(__xludf.DUMMYFUNCTION("""COMPUTED_VALUE"""),"Forbidden Page")</f>
        <v>Forbidden Page</v>
      </c>
      <c r="D84" s="185">
        <f>IFERROR(__xludf.DUMMYFUNCTION("""COMPUTED_VALUE"""),1.0)</f>
        <v>1</v>
      </c>
      <c r="E84" s="187" t="str">
        <f>IFERROR(__xludf.DUMMYFUNCTION("""COMPUTED_VALUE"""),"SJK10")</f>
        <v>SJK10</v>
      </c>
      <c r="F84" s="188" t="str">
        <f>IFERROR(__xludf.DUMMYFUNCTION("""COMPUTED_VALUE"""),"Shinjuku")</f>
        <v>Shinjuku</v>
      </c>
      <c r="G84" s="193" t="str">
        <f>IFERROR(__xludf.DUMMYFUNCTION("""COMPUTED_VALUE"""),"Shinjuku 2-chome")</f>
        <v>Shinjuku 2-chome</v>
      </c>
      <c r="H84" s="195">
        <f>IFERROR(__xludf.DUMMYFUNCTION("""COMPUTED_VALUE"""),21.0)</f>
        <v>21</v>
      </c>
      <c r="I84" s="196">
        <f>IFERROR(__xludf.DUMMYFUNCTION("""COMPUTED_VALUE"""),48.95238095238095)</f>
        <v>48.95238095</v>
      </c>
      <c r="J84" s="198">
        <f>IFERROR(__xludf.DUMMYFUNCTION("""COMPUTED_VALUE"""),69.01769669351253)</f>
        <v>69.01769669</v>
      </c>
      <c r="K84" s="200" t="str">
        <f>IFERROR(__xludf.DUMMYFUNCTION("""COMPUTED_VALUE"""),"AP")</f>
        <v>AP</v>
      </c>
      <c r="L84" s="198">
        <f>IFERROR(__xludf.DUMMYFUNCTION("""COMPUTED_VALUE"""),30.426978885219654)</f>
        <v>30.42697889</v>
      </c>
      <c r="M84" s="201" t="str">
        <f>IFERROR(__xludf.DUMMYFUNCTION("""COMPUTED_VALUE"""),"％")</f>
        <v>％</v>
      </c>
      <c r="N84" s="195">
        <f>IFERROR(__xludf.DUMMYFUNCTION("""COMPUTED_VALUE"""),39972.0)</f>
        <v>39972</v>
      </c>
      <c r="O84" s="197" t="str">
        <f>IFERROR(__xludf.DUMMYFUNCTION("""COMPUTED_VALUE"""),"Forbidden Page")</f>
        <v>Forbidden Page</v>
      </c>
      <c r="P84" s="93" t="str">
        <f>IFERROR(__xludf.DUMMYFUNCTION("""COMPUTED_VALUE"""),"")</f>
        <v/>
      </c>
      <c r="Q84" s="61" t="str">
        <f>IFERROR(__xludf.DUMMYFUNCTION("""COMPUTED_VALUE"""),"")</f>
        <v/>
      </c>
      <c r="R84" s="366" t="str">
        <f>IFERROR(__xludf.DUMMYFUNCTION("""COMPUTED_VALUE"""),"B122")</f>
        <v>B122</v>
      </c>
      <c r="S84" s="180" t="str">
        <f>IFERROR(__xludf.DUMMYFUNCTION("""COMPUTED_VALUE"""),"Gem of Archer")</f>
        <v>Gem of Archer</v>
      </c>
      <c r="T84" s="185">
        <f>IFERROR(__xludf.DUMMYFUNCTION("""COMPUTED_VALUE"""),1.0)</f>
        <v>1</v>
      </c>
      <c r="U84" s="187" t="str">
        <f>IFERROR(__xludf.DUMMYFUNCTION("""COMPUTED_VALUE"""),"TRF2")</f>
        <v>TRF2</v>
      </c>
      <c r="V84" s="188" t="str">
        <f>IFERROR(__xludf.DUMMYFUNCTION("""COMPUTED_VALUE"""),"Chaldea Gate (Mon)")</f>
        <v>Chaldea Gate (Mon)</v>
      </c>
      <c r="W84" s="188" t="str">
        <f>IFERROR(__xludf.DUMMYFUNCTION("""COMPUTED_VALUE"""),"MON Archer Training Ground- Int")</f>
        <v>MON Archer Training Ground- Int</v>
      </c>
      <c r="X84" s="195">
        <f>IFERROR(__xludf.DUMMYFUNCTION("""COMPUTED_VALUE"""),20.0)</f>
        <v>20</v>
      </c>
      <c r="Y84" s="196">
        <f>IFERROR(__xludf.DUMMYFUNCTION("""COMPUTED_VALUE"""),18.4)</f>
        <v>18.4</v>
      </c>
      <c r="Z84" s="198">
        <f>IFERROR(__xludf.DUMMYFUNCTION("""COMPUTED_VALUE"""),14.445016132832597)</f>
        <v>14.44501613</v>
      </c>
      <c r="AA84" s="200" t="str">
        <f>IFERROR(__xludf.DUMMYFUNCTION("""COMPUTED_VALUE"""),"AP")</f>
        <v>AP</v>
      </c>
      <c r="AB84" s="198">
        <f>IFERROR(__xludf.DUMMYFUNCTION("""COMPUTED_VALUE"""),138.45605858854861)</f>
        <v>138.4560586</v>
      </c>
      <c r="AC84" s="201" t="str">
        <f>IFERROR(__xludf.DUMMYFUNCTION("""COMPUTED_VALUE"""),"％")</f>
        <v>％</v>
      </c>
      <c r="AD84" s="195">
        <f>IFERROR(__xludf.DUMMYFUNCTION("""COMPUTED_VALUE"""),751.0)</f>
        <v>751</v>
      </c>
      <c r="AE84" s="197" t="str">
        <f>IFERROR(__xludf.DUMMYFUNCTION("""COMPUTED_VALUE"""),"Gem of Archer")</f>
        <v>Gem of Archer</v>
      </c>
      <c r="AF84" s="98" t="str">
        <f>IFERROR(__xludf.DUMMYFUNCTION("""COMPUTED_VALUE"""),"")</f>
        <v/>
      </c>
    </row>
    <row r="85" ht="16.5" customHeight="1">
      <c r="C85" s="204"/>
      <c r="D85" s="208">
        <f>IFERROR(__xludf.DUMMYFUNCTION("""COMPUTED_VALUE"""),2.0)</f>
        <v>2</v>
      </c>
      <c r="E85" s="210" t="str">
        <f>IFERROR(__xludf.DUMMYFUNCTION("""COMPUTED_VALUE"""),"LDN9")</f>
        <v>LDN9</v>
      </c>
      <c r="F85" s="212" t="str">
        <f>IFERROR(__xludf.DUMMYFUNCTION("""COMPUTED_VALUE"""),"London")</f>
        <v>London</v>
      </c>
      <c r="G85" s="216" t="str">
        <f>IFERROR(__xludf.DUMMYFUNCTION("""COMPUTED_VALUE"""),"Hyde Park")</f>
        <v>Hyde Park</v>
      </c>
      <c r="H85" s="218">
        <f>IFERROR(__xludf.DUMMYFUNCTION("""COMPUTED_VALUE"""),20.0)</f>
        <v>20</v>
      </c>
      <c r="I85" s="219">
        <f>IFERROR(__xludf.DUMMYFUNCTION("""COMPUTED_VALUE"""),44.2)</f>
        <v>44.2</v>
      </c>
      <c r="J85" s="220">
        <f>IFERROR(__xludf.DUMMYFUNCTION("""COMPUTED_VALUE"""),73.75018333309625)</f>
        <v>73.75018333</v>
      </c>
      <c r="K85" s="221" t="str">
        <f>IFERROR(__xludf.DUMMYFUNCTION("""COMPUTED_VALUE"""),"AP")</f>
        <v>AP</v>
      </c>
      <c r="L85" s="220">
        <f>IFERROR(__xludf.DUMMYFUNCTION("""COMPUTED_VALUE"""),27.118576654472896)</f>
        <v>27.11857665</v>
      </c>
      <c r="M85" s="221" t="str">
        <f>IFERROR(__xludf.DUMMYFUNCTION("""COMPUTED_VALUE"""),"％")</f>
        <v>％</v>
      </c>
      <c r="N85" s="218">
        <f>IFERROR(__xludf.DUMMYFUNCTION("""COMPUTED_VALUE"""),15035.0)</f>
        <v>15035</v>
      </c>
      <c r="O85" s="217"/>
      <c r="P85" s="93" t="str">
        <f>IFERROR(__xludf.DUMMYFUNCTION("""COMPUTED_VALUE"""),"")</f>
        <v/>
      </c>
      <c r="S85" s="204"/>
      <c r="T85" s="208">
        <f>IFERROR(__xludf.DUMMYFUNCTION("""COMPUTED_VALUE"""),2.0)</f>
        <v>2</v>
      </c>
      <c r="U85" s="210" t="str">
        <f>IFERROR(__xludf.DUMMYFUNCTION("""COMPUTED_VALUE"""),"TRF1")</f>
        <v>TRF1</v>
      </c>
      <c r="V85" s="212" t="str">
        <f>IFERROR(__xludf.DUMMYFUNCTION("""COMPUTED_VALUE"""),"Chaldea Gate (Mon)")</f>
        <v>Chaldea Gate (Mon)</v>
      </c>
      <c r="W85" s="212" t="str">
        <f>IFERROR(__xludf.DUMMYFUNCTION("""COMPUTED_VALUE"""),"MON Archer Training Ground- Nov")</f>
        <v>MON Archer Training Ground- Nov</v>
      </c>
      <c r="X85" s="218">
        <f>IFERROR(__xludf.DUMMYFUNCTION("""COMPUTED_VALUE"""),10.0)</f>
        <v>10</v>
      </c>
      <c r="Y85" s="219">
        <f>IFERROR(__xludf.DUMMYFUNCTION("""COMPUTED_VALUE"""),18.8)</f>
        <v>18.8</v>
      </c>
      <c r="Z85" s="220">
        <f>IFERROR(__xludf.DUMMYFUNCTION("""COMPUTED_VALUE"""),7.42093531372073)</f>
        <v>7.420935314</v>
      </c>
      <c r="AA85" s="221" t="str">
        <f>IFERROR(__xludf.DUMMYFUNCTION("""COMPUTED_VALUE"""),"AP")</f>
        <v>AP</v>
      </c>
      <c r="AB85" s="220">
        <f>IFERROR(__xludf.DUMMYFUNCTION("""COMPUTED_VALUE"""),134.7539033457249)</f>
        <v>134.7539033</v>
      </c>
      <c r="AC85" s="221" t="str">
        <f>IFERROR(__xludf.DUMMYFUNCTION("""COMPUTED_VALUE"""),"％")</f>
        <v>％</v>
      </c>
      <c r="AD85" s="218">
        <f>IFERROR(__xludf.DUMMYFUNCTION("""COMPUTED_VALUE"""),1883.0)</f>
        <v>1883</v>
      </c>
      <c r="AE85" s="217"/>
      <c r="AF85" s="98" t="str">
        <f>IFERROR(__xludf.DUMMYFUNCTION("""COMPUTED_VALUE"""),"")</f>
        <v/>
      </c>
    </row>
    <row r="86" ht="16.5" customHeight="1">
      <c r="C86" s="204"/>
      <c r="D86" s="225">
        <f>IFERROR(__xludf.DUMMYFUNCTION("""COMPUTED_VALUE"""),3.0)</f>
        <v>3</v>
      </c>
      <c r="E86" s="227" t="str">
        <f>IFERROR(__xludf.DUMMYFUNCTION("""COMPUTED_VALUE"""),"TRF20")</f>
        <v>TRF20</v>
      </c>
      <c r="F86" s="229" t="str">
        <f>IFERROR(__xludf.DUMMYFUNCTION("""COMPUTED_VALUE"""),"Chaldea Gate (Fri)")</f>
        <v>Chaldea Gate (Fri)</v>
      </c>
      <c r="G86" s="229" t="str">
        <f>IFERROR(__xludf.DUMMYFUNCTION("""COMPUTED_VALUE"""),"FRI Caster Training Ground- Exp")</f>
        <v>FRI Caster Training Ground- Exp</v>
      </c>
      <c r="H86" s="234">
        <f>IFERROR(__xludf.DUMMYFUNCTION("""COMPUTED_VALUE"""),40.0)</f>
        <v>40</v>
      </c>
      <c r="I86" s="235">
        <f>IFERROR(__xludf.DUMMYFUNCTION("""COMPUTED_VALUE"""),19.7)</f>
        <v>19.7</v>
      </c>
      <c r="J86" s="236">
        <f>IFERROR(__xludf.DUMMYFUNCTION("""COMPUTED_VALUE"""),196.11510851176152)</f>
        <v>196.1151085</v>
      </c>
      <c r="K86" s="237" t="str">
        <f>IFERROR(__xludf.DUMMYFUNCTION("""COMPUTED_VALUE"""),"AP")</f>
        <v>AP</v>
      </c>
      <c r="L86" s="236">
        <f>IFERROR(__xludf.DUMMYFUNCTION("""COMPUTED_VALUE"""),20.396184824078)</f>
        <v>20.39618482</v>
      </c>
      <c r="M86" s="237" t="str">
        <f>IFERROR(__xludf.DUMMYFUNCTION("""COMPUTED_VALUE"""),"％")</f>
        <v>％</v>
      </c>
      <c r="N86" s="234">
        <f>IFERROR(__xludf.DUMMYFUNCTION("""COMPUTED_VALUE"""),11795.0)</f>
        <v>11795</v>
      </c>
      <c r="O86" s="217"/>
      <c r="P86" s="93" t="str">
        <f>IFERROR(__xludf.DUMMYFUNCTION("""COMPUTED_VALUE"""),"")</f>
        <v/>
      </c>
      <c r="S86" s="204"/>
      <c r="T86" s="225">
        <f>IFERROR(__xludf.DUMMYFUNCTION("""COMPUTED_VALUE"""),3.0)</f>
        <v>3</v>
      </c>
      <c r="U86" s="227" t="str">
        <f>IFERROR(__xludf.DUMMYFUNCTION("""COMPUTED_VALUE"""),"EPU1")</f>
        <v>EPU1</v>
      </c>
      <c r="V86" s="229" t="str">
        <f>IFERROR(__xludf.DUMMYFUNCTION("""COMPUTED_VALUE"""),"E Pluribus Unum")</f>
        <v>E Pluribus Unum</v>
      </c>
      <c r="W86" s="233" t="str">
        <f>IFERROR(__xludf.DUMMYFUNCTION("""COMPUTED_VALUE"""),"Black Hills")</f>
        <v>Black Hills</v>
      </c>
      <c r="X86" s="234">
        <f>IFERROR(__xludf.DUMMYFUNCTION("""COMPUTED_VALUE"""),17.0)</f>
        <v>17</v>
      </c>
      <c r="Y86" s="235">
        <f>IFERROR(__xludf.DUMMYFUNCTION("""COMPUTED_VALUE"""),40.705882352941174)</f>
        <v>40.70588235</v>
      </c>
      <c r="Z86" s="236">
        <f>IFERROR(__xludf.DUMMYFUNCTION("""COMPUTED_VALUE"""),40.69173757891848)</f>
        <v>40.69173758</v>
      </c>
      <c r="AA86" s="237" t="str">
        <f>IFERROR(__xludf.DUMMYFUNCTION("""COMPUTED_VALUE"""),"AP")</f>
        <v>AP</v>
      </c>
      <c r="AB86" s="236">
        <f>IFERROR(__xludf.DUMMYFUNCTION("""COMPUTED_VALUE"""),41.777522935779814)</f>
        <v>41.77752294</v>
      </c>
      <c r="AC86" s="237" t="str">
        <f>IFERROR(__xludf.DUMMYFUNCTION("""COMPUTED_VALUE"""),"％")</f>
        <v>％</v>
      </c>
      <c r="AD86" s="234">
        <f>IFERROR(__xludf.DUMMYFUNCTION("""COMPUTED_VALUE"""),218.0)</f>
        <v>218</v>
      </c>
      <c r="AE86" s="217"/>
      <c r="AF86" s="98" t="str">
        <f>IFERROR(__xludf.DUMMYFUNCTION("""COMPUTED_VALUE"""),"")</f>
        <v/>
      </c>
    </row>
    <row r="87" ht="16.5" customHeight="1">
      <c r="C87" s="204"/>
      <c r="D87" s="239">
        <f>IFERROR(__xludf.DUMMYFUNCTION("""COMPUTED_VALUE"""),4.0)</f>
        <v>4</v>
      </c>
      <c r="E87" s="241" t="str">
        <f>IFERROR(__xludf.DUMMYFUNCTION("""COMPUTED_VALUE"""),"TRF19")</f>
        <v>TRF19</v>
      </c>
      <c r="F87" s="243" t="str">
        <f>IFERROR(__xludf.DUMMYFUNCTION("""COMPUTED_VALUE"""),"Chaldea Gate (Fri)")</f>
        <v>Chaldea Gate (Fri)</v>
      </c>
      <c r="G87" s="243" t="str">
        <f>IFERROR(__xludf.DUMMYFUNCTION("""COMPUTED_VALUE"""),"FRI Caster Training Ground- Adv")</f>
        <v>FRI Caster Training Ground- Adv</v>
      </c>
      <c r="H87" s="247">
        <f>IFERROR(__xludf.DUMMYFUNCTION("""COMPUTED_VALUE"""),30.0)</f>
        <v>30</v>
      </c>
      <c r="I87" s="249">
        <f>IFERROR(__xludf.DUMMYFUNCTION("""COMPUTED_VALUE"""),18.266666666666666)</f>
        <v>18.26666667</v>
      </c>
      <c r="J87" s="251">
        <f>IFERROR(__xludf.DUMMYFUNCTION("""COMPUTED_VALUE"""),186.97995011329235)</f>
        <v>186.9799501</v>
      </c>
      <c r="K87" s="253" t="str">
        <f>IFERROR(__xludf.DUMMYFUNCTION("""COMPUTED_VALUE"""),"AP")</f>
        <v>AP</v>
      </c>
      <c r="L87" s="251">
        <f>IFERROR(__xludf.DUMMYFUNCTION("""COMPUTED_VALUE"""),16.04450101832994)</f>
        <v>16.04450102</v>
      </c>
      <c r="M87" s="253" t="str">
        <f>IFERROR(__xludf.DUMMYFUNCTION("""COMPUTED_VALUE"""),"％")</f>
        <v>％</v>
      </c>
      <c r="N87" s="247">
        <f>IFERROR(__xludf.DUMMYFUNCTION("""COMPUTED_VALUE"""),1964.0)</f>
        <v>1964</v>
      </c>
      <c r="O87" s="217"/>
      <c r="P87" s="93" t="str">
        <f>IFERROR(__xludf.DUMMYFUNCTION("""COMPUTED_VALUE"""),"")</f>
        <v/>
      </c>
      <c r="S87" s="204"/>
      <c r="T87" s="239">
        <f>IFERROR(__xludf.DUMMYFUNCTION("""COMPUTED_VALUE"""),4.0)</f>
        <v>4</v>
      </c>
      <c r="U87" s="241" t="str">
        <f>IFERROR(__xludf.DUMMYFUNCTION("""COMPUTED_VALUE"""),"AGT10")</f>
        <v>AGT10</v>
      </c>
      <c r="V87" s="243" t="str">
        <f>IFERROR(__xludf.DUMMYFUNCTION("""COMPUTED_VALUE"""),"Agartha")</f>
        <v>Agartha</v>
      </c>
      <c r="W87" s="245" t="str">
        <f>IFERROR(__xludf.DUMMYFUNCTION("""COMPUTED_VALUE"""),"Great Underground River")</f>
        <v>Great Underground River</v>
      </c>
      <c r="X87" s="247">
        <f>IFERROR(__xludf.DUMMYFUNCTION("""COMPUTED_VALUE"""),21.0)</f>
        <v>21</v>
      </c>
      <c r="Y87" s="249">
        <f>IFERROR(__xludf.DUMMYFUNCTION("""COMPUTED_VALUE"""),47.80952380952381)</f>
        <v>47.80952381</v>
      </c>
      <c r="Z87" s="251">
        <f>IFERROR(__xludf.DUMMYFUNCTION("""COMPUTED_VALUE"""),54.6822242419076)</f>
        <v>54.68222424</v>
      </c>
      <c r="AA87" s="253" t="str">
        <f>IFERROR(__xludf.DUMMYFUNCTION("""COMPUTED_VALUE"""),"AP")</f>
        <v>AP</v>
      </c>
      <c r="AB87" s="251">
        <f>IFERROR(__xludf.DUMMYFUNCTION("""COMPUTED_VALUE"""),38.40370484400656)</f>
        <v>38.40370484</v>
      </c>
      <c r="AC87" s="253" t="str">
        <f>IFERROR(__xludf.DUMMYFUNCTION("""COMPUTED_VALUE"""),"％")</f>
        <v>％</v>
      </c>
      <c r="AD87" s="247">
        <f>IFERROR(__xludf.DUMMYFUNCTION("""COMPUTED_VALUE"""),27608.0)</f>
        <v>27608</v>
      </c>
      <c r="AE87" s="217"/>
      <c r="AF87" s="98" t="str">
        <f>IFERROR(__xludf.DUMMYFUNCTION("""COMPUTED_VALUE"""),"")</f>
        <v/>
      </c>
    </row>
    <row r="88" ht="16.5" customHeight="1">
      <c r="A88" s="166"/>
      <c r="C88" s="255"/>
      <c r="D88" s="256">
        <f>IFERROR(__xludf.DUMMYFUNCTION("""COMPUTED_VALUE"""),5.0)</f>
        <v>5</v>
      </c>
      <c r="E88" s="257" t="str">
        <f>IFERROR(__xludf.DUMMYFUNCTION("""COMPUTED_VALUE"""),"TRF18")</f>
        <v>TRF18</v>
      </c>
      <c r="F88" s="42" t="str">
        <f>IFERROR(__xludf.DUMMYFUNCTION("""COMPUTED_VALUE"""),"Chaldea Gate (Fri)")</f>
        <v>Chaldea Gate (Fri)</v>
      </c>
      <c r="G88" s="42" t="str">
        <f>IFERROR(__xludf.DUMMYFUNCTION("""COMPUTED_VALUE"""),"FRI Caster Training Ground- Int")</f>
        <v>FRI Caster Training Ground- Int</v>
      </c>
      <c r="H88" s="259">
        <f>IFERROR(__xludf.DUMMYFUNCTION("""COMPUTED_VALUE"""),20.0)</f>
        <v>20</v>
      </c>
      <c r="I88" s="260">
        <f>IFERROR(__xludf.DUMMYFUNCTION("""COMPUTED_VALUE"""),18.4)</f>
        <v>18.4</v>
      </c>
      <c r="J88" s="261">
        <f>IFERROR(__xludf.DUMMYFUNCTION("""COMPUTED_VALUE"""),209.56123117223314)</f>
        <v>209.5612312</v>
      </c>
      <c r="K88" s="262" t="str">
        <f>IFERROR(__xludf.DUMMYFUNCTION("""COMPUTED_VALUE"""),"AP")</f>
        <v>AP</v>
      </c>
      <c r="L88" s="261">
        <f>IFERROR(__xludf.DUMMYFUNCTION("""COMPUTED_VALUE"""),9.54375)</f>
        <v>9.54375</v>
      </c>
      <c r="M88" s="262" t="str">
        <f>IFERROR(__xludf.DUMMYFUNCTION("""COMPUTED_VALUE"""),"％")</f>
        <v>％</v>
      </c>
      <c r="N88" s="259">
        <f>IFERROR(__xludf.DUMMYFUNCTION("""COMPUTED_VALUE"""),1024.0)</f>
        <v>1024</v>
      </c>
      <c r="O88" s="263"/>
      <c r="P88" s="93" t="str">
        <f>IFERROR(__xludf.DUMMYFUNCTION("""COMPUTED_VALUE"""),"")</f>
        <v/>
      </c>
      <c r="Q88" s="166"/>
      <c r="S88" s="255"/>
      <c r="T88" s="256">
        <f>IFERROR(__xludf.DUMMYFUNCTION("""COMPUTED_VALUE"""),5.0)</f>
        <v>5</v>
      </c>
      <c r="U88" s="257" t="str">
        <f>IFERROR(__xludf.DUMMYFUNCTION("""COMPUTED_VALUE"""),"EPU8")</f>
        <v>EPU8</v>
      </c>
      <c r="V88" s="42" t="str">
        <f>IFERROR(__xludf.DUMMYFUNCTION("""COMPUTED_VALUE"""),"E Pluribus Unum")</f>
        <v>E Pluribus Unum</v>
      </c>
      <c r="W88" s="258" t="str">
        <f>IFERROR(__xludf.DUMMYFUNCTION("""COMPUTED_VALUE"""),"Montgomery")</f>
        <v>Montgomery</v>
      </c>
      <c r="X88" s="259">
        <f>IFERROR(__xludf.DUMMYFUNCTION("""COMPUTED_VALUE"""),18.0)</f>
        <v>18</v>
      </c>
      <c r="Y88" s="260">
        <f>IFERROR(__xludf.DUMMYFUNCTION("""COMPUTED_VALUE"""),42.44444444444444)</f>
        <v>42.44444444</v>
      </c>
      <c r="Z88" s="261">
        <f>IFERROR(__xludf.DUMMYFUNCTION("""COMPUTED_VALUE"""),59.646745916787374)</f>
        <v>59.64674592</v>
      </c>
      <c r="AA88" s="262" t="str">
        <f>IFERROR(__xludf.DUMMYFUNCTION("""COMPUTED_VALUE"""),"AP")</f>
        <v>AP</v>
      </c>
      <c r="AB88" s="261">
        <f>IFERROR(__xludf.DUMMYFUNCTION("""COMPUTED_VALUE"""),30.177673104097973)</f>
        <v>30.1776731</v>
      </c>
      <c r="AC88" s="262" t="str">
        <f>IFERROR(__xludf.DUMMYFUNCTION("""COMPUTED_VALUE"""),"％")</f>
        <v>％</v>
      </c>
      <c r="AD88" s="259">
        <f>IFERROR(__xludf.DUMMYFUNCTION("""COMPUTED_VALUE"""),2123.0)</f>
        <v>2123</v>
      </c>
      <c r="AE88" s="263"/>
      <c r="AF88" s="98" t="str">
        <f>IFERROR(__xludf.DUMMYFUNCTION("""COMPUTED_VALUE"""),"")</f>
        <v/>
      </c>
    </row>
    <row r="89" ht="16.5" customHeight="1">
      <c r="A89" s="61" t="str">
        <f>IFERROR(__xludf.DUMMYFUNCTION("""COMPUTED_VALUE"""),"")</f>
        <v/>
      </c>
      <c r="B89" s="367" t="str">
        <f>IFERROR(__xludf.DUMMYFUNCTION("""COMPUTED_VALUE"""),"A208")</f>
        <v>A208</v>
      </c>
      <c r="C89" s="65" t="str">
        <f>IFERROR(__xludf.DUMMYFUNCTION("""COMPUTED_VALUE"""),"Homunculus Baby")</f>
        <v>Homunculus Baby</v>
      </c>
      <c r="D89" s="70">
        <f>IFERROR(__xludf.DUMMYFUNCTION("""COMPUTED_VALUE"""),1.0)</f>
        <v>1</v>
      </c>
      <c r="E89" s="73" t="str">
        <f>IFERROR(__xludf.DUMMYFUNCTION("""COMPUTED_VALUE"""),"LDN8")</f>
        <v>LDN8</v>
      </c>
      <c r="F89" s="76" t="str">
        <f>IFERROR(__xludf.DUMMYFUNCTION("""COMPUTED_VALUE"""),"London")</f>
        <v>London</v>
      </c>
      <c r="G89" s="85" t="str">
        <f>IFERROR(__xludf.DUMMYFUNCTION("""COMPUTED_VALUE"""),"Southwark")</f>
        <v>Southwark</v>
      </c>
      <c r="H89" s="87">
        <f>IFERROR(__xludf.DUMMYFUNCTION("""COMPUTED_VALUE"""),19.0)</f>
        <v>19</v>
      </c>
      <c r="I89" s="90">
        <f>IFERROR(__xludf.DUMMYFUNCTION("""COMPUTED_VALUE"""),44.0)</f>
        <v>44</v>
      </c>
      <c r="J89" s="92">
        <f>IFERROR(__xludf.DUMMYFUNCTION("""COMPUTED_VALUE"""),61.613275205646374)</f>
        <v>61.61327521</v>
      </c>
      <c r="K89" s="94" t="str">
        <f>IFERROR(__xludf.DUMMYFUNCTION("""COMPUTED_VALUE"""),"AP")</f>
        <v>AP</v>
      </c>
      <c r="L89" s="96">
        <f>IFERROR(__xludf.DUMMYFUNCTION("""COMPUTED_VALUE"""),30.837510157646673)</f>
        <v>30.83751016</v>
      </c>
      <c r="M89" s="94" t="str">
        <f>IFERROR(__xludf.DUMMYFUNCTION("""COMPUTED_VALUE"""),"％")</f>
        <v>％</v>
      </c>
      <c r="N89" s="87">
        <f>IFERROR(__xludf.DUMMYFUNCTION("""COMPUTED_VALUE"""),6153.0)</f>
        <v>6153</v>
      </c>
      <c r="O89" s="97" t="str">
        <f>IFERROR(__xludf.DUMMYFUNCTION("""COMPUTED_VALUE"""),"Homunculus Baby")</f>
        <v>Homunculus Baby</v>
      </c>
      <c r="P89" s="362" t="str">
        <f>IFERROR(__xludf.DUMMYFUNCTION("""COMPUTED_VALUE"""),"")</f>
        <v/>
      </c>
      <c r="Q89" s="61" t="str">
        <f>IFERROR(__xludf.DUMMYFUNCTION("""COMPUTED_VALUE"""),"")</f>
        <v/>
      </c>
      <c r="R89" s="367" t="str">
        <f>IFERROR(__xludf.DUMMYFUNCTION("""COMPUTED_VALUE"""),"B123")</f>
        <v>B123</v>
      </c>
      <c r="S89" s="65" t="str">
        <f>IFERROR(__xludf.DUMMYFUNCTION("""COMPUTED_VALUE"""),"Gem of Lancer")</f>
        <v>Gem of Lancer</v>
      </c>
      <c r="T89" s="70">
        <f>IFERROR(__xludf.DUMMYFUNCTION("""COMPUTED_VALUE"""),1.0)</f>
        <v>1</v>
      </c>
      <c r="U89" s="73" t="str">
        <f>IFERROR(__xludf.DUMMYFUNCTION("""COMPUTED_VALUE"""),"TRF6")</f>
        <v>TRF6</v>
      </c>
      <c r="V89" s="76" t="str">
        <f>IFERROR(__xludf.DUMMYFUNCTION("""COMPUTED_VALUE"""),"Chaldea Gate (Tue)")</f>
        <v>Chaldea Gate (Tue)</v>
      </c>
      <c r="W89" s="76" t="str">
        <f>IFERROR(__xludf.DUMMYFUNCTION("""COMPUTED_VALUE"""),"TUE Lancer Training Ground- Int")</f>
        <v>TUE Lancer Training Ground- Int</v>
      </c>
      <c r="X89" s="87">
        <f>IFERROR(__xludf.DUMMYFUNCTION("""COMPUTED_VALUE"""),20.0)</f>
        <v>20</v>
      </c>
      <c r="Y89" s="90">
        <f>IFERROR(__xludf.DUMMYFUNCTION("""COMPUTED_VALUE"""),18.4)</f>
        <v>18.4</v>
      </c>
      <c r="Z89" s="92">
        <f>IFERROR(__xludf.DUMMYFUNCTION("""COMPUTED_VALUE"""),17.124041273740605)</f>
        <v>17.12404127</v>
      </c>
      <c r="AA89" s="94" t="str">
        <f>IFERROR(__xludf.DUMMYFUNCTION("""COMPUTED_VALUE"""),"AP")</f>
        <v>AP</v>
      </c>
      <c r="AB89" s="96">
        <f>IFERROR(__xludf.DUMMYFUNCTION("""COMPUTED_VALUE"""),116.79485981308412)</f>
        <v>116.7948598</v>
      </c>
      <c r="AC89" s="94" t="str">
        <f>IFERROR(__xludf.DUMMYFUNCTION("""COMPUTED_VALUE"""),"％")</f>
        <v>％</v>
      </c>
      <c r="AD89" s="87">
        <f>IFERROR(__xludf.DUMMYFUNCTION("""COMPUTED_VALUE"""),428.0)</f>
        <v>428</v>
      </c>
      <c r="AE89" s="97" t="str">
        <f>IFERROR(__xludf.DUMMYFUNCTION("""COMPUTED_VALUE"""),"Gem of Lancer")</f>
        <v>Gem of Lancer</v>
      </c>
      <c r="AF89" s="364" t="str">
        <f>IFERROR(__xludf.DUMMYFUNCTION("""COMPUTED_VALUE"""),"")</f>
        <v/>
      </c>
    </row>
    <row r="90" ht="16.5" customHeight="1">
      <c r="C90" s="100"/>
      <c r="D90" s="105">
        <f>IFERROR(__xludf.DUMMYFUNCTION("""COMPUTED_VALUE"""),2.0)</f>
        <v>2</v>
      </c>
      <c r="E90" s="106" t="str">
        <f>IFERROR(__xludf.DUMMYFUNCTION("""COMPUTED_VALUE"""),"TRF8")</f>
        <v>TRF8</v>
      </c>
      <c r="F90" s="107" t="str">
        <f>IFERROR(__xludf.DUMMYFUNCTION("""COMPUTED_VALUE"""),"Chaldea Gate (Tue)")</f>
        <v>Chaldea Gate (Tue)</v>
      </c>
      <c r="G90" s="107" t="str">
        <f>IFERROR(__xludf.DUMMYFUNCTION("""COMPUTED_VALUE"""),"TUE Lancer Training Ground- Exp")</f>
        <v>TUE Lancer Training Ground- Exp</v>
      </c>
      <c r="H90" s="116">
        <f>IFERROR(__xludf.DUMMYFUNCTION("""COMPUTED_VALUE"""),40.0)</f>
        <v>40</v>
      </c>
      <c r="I90" s="118">
        <f>IFERROR(__xludf.DUMMYFUNCTION("""COMPUTED_VALUE"""),19.7)</f>
        <v>19.7</v>
      </c>
      <c r="J90" s="120">
        <f>IFERROR(__xludf.DUMMYFUNCTION("""COMPUTED_VALUE"""),187.27217496962334)</f>
        <v>187.272175</v>
      </c>
      <c r="K90" s="122" t="str">
        <f>IFERROR(__xludf.DUMMYFUNCTION("""COMPUTED_VALUE"""),"AP")</f>
        <v>AP</v>
      </c>
      <c r="L90" s="124">
        <f>IFERROR(__xludf.DUMMYFUNCTION("""COMPUTED_VALUE"""),21.359286293592863)</f>
        <v>21.35928629</v>
      </c>
      <c r="M90" s="122" t="str">
        <f>IFERROR(__xludf.DUMMYFUNCTION("""COMPUTED_VALUE"""),"％")</f>
        <v>％</v>
      </c>
      <c r="N90" s="116">
        <f>IFERROR(__xludf.DUMMYFUNCTION("""COMPUTED_VALUE"""),6165.0)</f>
        <v>6165</v>
      </c>
      <c r="O90" s="100"/>
      <c r="P90" s="362" t="str">
        <f>IFERROR(__xludf.DUMMYFUNCTION("""COMPUTED_VALUE"""),"")</f>
        <v/>
      </c>
      <c r="S90" s="100"/>
      <c r="T90" s="105">
        <f>IFERROR(__xludf.DUMMYFUNCTION("""COMPUTED_VALUE"""),2.0)</f>
        <v>2</v>
      </c>
      <c r="U90" s="106" t="str">
        <f>IFERROR(__xludf.DUMMYFUNCTION("""COMPUTED_VALUE"""),"TRF5")</f>
        <v>TRF5</v>
      </c>
      <c r="V90" s="107" t="str">
        <f>IFERROR(__xludf.DUMMYFUNCTION("""COMPUTED_VALUE"""),"Chaldea Gate (Tue)")</f>
        <v>Chaldea Gate (Tue)</v>
      </c>
      <c r="W90" s="107" t="str">
        <f>IFERROR(__xludf.DUMMYFUNCTION("""COMPUTED_VALUE"""),"TUE Lancer Training Ground- Nov")</f>
        <v>TUE Lancer Training Ground- Nov</v>
      </c>
      <c r="X90" s="116">
        <f>IFERROR(__xludf.DUMMYFUNCTION("""COMPUTED_VALUE"""),10.0)</f>
        <v>10</v>
      </c>
      <c r="Y90" s="118">
        <f>IFERROR(__xludf.DUMMYFUNCTION("""COMPUTED_VALUE"""),18.8)</f>
        <v>18.8</v>
      </c>
      <c r="Z90" s="120">
        <f>IFERROR(__xludf.DUMMYFUNCTION("""COMPUTED_VALUE"""),8.594779959188036)</f>
        <v>8.594779959</v>
      </c>
      <c r="AA90" s="122" t="str">
        <f>IFERROR(__xludf.DUMMYFUNCTION("""COMPUTED_VALUE"""),"AP")</f>
        <v>AP</v>
      </c>
      <c r="AB90" s="124">
        <f>IFERROR(__xludf.DUMMYFUNCTION("""COMPUTED_VALUE"""),116.3496918767507)</f>
        <v>116.3496919</v>
      </c>
      <c r="AC90" s="122" t="str">
        <f>IFERROR(__xludf.DUMMYFUNCTION("""COMPUTED_VALUE"""),"％")</f>
        <v>％</v>
      </c>
      <c r="AD90" s="116">
        <f>IFERROR(__xludf.DUMMYFUNCTION("""COMPUTED_VALUE"""),1785.0)</f>
        <v>1785</v>
      </c>
      <c r="AE90" s="100"/>
      <c r="AF90" s="364" t="str">
        <f>IFERROR(__xludf.DUMMYFUNCTION("""COMPUTED_VALUE"""),"")</f>
        <v/>
      </c>
    </row>
    <row r="91" ht="16.5" customHeight="1">
      <c r="C91" s="100"/>
      <c r="D91" s="128">
        <f>IFERROR(__xludf.DUMMYFUNCTION("""COMPUTED_VALUE"""),3.0)</f>
        <v>3</v>
      </c>
      <c r="E91" s="129" t="str">
        <f>IFERROR(__xludf.DUMMYFUNCTION("""COMPUTED_VALUE"""),"TRF7")</f>
        <v>TRF7</v>
      </c>
      <c r="F91" s="131" t="str">
        <f>IFERROR(__xludf.DUMMYFUNCTION("""COMPUTED_VALUE"""),"Chaldea Gate (Tue)")</f>
        <v>Chaldea Gate (Tue)</v>
      </c>
      <c r="G91" s="131" t="str">
        <f>IFERROR(__xludf.DUMMYFUNCTION("""COMPUTED_VALUE"""),"TUE Lancer Training Ground- Adv")</f>
        <v>TUE Lancer Training Ground- Adv</v>
      </c>
      <c r="H91" s="136">
        <f>IFERROR(__xludf.DUMMYFUNCTION("""COMPUTED_VALUE"""),30.0)</f>
        <v>30</v>
      </c>
      <c r="I91" s="138">
        <f>IFERROR(__xludf.DUMMYFUNCTION("""COMPUTED_VALUE"""),18.266666666666666)</f>
        <v>18.26666667</v>
      </c>
      <c r="J91" s="140">
        <f>IFERROR(__xludf.DUMMYFUNCTION("""COMPUTED_VALUE"""),171.3286010175149)</f>
        <v>171.328601</v>
      </c>
      <c r="K91" s="142" t="str">
        <f>IFERROR(__xludf.DUMMYFUNCTION("""COMPUTED_VALUE"""),"AP")</f>
        <v>AP</v>
      </c>
      <c r="L91" s="144">
        <f>IFERROR(__xludf.DUMMYFUNCTION("""COMPUTED_VALUE"""),17.510211267605637)</f>
        <v>17.51021127</v>
      </c>
      <c r="M91" s="142" t="str">
        <f>IFERROR(__xludf.DUMMYFUNCTION("""COMPUTED_VALUE"""),"％")</f>
        <v>％</v>
      </c>
      <c r="N91" s="136">
        <f>IFERROR(__xludf.DUMMYFUNCTION("""COMPUTED_VALUE"""),1136.0)</f>
        <v>1136</v>
      </c>
      <c r="O91" s="100"/>
      <c r="P91" s="362" t="str">
        <f>IFERROR(__xludf.DUMMYFUNCTION("""COMPUTED_VALUE"""),"")</f>
        <v/>
      </c>
      <c r="S91" s="100"/>
      <c r="T91" s="128">
        <f>IFERROR(__xludf.DUMMYFUNCTION("""COMPUTED_VALUE"""),3.0)</f>
        <v>3</v>
      </c>
      <c r="U91" s="129" t="str">
        <f>IFERROR(__xludf.DUMMYFUNCTION("""COMPUTED_VALUE"""),"LDN3")</f>
        <v>LDN3</v>
      </c>
      <c r="V91" s="131" t="str">
        <f>IFERROR(__xludf.DUMMYFUNCTION("""COMPUTED_VALUE"""),"London")</f>
        <v>London</v>
      </c>
      <c r="W91" s="134" t="str">
        <f>IFERROR(__xludf.DUMMYFUNCTION("""COMPUTED_VALUE"""),"City of London")</f>
        <v>City of London</v>
      </c>
      <c r="X91" s="136">
        <f>IFERROR(__xludf.DUMMYFUNCTION("""COMPUTED_VALUE"""),15.0)</f>
        <v>15</v>
      </c>
      <c r="Y91" s="138">
        <f>IFERROR(__xludf.DUMMYFUNCTION("""COMPUTED_VALUE"""),38.13333333333333)</f>
        <v>38.13333333</v>
      </c>
      <c r="Z91" s="140">
        <f>IFERROR(__xludf.DUMMYFUNCTION("""COMPUTED_VALUE"""),28.27575594367931)</f>
        <v>28.27575594</v>
      </c>
      <c r="AA91" s="142" t="str">
        <f>IFERROR(__xludf.DUMMYFUNCTION("""COMPUTED_VALUE"""),"AP")</f>
        <v>AP</v>
      </c>
      <c r="AB91" s="144">
        <f>IFERROR(__xludf.DUMMYFUNCTION("""COMPUTED_VALUE"""),53.04897959183673)</f>
        <v>53.04897959</v>
      </c>
      <c r="AC91" s="142" t="str">
        <f>IFERROR(__xludf.DUMMYFUNCTION("""COMPUTED_VALUE"""),"％")</f>
        <v>％</v>
      </c>
      <c r="AD91" s="136">
        <f>IFERROR(__xludf.DUMMYFUNCTION("""COMPUTED_VALUE"""),196.0)</f>
        <v>196</v>
      </c>
      <c r="AE91" s="100"/>
      <c r="AF91" s="364" t="str">
        <f>IFERROR(__xludf.DUMMYFUNCTION("""COMPUTED_VALUE"""),"")</f>
        <v/>
      </c>
    </row>
    <row r="92" ht="16.5" customHeight="1">
      <c r="C92" s="100"/>
      <c r="D92" s="147">
        <f>IFERROR(__xludf.DUMMYFUNCTION("""COMPUTED_VALUE"""),4.0)</f>
        <v>4</v>
      </c>
      <c r="E92" s="149" t="str">
        <f>IFERROR(__xludf.DUMMYFUNCTION("""COMPUTED_VALUE"""),"LDN5")</f>
        <v>LDN5</v>
      </c>
      <c r="F92" s="151" t="str">
        <f>IFERROR(__xludf.DUMMYFUNCTION("""COMPUTED_VALUE"""),"London")</f>
        <v>London</v>
      </c>
      <c r="G92" s="153" t="str">
        <f>IFERROR(__xludf.DUMMYFUNCTION("""COMPUTED_VALUE"""),"Westminster")</f>
        <v>Westminster</v>
      </c>
      <c r="H92" s="155">
        <f>IFERROR(__xludf.DUMMYFUNCTION("""COMPUTED_VALUE"""),16.0)</f>
        <v>16</v>
      </c>
      <c r="I92" s="157">
        <f>IFERROR(__xludf.DUMMYFUNCTION("""COMPUTED_VALUE"""),37.25)</f>
        <v>37.25</v>
      </c>
      <c r="J92" s="159">
        <f>IFERROR(__xludf.DUMMYFUNCTION("""COMPUTED_VALUE"""),111.21642969984202)</f>
        <v>111.2164297</v>
      </c>
      <c r="K92" s="161" t="str">
        <f>IFERROR(__xludf.DUMMYFUNCTION("""COMPUTED_VALUE"""),"AP")</f>
        <v>AP</v>
      </c>
      <c r="L92" s="163">
        <f>IFERROR(__xludf.DUMMYFUNCTION("""COMPUTED_VALUE"""),14.386363636363637)</f>
        <v>14.38636364</v>
      </c>
      <c r="M92" s="161" t="str">
        <f>IFERROR(__xludf.DUMMYFUNCTION("""COMPUTED_VALUE"""),"％")</f>
        <v>％</v>
      </c>
      <c r="N92" s="155">
        <f>IFERROR(__xludf.DUMMYFUNCTION("""COMPUTED_VALUE"""),264.0)</f>
        <v>264</v>
      </c>
      <c r="O92" s="100"/>
      <c r="P92" s="362" t="str">
        <f>IFERROR(__xludf.DUMMYFUNCTION("""COMPUTED_VALUE"""),"")</f>
        <v/>
      </c>
      <c r="S92" s="100"/>
      <c r="T92" s="147">
        <f>IFERROR(__xludf.DUMMYFUNCTION("""COMPUTED_VALUE"""),4.0)</f>
        <v>4</v>
      </c>
      <c r="U92" s="149" t="str">
        <f>IFERROR(__xludf.DUMMYFUNCTION("""COMPUTED_VALUE"""),"BBL9")</f>
        <v>BBL9</v>
      </c>
      <c r="V92" s="151" t="str">
        <f>IFERROR(__xludf.DUMMYFUNCTION("""COMPUTED_VALUE"""),"Babylonia")</f>
        <v>Babylonia</v>
      </c>
      <c r="W92" s="153" t="str">
        <f>IFERROR(__xludf.DUMMYFUNCTION("""COMPUTED_VALUE"""),"Field of Reeds")</f>
        <v>Field of Reeds</v>
      </c>
      <c r="X92" s="155">
        <f>IFERROR(__xludf.DUMMYFUNCTION("""COMPUTED_VALUE"""),21.0)</f>
        <v>21</v>
      </c>
      <c r="Y92" s="157">
        <f>IFERROR(__xludf.DUMMYFUNCTION("""COMPUTED_VALUE"""),46.666666666666664)</f>
        <v>46.66666667</v>
      </c>
      <c r="Z92" s="159">
        <f>IFERROR(__xludf.DUMMYFUNCTION("""COMPUTED_VALUE"""),46.73762786839922)</f>
        <v>46.73762787</v>
      </c>
      <c r="AA92" s="161" t="str">
        <f>IFERROR(__xludf.DUMMYFUNCTION("""COMPUTED_VALUE"""),"AP")</f>
        <v>AP</v>
      </c>
      <c r="AB92" s="163">
        <f>IFERROR(__xludf.DUMMYFUNCTION("""COMPUTED_VALUE"""),44.93167701863354)</f>
        <v>44.93167702</v>
      </c>
      <c r="AC92" s="161" t="str">
        <f>IFERROR(__xludf.DUMMYFUNCTION("""COMPUTED_VALUE"""),"％")</f>
        <v>％</v>
      </c>
      <c r="AD92" s="155">
        <f>IFERROR(__xludf.DUMMYFUNCTION("""COMPUTED_VALUE"""),13685.0)</f>
        <v>13685</v>
      </c>
      <c r="AE92" s="100"/>
      <c r="AF92" s="364" t="str">
        <f>IFERROR(__xludf.DUMMYFUNCTION("""COMPUTED_VALUE"""),"")</f>
        <v/>
      </c>
    </row>
    <row r="93" ht="16.5" customHeight="1">
      <c r="A93" s="166"/>
      <c r="C93" s="168"/>
      <c r="D93" s="169">
        <f>IFERROR(__xludf.DUMMYFUNCTION("""COMPUTED_VALUE"""),5.0)</f>
        <v>5</v>
      </c>
      <c r="E93" s="170" t="str">
        <f>IFERROR(__xludf.DUMMYFUNCTION("""COMPUTED_VALUE"""),"LDN3")</f>
        <v>LDN3</v>
      </c>
      <c r="F93" s="51" t="str">
        <f>IFERROR(__xludf.DUMMYFUNCTION("""COMPUTED_VALUE"""),"London")</f>
        <v>London</v>
      </c>
      <c r="G93" s="171" t="str">
        <f>IFERROR(__xludf.DUMMYFUNCTION("""COMPUTED_VALUE"""),"City of London")</f>
        <v>City of London</v>
      </c>
      <c r="H93" s="172">
        <f>IFERROR(__xludf.DUMMYFUNCTION("""COMPUTED_VALUE"""),15.0)</f>
        <v>15</v>
      </c>
      <c r="I93" s="173">
        <f>IFERROR(__xludf.DUMMYFUNCTION("""COMPUTED_VALUE"""),38.13333333333333)</f>
        <v>38.13333333</v>
      </c>
      <c r="J93" s="174">
        <f>IFERROR(__xludf.DUMMYFUNCTION("""COMPUTED_VALUE"""),122.540846948983)</f>
        <v>122.5408469</v>
      </c>
      <c r="K93" s="175" t="str">
        <f>IFERROR(__xludf.DUMMYFUNCTION("""COMPUTED_VALUE"""),"AP")</f>
        <v>AP</v>
      </c>
      <c r="L93" s="176">
        <f>IFERROR(__xludf.DUMMYFUNCTION("""COMPUTED_VALUE"""),12.240816326530611)</f>
        <v>12.24081633</v>
      </c>
      <c r="M93" s="175" t="str">
        <f>IFERROR(__xludf.DUMMYFUNCTION("""COMPUTED_VALUE"""),"％")</f>
        <v>％</v>
      </c>
      <c r="N93" s="172">
        <f>IFERROR(__xludf.DUMMYFUNCTION("""COMPUTED_VALUE"""),196.0)</f>
        <v>196</v>
      </c>
      <c r="O93" s="168"/>
      <c r="P93" s="362" t="str">
        <f>IFERROR(__xludf.DUMMYFUNCTION("""COMPUTED_VALUE"""),"")</f>
        <v/>
      </c>
      <c r="Q93" s="166"/>
      <c r="S93" s="168"/>
      <c r="T93" s="169">
        <f>IFERROR(__xludf.DUMMYFUNCTION("""COMPUTED_VALUE"""),5.0)</f>
        <v>5</v>
      </c>
      <c r="U93" s="170" t="str">
        <f>IFERROR(__xludf.DUMMYFUNCTION("""COMPUTED_VALUE"""),"AGT2")</f>
        <v>AGT2</v>
      </c>
      <c r="V93" s="51" t="str">
        <f>IFERROR(__xludf.DUMMYFUNCTION("""COMPUTED_VALUE"""),"Agartha")</f>
        <v>Agartha</v>
      </c>
      <c r="W93" s="171" t="str">
        <f>IFERROR(__xludf.DUMMYFUNCTION("""COMPUTED_VALUE"""),"Camping Ground")</f>
        <v>Camping Ground</v>
      </c>
      <c r="X93" s="172">
        <f>IFERROR(__xludf.DUMMYFUNCTION("""COMPUTED_VALUE"""),20.0)</f>
        <v>20</v>
      </c>
      <c r="Y93" s="173">
        <f>IFERROR(__xludf.DUMMYFUNCTION("""COMPUTED_VALUE"""),46.6)</f>
        <v>46.6</v>
      </c>
      <c r="Z93" s="174">
        <f>IFERROR(__xludf.DUMMYFUNCTION("""COMPUTED_VALUE"""),49.512138192898846)</f>
        <v>49.51213819</v>
      </c>
      <c r="AA93" s="175" t="str">
        <f>IFERROR(__xludf.DUMMYFUNCTION("""COMPUTED_VALUE"""),"AP")</f>
        <v>AP</v>
      </c>
      <c r="AB93" s="176">
        <f>IFERROR(__xludf.DUMMYFUNCTION("""COMPUTED_VALUE"""),40.394135115070526)</f>
        <v>40.39413512</v>
      </c>
      <c r="AC93" s="175" t="str">
        <f>IFERROR(__xludf.DUMMYFUNCTION("""COMPUTED_VALUE"""),"％")</f>
        <v>％</v>
      </c>
      <c r="AD93" s="172">
        <f>IFERROR(__xludf.DUMMYFUNCTION("""COMPUTED_VALUE"""),1347.0)</f>
        <v>1347</v>
      </c>
      <c r="AE93" s="168"/>
      <c r="AF93" s="364" t="str">
        <f>IFERROR(__xludf.DUMMYFUNCTION("""COMPUTED_VALUE"""),"")</f>
        <v/>
      </c>
    </row>
    <row r="94" ht="16.5" customHeight="1">
      <c r="A94" s="61" t="str">
        <f>IFERROR(__xludf.DUMMYFUNCTION("""COMPUTED_VALUE"""),"")</f>
        <v/>
      </c>
      <c r="B94" s="366" t="str">
        <f>IFERROR(__xludf.DUMMYFUNCTION("""COMPUTED_VALUE"""),"A209")</f>
        <v>A209</v>
      </c>
      <c r="C94" s="180" t="str">
        <f>IFERROR(__xludf.DUMMYFUNCTION("""COMPUTED_VALUE"""),"Meteor Horseshoe")</f>
        <v>Meteor Horseshoe</v>
      </c>
      <c r="D94" s="185">
        <f>IFERROR(__xludf.DUMMYFUNCTION("""COMPUTED_VALUE"""),1.0)</f>
        <v>1</v>
      </c>
      <c r="E94" s="187" t="str">
        <f>IFERROR(__xludf.DUMMYFUNCTION("""COMPUTED_VALUE"""),"CML13")</f>
        <v>CML13</v>
      </c>
      <c r="F94" s="188" t="str">
        <f>IFERROR(__xludf.DUMMYFUNCTION("""COMPUTED_VALUE"""),"Camelot")</f>
        <v>Camelot</v>
      </c>
      <c r="G94" s="193" t="str">
        <f>IFERROR(__xludf.DUMMYFUNCTION("""COMPUTED_VALUE"""),"Land of the Void")</f>
        <v>Land of the Void</v>
      </c>
      <c r="H94" s="195">
        <f>IFERROR(__xludf.DUMMYFUNCTION("""COMPUTED_VALUE"""),22.0)</f>
        <v>22</v>
      </c>
      <c r="I94" s="196">
        <f>IFERROR(__xludf.DUMMYFUNCTION("""COMPUTED_VALUE"""),47.81818181818182)</f>
        <v>47.81818182</v>
      </c>
      <c r="J94" s="198">
        <f>IFERROR(__xludf.DUMMYFUNCTION("""COMPUTED_VALUE"""),48.88603852504956)</f>
        <v>48.88603853</v>
      </c>
      <c r="K94" s="200" t="str">
        <f>IFERROR(__xludf.DUMMYFUNCTION("""COMPUTED_VALUE"""),"AP")</f>
        <v>AP</v>
      </c>
      <c r="L94" s="198">
        <f>IFERROR(__xludf.DUMMYFUNCTION("""COMPUTED_VALUE"""),45.00262378332628)</f>
        <v>45.00262378</v>
      </c>
      <c r="M94" s="201" t="str">
        <f>IFERROR(__xludf.DUMMYFUNCTION("""COMPUTED_VALUE"""),"％")</f>
        <v>％</v>
      </c>
      <c r="N94" s="195">
        <f>IFERROR(__xludf.DUMMYFUNCTION("""COMPUTED_VALUE"""),4726.0)</f>
        <v>4726</v>
      </c>
      <c r="O94" s="197" t="str">
        <f>IFERROR(__xludf.DUMMYFUNCTION("""COMPUTED_VALUE"""),"Meteor Horseshoe")</f>
        <v>Meteor Horseshoe</v>
      </c>
      <c r="P94" s="362" t="str">
        <f>IFERROR(__xludf.DUMMYFUNCTION("""COMPUTED_VALUE"""),"")</f>
        <v/>
      </c>
      <c r="Q94" s="61" t="str">
        <f>IFERROR(__xludf.DUMMYFUNCTION("""COMPUTED_VALUE"""),"")</f>
        <v/>
      </c>
      <c r="R94" s="366" t="str">
        <f>IFERROR(__xludf.DUMMYFUNCTION("""COMPUTED_VALUE"""),"B124")</f>
        <v>B124</v>
      </c>
      <c r="S94" s="180" t="str">
        <f>IFERROR(__xludf.DUMMYFUNCTION("""COMPUTED_VALUE"""),"Gem of Rider")</f>
        <v>Gem of Rider</v>
      </c>
      <c r="T94" s="185">
        <f>IFERROR(__xludf.DUMMYFUNCTION("""COMPUTED_VALUE"""),1.0)</f>
        <v>1</v>
      </c>
      <c r="U94" s="187" t="str">
        <f>IFERROR(__xludf.DUMMYFUNCTION("""COMPUTED_VALUE"""),"TRF13")</f>
        <v>TRF13</v>
      </c>
      <c r="V94" s="188" t="str">
        <f>IFERROR(__xludf.DUMMYFUNCTION("""COMPUTED_VALUE"""),"Chaldea Gate (Thu)")</f>
        <v>Chaldea Gate (Thu)</v>
      </c>
      <c r="W94" s="188" t="str">
        <f>IFERROR(__xludf.DUMMYFUNCTION("""COMPUTED_VALUE"""),"THU Rider Training Ground- Nov")</f>
        <v>THU Rider Training Ground- Nov</v>
      </c>
      <c r="X94" s="195">
        <f>IFERROR(__xludf.DUMMYFUNCTION("""COMPUTED_VALUE"""),10.0)</f>
        <v>10</v>
      </c>
      <c r="Y94" s="196">
        <f>IFERROR(__xludf.DUMMYFUNCTION("""COMPUTED_VALUE"""),18.8)</f>
        <v>18.8</v>
      </c>
      <c r="Z94" s="198">
        <f>IFERROR(__xludf.DUMMYFUNCTION("""COMPUTED_VALUE"""),8.519281723195936)</f>
        <v>8.519281723</v>
      </c>
      <c r="AA94" s="200" t="str">
        <f>IFERROR(__xludf.DUMMYFUNCTION("""COMPUTED_VALUE"""),"AP")</f>
        <v>AP</v>
      </c>
      <c r="AB94" s="198">
        <f>IFERROR(__xludf.DUMMYFUNCTION("""COMPUTED_VALUE"""),117.38078778135049)</f>
        <v>117.3807878</v>
      </c>
      <c r="AC94" s="201" t="str">
        <f>IFERROR(__xludf.DUMMYFUNCTION("""COMPUTED_VALUE"""),"％")</f>
        <v>％</v>
      </c>
      <c r="AD94" s="195">
        <f>IFERROR(__xludf.DUMMYFUNCTION("""COMPUTED_VALUE"""),1244.0)</f>
        <v>1244</v>
      </c>
      <c r="AE94" s="197" t="str">
        <f>IFERROR(__xludf.DUMMYFUNCTION("""COMPUTED_VALUE"""),"Gem of Rider")</f>
        <v>Gem of Rider</v>
      </c>
      <c r="AF94" s="364" t="str">
        <f>IFERROR(__xludf.DUMMYFUNCTION("""COMPUTED_VALUE"""),"")</f>
        <v/>
      </c>
    </row>
    <row r="95" ht="16.5" customHeight="1">
      <c r="C95" s="204"/>
      <c r="D95" s="208">
        <f>IFERROR(__xludf.DUMMYFUNCTION("""COMPUTED_VALUE"""),2.0)</f>
        <v>2</v>
      </c>
      <c r="E95" s="210" t="str">
        <f>IFERROR(__xludf.DUMMYFUNCTION("""COMPUTED_VALUE"""),"TRF16")</f>
        <v>TRF16</v>
      </c>
      <c r="F95" s="212" t="str">
        <f>IFERROR(__xludf.DUMMYFUNCTION("""COMPUTED_VALUE"""),"Chaldea Gate (Thu)")</f>
        <v>Chaldea Gate (Thu)</v>
      </c>
      <c r="G95" s="212" t="str">
        <f>IFERROR(__xludf.DUMMYFUNCTION("""COMPUTED_VALUE"""),"THU Rider Training Ground- Exp")</f>
        <v>THU Rider Training Ground- Exp</v>
      </c>
      <c r="H95" s="218">
        <f>IFERROR(__xludf.DUMMYFUNCTION("""COMPUTED_VALUE"""),40.0)</f>
        <v>40</v>
      </c>
      <c r="I95" s="219">
        <f>IFERROR(__xludf.DUMMYFUNCTION("""COMPUTED_VALUE"""),19.7)</f>
        <v>19.7</v>
      </c>
      <c r="J95" s="220">
        <f>IFERROR(__xludf.DUMMYFUNCTION("""COMPUTED_VALUE"""),199.8957065878672)</f>
        <v>199.8957066</v>
      </c>
      <c r="K95" s="221" t="str">
        <f>IFERROR(__xludf.DUMMYFUNCTION("""COMPUTED_VALUE"""),"AP")</f>
        <v>AP</v>
      </c>
      <c r="L95" s="220">
        <f>IFERROR(__xludf.DUMMYFUNCTION("""COMPUTED_VALUE"""),20.010434782608694)</f>
        <v>20.01043478</v>
      </c>
      <c r="M95" s="221" t="str">
        <f>IFERROR(__xludf.DUMMYFUNCTION("""COMPUTED_VALUE"""),"％")</f>
        <v>％</v>
      </c>
      <c r="N95" s="218">
        <f>IFERROR(__xludf.DUMMYFUNCTION("""COMPUTED_VALUE"""),4025.0)</f>
        <v>4025</v>
      </c>
      <c r="O95" s="217"/>
      <c r="P95" s="362" t="str">
        <f>IFERROR(__xludf.DUMMYFUNCTION("""COMPUTED_VALUE"""),"")</f>
        <v/>
      </c>
      <c r="S95" s="204"/>
      <c r="T95" s="208">
        <f>IFERROR(__xludf.DUMMYFUNCTION("""COMPUTED_VALUE"""),2.0)</f>
        <v>2</v>
      </c>
      <c r="U95" s="210" t="str">
        <f>IFERROR(__xludf.DUMMYFUNCTION("""COMPUTED_VALUE"""),"TRF14")</f>
        <v>TRF14</v>
      </c>
      <c r="V95" s="212" t="str">
        <f>IFERROR(__xludf.DUMMYFUNCTION("""COMPUTED_VALUE"""),"Chaldea Gate (Thu)")</f>
        <v>Chaldea Gate (Thu)</v>
      </c>
      <c r="W95" s="212" t="str">
        <f>IFERROR(__xludf.DUMMYFUNCTION("""COMPUTED_VALUE"""),"THU Rider Training Ground- Int")</f>
        <v>THU Rider Training Ground- Int</v>
      </c>
      <c r="X95" s="218">
        <f>IFERROR(__xludf.DUMMYFUNCTION("""COMPUTED_VALUE"""),20.0)</f>
        <v>20</v>
      </c>
      <c r="Y95" s="219">
        <f>IFERROR(__xludf.DUMMYFUNCTION("""COMPUTED_VALUE"""),18.4)</f>
        <v>18.4</v>
      </c>
      <c r="Z95" s="220">
        <f>IFERROR(__xludf.DUMMYFUNCTION("""COMPUTED_VALUE"""),21.605288397083548)</f>
        <v>21.6052884</v>
      </c>
      <c r="AA95" s="221" t="str">
        <f>IFERROR(__xludf.DUMMYFUNCTION("""COMPUTED_VALUE"""),"AP")</f>
        <v>AP</v>
      </c>
      <c r="AB95" s="220">
        <f>IFERROR(__xludf.DUMMYFUNCTION("""COMPUTED_VALUE"""),92.56992840095464)</f>
        <v>92.5699284</v>
      </c>
      <c r="AC95" s="221" t="str">
        <f>IFERROR(__xludf.DUMMYFUNCTION("""COMPUTED_VALUE"""),"％")</f>
        <v>％</v>
      </c>
      <c r="AD95" s="218">
        <f>IFERROR(__xludf.DUMMYFUNCTION("""COMPUTED_VALUE"""),838.0)</f>
        <v>838</v>
      </c>
      <c r="AE95" s="217"/>
      <c r="AF95" s="364" t="str">
        <f>IFERROR(__xludf.DUMMYFUNCTION("""COMPUTED_VALUE"""),"")</f>
        <v/>
      </c>
    </row>
    <row r="96" ht="16.5" customHeight="1">
      <c r="C96" s="204"/>
      <c r="D96" s="225">
        <f>IFERROR(__xludf.DUMMYFUNCTION("""COMPUTED_VALUE"""),3.0)</f>
        <v>3</v>
      </c>
      <c r="E96" s="227" t="str">
        <f>IFERROR(__xludf.DUMMYFUNCTION("""COMPUTED_VALUE"""),"TRF4")</f>
        <v>TRF4</v>
      </c>
      <c r="F96" s="229" t="str">
        <f>IFERROR(__xludf.DUMMYFUNCTION("""COMPUTED_VALUE"""),"Chaldea Gate (Mon)")</f>
        <v>Chaldea Gate (Mon)</v>
      </c>
      <c r="G96" s="229" t="str">
        <f>IFERROR(__xludf.DUMMYFUNCTION("""COMPUTED_VALUE"""),"MON Archer Training Ground- Exp")</f>
        <v>MON Archer Training Ground- Exp</v>
      </c>
      <c r="H96" s="234">
        <f>IFERROR(__xludf.DUMMYFUNCTION("""COMPUTED_VALUE"""),40.0)</f>
        <v>40</v>
      </c>
      <c r="I96" s="235">
        <f>IFERROR(__xludf.DUMMYFUNCTION("""COMPUTED_VALUE"""),19.7)</f>
        <v>19.7</v>
      </c>
      <c r="J96" s="236">
        <f>IFERROR(__xludf.DUMMYFUNCTION("""COMPUTED_VALUE"""),208.51322191054885)</f>
        <v>208.5132219</v>
      </c>
      <c r="K96" s="237" t="str">
        <f>IFERROR(__xludf.DUMMYFUNCTION("""COMPUTED_VALUE"""),"AP")</f>
        <v>AP</v>
      </c>
      <c r="L96" s="236">
        <f>IFERROR(__xludf.DUMMYFUNCTION("""COMPUTED_VALUE"""),19.18343577135833)</f>
        <v>19.18343577</v>
      </c>
      <c r="M96" s="237" t="str">
        <f>IFERROR(__xludf.DUMMYFUNCTION("""COMPUTED_VALUE"""),"％")</f>
        <v>％</v>
      </c>
      <c r="N96" s="234">
        <f>IFERROR(__xludf.DUMMYFUNCTION("""COMPUTED_VALUE"""),9762.0)</f>
        <v>9762</v>
      </c>
      <c r="O96" s="217"/>
      <c r="P96" s="362" t="str">
        <f>IFERROR(__xludf.DUMMYFUNCTION("""COMPUTED_VALUE"""),"")</f>
        <v/>
      </c>
      <c r="S96" s="204"/>
      <c r="T96" s="225">
        <f>IFERROR(__xludf.DUMMYFUNCTION("""COMPUTED_VALUE"""),3.0)</f>
        <v>3</v>
      </c>
      <c r="U96" s="227" t="str">
        <f>IFERROR(__xludf.DUMMYFUNCTION("""COMPUTED_VALUE"""),"BBL1")</f>
        <v>BBL1</v>
      </c>
      <c r="V96" s="229" t="str">
        <f>IFERROR(__xludf.DUMMYFUNCTION("""COMPUTED_VALUE"""),"Babylonia")</f>
        <v>Babylonia</v>
      </c>
      <c r="W96" s="233" t="str">
        <f>IFERROR(__xludf.DUMMYFUNCTION("""COMPUTED_VALUE"""),"Fallen Babylon")</f>
        <v>Fallen Babylon</v>
      </c>
      <c r="X96" s="234">
        <f>IFERROR(__xludf.DUMMYFUNCTION("""COMPUTED_VALUE"""),20.0)</f>
        <v>20</v>
      </c>
      <c r="Y96" s="235">
        <f>IFERROR(__xludf.DUMMYFUNCTION("""COMPUTED_VALUE"""),46.6)</f>
        <v>46.6</v>
      </c>
      <c r="Z96" s="236">
        <f>IFERROR(__xludf.DUMMYFUNCTION("""COMPUTED_VALUE"""),44.02449105813399)</f>
        <v>44.02449106</v>
      </c>
      <c r="AA96" s="237" t="str">
        <f>IFERROR(__xludf.DUMMYFUNCTION("""COMPUTED_VALUE"""),"AP")</f>
        <v>AP</v>
      </c>
      <c r="AB96" s="236">
        <f>IFERROR(__xludf.DUMMYFUNCTION("""COMPUTED_VALUE"""),45.42925884955753)</f>
        <v>45.42925885</v>
      </c>
      <c r="AC96" s="237" t="str">
        <f>IFERROR(__xludf.DUMMYFUNCTION("""COMPUTED_VALUE"""),"％")</f>
        <v>％</v>
      </c>
      <c r="AD96" s="234">
        <f>IFERROR(__xludf.DUMMYFUNCTION("""COMPUTED_VALUE"""),5424.0)</f>
        <v>5424</v>
      </c>
      <c r="AE96" s="217"/>
      <c r="AF96" s="364" t="str">
        <f>IFERROR(__xludf.DUMMYFUNCTION("""COMPUTED_VALUE"""),"")</f>
        <v/>
      </c>
    </row>
    <row r="97" ht="16.5" customHeight="1">
      <c r="C97" s="204"/>
      <c r="D97" s="239">
        <f>IFERROR(__xludf.DUMMYFUNCTION("""COMPUTED_VALUE"""),4.0)</f>
        <v>4</v>
      </c>
      <c r="E97" s="241" t="str">
        <f>IFERROR(__xludf.DUMMYFUNCTION("""COMPUTED_VALUE"""),"TRF15")</f>
        <v>TRF15</v>
      </c>
      <c r="F97" s="243" t="str">
        <f>IFERROR(__xludf.DUMMYFUNCTION("""COMPUTED_VALUE"""),"Chaldea Gate (Thu)")</f>
        <v>Chaldea Gate (Thu)</v>
      </c>
      <c r="G97" s="243" t="str">
        <f>IFERROR(__xludf.DUMMYFUNCTION("""COMPUTED_VALUE"""),"THU Rider Training Ground- Adv")</f>
        <v>THU Rider Training Ground- Adv</v>
      </c>
      <c r="H97" s="247">
        <f>IFERROR(__xludf.DUMMYFUNCTION("""COMPUTED_VALUE"""),30.0)</f>
        <v>30</v>
      </c>
      <c r="I97" s="249">
        <f>IFERROR(__xludf.DUMMYFUNCTION("""COMPUTED_VALUE"""),18.266666666666666)</f>
        <v>18.26666667</v>
      </c>
      <c r="J97" s="251">
        <f>IFERROR(__xludf.DUMMYFUNCTION("""COMPUTED_VALUE"""),211.31241714538223)</f>
        <v>211.3124171</v>
      </c>
      <c r="K97" s="253" t="str">
        <f>IFERROR(__xludf.DUMMYFUNCTION("""COMPUTED_VALUE"""),"AP")</f>
        <v>AP</v>
      </c>
      <c r="L97" s="251">
        <f>IFERROR(__xludf.DUMMYFUNCTION("""COMPUTED_VALUE"""),14.196988707653702)</f>
        <v>14.19698871</v>
      </c>
      <c r="M97" s="253" t="str">
        <f>IFERROR(__xludf.DUMMYFUNCTION("""COMPUTED_VALUE"""),"％")</f>
        <v>％</v>
      </c>
      <c r="N97" s="247">
        <f>IFERROR(__xludf.DUMMYFUNCTION("""COMPUTED_VALUE"""),797.0)</f>
        <v>797</v>
      </c>
      <c r="O97" s="217"/>
      <c r="P97" s="368" t="str">
        <f>IFERROR(__xludf.DUMMYFUNCTION("""COMPUTED_VALUE"""),"")</f>
        <v/>
      </c>
      <c r="S97" s="204"/>
      <c r="T97" s="239">
        <f>IFERROR(__xludf.DUMMYFUNCTION("""COMPUTED_VALUE"""),4.0)</f>
        <v>4</v>
      </c>
      <c r="U97" s="241" t="str">
        <f>IFERROR(__xludf.DUMMYFUNCTION("""COMPUTED_VALUE"""),"OKN7")</f>
        <v>OKN7</v>
      </c>
      <c r="V97" s="243" t="str">
        <f>IFERROR(__xludf.DUMMYFUNCTION("""COMPUTED_VALUE"""),"Okeanos")</f>
        <v>Okeanos</v>
      </c>
      <c r="W97" s="245" t="str">
        <f>IFERROR(__xludf.DUMMYFUNCTION("""COMPUTED_VALUE"""),"Island of Wyverns")</f>
        <v>Island of Wyverns</v>
      </c>
      <c r="X97" s="247">
        <f>IFERROR(__xludf.DUMMYFUNCTION("""COMPUTED_VALUE"""),14.0)</f>
        <v>14</v>
      </c>
      <c r="Y97" s="249">
        <f>IFERROR(__xludf.DUMMYFUNCTION("""COMPUTED_VALUE"""),37.42857142857143)</f>
        <v>37.42857143</v>
      </c>
      <c r="Z97" s="251">
        <f>IFERROR(__xludf.DUMMYFUNCTION("""COMPUTED_VALUE"""),31.895589366802614)</f>
        <v>31.89558937</v>
      </c>
      <c r="AA97" s="253" t="str">
        <f>IFERROR(__xludf.DUMMYFUNCTION("""COMPUTED_VALUE"""),"AP")</f>
        <v>AP</v>
      </c>
      <c r="AB97" s="251">
        <f>IFERROR(__xludf.DUMMYFUNCTION("""COMPUTED_VALUE"""),43.893216203025865)</f>
        <v>43.8932162</v>
      </c>
      <c r="AC97" s="253" t="str">
        <f>IFERROR(__xludf.DUMMYFUNCTION("""COMPUTED_VALUE"""),"％")</f>
        <v>％</v>
      </c>
      <c r="AD97" s="247">
        <f>IFERROR(__xludf.DUMMYFUNCTION("""COMPUTED_VALUE"""),2049.0)</f>
        <v>2049</v>
      </c>
      <c r="AE97" s="217"/>
      <c r="AF97" s="364" t="str">
        <f>IFERROR(__xludf.DUMMYFUNCTION("""COMPUTED_VALUE"""),"")</f>
        <v/>
      </c>
    </row>
    <row r="98" ht="16.5" customHeight="1">
      <c r="A98" s="166"/>
      <c r="C98" s="255"/>
      <c r="D98" s="256">
        <f>IFERROR(__xludf.DUMMYFUNCTION("""COMPUTED_VALUE"""),5.0)</f>
        <v>5</v>
      </c>
      <c r="E98" s="257" t="str">
        <f>IFERROR(__xludf.DUMMYFUNCTION("""COMPUTED_VALUE"""),"TRF3")</f>
        <v>TRF3</v>
      </c>
      <c r="F98" s="42" t="str">
        <f>IFERROR(__xludf.DUMMYFUNCTION("""COMPUTED_VALUE"""),"Chaldea Gate (Mon)")</f>
        <v>Chaldea Gate (Mon)</v>
      </c>
      <c r="G98" s="42" t="str">
        <f>IFERROR(__xludf.DUMMYFUNCTION("""COMPUTED_VALUE"""),"MON Archer Training Ground- Adv")</f>
        <v>MON Archer Training Ground- Adv</v>
      </c>
      <c r="H98" s="259">
        <f>IFERROR(__xludf.DUMMYFUNCTION("""COMPUTED_VALUE"""),30.0)</f>
        <v>30</v>
      </c>
      <c r="I98" s="260">
        <f>IFERROR(__xludf.DUMMYFUNCTION("""COMPUTED_VALUE"""),18.266666666666666)</f>
        <v>18.26666667</v>
      </c>
      <c r="J98" s="261">
        <f>IFERROR(__xludf.DUMMYFUNCTION("""COMPUTED_VALUE"""),235.8099682207651)</f>
        <v>235.8099682</v>
      </c>
      <c r="K98" s="262" t="str">
        <f>IFERROR(__xludf.DUMMYFUNCTION("""COMPUTED_VALUE"""),"AP")</f>
        <v>AP</v>
      </c>
      <c r="L98" s="261">
        <f>IFERROR(__xludf.DUMMYFUNCTION("""COMPUTED_VALUE"""),12.722108495394064)</f>
        <v>12.7221085</v>
      </c>
      <c r="M98" s="262" t="str">
        <f>IFERROR(__xludf.DUMMYFUNCTION("""COMPUTED_VALUE"""),"％")</f>
        <v>％</v>
      </c>
      <c r="N98" s="259">
        <f>IFERROR(__xludf.DUMMYFUNCTION("""COMPUTED_VALUE"""),977.0)</f>
        <v>977</v>
      </c>
      <c r="O98" s="263"/>
      <c r="P98" s="368" t="str">
        <f>IFERROR(__xludf.DUMMYFUNCTION("""COMPUTED_VALUE"""),"")</f>
        <v/>
      </c>
      <c r="Q98" s="166"/>
      <c r="S98" s="255"/>
      <c r="T98" s="256">
        <f>IFERROR(__xludf.DUMMYFUNCTION("""COMPUTED_VALUE"""),5.0)</f>
        <v>5</v>
      </c>
      <c r="U98" s="257" t="str">
        <f>IFERROR(__xludf.DUMMYFUNCTION("""COMPUTED_VALUE"""),"AGT5")</f>
        <v>AGT5</v>
      </c>
      <c r="V98" s="42" t="str">
        <f>IFERROR(__xludf.DUMMYFUNCTION("""COMPUTED_VALUE"""),"Agartha")</f>
        <v>Agartha</v>
      </c>
      <c r="W98" s="258" t="str">
        <f>IFERROR(__xludf.DUMMYFUNCTION("""COMPUTED_VALUE"""),"Ys")</f>
        <v>Ys</v>
      </c>
      <c r="X98" s="259">
        <f>IFERROR(__xludf.DUMMYFUNCTION("""COMPUTED_VALUE"""),21.0)</f>
        <v>21</v>
      </c>
      <c r="Y98" s="260">
        <f>IFERROR(__xludf.DUMMYFUNCTION("""COMPUTED_VALUE"""),45.523809523809526)</f>
        <v>45.52380952</v>
      </c>
      <c r="Z98" s="261">
        <f>IFERROR(__xludf.DUMMYFUNCTION("""COMPUTED_VALUE"""),52.10185835776415)</f>
        <v>52.10185836</v>
      </c>
      <c r="AA98" s="262" t="str">
        <f>IFERROR(__xludf.DUMMYFUNCTION("""COMPUTED_VALUE"""),"AP")</f>
        <v>AP</v>
      </c>
      <c r="AB98" s="261">
        <f>IFERROR(__xludf.DUMMYFUNCTION("""COMPUTED_VALUE"""),40.3056640625)</f>
        <v>40.30566406</v>
      </c>
      <c r="AC98" s="262" t="str">
        <f>IFERROR(__xludf.DUMMYFUNCTION("""COMPUTED_VALUE"""),"％")</f>
        <v>％</v>
      </c>
      <c r="AD98" s="259">
        <f>IFERROR(__xludf.DUMMYFUNCTION("""COMPUTED_VALUE"""),512.0)</f>
        <v>512</v>
      </c>
      <c r="AE98" s="263"/>
      <c r="AF98" s="364" t="str">
        <f>IFERROR(__xludf.DUMMYFUNCTION("""COMPUTED_VALUE"""),"")</f>
        <v/>
      </c>
    </row>
    <row r="99" ht="16.5" customHeight="1">
      <c r="A99" s="61" t="str">
        <f>IFERROR(__xludf.DUMMYFUNCTION("""COMPUTED_VALUE"""),"")</f>
        <v/>
      </c>
      <c r="B99" s="367" t="str">
        <f>IFERROR(__xludf.DUMMYFUNCTION("""COMPUTED_VALUE"""),"A210")</f>
        <v>A210</v>
      </c>
      <c r="C99" s="65" t="str">
        <f>IFERROR(__xludf.DUMMYFUNCTION("""COMPUTED_VALUE"""),"Great Knight Medal")</f>
        <v>Great Knight Medal</v>
      </c>
      <c r="D99" s="70">
        <f>IFERROR(__xludf.DUMMYFUNCTION("""COMPUTED_VALUE"""),1.0)</f>
        <v>1</v>
      </c>
      <c r="E99" s="73" t="str">
        <f>IFERROR(__xludf.DUMMYFUNCTION("""COMPUTED_VALUE"""),"CML12")</f>
        <v>CML12</v>
      </c>
      <c r="F99" s="76" t="str">
        <f>IFERROR(__xludf.DUMMYFUNCTION("""COMPUTED_VALUE"""),"Camelot")</f>
        <v>Camelot</v>
      </c>
      <c r="G99" s="85" t="str">
        <f>IFERROR(__xludf.DUMMYFUNCTION("""COMPUTED_VALUE"""),"Royal Castle")</f>
        <v>Royal Castle</v>
      </c>
      <c r="H99" s="87">
        <f>IFERROR(__xludf.DUMMYFUNCTION("""COMPUTED_VALUE"""),21.0)</f>
        <v>21</v>
      </c>
      <c r="I99" s="90">
        <f>IFERROR(__xludf.DUMMYFUNCTION("""COMPUTED_VALUE"""),48.95238095238095)</f>
        <v>48.95238095</v>
      </c>
      <c r="J99" s="92">
        <f>IFERROR(__xludf.DUMMYFUNCTION("""COMPUTED_VALUE"""),59.7426859172198)</f>
        <v>59.74268592</v>
      </c>
      <c r="K99" s="94" t="str">
        <f>IFERROR(__xludf.DUMMYFUNCTION("""COMPUTED_VALUE"""),"AP")</f>
        <v>AP</v>
      </c>
      <c r="L99" s="96">
        <f>IFERROR(__xludf.DUMMYFUNCTION("""COMPUTED_VALUE"""),35.15074636767731)</f>
        <v>35.15074637</v>
      </c>
      <c r="M99" s="94" t="str">
        <f>IFERROR(__xludf.DUMMYFUNCTION("""COMPUTED_VALUE"""),"％")</f>
        <v>％</v>
      </c>
      <c r="N99" s="87">
        <f>IFERROR(__xludf.DUMMYFUNCTION("""COMPUTED_VALUE"""),45219.0)</f>
        <v>45219</v>
      </c>
      <c r="O99" s="97" t="str">
        <f>IFERROR(__xludf.DUMMYFUNCTION("""COMPUTED_VALUE"""),"Great Knight Medal")</f>
        <v>Great Knight Medal</v>
      </c>
      <c r="P99" s="362" t="str">
        <f>IFERROR(__xludf.DUMMYFUNCTION("""COMPUTED_VALUE"""),"")</f>
        <v/>
      </c>
      <c r="Q99" s="61" t="str">
        <f>IFERROR(__xludf.DUMMYFUNCTION("""COMPUTED_VALUE"""),"")</f>
        <v/>
      </c>
      <c r="R99" s="367" t="str">
        <f>IFERROR(__xludf.DUMMYFUNCTION("""COMPUTED_VALUE"""),"B125")</f>
        <v>B125</v>
      </c>
      <c r="S99" s="65" t="str">
        <f>IFERROR(__xludf.DUMMYFUNCTION("""COMPUTED_VALUE"""),"Gem of Caster")</f>
        <v>Gem of Caster</v>
      </c>
      <c r="T99" s="70">
        <f>IFERROR(__xludf.DUMMYFUNCTION("""COMPUTED_VALUE"""),1.0)</f>
        <v>1</v>
      </c>
      <c r="U99" s="73" t="str">
        <f>IFERROR(__xludf.DUMMYFUNCTION("""COMPUTED_VALUE"""),"TRF17")</f>
        <v>TRF17</v>
      </c>
      <c r="V99" s="76" t="str">
        <f>IFERROR(__xludf.DUMMYFUNCTION("""COMPUTED_VALUE"""),"Chaldea Gate (Fri)")</f>
        <v>Chaldea Gate (Fri)</v>
      </c>
      <c r="W99" s="76" t="str">
        <f>IFERROR(__xludf.DUMMYFUNCTION("""COMPUTED_VALUE"""),"FRI Caster Training Ground- Nov")</f>
        <v>FRI Caster Training Ground- Nov</v>
      </c>
      <c r="X99" s="87">
        <f>IFERROR(__xludf.DUMMYFUNCTION("""COMPUTED_VALUE"""),10.0)</f>
        <v>10</v>
      </c>
      <c r="Y99" s="90">
        <f>IFERROR(__xludf.DUMMYFUNCTION("""COMPUTED_VALUE"""),18.8)</f>
        <v>18.8</v>
      </c>
      <c r="Z99" s="92">
        <f>IFERROR(__xludf.DUMMYFUNCTION("""COMPUTED_VALUE"""),8.05741281979421)</f>
        <v>8.05741282</v>
      </c>
      <c r="AA99" s="94" t="str">
        <f>IFERROR(__xludf.DUMMYFUNCTION("""COMPUTED_VALUE"""),"AP")</f>
        <v>AP</v>
      </c>
      <c r="AB99" s="96">
        <f>IFERROR(__xludf.DUMMYFUNCTION("""COMPUTED_VALUE"""),124.10931677018634)</f>
        <v>124.1093168</v>
      </c>
      <c r="AC99" s="94" t="str">
        <f>IFERROR(__xludf.DUMMYFUNCTION("""COMPUTED_VALUE"""),"％")</f>
        <v>％</v>
      </c>
      <c r="AD99" s="87">
        <f>IFERROR(__xludf.DUMMYFUNCTION("""COMPUTED_VALUE"""),3220.0)</f>
        <v>3220</v>
      </c>
      <c r="AE99" s="97" t="str">
        <f>IFERROR(__xludf.DUMMYFUNCTION("""COMPUTED_VALUE"""),"Gem of Caster")</f>
        <v>Gem of Caster</v>
      </c>
      <c r="AF99" s="364" t="str">
        <f>IFERROR(__xludf.DUMMYFUNCTION("""COMPUTED_VALUE"""),"")</f>
        <v/>
      </c>
    </row>
    <row r="100" ht="16.5" customHeight="1">
      <c r="C100" s="100"/>
      <c r="D100" s="105">
        <f>IFERROR(__xludf.DUMMYFUNCTION("""COMPUTED_VALUE"""),2.0)</f>
        <v>2</v>
      </c>
      <c r="E100" s="106" t="str">
        <f>IFERROR(__xludf.DUMMYFUNCTION("""COMPUTED_VALUE"""),"CML9")</f>
        <v>CML9</v>
      </c>
      <c r="F100" s="107" t="str">
        <f>IFERROR(__xludf.DUMMYFUNCTION("""COMPUTED_VALUE"""),"Camelot")</f>
        <v>Camelot</v>
      </c>
      <c r="G100" s="114" t="str">
        <f>IFERROR(__xludf.DUMMYFUNCTION("""COMPUTED_VALUE"""),"Main Gate")</f>
        <v>Main Gate</v>
      </c>
      <c r="H100" s="116">
        <f>IFERROR(__xludf.DUMMYFUNCTION("""COMPUTED_VALUE"""),20.0)</f>
        <v>20</v>
      </c>
      <c r="I100" s="118">
        <f>IFERROR(__xludf.DUMMYFUNCTION("""COMPUTED_VALUE"""),45.4)</f>
        <v>45.4</v>
      </c>
      <c r="J100" s="120">
        <f>IFERROR(__xludf.DUMMYFUNCTION("""COMPUTED_VALUE"""),64.24109865827366)</f>
        <v>64.24109866</v>
      </c>
      <c r="K100" s="122" t="str">
        <f>IFERROR(__xludf.DUMMYFUNCTION("""COMPUTED_VALUE"""),"AP")</f>
        <v>AP</v>
      </c>
      <c r="L100" s="124">
        <f>IFERROR(__xludf.DUMMYFUNCTION("""COMPUTED_VALUE"""),31.132717867091127)</f>
        <v>31.13271787</v>
      </c>
      <c r="M100" s="122" t="str">
        <f>IFERROR(__xludf.DUMMYFUNCTION("""COMPUTED_VALUE"""),"％")</f>
        <v>％</v>
      </c>
      <c r="N100" s="116">
        <f>IFERROR(__xludf.DUMMYFUNCTION("""COMPUTED_VALUE"""),12565.0)</f>
        <v>12565</v>
      </c>
      <c r="O100" s="100"/>
      <c r="P100" s="362" t="str">
        <f>IFERROR(__xludf.DUMMYFUNCTION("""COMPUTED_VALUE"""),"")</f>
        <v/>
      </c>
      <c r="S100" s="100"/>
      <c r="T100" s="105">
        <f>IFERROR(__xludf.DUMMYFUNCTION("""COMPUTED_VALUE"""),2.0)</f>
        <v>2</v>
      </c>
      <c r="U100" s="106" t="str">
        <f>IFERROR(__xludf.DUMMYFUNCTION("""COMPUTED_VALUE"""),"TRF18")</f>
        <v>TRF18</v>
      </c>
      <c r="V100" s="107" t="str">
        <f>IFERROR(__xludf.DUMMYFUNCTION("""COMPUTED_VALUE"""),"Chaldea Gate (Fri)")</f>
        <v>Chaldea Gate (Fri)</v>
      </c>
      <c r="W100" s="107" t="str">
        <f>IFERROR(__xludf.DUMMYFUNCTION("""COMPUTED_VALUE"""),"FRI Caster Training Ground- Int")</f>
        <v>FRI Caster Training Ground- Int</v>
      </c>
      <c r="X100" s="116">
        <f>IFERROR(__xludf.DUMMYFUNCTION("""COMPUTED_VALUE"""),20.0)</f>
        <v>20</v>
      </c>
      <c r="Y100" s="118">
        <f>IFERROR(__xludf.DUMMYFUNCTION("""COMPUTED_VALUE"""),18.4)</f>
        <v>18.4</v>
      </c>
      <c r="Z100" s="120">
        <f>IFERROR(__xludf.DUMMYFUNCTION("""COMPUTED_VALUE"""),20.734096350778795)</f>
        <v>20.73409635</v>
      </c>
      <c r="AA100" s="122" t="str">
        <f>IFERROR(__xludf.DUMMYFUNCTION("""COMPUTED_VALUE"""),"AP")</f>
        <v>AP</v>
      </c>
      <c r="AB100" s="124">
        <f>IFERROR(__xludf.DUMMYFUNCTION("""COMPUTED_VALUE"""),96.45947265625)</f>
        <v>96.45947266</v>
      </c>
      <c r="AC100" s="122" t="str">
        <f>IFERROR(__xludf.DUMMYFUNCTION("""COMPUTED_VALUE"""),"％")</f>
        <v>％</v>
      </c>
      <c r="AD100" s="116">
        <f>IFERROR(__xludf.DUMMYFUNCTION("""COMPUTED_VALUE"""),1024.0)</f>
        <v>1024</v>
      </c>
      <c r="AE100" s="100"/>
      <c r="AF100" s="364" t="str">
        <f>IFERROR(__xludf.DUMMYFUNCTION("""COMPUTED_VALUE"""),"")</f>
        <v/>
      </c>
    </row>
    <row r="101" ht="16.5" customHeight="1">
      <c r="C101" s="100"/>
      <c r="D101" s="128">
        <f>IFERROR(__xludf.DUMMYFUNCTION("""COMPUTED_VALUE"""),3.0)</f>
        <v>3</v>
      </c>
      <c r="E101" s="129" t="str">
        <f>IFERROR(__xludf.DUMMYFUNCTION("""COMPUTED_VALUE"""),"CML5")</f>
        <v>CML5</v>
      </c>
      <c r="F101" s="131" t="str">
        <f>IFERROR(__xludf.DUMMYFUNCTION("""COMPUTED_VALUE"""),"Camelot")</f>
        <v>Camelot</v>
      </c>
      <c r="G101" s="134" t="str">
        <f>IFERROR(__xludf.DUMMYFUNCTION("""COMPUTED_VALUE"""),"Fortress of the Round Table")</f>
        <v>Fortress of the Round Table</v>
      </c>
      <c r="H101" s="136">
        <f>IFERROR(__xludf.DUMMYFUNCTION("""COMPUTED_VALUE"""),19.0)</f>
        <v>19</v>
      </c>
      <c r="I101" s="138">
        <f>IFERROR(__xludf.DUMMYFUNCTION("""COMPUTED_VALUE"""),45.26315789473684)</f>
        <v>45.26315789</v>
      </c>
      <c r="J101" s="140">
        <f>IFERROR(__xludf.DUMMYFUNCTION("""COMPUTED_VALUE"""),100.80035089275593)</f>
        <v>100.8003509</v>
      </c>
      <c r="K101" s="142" t="str">
        <f>IFERROR(__xludf.DUMMYFUNCTION("""COMPUTED_VALUE"""),"AP")</f>
        <v>AP</v>
      </c>
      <c r="L101" s="144">
        <f>IFERROR(__xludf.DUMMYFUNCTION("""COMPUTED_VALUE"""),18.84914073385973)</f>
        <v>18.84914073</v>
      </c>
      <c r="M101" s="142" t="str">
        <f>IFERROR(__xludf.DUMMYFUNCTION("""COMPUTED_VALUE"""),"％")</f>
        <v>％</v>
      </c>
      <c r="N101" s="136">
        <f>IFERROR(__xludf.DUMMYFUNCTION("""COMPUTED_VALUE"""),2153.0)</f>
        <v>2153</v>
      </c>
      <c r="O101" s="100"/>
      <c r="P101" s="362" t="str">
        <f>IFERROR(__xludf.DUMMYFUNCTION("""COMPUTED_VALUE"""),"")</f>
        <v/>
      </c>
      <c r="S101" s="100"/>
      <c r="T101" s="128">
        <f>IFERROR(__xludf.DUMMYFUNCTION("""COMPUTED_VALUE"""),3.0)</f>
        <v>3</v>
      </c>
      <c r="U101" s="129" t="str">
        <f>IFERROR(__xludf.DUMMYFUNCTION("""COMPUTED_VALUE"""),"SJK9")</f>
        <v>SJK9</v>
      </c>
      <c r="V101" s="131" t="str">
        <f>IFERROR(__xludf.DUMMYFUNCTION("""COMPUTED_VALUE"""),"Shinjuku")</f>
        <v>Shinjuku</v>
      </c>
      <c r="W101" s="134" t="str">
        <f>IFERROR(__xludf.DUMMYFUNCTION("""COMPUTED_VALUE"""),"Shinjuku Gyoen")</f>
        <v>Shinjuku Gyoen</v>
      </c>
      <c r="X101" s="136">
        <f>IFERROR(__xludf.DUMMYFUNCTION("""COMPUTED_VALUE"""),21.0)</f>
        <v>21</v>
      </c>
      <c r="Y101" s="138">
        <f>IFERROR(__xludf.DUMMYFUNCTION("""COMPUTED_VALUE"""),48.95238095238095)</f>
        <v>48.95238095</v>
      </c>
      <c r="Z101" s="140">
        <f>IFERROR(__xludf.DUMMYFUNCTION("""COMPUTED_VALUE"""),55.06116019221291)</f>
        <v>55.06116019</v>
      </c>
      <c r="AA101" s="142" t="str">
        <f>IFERROR(__xludf.DUMMYFUNCTION("""COMPUTED_VALUE"""),"AP")</f>
        <v>AP</v>
      </c>
      <c r="AB101" s="144">
        <f>IFERROR(__xludf.DUMMYFUNCTION("""COMPUTED_VALUE"""),38.139407027914295)</f>
        <v>38.13940703</v>
      </c>
      <c r="AC101" s="142" t="str">
        <f>IFERROR(__xludf.DUMMYFUNCTION("""COMPUTED_VALUE"""),"％")</f>
        <v>％</v>
      </c>
      <c r="AD101" s="136">
        <f>IFERROR(__xludf.DUMMYFUNCTION("""COMPUTED_VALUE"""),45673.0)</f>
        <v>45673</v>
      </c>
      <c r="AE101" s="100"/>
      <c r="AF101" s="364" t="str">
        <f>IFERROR(__xludf.DUMMYFUNCTION("""COMPUTED_VALUE"""),"")</f>
        <v/>
      </c>
    </row>
    <row r="102" ht="16.5" customHeight="1">
      <c r="C102" s="100"/>
      <c r="D102" s="147">
        <f>IFERROR(__xludf.DUMMYFUNCTION("""COMPUTED_VALUE"""),4.0)</f>
        <v>4</v>
      </c>
      <c r="E102" s="149" t="str">
        <f>IFERROR(__xludf.DUMMYFUNCTION("""COMPUTED_VALUE"""),"")</f>
        <v/>
      </c>
      <c r="F102" s="151" t="str">
        <f>IFERROR(__xludf.DUMMYFUNCTION("""COMPUTED_VALUE"""),"")</f>
        <v/>
      </c>
      <c r="G102" s="151" t="str">
        <f>IFERROR(__xludf.DUMMYFUNCTION("""COMPUTED_VALUE"""),"")</f>
        <v/>
      </c>
      <c r="H102" s="155" t="str">
        <f>IFERROR(__xludf.DUMMYFUNCTION("""COMPUTED_VALUE"""),"")</f>
        <v/>
      </c>
      <c r="I102" s="157" t="str">
        <f>IFERROR(__xludf.DUMMYFUNCTION("""COMPUTED_VALUE"""),"")</f>
        <v/>
      </c>
      <c r="J102" s="159" t="str">
        <f>IFERROR(__xludf.DUMMYFUNCTION("""COMPUTED_VALUE"""),"")</f>
        <v/>
      </c>
      <c r="K102" s="161" t="str">
        <f>IFERROR(__xludf.DUMMYFUNCTION("""COMPUTED_VALUE"""),"AP")</f>
        <v>AP</v>
      </c>
      <c r="L102" s="163" t="str">
        <f>IFERROR(__xludf.DUMMYFUNCTION("""COMPUTED_VALUE"""),"")</f>
        <v/>
      </c>
      <c r="M102" s="161" t="str">
        <f>IFERROR(__xludf.DUMMYFUNCTION("""COMPUTED_VALUE"""),"％")</f>
        <v>％</v>
      </c>
      <c r="N102" s="155" t="str">
        <f>IFERROR(__xludf.DUMMYFUNCTION("""COMPUTED_VALUE"""),"")</f>
        <v/>
      </c>
      <c r="O102" s="100"/>
      <c r="P102" s="362" t="str">
        <f>IFERROR(__xludf.DUMMYFUNCTION("""COMPUTED_VALUE"""),"")</f>
        <v/>
      </c>
      <c r="S102" s="100"/>
      <c r="T102" s="147">
        <f>IFERROR(__xludf.DUMMYFUNCTION("""COMPUTED_VALUE"""),4.0)</f>
        <v>4</v>
      </c>
      <c r="U102" s="149" t="str">
        <f>IFERROR(__xludf.DUMMYFUNCTION("""COMPUTED_VALUE"""),"SJK1")</f>
        <v>SJK1</v>
      </c>
      <c r="V102" s="151" t="str">
        <f>IFERROR(__xludf.DUMMYFUNCTION("""COMPUTED_VALUE"""),"Shinjuku")</f>
        <v>Shinjuku</v>
      </c>
      <c r="W102" s="153" t="str">
        <f>IFERROR(__xludf.DUMMYFUNCTION("""COMPUTED_VALUE"""),"Yoyogi 2-Chome")</f>
        <v>Yoyogi 2-Chome</v>
      </c>
      <c r="X102" s="155">
        <f>IFERROR(__xludf.DUMMYFUNCTION("""COMPUTED_VALUE"""),20.0)</f>
        <v>20</v>
      </c>
      <c r="Y102" s="157">
        <f>IFERROR(__xludf.DUMMYFUNCTION("""COMPUTED_VALUE"""),46.6)</f>
        <v>46.6</v>
      </c>
      <c r="Z102" s="159">
        <f>IFERROR(__xludf.DUMMYFUNCTION("""COMPUTED_VALUE"""),63.65336305082825)</f>
        <v>63.65336305</v>
      </c>
      <c r="AA102" s="161" t="str">
        <f>IFERROR(__xludf.DUMMYFUNCTION("""COMPUTED_VALUE"""),"AP")</f>
        <v>AP</v>
      </c>
      <c r="AB102" s="163">
        <f>IFERROR(__xludf.DUMMYFUNCTION("""COMPUTED_VALUE"""),31.42017804154303)</f>
        <v>31.42017804</v>
      </c>
      <c r="AC102" s="161" t="str">
        <f>IFERROR(__xludf.DUMMYFUNCTION("""COMPUTED_VALUE"""),"％")</f>
        <v>％</v>
      </c>
      <c r="AD102" s="155">
        <f>IFERROR(__xludf.DUMMYFUNCTION("""COMPUTED_VALUE"""),337.0)</f>
        <v>337</v>
      </c>
      <c r="AE102" s="100"/>
      <c r="AF102" s="364" t="str">
        <f>IFERROR(__xludf.DUMMYFUNCTION("""COMPUTED_VALUE"""),"")</f>
        <v/>
      </c>
    </row>
    <row r="103" ht="16.5" customHeight="1">
      <c r="A103" s="166"/>
      <c r="C103" s="168"/>
      <c r="D103" s="169">
        <f>IFERROR(__xludf.DUMMYFUNCTION("""COMPUTED_VALUE"""),5.0)</f>
        <v>5</v>
      </c>
      <c r="E103" s="170" t="str">
        <f>IFERROR(__xludf.DUMMYFUNCTION("""COMPUTED_VALUE"""),"")</f>
        <v/>
      </c>
      <c r="F103" s="51" t="str">
        <f>IFERROR(__xludf.DUMMYFUNCTION("""COMPUTED_VALUE"""),"")</f>
        <v/>
      </c>
      <c r="G103" s="51" t="str">
        <f>IFERROR(__xludf.DUMMYFUNCTION("""COMPUTED_VALUE"""),"")</f>
        <v/>
      </c>
      <c r="H103" s="172" t="str">
        <f>IFERROR(__xludf.DUMMYFUNCTION("""COMPUTED_VALUE"""),"")</f>
        <v/>
      </c>
      <c r="I103" s="173" t="str">
        <f>IFERROR(__xludf.DUMMYFUNCTION("""COMPUTED_VALUE"""),"")</f>
        <v/>
      </c>
      <c r="J103" s="174" t="str">
        <f>IFERROR(__xludf.DUMMYFUNCTION("""COMPUTED_VALUE"""),"")</f>
        <v/>
      </c>
      <c r="K103" s="175" t="str">
        <f>IFERROR(__xludf.DUMMYFUNCTION("""COMPUTED_VALUE"""),"AP")</f>
        <v>AP</v>
      </c>
      <c r="L103" s="176" t="str">
        <f>IFERROR(__xludf.DUMMYFUNCTION("""COMPUTED_VALUE"""),"")</f>
        <v/>
      </c>
      <c r="M103" s="175" t="str">
        <f>IFERROR(__xludf.DUMMYFUNCTION("""COMPUTED_VALUE"""),"％")</f>
        <v>％</v>
      </c>
      <c r="N103" s="172" t="str">
        <f>IFERROR(__xludf.DUMMYFUNCTION("""COMPUTED_VALUE"""),"")</f>
        <v/>
      </c>
      <c r="O103" s="168"/>
      <c r="P103" s="362" t="str">
        <f>IFERROR(__xludf.DUMMYFUNCTION("""COMPUTED_VALUE"""),"")</f>
        <v/>
      </c>
      <c r="Q103" s="166"/>
      <c r="S103" s="168"/>
      <c r="T103" s="169">
        <f>IFERROR(__xludf.DUMMYFUNCTION("""COMPUTED_VALUE"""),5.0)</f>
        <v>5</v>
      </c>
      <c r="U103" s="170" t="str">
        <f>IFERROR(__xludf.DUMMYFUNCTION("""COMPUTED_VALUE"""),"SJK4")</f>
        <v>SJK4</v>
      </c>
      <c r="V103" s="51" t="str">
        <f>IFERROR(__xludf.DUMMYFUNCTION("""COMPUTED_VALUE"""),"Shinjuku")</f>
        <v>Shinjuku</v>
      </c>
      <c r="W103" s="171" t="str">
        <f>IFERROR(__xludf.DUMMYFUNCTION("""COMPUTED_VALUE"""),"Shinjuku 4-Chome")</f>
        <v>Shinjuku 4-Chome</v>
      </c>
      <c r="X103" s="172">
        <f>IFERROR(__xludf.DUMMYFUNCTION("""COMPUTED_VALUE"""),21.0)</f>
        <v>21</v>
      </c>
      <c r="Y103" s="173">
        <f>IFERROR(__xludf.DUMMYFUNCTION("""COMPUTED_VALUE"""),45.523809523809526)</f>
        <v>45.52380952</v>
      </c>
      <c r="Z103" s="174">
        <f>IFERROR(__xludf.DUMMYFUNCTION("""COMPUTED_VALUE"""),85.04425719406062)</f>
        <v>85.04425719</v>
      </c>
      <c r="AA103" s="175" t="str">
        <f>IFERROR(__xludf.DUMMYFUNCTION("""COMPUTED_VALUE"""),"AP")</f>
        <v>AP</v>
      </c>
      <c r="AB103" s="176">
        <f>IFERROR(__xludf.DUMMYFUNCTION("""COMPUTED_VALUE"""),24.69302536452351)</f>
        <v>24.69302536</v>
      </c>
      <c r="AC103" s="175" t="str">
        <f>IFERROR(__xludf.DUMMYFUNCTION("""COMPUTED_VALUE"""),"％")</f>
        <v>％</v>
      </c>
      <c r="AD103" s="172">
        <f>IFERROR(__xludf.DUMMYFUNCTION("""COMPUTED_VALUE"""),37176.0)</f>
        <v>37176</v>
      </c>
      <c r="AE103" s="168"/>
      <c r="AF103" s="364" t="str">
        <f>IFERROR(__xludf.DUMMYFUNCTION("""COMPUTED_VALUE"""),"")</f>
        <v/>
      </c>
    </row>
    <row r="104" ht="16.5" customHeight="1">
      <c r="A104" s="61" t="str">
        <f>IFERROR(__xludf.DUMMYFUNCTION("""COMPUTED_VALUE"""),"")</f>
        <v/>
      </c>
      <c r="B104" s="366" t="str">
        <f>IFERROR(__xludf.DUMMYFUNCTION("""COMPUTED_VALUE"""),"A211")</f>
        <v>A211</v>
      </c>
      <c r="C104" s="197" t="str">
        <f>IFERROR(__xludf.DUMMYFUNCTION("""COMPUTED_VALUE"""),"Shell of Reminiscense")</f>
        <v>Shell of Reminiscense</v>
      </c>
      <c r="D104" s="185">
        <f>IFERROR(__xludf.DUMMYFUNCTION("""COMPUTED_VALUE"""),1.0)</f>
        <v>1</v>
      </c>
      <c r="E104" s="187" t="str">
        <f>IFERROR(__xludf.DUMMYFUNCTION("""COMPUTED_VALUE"""),"BBL8")</f>
        <v>BBL8</v>
      </c>
      <c r="F104" s="188" t="str">
        <f>IFERROR(__xludf.DUMMYFUNCTION("""COMPUTED_VALUE"""),"Babylonia")</f>
        <v>Babylonia</v>
      </c>
      <c r="G104" s="193" t="str">
        <f>IFERROR(__xludf.DUMMYFUNCTION("""COMPUTED_VALUE"""),"Observatory")</f>
        <v>Observatory</v>
      </c>
      <c r="H104" s="195">
        <f>IFERROR(__xludf.DUMMYFUNCTION("""COMPUTED_VALUE"""),21.0)</f>
        <v>21</v>
      </c>
      <c r="I104" s="196">
        <f>IFERROR(__xludf.DUMMYFUNCTION("""COMPUTED_VALUE"""),46.666666666666664)</f>
        <v>46.66666667</v>
      </c>
      <c r="J104" s="198">
        <f>IFERROR(__xludf.DUMMYFUNCTION("""COMPUTED_VALUE"""),52.245164706077)</f>
        <v>52.24516471</v>
      </c>
      <c r="K104" s="200" t="str">
        <f>IFERROR(__xludf.DUMMYFUNCTION("""COMPUTED_VALUE"""),"AP")</f>
        <v>AP</v>
      </c>
      <c r="L104" s="198">
        <f>IFERROR(__xludf.DUMMYFUNCTION("""COMPUTED_VALUE"""),40.19510727575014)</f>
        <v>40.19510728</v>
      </c>
      <c r="M104" s="201" t="str">
        <f>IFERROR(__xludf.DUMMYFUNCTION("""COMPUTED_VALUE"""),"％")</f>
        <v>％</v>
      </c>
      <c r="N104" s="195">
        <f>IFERROR(__xludf.DUMMYFUNCTION("""COMPUTED_VALUE"""),25262.0)</f>
        <v>25262</v>
      </c>
      <c r="O104" s="197" t="str">
        <f>IFERROR(__xludf.DUMMYFUNCTION("""COMPUTED_VALUE"""),"Shell of Reminiscense")</f>
        <v>Shell of Reminiscense</v>
      </c>
      <c r="P104" s="362" t="str">
        <f>IFERROR(__xludf.DUMMYFUNCTION("""COMPUTED_VALUE"""),"")</f>
        <v/>
      </c>
      <c r="Q104" s="61" t="str">
        <f>IFERROR(__xludf.DUMMYFUNCTION("""COMPUTED_VALUE"""),"")</f>
        <v/>
      </c>
      <c r="R104" s="366" t="str">
        <f>IFERROR(__xludf.DUMMYFUNCTION("""COMPUTED_VALUE"""),"B126")</f>
        <v>B126</v>
      </c>
      <c r="S104" s="197" t="str">
        <f>IFERROR(__xludf.DUMMYFUNCTION("""COMPUTED_VALUE"""),"Gem of Assassin")</f>
        <v>Gem of Assassin</v>
      </c>
      <c r="T104" s="185">
        <f>IFERROR(__xludf.DUMMYFUNCTION("""COMPUTED_VALUE"""),1.0)</f>
        <v>1</v>
      </c>
      <c r="U104" s="187" t="str">
        <f>IFERROR(__xludf.DUMMYFUNCTION("""COMPUTED_VALUE"""),"TRF21")</f>
        <v>TRF21</v>
      </c>
      <c r="V104" s="188" t="str">
        <f>IFERROR(__xludf.DUMMYFUNCTION("""COMPUTED_VALUE"""),"Chaldea Gate (Sat)")</f>
        <v>Chaldea Gate (Sat)</v>
      </c>
      <c r="W104" s="188" t="str">
        <f>IFERROR(__xludf.DUMMYFUNCTION("""COMPUTED_VALUE"""),"SAT Assassin Training Ground- Nov")</f>
        <v>SAT Assassin Training Ground- Nov</v>
      </c>
      <c r="X104" s="195">
        <f>IFERROR(__xludf.DUMMYFUNCTION("""COMPUTED_VALUE"""),10.0)</f>
        <v>10</v>
      </c>
      <c r="Y104" s="196">
        <f>IFERROR(__xludf.DUMMYFUNCTION("""COMPUTED_VALUE"""),18.8)</f>
        <v>18.8</v>
      </c>
      <c r="Z104" s="198">
        <f>IFERROR(__xludf.DUMMYFUNCTION("""COMPUTED_VALUE"""),7.637102969645061)</f>
        <v>7.63710297</v>
      </c>
      <c r="AA104" s="200" t="str">
        <f>IFERROR(__xludf.DUMMYFUNCTION("""COMPUTED_VALUE"""),"AP")</f>
        <v>AP</v>
      </c>
      <c r="AB104" s="198">
        <f>IFERROR(__xludf.DUMMYFUNCTION("""COMPUTED_VALUE"""),130.9397037037037)</f>
        <v>130.9397037</v>
      </c>
      <c r="AC104" s="201" t="str">
        <f>IFERROR(__xludf.DUMMYFUNCTION("""COMPUTED_VALUE"""),"％")</f>
        <v>％</v>
      </c>
      <c r="AD104" s="195">
        <f>IFERROR(__xludf.DUMMYFUNCTION("""COMPUTED_VALUE"""),1350.0)</f>
        <v>1350</v>
      </c>
      <c r="AE104" s="197" t="str">
        <f>IFERROR(__xludf.DUMMYFUNCTION("""COMPUTED_VALUE"""),"Gem of Assassin")</f>
        <v>Gem of Assassin</v>
      </c>
      <c r="AF104" s="364" t="str">
        <f>IFERROR(__xludf.DUMMYFUNCTION("""COMPUTED_VALUE"""),"")</f>
        <v/>
      </c>
    </row>
    <row r="105" ht="16.5" customHeight="1">
      <c r="C105" s="217"/>
      <c r="D105" s="208">
        <f>IFERROR(__xludf.DUMMYFUNCTION("""COMPUTED_VALUE"""),2.0)</f>
        <v>2</v>
      </c>
      <c r="E105" s="210" t="str">
        <f>IFERROR(__xludf.DUMMYFUNCTION("""COMPUTED_VALUE"""),"OKN11")</f>
        <v>OKN11</v>
      </c>
      <c r="F105" s="212" t="str">
        <f>IFERROR(__xludf.DUMMYFUNCTION("""COMPUTED_VALUE"""),"Okeanos")</f>
        <v>Okeanos</v>
      </c>
      <c r="G105" s="216" t="str">
        <f>IFERROR(__xludf.DUMMYFUNCTION("""COMPUTED_VALUE"""),"Archipelago (Hidden island)")</f>
        <v>Archipelago (Hidden island)</v>
      </c>
      <c r="H105" s="218">
        <f>IFERROR(__xludf.DUMMYFUNCTION("""COMPUTED_VALUE"""),16.0)</f>
        <v>16</v>
      </c>
      <c r="I105" s="219">
        <f>IFERROR(__xludf.DUMMYFUNCTION("""COMPUTED_VALUE"""),38.75)</f>
        <v>38.75</v>
      </c>
      <c r="J105" s="220">
        <f>IFERROR(__xludf.DUMMYFUNCTION("""COMPUTED_VALUE"""),60.18808777429468)</f>
        <v>60.18808777</v>
      </c>
      <c r="K105" s="221" t="str">
        <f>IFERROR(__xludf.DUMMYFUNCTION("""COMPUTED_VALUE"""),"AP")</f>
        <v>AP</v>
      </c>
      <c r="L105" s="220">
        <f>IFERROR(__xludf.DUMMYFUNCTION("""COMPUTED_VALUE"""),26.583333333333332)</f>
        <v>26.58333333</v>
      </c>
      <c r="M105" s="221" t="str">
        <f>IFERROR(__xludf.DUMMYFUNCTION("""COMPUTED_VALUE"""),"％")</f>
        <v>％</v>
      </c>
      <c r="N105" s="218">
        <f>IFERROR(__xludf.DUMMYFUNCTION("""COMPUTED_VALUE"""),804.0)</f>
        <v>804</v>
      </c>
      <c r="O105" s="217"/>
      <c r="P105" s="362" t="str">
        <f>IFERROR(__xludf.DUMMYFUNCTION("""COMPUTED_VALUE"""),"")</f>
        <v/>
      </c>
      <c r="S105" s="217"/>
      <c r="T105" s="208">
        <f>IFERROR(__xludf.DUMMYFUNCTION("""COMPUTED_VALUE"""),2.0)</f>
        <v>2</v>
      </c>
      <c r="U105" s="210" t="str">
        <f>IFERROR(__xludf.DUMMYFUNCTION("""COMPUTED_VALUE"""),"TRF22")</f>
        <v>TRF22</v>
      </c>
      <c r="V105" s="212" t="str">
        <f>IFERROR(__xludf.DUMMYFUNCTION("""COMPUTED_VALUE"""),"Chaldea Gate (Sat)")</f>
        <v>Chaldea Gate (Sat)</v>
      </c>
      <c r="W105" s="212" t="str">
        <f>IFERROR(__xludf.DUMMYFUNCTION("""COMPUTED_VALUE"""),"SAT Assassin Training Ground- Int")</f>
        <v>SAT Assassin Training Ground- Int</v>
      </c>
      <c r="X105" s="218">
        <f>IFERROR(__xludf.DUMMYFUNCTION("""COMPUTED_VALUE"""),20.0)</f>
        <v>20</v>
      </c>
      <c r="Y105" s="219">
        <f>IFERROR(__xludf.DUMMYFUNCTION("""COMPUTED_VALUE"""),18.4)</f>
        <v>18.4</v>
      </c>
      <c r="Z105" s="220">
        <f>IFERROR(__xludf.DUMMYFUNCTION("""COMPUTED_VALUE"""),23.592432646432652)</f>
        <v>23.59243265</v>
      </c>
      <c r="AA105" s="221" t="str">
        <f>IFERROR(__xludf.DUMMYFUNCTION("""COMPUTED_VALUE"""),"AP")</f>
        <v>AP</v>
      </c>
      <c r="AB105" s="220">
        <f>IFERROR(__xludf.DUMMYFUNCTION("""COMPUTED_VALUE"""),84.77294520547946)</f>
        <v>84.77294521</v>
      </c>
      <c r="AC105" s="221" t="str">
        <f>IFERROR(__xludf.DUMMYFUNCTION("""COMPUTED_VALUE"""),"％")</f>
        <v>％</v>
      </c>
      <c r="AD105" s="218">
        <f>IFERROR(__xludf.DUMMYFUNCTION("""COMPUTED_VALUE"""),584.0)</f>
        <v>584</v>
      </c>
      <c r="AE105" s="217"/>
      <c r="AF105" s="364" t="str">
        <f>IFERROR(__xludf.DUMMYFUNCTION("""COMPUTED_VALUE"""),"")</f>
        <v/>
      </c>
    </row>
    <row r="106" ht="16.5" customHeight="1">
      <c r="C106" s="217"/>
      <c r="D106" s="225">
        <f>IFERROR(__xludf.DUMMYFUNCTION("""COMPUTED_VALUE"""),3.0)</f>
        <v>3</v>
      </c>
      <c r="E106" s="227" t="str">
        <f>IFERROR(__xludf.DUMMYFUNCTION("""COMPUTED_VALUE"""),"TRF28")</f>
        <v>TRF28</v>
      </c>
      <c r="F106" s="229" t="str">
        <f>IFERROR(__xludf.DUMMYFUNCTION("""COMPUTED_VALUE"""),"Chaldea Gate (Sun)")</f>
        <v>Chaldea Gate (Sun)</v>
      </c>
      <c r="G106" s="229" t="str">
        <f>IFERROR(__xludf.DUMMYFUNCTION("""COMPUTED_VALUE"""),"SUN Saber Training Ground- Exp")</f>
        <v>SUN Saber Training Ground- Exp</v>
      </c>
      <c r="H106" s="234">
        <f>IFERROR(__xludf.DUMMYFUNCTION("""COMPUTED_VALUE"""),40.0)</f>
        <v>40</v>
      </c>
      <c r="I106" s="235">
        <f>IFERROR(__xludf.DUMMYFUNCTION("""COMPUTED_VALUE"""),19.7)</f>
        <v>19.7</v>
      </c>
      <c r="J106" s="236">
        <f>IFERROR(__xludf.DUMMYFUNCTION("""COMPUTED_VALUE"""),193.34664259226145)</f>
        <v>193.3466426</v>
      </c>
      <c r="K106" s="237" t="str">
        <f>IFERROR(__xludf.DUMMYFUNCTION("""COMPUTED_VALUE"""),"AP")</f>
        <v>AP</v>
      </c>
      <c r="L106" s="236">
        <f>IFERROR(__xludf.DUMMYFUNCTION("""COMPUTED_VALUE"""),20.688230974020012)</f>
        <v>20.68823097</v>
      </c>
      <c r="M106" s="237" t="str">
        <f>IFERROR(__xludf.DUMMYFUNCTION("""COMPUTED_VALUE"""),"％")</f>
        <v>％</v>
      </c>
      <c r="N106" s="234">
        <f>IFERROR(__xludf.DUMMYFUNCTION("""COMPUTED_VALUE"""),21786.0)</f>
        <v>21786</v>
      </c>
      <c r="O106" s="217"/>
      <c r="P106" s="362" t="str">
        <f>IFERROR(__xludf.DUMMYFUNCTION("""COMPUTED_VALUE"""),"")</f>
        <v/>
      </c>
      <c r="S106" s="217"/>
      <c r="T106" s="225">
        <f>IFERROR(__xludf.DUMMYFUNCTION("""COMPUTED_VALUE"""),3.0)</f>
        <v>3</v>
      </c>
      <c r="U106" s="227" t="str">
        <f>IFERROR(__xludf.DUMMYFUNCTION("""COMPUTED_VALUE"""),"LDN1")</f>
        <v>LDN1</v>
      </c>
      <c r="V106" s="229" t="str">
        <f>IFERROR(__xludf.DUMMYFUNCTION("""COMPUTED_VALUE"""),"London")</f>
        <v>London</v>
      </c>
      <c r="W106" s="233" t="str">
        <f>IFERROR(__xludf.DUMMYFUNCTION("""COMPUTED_VALUE"""),"Old Street")</f>
        <v>Old Street</v>
      </c>
      <c r="X106" s="234">
        <f>IFERROR(__xludf.DUMMYFUNCTION("""COMPUTED_VALUE"""),15.0)</f>
        <v>15</v>
      </c>
      <c r="Y106" s="235">
        <f>IFERROR(__xludf.DUMMYFUNCTION("""COMPUTED_VALUE"""),38.13333333333333)</f>
        <v>38.13333333</v>
      </c>
      <c r="Z106" s="236">
        <f>IFERROR(__xludf.DUMMYFUNCTION("""COMPUTED_VALUE"""),27.540447191419744)</f>
        <v>27.54044719</v>
      </c>
      <c r="AA106" s="237" t="str">
        <f>IFERROR(__xludf.DUMMYFUNCTION("""COMPUTED_VALUE"""),"AP")</f>
        <v>AP</v>
      </c>
      <c r="AB106" s="236">
        <f>IFERROR(__xludf.DUMMYFUNCTION("""COMPUTED_VALUE"""),54.46534653465346)</f>
        <v>54.46534653</v>
      </c>
      <c r="AC106" s="237" t="str">
        <f>IFERROR(__xludf.DUMMYFUNCTION("""COMPUTED_VALUE"""),"％")</f>
        <v>％</v>
      </c>
      <c r="AD106" s="234">
        <f>IFERROR(__xludf.DUMMYFUNCTION("""COMPUTED_VALUE"""),202.0)</f>
        <v>202</v>
      </c>
      <c r="AE106" s="217"/>
      <c r="AF106" s="364" t="str">
        <f>IFERROR(__xludf.DUMMYFUNCTION("""COMPUTED_VALUE"""),"")</f>
        <v/>
      </c>
    </row>
    <row r="107" ht="16.5" customHeight="1">
      <c r="C107" s="217"/>
      <c r="D107" s="239">
        <f>IFERROR(__xludf.DUMMYFUNCTION("""COMPUTED_VALUE"""),4.0)</f>
        <v>4</v>
      </c>
      <c r="E107" s="241" t="str">
        <f>IFERROR(__xludf.DUMMYFUNCTION("""COMPUTED_VALUE"""),"TRF27")</f>
        <v>TRF27</v>
      </c>
      <c r="F107" s="243" t="str">
        <f>IFERROR(__xludf.DUMMYFUNCTION("""COMPUTED_VALUE"""),"Chaldea Gate (Sun)")</f>
        <v>Chaldea Gate (Sun)</v>
      </c>
      <c r="G107" s="243" t="str">
        <f>IFERROR(__xludf.DUMMYFUNCTION("""COMPUTED_VALUE"""),"SUN Saber Training Ground- Adv")</f>
        <v>SUN Saber Training Ground- Adv</v>
      </c>
      <c r="H107" s="247">
        <f>IFERROR(__xludf.DUMMYFUNCTION("""COMPUTED_VALUE"""),30.0)</f>
        <v>30</v>
      </c>
      <c r="I107" s="249">
        <f>IFERROR(__xludf.DUMMYFUNCTION("""COMPUTED_VALUE"""),18.266666666666666)</f>
        <v>18.26666667</v>
      </c>
      <c r="J107" s="251">
        <f>IFERROR(__xludf.DUMMYFUNCTION("""COMPUTED_VALUE"""),193.93757947628984)</f>
        <v>193.9375795</v>
      </c>
      <c r="K107" s="253" t="str">
        <f>IFERROR(__xludf.DUMMYFUNCTION("""COMPUTED_VALUE"""),"AP")</f>
        <v>AP</v>
      </c>
      <c r="L107" s="251">
        <f>IFERROR(__xludf.DUMMYFUNCTION("""COMPUTED_VALUE"""),15.46889472427787)</f>
        <v>15.46889472</v>
      </c>
      <c r="M107" s="253" t="str">
        <f>IFERROR(__xludf.DUMMYFUNCTION("""COMPUTED_VALUE"""),"％")</f>
        <v>％</v>
      </c>
      <c r="N107" s="247">
        <f>IFERROR(__xludf.DUMMYFUNCTION("""COMPUTED_VALUE"""),4189.0)</f>
        <v>4189</v>
      </c>
      <c r="O107" s="217"/>
      <c r="P107" s="362" t="str">
        <f>IFERROR(__xludf.DUMMYFUNCTION("""COMPUTED_VALUE"""),"")</f>
        <v/>
      </c>
      <c r="S107" s="217"/>
      <c r="T107" s="239">
        <f>IFERROR(__xludf.DUMMYFUNCTION("""COMPUTED_VALUE"""),4.0)</f>
        <v>4</v>
      </c>
      <c r="U107" s="241" t="str">
        <f>IFERROR(__xludf.DUMMYFUNCTION("""COMPUTED_VALUE"""),"OKN9")</f>
        <v>OKN9</v>
      </c>
      <c r="V107" s="243" t="str">
        <f>IFERROR(__xludf.DUMMYFUNCTION("""COMPUTED_VALUE"""),"Okeanos")</f>
        <v>Okeanos</v>
      </c>
      <c r="W107" s="245" t="str">
        <f>IFERROR(__xludf.DUMMYFUNCTION("""COMPUTED_VALUE"""),"Stormy Seas")</f>
        <v>Stormy Seas</v>
      </c>
      <c r="X107" s="247">
        <f>IFERROR(__xludf.DUMMYFUNCTION("""COMPUTED_VALUE"""),15.0)</f>
        <v>15</v>
      </c>
      <c r="Y107" s="249">
        <f>IFERROR(__xludf.DUMMYFUNCTION("""COMPUTED_VALUE"""),36.53333333333333)</f>
        <v>36.53333333</v>
      </c>
      <c r="Z107" s="251">
        <f>IFERROR(__xludf.DUMMYFUNCTION("""COMPUTED_VALUE"""),29.7581964494054)</f>
        <v>29.75819645</v>
      </c>
      <c r="AA107" s="253" t="str">
        <f>IFERROR(__xludf.DUMMYFUNCTION("""COMPUTED_VALUE"""),"AP")</f>
        <v>AP</v>
      </c>
      <c r="AB107" s="251">
        <f>IFERROR(__xludf.DUMMYFUNCTION("""COMPUTED_VALUE"""),50.406280587275695)</f>
        <v>50.40628059</v>
      </c>
      <c r="AC107" s="253" t="str">
        <f>IFERROR(__xludf.DUMMYFUNCTION("""COMPUTED_VALUE"""),"％")</f>
        <v>％</v>
      </c>
      <c r="AD107" s="247">
        <f>IFERROR(__xludf.DUMMYFUNCTION("""COMPUTED_VALUE"""),2452.0)</f>
        <v>2452</v>
      </c>
      <c r="AE107" s="217"/>
      <c r="AF107" s="364" t="str">
        <f>IFERROR(__xludf.DUMMYFUNCTION("""COMPUTED_VALUE"""),"")</f>
        <v/>
      </c>
    </row>
    <row r="108" ht="16.5" customHeight="1">
      <c r="A108" s="166"/>
      <c r="C108" s="263"/>
      <c r="D108" s="256">
        <f>IFERROR(__xludf.DUMMYFUNCTION("""COMPUTED_VALUE"""),5.0)</f>
        <v>5</v>
      </c>
      <c r="E108" s="257" t="str">
        <f>IFERROR(__xludf.DUMMYFUNCTION("""COMPUTED_VALUE"""),"TRF26")</f>
        <v>TRF26</v>
      </c>
      <c r="F108" s="42" t="str">
        <f>IFERROR(__xludf.DUMMYFUNCTION("""COMPUTED_VALUE"""),"Chaldea Gate (Sun)")</f>
        <v>Chaldea Gate (Sun)</v>
      </c>
      <c r="G108" s="42" t="str">
        <f>IFERROR(__xludf.DUMMYFUNCTION("""COMPUTED_VALUE"""),"SUN Saber Training Ground- Int")</f>
        <v>SUN Saber Training Ground- Int</v>
      </c>
      <c r="H108" s="259">
        <f>IFERROR(__xludf.DUMMYFUNCTION("""COMPUTED_VALUE"""),20.0)</f>
        <v>20</v>
      </c>
      <c r="I108" s="260">
        <f>IFERROR(__xludf.DUMMYFUNCTION("""COMPUTED_VALUE"""),18.4)</f>
        <v>18.4</v>
      </c>
      <c r="J108" s="261">
        <f>IFERROR(__xludf.DUMMYFUNCTION("""COMPUTED_VALUE"""),164.1193595342067)</f>
        <v>164.1193595</v>
      </c>
      <c r="K108" s="262" t="str">
        <f>IFERROR(__xludf.DUMMYFUNCTION("""COMPUTED_VALUE"""),"AP")</f>
        <v>AP</v>
      </c>
      <c r="L108" s="261">
        <f>IFERROR(__xludf.DUMMYFUNCTION("""COMPUTED_VALUE"""),12.186252771618625)</f>
        <v>12.18625277</v>
      </c>
      <c r="M108" s="262" t="str">
        <f>IFERROR(__xludf.DUMMYFUNCTION("""COMPUTED_VALUE"""),"％")</f>
        <v>％</v>
      </c>
      <c r="N108" s="259">
        <f>IFERROR(__xludf.DUMMYFUNCTION("""COMPUTED_VALUE"""),451.0)</f>
        <v>451</v>
      </c>
      <c r="O108" s="263"/>
      <c r="P108" s="362" t="str">
        <f>IFERROR(__xludf.DUMMYFUNCTION("""COMPUTED_VALUE"""),"")</f>
        <v/>
      </c>
      <c r="Q108" s="166"/>
      <c r="S108" s="263"/>
      <c r="T108" s="256">
        <f>IFERROR(__xludf.DUMMYFUNCTION("""COMPUTED_VALUE"""),5.0)</f>
        <v>5</v>
      </c>
      <c r="U108" s="257" t="str">
        <f>IFERROR(__xludf.DUMMYFUNCTION("""COMPUTED_VALUE"""),"CML6")</f>
        <v>CML6</v>
      </c>
      <c r="V108" s="42" t="str">
        <f>IFERROR(__xludf.DUMMYFUNCTION("""COMPUTED_VALUE"""),"Camelot")</f>
        <v>Camelot</v>
      </c>
      <c r="W108" s="258" t="str">
        <f>IFERROR(__xludf.DUMMYFUNCTION("""COMPUTED_VALUE"""),"Mausoleum of the Evening Bell")</f>
        <v>Mausoleum of the Evening Bell</v>
      </c>
      <c r="X108" s="259">
        <f>IFERROR(__xludf.DUMMYFUNCTION("""COMPUTED_VALUE"""),19.0)</f>
        <v>19</v>
      </c>
      <c r="Y108" s="260">
        <f>IFERROR(__xludf.DUMMYFUNCTION("""COMPUTED_VALUE"""),45.26315789473684)</f>
        <v>45.26315789</v>
      </c>
      <c r="Z108" s="261">
        <f>IFERROR(__xludf.DUMMYFUNCTION("""COMPUTED_VALUE"""),40.12153706445071)</f>
        <v>40.12153706</v>
      </c>
      <c r="AA108" s="262" t="str">
        <f>IFERROR(__xludf.DUMMYFUNCTION("""COMPUTED_VALUE"""),"AP")</f>
        <v>AP</v>
      </c>
      <c r="AB108" s="261">
        <f>IFERROR(__xludf.DUMMYFUNCTION("""COMPUTED_VALUE"""),47.35611192930781)</f>
        <v>47.35611193</v>
      </c>
      <c r="AC108" s="262" t="str">
        <f>IFERROR(__xludf.DUMMYFUNCTION("""COMPUTED_VALUE"""),"％")</f>
        <v>％</v>
      </c>
      <c r="AD108" s="259">
        <f>IFERROR(__xludf.DUMMYFUNCTION("""COMPUTED_VALUE"""),2716.0)</f>
        <v>2716</v>
      </c>
      <c r="AE108" s="263"/>
      <c r="AF108" s="364" t="str">
        <f>IFERROR(__xludf.DUMMYFUNCTION("""COMPUTED_VALUE"""),"")</f>
        <v/>
      </c>
    </row>
    <row r="109" ht="16.5" customHeight="1">
      <c r="A109" s="61" t="str">
        <f>IFERROR(__xludf.DUMMYFUNCTION("""COMPUTED_VALUE"""),"")</f>
        <v/>
      </c>
      <c r="B109" s="367" t="str">
        <f>IFERROR(__xludf.DUMMYFUNCTION("""COMPUTED_VALUE"""),"A212")</f>
        <v>A212</v>
      </c>
      <c r="C109" s="65" t="str">
        <f>IFERROR(__xludf.DUMMYFUNCTION("""COMPUTED_VALUE"""),"Refined Magatama")</f>
        <v>Refined Magatama</v>
      </c>
      <c r="D109" s="70">
        <f>IFERROR(__xludf.DUMMYFUNCTION("""COMPUTED_VALUE"""),1.0)</f>
        <v>1</v>
      </c>
      <c r="E109" s="73" t="str">
        <f>IFERROR(__xludf.DUMMYFUNCTION("""COMPUTED_VALUE"""),"SMS4")</f>
        <v>SMS4</v>
      </c>
      <c r="F109" s="76" t="str">
        <f>IFERROR(__xludf.DUMMYFUNCTION("""COMPUTED_VALUE"""),"Shimosa")</f>
        <v>Shimosa</v>
      </c>
      <c r="G109" s="85" t="str">
        <f>IFERROR(__xludf.DUMMYFUNCTION("""COMPUTED_VALUE"""),"Castle Town")</f>
        <v>Castle Town</v>
      </c>
      <c r="H109" s="87">
        <f>IFERROR(__xludf.DUMMYFUNCTION("""COMPUTED_VALUE"""),21.0)</f>
        <v>21</v>
      </c>
      <c r="I109" s="90">
        <f>IFERROR(__xludf.DUMMYFUNCTION("""COMPUTED_VALUE"""),46.666666666666664)</f>
        <v>46.66666667</v>
      </c>
      <c r="J109" s="92">
        <f>IFERROR(__xludf.DUMMYFUNCTION("""COMPUTED_VALUE"""),51.84797924726525)</f>
        <v>51.84797925</v>
      </c>
      <c r="K109" s="94" t="str">
        <f>IFERROR(__xludf.DUMMYFUNCTION("""COMPUTED_VALUE"""),"AP")</f>
        <v>AP</v>
      </c>
      <c r="L109" s="96">
        <f>IFERROR(__xludf.DUMMYFUNCTION("""COMPUTED_VALUE"""),40.50302500672224)</f>
        <v>40.50302501</v>
      </c>
      <c r="M109" s="94" t="str">
        <f>IFERROR(__xludf.DUMMYFUNCTION("""COMPUTED_VALUE"""),"％")</f>
        <v>％</v>
      </c>
      <c r="N109" s="87">
        <f>IFERROR(__xludf.DUMMYFUNCTION("""COMPUTED_VALUE"""),7438.0)</f>
        <v>7438</v>
      </c>
      <c r="O109" s="97" t="str">
        <f>IFERROR(__xludf.DUMMYFUNCTION("""COMPUTED_VALUE"""),"Refined Magatama")</f>
        <v>Refined Magatama</v>
      </c>
      <c r="P109" s="93" t="str">
        <f>IFERROR(__xludf.DUMMYFUNCTION("""COMPUTED_VALUE"""),"")</f>
        <v/>
      </c>
      <c r="Q109" s="61" t="str">
        <f>IFERROR(__xludf.DUMMYFUNCTION("""COMPUTED_VALUE"""),"")</f>
        <v/>
      </c>
      <c r="R109" s="367" t="str">
        <f>IFERROR(__xludf.DUMMYFUNCTION("""COMPUTED_VALUE"""),"B127")</f>
        <v>B127</v>
      </c>
      <c r="S109" s="65" t="str">
        <f>IFERROR(__xludf.DUMMYFUNCTION("""COMPUTED_VALUE"""),"Gem of Berserker")</f>
        <v>Gem of Berserker</v>
      </c>
      <c r="T109" s="70">
        <f>IFERROR(__xludf.DUMMYFUNCTION("""COMPUTED_VALUE"""),1.0)</f>
        <v>1</v>
      </c>
      <c r="U109" s="73" t="str">
        <f>IFERROR(__xludf.DUMMYFUNCTION("""COMPUTED_VALUE"""),"TRF9")</f>
        <v>TRF9</v>
      </c>
      <c r="V109" s="76" t="str">
        <f>IFERROR(__xludf.DUMMYFUNCTION("""COMPUTED_VALUE"""),"Chaldea Gate (Wed)")</f>
        <v>Chaldea Gate (Wed)</v>
      </c>
      <c r="W109" s="76" t="str">
        <f>IFERROR(__xludf.DUMMYFUNCTION("""COMPUTED_VALUE"""),"WED Berserker Training Ground- Nov")</f>
        <v>WED Berserker Training Ground- Nov</v>
      </c>
      <c r="X109" s="87">
        <f>IFERROR(__xludf.DUMMYFUNCTION("""COMPUTED_VALUE"""),10.0)</f>
        <v>10</v>
      </c>
      <c r="Y109" s="90">
        <f>IFERROR(__xludf.DUMMYFUNCTION("""COMPUTED_VALUE"""),18.8)</f>
        <v>18.8</v>
      </c>
      <c r="Z109" s="92">
        <f>IFERROR(__xludf.DUMMYFUNCTION("""COMPUTED_VALUE"""),7.561136706707916)</f>
        <v>7.561136707</v>
      </c>
      <c r="AA109" s="94" t="str">
        <f>IFERROR(__xludf.DUMMYFUNCTION("""COMPUTED_VALUE"""),"AP")</f>
        <v>AP</v>
      </c>
      <c r="AB109" s="96">
        <f>IFERROR(__xludf.DUMMYFUNCTION("""COMPUTED_VALUE"""),132.2552466367713)</f>
        <v>132.2552466</v>
      </c>
      <c r="AC109" s="94" t="str">
        <f>IFERROR(__xludf.DUMMYFUNCTION("""COMPUTED_VALUE"""),"％")</f>
        <v>％</v>
      </c>
      <c r="AD109" s="87">
        <f>IFERROR(__xludf.DUMMYFUNCTION("""COMPUTED_VALUE"""),1115.0)</f>
        <v>1115</v>
      </c>
      <c r="AE109" s="97" t="str">
        <f>IFERROR(__xludf.DUMMYFUNCTION("""COMPUTED_VALUE"""),"Gem of Berserker")</f>
        <v>Gem of Berserker</v>
      </c>
      <c r="AF109" s="98" t="str">
        <f>IFERROR(__xludf.DUMMYFUNCTION("""COMPUTED_VALUE"""),"")</f>
        <v/>
      </c>
    </row>
    <row r="110" ht="16.5" customHeight="1">
      <c r="C110" s="100"/>
      <c r="D110" s="105">
        <f>IFERROR(__xludf.DUMMYFUNCTION("""COMPUTED_VALUE"""),2.0)</f>
        <v>2</v>
      </c>
      <c r="E110" s="106" t="str">
        <f>IFERROR(__xludf.DUMMYFUNCTION("""COMPUTED_VALUE"""),"SMS6")</f>
        <v>SMS6</v>
      </c>
      <c r="F110" s="107" t="str">
        <f>IFERROR(__xludf.DUMMYFUNCTION("""COMPUTED_VALUE"""),"Shimosa")</f>
        <v>Shimosa</v>
      </c>
      <c r="G110" s="114" t="str">
        <f>IFERROR(__xludf.DUMMYFUNCTION("""COMPUTED_VALUE"""),"Toke Castle")</f>
        <v>Toke Castle</v>
      </c>
      <c r="H110" s="116">
        <f>IFERROR(__xludf.DUMMYFUNCTION("""COMPUTED_VALUE"""),21.0)</f>
        <v>21</v>
      </c>
      <c r="I110" s="118">
        <f>IFERROR(__xludf.DUMMYFUNCTION("""COMPUTED_VALUE"""),47.80952380952381)</f>
        <v>47.80952381</v>
      </c>
      <c r="J110" s="120">
        <f>IFERROR(__xludf.DUMMYFUNCTION("""COMPUTED_VALUE"""),78.99951492883903)</f>
        <v>78.99951493</v>
      </c>
      <c r="K110" s="122" t="str">
        <f>IFERROR(__xludf.DUMMYFUNCTION("""COMPUTED_VALUE"""),"AP")</f>
        <v>AP</v>
      </c>
      <c r="L110" s="124">
        <f>IFERROR(__xludf.DUMMYFUNCTION("""COMPUTED_VALUE"""),26.58244170096022)</f>
        <v>26.5824417</v>
      </c>
      <c r="M110" s="122" t="str">
        <f>IFERROR(__xludf.DUMMYFUNCTION("""COMPUTED_VALUE"""),"％")</f>
        <v>％</v>
      </c>
      <c r="N110" s="116">
        <f>IFERROR(__xludf.DUMMYFUNCTION("""COMPUTED_VALUE"""),2187.0)</f>
        <v>2187</v>
      </c>
      <c r="O110" s="100"/>
      <c r="P110" s="93" t="str">
        <f>IFERROR(__xludf.DUMMYFUNCTION("""COMPUTED_VALUE"""),"")</f>
        <v/>
      </c>
      <c r="S110" s="100"/>
      <c r="T110" s="105">
        <f>IFERROR(__xludf.DUMMYFUNCTION("""COMPUTED_VALUE"""),2.0)</f>
        <v>2</v>
      </c>
      <c r="U110" s="106" t="str">
        <f>IFERROR(__xludf.DUMMYFUNCTION("""COMPUTED_VALUE"""),"TRF10")</f>
        <v>TRF10</v>
      </c>
      <c r="V110" s="107" t="str">
        <f>IFERROR(__xludf.DUMMYFUNCTION("""COMPUTED_VALUE"""),"Chaldea Gate (Wed)")</f>
        <v>Chaldea Gate (Wed)</v>
      </c>
      <c r="W110" s="107" t="str">
        <f>IFERROR(__xludf.DUMMYFUNCTION("""COMPUTED_VALUE"""),"WED Berserker Training Ground- Int")</f>
        <v>WED Berserker Training Ground- Int</v>
      </c>
      <c r="X110" s="116">
        <f>IFERROR(__xludf.DUMMYFUNCTION("""COMPUTED_VALUE"""),20.0)</f>
        <v>20</v>
      </c>
      <c r="Y110" s="118">
        <f>IFERROR(__xludf.DUMMYFUNCTION("""COMPUTED_VALUE"""),18.4)</f>
        <v>18.4</v>
      </c>
      <c r="Z110" s="120">
        <f>IFERROR(__xludf.DUMMYFUNCTION("""COMPUTED_VALUE"""),16.154364980166683)</f>
        <v>16.15436498</v>
      </c>
      <c r="AA110" s="122" t="str">
        <f>IFERROR(__xludf.DUMMYFUNCTION("""COMPUTED_VALUE"""),"AP")</f>
        <v>AP</v>
      </c>
      <c r="AB110" s="124">
        <f>IFERROR(__xludf.DUMMYFUNCTION("""COMPUTED_VALUE"""),123.80554744525548)</f>
        <v>123.8055474</v>
      </c>
      <c r="AC110" s="122" t="str">
        <f>IFERROR(__xludf.DUMMYFUNCTION("""COMPUTED_VALUE"""),"％")</f>
        <v>％</v>
      </c>
      <c r="AD110" s="116">
        <f>IFERROR(__xludf.DUMMYFUNCTION("""COMPUTED_VALUE"""),685.0)</f>
        <v>685</v>
      </c>
      <c r="AE110" s="100"/>
      <c r="AF110" s="98" t="str">
        <f>IFERROR(__xludf.DUMMYFUNCTION("""COMPUTED_VALUE"""),"")</f>
        <v/>
      </c>
    </row>
    <row r="111" ht="16.5" customHeight="1">
      <c r="C111" s="100"/>
      <c r="D111" s="128">
        <f>IFERROR(__xludf.DUMMYFUNCTION("""COMPUTED_VALUE"""),3.0)</f>
        <v>3</v>
      </c>
      <c r="E111" s="129" t="str">
        <f>IFERROR(__xludf.DUMMYFUNCTION("""COMPUTED_VALUE"""),"SMS2")</f>
        <v>SMS2</v>
      </c>
      <c r="F111" s="131" t="str">
        <f>IFERROR(__xludf.DUMMYFUNCTION("""COMPUTED_VALUE"""),"Shimosa")</f>
        <v>Shimosa</v>
      </c>
      <c r="G111" s="134" t="str">
        <f>IFERROR(__xludf.DUMMYFUNCTION("""COMPUTED_VALUE"""),"Village")</f>
        <v>Village</v>
      </c>
      <c r="H111" s="136">
        <f>IFERROR(__xludf.DUMMYFUNCTION("""COMPUTED_VALUE"""),21.0)</f>
        <v>21</v>
      </c>
      <c r="I111" s="138">
        <f>IFERROR(__xludf.DUMMYFUNCTION("""COMPUTED_VALUE"""),45.523809523809526)</f>
        <v>45.52380952</v>
      </c>
      <c r="J111" s="140">
        <f>IFERROR(__xludf.DUMMYFUNCTION("""COMPUTED_VALUE"""),81.54524152733416)</f>
        <v>81.54524153</v>
      </c>
      <c r="K111" s="142" t="str">
        <f>IFERROR(__xludf.DUMMYFUNCTION("""COMPUTED_VALUE"""),"AP")</f>
        <v>AP</v>
      </c>
      <c r="L111" s="144">
        <f>IFERROR(__xludf.DUMMYFUNCTION("""COMPUTED_VALUE"""),25.752575633687652)</f>
        <v>25.75257563</v>
      </c>
      <c r="M111" s="142" t="str">
        <f>IFERROR(__xludf.DUMMYFUNCTION("""COMPUTED_VALUE"""),"％")</f>
        <v>％</v>
      </c>
      <c r="N111" s="136">
        <f>IFERROR(__xludf.DUMMYFUNCTION("""COMPUTED_VALUE"""),8561.0)</f>
        <v>8561</v>
      </c>
      <c r="O111" s="100"/>
      <c r="P111" s="93" t="str">
        <f>IFERROR(__xludf.DUMMYFUNCTION("""COMPUTED_VALUE"""),"")</f>
        <v/>
      </c>
      <c r="S111" s="100"/>
      <c r="T111" s="128">
        <f>IFERROR(__xludf.DUMMYFUNCTION("""COMPUTED_VALUE"""),3.0)</f>
        <v>3</v>
      </c>
      <c r="U111" s="129" t="str">
        <f>IFERROR(__xludf.DUMMYFUNCTION("""COMPUTED_VALUE"""),"AGT4")</f>
        <v>AGT4</v>
      </c>
      <c r="V111" s="131" t="str">
        <f>IFERROR(__xludf.DUMMYFUNCTION("""COMPUTED_VALUE"""),"Agartha")</f>
        <v>Agartha</v>
      </c>
      <c r="W111" s="134" t="str">
        <f>IFERROR(__xludf.DUMMYFUNCTION("""COMPUTED_VALUE"""),"Peach Blossom Shangri-La")</f>
        <v>Peach Blossom Shangri-La</v>
      </c>
      <c r="X111" s="136">
        <f>IFERROR(__xludf.DUMMYFUNCTION("""COMPUTED_VALUE"""),21.0)</f>
        <v>21</v>
      </c>
      <c r="Y111" s="138">
        <f>IFERROR(__xludf.DUMMYFUNCTION("""COMPUTED_VALUE"""),45.523809523809526)</f>
        <v>45.52380952</v>
      </c>
      <c r="Z111" s="140">
        <f>IFERROR(__xludf.DUMMYFUNCTION("""COMPUTED_VALUE"""),68.26866293813178)</f>
        <v>68.26866294</v>
      </c>
      <c r="AA111" s="142" t="str">
        <f>IFERROR(__xludf.DUMMYFUNCTION("""COMPUTED_VALUE"""),"AP")</f>
        <v>AP</v>
      </c>
      <c r="AB111" s="144">
        <f>IFERROR(__xludf.DUMMYFUNCTION("""COMPUTED_VALUE"""),30.760819234194123)</f>
        <v>30.76081923</v>
      </c>
      <c r="AC111" s="142" t="str">
        <f>IFERROR(__xludf.DUMMYFUNCTION("""COMPUTED_VALUE"""),"％")</f>
        <v>％</v>
      </c>
      <c r="AD111" s="136">
        <f>IFERROR(__xludf.DUMMYFUNCTION("""COMPUTED_VALUE"""),12353.0)</f>
        <v>12353</v>
      </c>
      <c r="AE111" s="100"/>
      <c r="AF111" s="98" t="str">
        <f>IFERROR(__xludf.DUMMYFUNCTION("""COMPUTED_VALUE"""),"")</f>
        <v/>
      </c>
    </row>
    <row r="112" ht="16.5" customHeight="1">
      <c r="C112" s="100"/>
      <c r="D112" s="147">
        <f>IFERROR(__xludf.DUMMYFUNCTION("""COMPUTED_VALUE"""),4.0)</f>
        <v>4</v>
      </c>
      <c r="E112" s="149" t="str">
        <f>IFERROR(__xludf.DUMMYFUNCTION("""COMPUTED_VALUE"""),"SMS5")</f>
        <v>SMS5</v>
      </c>
      <c r="F112" s="151" t="str">
        <f>IFERROR(__xludf.DUMMYFUNCTION("""COMPUTED_VALUE"""),"Shimosa")</f>
        <v>Shimosa</v>
      </c>
      <c r="G112" s="153" t="str">
        <f>IFERROR(__xludf.DUMMYFUNCTION("""COMPUTED_VALUE"""),"Battlefield")</f>
        <v>Battlefield</v>
      </c>
      <c r="H112" s="155">
        <f>IFERROR(__xludf.DUMMYFUNCTION("""COMPUTED_VALUE"""),21.0)</f>
        <v>21</v>
      </c>
      <c r="I112" s="157">
        <f>IFERROR(__xludf.DUMMYFUNCTION("""COMPUTED_VALUE"""),46.666666666666664)</f>
        <v>46.66666667</v>
      </c>
      <c r="J112" s="159">
        <f>IFERROR(__xludf.DUMMYFUNCTION("""COMPUTED_VALUE"""),83.25908766928012)</f>
        <v>83.25908767</v>
      </c>
      <c r="K112" s="161" t="str">
        <f>IFERROR(__xludf.DUMMYFUNCTION("""COMPUTED_VALUE"""),"AP")</f>
        <v>AP</v>
      </c>
      <c r="L112" s="163">
        <f>IFERROR(__xludf.DUMMYFUNCTION("""COMPUTED_VALUE"""),25.222471910112358)</f>
        <v>25.22247191</v>
      </c>
      <c r="M112" s="161" t="str">
        <f>IFERROR(__xludf.DUMMYFUNCTION("""COMPUTED_VALUE"""),"％")</f>
        <v>％</v>
      </c>
      <c r="N112" s="155">
        <f>IFERROR(__xludf.DUMMYFUNCTION("""COMPUTED_VALUE"""),55892.0)</f>
        <v>55892</v>
      </c>
      <c r="O112" s="100"/>
      <c r="P112" s="93" t="str">
        <f>IFERROR(__xludf.DUMMYFUNCTION("""COMPUTED_VALUE"""),"")</f>
        <v/>
      </c>
      <c r="S112" s="100"/>
      <c r="T112" s="147">
        <f>IFERROR(__xludf.DUMMYFUNCTION("""COMPUTED_VALUE"""),4.0)</f>
        <v>4</v>
      </c>
      <c r="U112" s="149" t="str">
        <f>IFERROR(__xludf.DUMMYFUNCTION("""COMPUTED_VALUE"""),"OKN6")</f>
        <v>OKN6</v>
      </c>
      <c r="V112" s="151" t="str">
        <f>IFERROR(__xludf.DUMMYFUNCTION("""COMPUTED_VALUE"""),"Okeanos")</f>
        <v>Okeanos</v>
      </c>
      <c r="W112" s="153" t="str">
        <f>IFERROR(__xludf.DUMMYFUNCTION("""COMPUTED_VALUE"""),"Two-Current Sea")</f>
        <v>Two-Current Sea</v>
      </c>
      <c r="X112" s="155">
        <f>IFERROR(__xludf.DUMMYFUNCTION("""COMPUTED_VALUE"""),14.0)</f>
        <v>14</v>
      </c>
      <c r="Y112" s="157">
        <f>IFERROR(__xludf.DUMMYFUNCTION("""COMPUTED_VALUE"""),35.714285714285715)</f>
        <v>35.71428571</v>
      </c>
      <c r="Z112" s="159">
        <f>IFERROR(__xludf.DUMMYFUNCTION("""COMPUTED_VALUE"""),72.8400954653938)</f>
        <v>72.84009547</v>
      </c>
      <c r="AA112" s="161" t="str">
        <f>IFERROR(__xludf.DUMMYFUNCTION("""COMPUTED_VALUE"""),"AP")</f>
        <v>AP</v>
      </c>
      <c r="AB112" s="163">
        <f>IFERROR(__xludf.DUMMYFUNCTION("""COMPUTED_VALUE"""),19.220183486238533)</f>
        <v>19.22018349</v>
      </c>
      <c r="AC112" s="161" t="str">
        <f>IFERROR(__xludf.DUMMYFUNCTION("""COMPUTED_VALUE"""),"％")</f>
        <v>％</v>
      </c>
      <c r="AD112" s="155">
        <f>IFERROR(__xludf.DUMMYFUNCTION("""COMPUTED_VALUE"""),1635.0)</f>
        <v>1635</v>
      </c>
      <c r="AE112" s="100"/>
      <c r="AF112" s="98" t="str">
        <f>IFERROR(__xludf.DUMMYFUNCTION("""COMPUTED_VALUE"""),"")</f>
        <v/>
      </c>
    </row>
    <row r="113" ht="16.5" customHeight="1">
      <c r="A113" s="166"/>
      <c r="C113" s="168"/>
      <c r="D113" s="169">
        <f>IFERROR(__xludf.DUMMYFUNCTION("""COMPUTED_VALUE"""),5.0)</f>
        <v>5</v>
      </c>
      <c r="E113" s="170" t="str">
        <f>IFERROR(__xludf.DUMMYFUNCTION("""COMPUTED_VALUE"""),"SMS3")</f>
        <v>SMS3</v>
      </c>
      <c r="F113" s="51" t="str">
        <f>IFERROR(__xludf.DUMMYFUNCTION("""COMPUTED_VALUE"""),"Shimosa")</f>
        <v>Shimosa</v>
      </c>
      <c r="G113" s="171" t="str">
        <f>IFERROR(__xludf.DUMMYFUNCTION("""COMPUTED_VALUE"""),"Monastery")</f>
        <v>Monastery</v>
      </c>
      <c r="H113" s="172">
        <f>IFERROR(__xludf.DUMMYFUNCTION("""COMPUTED_VALUE"""),21.0)</f>
        <v>21</v>
      </c>
      <c r="I113" s="173">
        <f>IFERROR(__xludf.DUMMYFUNCTION("""COMPUTED_VALUE"""),45.523809523809526)</f>
        <v>45.52380952</v>
      </c>
      <c r="J113" s="174">
        <f>IFERROR(__xludf.DUMMYFUNCTION("""COMPUTED_VALUE"""),83.33496959016675)</f>
        <v>83.33496959</v>
      </c>
      <c r="K113" s="175" t="str">
        <f>IFERROR(__xludf.DUMMYFUNCTION("""COMPUTED_VALUE"""),"AP")</f>
        <v>AP</v>
      </c>
      <c r="L113" s="176">
        <f>IFERROR(__xludf.DUMMYFUNCTION("""COMPUTED_VALUE"""),25.1995052056489)</f>
        <v>25.19950521</v>
      </c>
      <c r="M113" s="175" t="str">
        <f>IFERROR(__xludf.DUMMYFUNCTION("""COMPUTED_VALUE"""),"％")</f>
        <v>％</v>
      </c>
      <c r="N113" s="172">
        <f>IFERROR(__xludf.DUMMYFUNCTION("""COMPUTED_VALUE"""),9701.0)</f>
        <v>9701</v>
      </c>
      <c r="O113" s="168"/>
      <c r="P113" s="93" t="str">
        <f>IFERROR(__xludf.DUMMYFUNCTION("""COMPUTED_VALUE"""),"")</f>
        <v/>
      </c>
      <c r="Q113" s="166"/>
      <c r="S113" s="168"/>
      <c r="T113" s="169">
        <f>IFERROR(__xludf.DUMMYFUNCTION("""COMPUTED_VALUE"""),5.0)</f>
        <v>5</v>
      </c>
      <c r="U113" s="170" t="str">
        <f>IFERROR(__xludf.DUMMYFUNCTION("""COMPUTED_VALUE"""),"TRF12")</f>
        <v>TRF12</v>
      </c>
      <c r="V113" s="51" t="str">
        <f>IFERROR(__xludf.DUMMYFUNCTION("""COMPUTED_VALUE"""),"Chaldea Gate (Wed)")</f>
        <v>Chaldea Gate (Wed)</v>
      </c>
      <c r="W113" s="51" t="str">
        <f>IFERROR(__xludf.DUMMYFUNCTION("""COMPUTED_VALUE"""),"WED Berserker Training Ground- Exp")</f>
        <v>WED Berserker Training Ground- Exp</v>
      </c>
      <c r="X113" s="172">
        <f>IFERROR(__xludf.DUMMYFUNCTION("""COMPUTED_VALUE"""),40.0)</f>
        <v>40</v>
      </c>
      <c r="Y113" s="173">
        <f>IFERROR(__xludf.DUMMYFUNCTION("""COMPUTED_VALUE"""),19.7)</f>
        <v>19.7</v>
      </c>
      <c r="Z113" s="174">
        <f>IFERROR(__xludf.DUMMYFUNCTION("""COMPUTED_VALUE"""),237.6479779880089)</f>
        <v>237.647978</v>
      </c>
      <c r="AA113" s="175" t="str">
        <f>IFERROR(__xludf.DUMMYFUNCTION("""COMPUTED_VALUE"""),"AP")</f>
        <v>AP</v>
      </c>
      <c r="AB113" s="176">
        <f>IFERROR(__xludf.DUMMYFUNCTION("""COMPUTED_VALUE"""),16.831618067467126)</f>
        <v>16.83161807</v>
      </c>
      <c r="AC113" s="175" t="str">
        <f>IFERROR(__xludf.DUMMYFUNCTION("""COMPUTED_VALUE"""),"％")</f>
        <v>％</v>
      </c>
      <c r="AD113" s="172">
        <f>IFERROR(__xludf.DUMMYFUNCTION("""COMPUTED_VALUE"""),3498.0)</f>
        <v>3498</v>
      </c>
      <c r="AE113" s="168"/>
      <c r="AF113" s="98" t="str">
        <f>IFERROR(__xludf.DUMMYFUNCTION("""COMPUTED_VALUE"""),"")</f>
        <v/>
      </c>
    </row>
    <row r="114" ht="16.5" customHeight="1">
      <c r="A114" s="352" t="str">
        <f>IFERROR(__xludf.DUMMYFUNCTION("""COMPUTED_VALUE"""),"Item")</f>
        <v>Item</v>
      </c>
      <c r="C114" s="353"/>
      <c r="D114" s="30" t="str">
        <f>IFERROR(__xludf.DUMMYFUNCTION("""COMPUTED_VALUE"""),"No.")</f>
        <v>No.</v>
      </c>
      <c r="E114" s="31" t="str">
        <f>IFERROR(__xludf.DUMMYFUNCTION("""COMPUTED_VALUE"""),"Node Code")</f>
        <v>Node Code</v>
      </c>
      <c r="F114" s="31" t="str">
        <f>IFERROR(__xludf.DUMMYFUNCTION("""COMPUTED_VALUE"""),"Area")</f>
        <v>Area</v>
      </c>
      <c r="G114" s="31" t="str">
        <f>IFERROR(__xludf.DUMMYFUNCTION("""COMPUTED_VALUE"""),"Quest")</f>
        <v>Quest</v>
      </c>
      <c r="H114" s="30" t="str">
        <f>IFERROR(__xludf.DUMMYFUNCTION("""COMPUTED_VALUE"""),"AP")</f>
        <v>AP</v>
      </c>
      <c r="I114" s="354" t="str">
        <f>IFERROR(__xludf.DUMMYFUNCTION("""COMPUTED_VALUE"""),"BP/AP")</f>
        <v>BP/AP</v>
      </c>
      <c r="J114" s="36" t="str">
        <f>IFERROR(__xludf.DUMMYFUNCTION("""COMPUTED_VALUE"""),"AP/Drop")</f>
        <v>AP/Drop</v>
      </c>
      <c r="K114" s="28"/>
      <c r="L114" s="36" t="str">
        <f>IFERROR(__xludf.DUMMYFUNCTION("""COMPUTED_VALUE"""),"Drop Chance")</f>
        <v>Drop Chance</v>
      </c>
      <c r="M114" s="28"/>
      <c r="N114" s="38" t="str">
        <f>IFERROR(__xludf.DUMMYFUNCTION("""COMPUTED_VALUE"""),"Runs")</f>
        <v>Runs</v>
      </c>
      <c r="O114" s="355" t="str">
        <f>IFERROR(__xludf.DUMMYFUNCTION("""COMPUTED_VALUE"""),"")</f>
        <v/>
      </c>
      <c r="P114" s="42" t="str">
        <f>IFERROR(__xludf.DUMMYFUNCTION("""COMPUTED_VALUE"""),"")</f>
        <v/>
      </c>
      <c r="Q114" s="352" t="str">
        <f>IFERROR(__xludf.DUMMYFUNCTION("""COMPUTED_VALUE"""),"Item")</f>
        <v>Item</v>
      </c>
      <c r="S114" s="353"/>
      <c r="T114" s="30" t="str">
        <f>IFERROR(__xludf.DUMMYFUNCTION("""COMPUTED_VALUE"""),"No.")</f>
        <v>No.</v>
      </c>
      <c r="U114" s="31" t="str">
        <f>IFERROR(__xludf.DUMMYFUNCTION("""COMPUTED_VALUE"""),"Node Code")</f>
        <v>Node Code</v>
      </c>
      <c r="V114" s="31" t="str">
        <f>IFERROR(__xludf.DUMMYFUNCTION("""COMPUTED_VALUE"""),"Area")</f>
        <v>Area</v>
      </c>
      <c r="W114" s="31" t="str">
        <f>IFERROR(__xludf.DUMMYFUNCTION("""COMPUTED_VALUE"""),"Quest")</f>
        <v>Quest</v>
      </c>
      <c r="X114" s="30" t="str">
        <f>IFERROR(__xludf.DUMMYFUNCTION("""COMPUTED_VALUE"""),"AP")</f>
        <v>AP</v>
      </c>
      <c r="Y114" s="354" t="str">
        <f>IFERROR(__xludf.DUMMYFUNCTION("""COMPUTED_VALUE"""),"BP/AP")</f>
        <v>BP/AP</v>
      </c>
      <c r="Z114" s="36" t="str">
        <f>IFERROR(__xludf.DUMMYFUNCTION("""COMPUTED_VALUE"""),"AP/Drop")</f>
        <v>AP/Drop</v>
      </c>
      <c r="AA114" s="28"/>
      <c r="AB114" s="36" t="str">
        <f>IFERROR(__xludf.DUMMYFUNCTION("""COMPUTED_VALUE"""),"Drop Chance")</f>
        <v>Drop Chance</v>
      </c>
      <c r="AC114" s="28"/>
      <c r="AD114" s="369" t="str">
        <f>IFERROR(__xludf.DUMMYFUNCTION("""COMPUTED_VALUE"""),"Runs")</f>
        <v>Runs</v>
      </c>
      <c r="AE114" s="373" t="str">
        <f>IFERROR(__xludf.DUMMYFUNCTION("""COMPUTED_VALUE"""),"")</f>
        <v/>
      </c>
      <c r="AF114" s="51" t="str">
        <f>IFERROR(__xludf.DUMMYFUNCTION("""COMPUTED_VALUE"""),"")</f>
        <v/>
      </c>
    </row>
    <row r="115" ht="16.5" customHeight="1">
      <c r="A115" s="54"/>
      <c r="B115" s="55"/>
      <c r="C115" s="57"/>
      <c r="D115" s="57"/>
      <c r="E115" s="57"/>
      <c r="F115" s="57"/>
      <c r="G115" s="57"/>
      <c r="H115" s="57"/>
      <c r="I115" s="58" t="str">
        <f>IFERROR(__xludf.DUMMYFUNCTION("""COMPUTED_VALUE"""),"1P+2L")</f>
        <v>1P+2L</v>
      </c>
      <c r="J115" s="55"/>
      <c r="K115" s="57"/>
      <c r="L115" s="55"/>
      <c r="M115" s="57"/>
      <c r="N115" s="57"/>
      <c r="O115" s="57"/>
      <c r="P115" s="42" t="str">
        <f>IFERROR(__xludf.DUMMYFUNCTION("""COMPUTED_VALUE"""),"")</f>
        <v/>
      </c>
      <c r="Q115" s="54"/>
      <c r="R115" s="55"/>
      <c r="S115" s="57"/>
      <c r="T115" s="57"/>
      <c r="U115" s="57"/>
      <c r="V115" s="57"/>
      <c r="W115" s="57"/>
      <c r="X115" s="57"/>
      <c r="Y115" s="58" t="str">
        <f>IFERROR(__xludf.DUMMYFUNCTION("""COMPUTED_VALUE"""),"1P+2L")</f>
        <v>1P+2L</v>
      </c>
      <c r="Z115" s="55"/>
      <c r="AA115" s="57"/>
      <c r="AB115" s="55"/>
      <c r="AC115" s="57"/>
      <c r="AD115" s="370"/>
      <c r="AE115" s="370"/>
      <c r="AF115" s="51" t="str">
        <f>IFERROR(__xludf.DUMMYFUNCTION("""COMPUTED_VALUE"""),"")</f>
        <v/>
      </c>
    </row>
    <row r="116" ht="16.5" customHeight="1">
      <c r="A116" s="61" t="str">
        <f>IFERROR(__xludf.DUMMYFUNCTION("""COMPUTED_VALUE"""),"")</f>
        <v/>
      </c>
      <c r="B116" s="366" t="str">
        <f>IFERROR(__xludf.DUMMYFUNCTION("""COMPUTED_VALUE"""),"A213")</f>
        <v>A213</v>
      </c>
      <c r="C116" s="180" t="str">
        <f>IFERROR(__xludf.DUMMYFUNCTION("""COMPUTED_VALUE"""),"Eternal Ice")</f>
        <v>Eternal Ice</v>
      </c>
      <c r="D116" s="185">
        <f>IFERROR(__xludf.DUMMYFUNCTION("""COMPUTED_VALUE"""),1.0)</f>
        <v>1</v>
      </c>
      <c r="E116" s="187" t="str">
        <f>IFERROR(__xludf.DUMMYFUNCTION("""COMPUTED_VALUE"""),"")</f>
        <v/>
      </c>
      <c r="F116" s="188" t="str">
        <f>IFERROR(__xludf.DUMMYFUNCTION("""COMPUTED_VALUE"""),"")</f>
        <v/>
      </c>
      <c r="G116" s="188" t="str">
        <f>IFERROR(__xludf.DUMMYFUNCTION("""COMPUTED_VALUE"""),"")</f>
        <v/>
      </c>
      <c r="H116" s="195" t="str">
        <f>IFERROR(__xludf.DUMMYFUNCTION("""COMPUTED_VALUE"""),"")</f>
        <v/>
      </c>
      <c r="I116" s="196" t="str">
        <f>IFERROR(__xludf.DUMMYFUNCTION("""COMPUTED_VALUE"""),"")</f>
        <v/>
      </c>
      <c r="J116" s="198" t="str">
        <f>IFERROR(__xludf.DUMMYFUNCTION("""COMPUTED_VALUE"""),"")</f>
        <v/>
      </c>
      <c r="K116" s="200" t="str">
        <f>IFERROR(__xludf.DUMMYFUNCTION("""COMPUTED_VALUE"""),"AP")</f>
        <v>AP</v>
      </c>
      <c r="L116" s="198" t="str">
        <f>IFERROR(__xludf.DUMMYFUNCTION("""COMPUTED_VALUE"""),"")</f>
        <v/>
      </c>
      <c r="M116" s="201" t="str">
        <f>IFERROR(__xludf.DUMMYFUNCTION("""COMPUTED_VALUE"""),"％")</f>
        <v>％</v>
      </c>
      <c r="N116" s="195" t="str">
        <f>IFERROR(__xludf.DUMMYFUNCTION("""COMPUTED_VALUE"""),"")</f>
        <v/>
      </c>
      <c r="O116" s="197" t="str">
        <f>IFERROR(__xludf.DUMMYFUNCTION("""COMPUTED_VALUE"""),"Eternal Ice")</f>
        <v>Eternal Ice</v>
      </c>
      <c r="P116" s="371" t="str">
        <f>IFERROR(__xludf.DUMMYFUNCTION("""COMPUTED_VALUE"""),"")</f>
        <v/>
      </c>
      <c r="Q116" s="61" t="str">
        <f>IFERROR(__xludf.DUMMYFUNCTION("""COMPUTED_VALUE"""),"")</f>
        <v/>
      </c>
      <c r="R116" s="202" t="str">
        <f>IFERROR(__xludf.DUMMYFUNCTION("""COMPUTED_VALUE"""),"B201")</f>
        <v>B201</v>
      </c>
      <c r="S116" s="180" t="str">
        <f>IFERROR(__xludf.DUMMYFUNCTION("""COMPUTED_VALUE"""),"Saber Monument")</f>
        <v>Saber Monument</v>
      </c>
      <c r="T116" s="185">
        <f>IFERROR(__xludf.DUMMYFUNCTION("""COMPUTED_VALUE"""),1.0)</f>
        <v>1</v>
      </c>
      <c r="U116" s="187" t="str">
        <f>IFERROR(__xludf.DUMMYFUNCTION("""COMPUTED_VALUE"""),"TRF28")</f>
        <v>TRF28</v>
      </c>
      <c r="V116" s="188" t="str">
        <f>IFERROR(__xludf.DUMMYFUNCTION("""COMPUTED_VALUE"""),"Chaldea Gate (Sun)")</f>
        <v>Chaldea Gate (Sun)</v>
      </c>
      <c r="W116" s="188" t="str">
        <f>IFERROR(__xludf.DUMMYFUNCTION("""COMPUTED_VALUE"""),"SUN Saber Training Ground- Exp")</f>
        <v>SUN Saber Training Ground- Exp</v>
      </c>
      <c r="X116" s="195">
        <f>IFERROR(__xludf.DUMMYFUNCTION("""COMPUTED_VALUE"""),40.0)</f>
        <v>40</v>
      </c>
      <c r="Y116" s="196">
        <f>IFERROR(__xludf.DUMMYFUNCTION("""COMPUTED_VALUE"""),19.7)</f>
        <v>19.7</v>
      </c>
      <c r="Z116" s="198">
        <f>IFERROR(__xludf.DUMMYFUNCTION("""COMPUTED_VALUE"""),74.5397020674136)</f>
        <v>74.53970207</v>
      </c>
      <c r="AA116" s="200" t="str">
        <f>IFERROR(__xludf.DUMMYFUNCTION("""COMPUTED_VALUE"""),"AP")</f>
        <v>AP</v>
      </c>
      <c r="AB116" s="198">
        <f>IFERROR(__xludf.DUMMYFUNCTION("""COMPUTED_VALUE"""),53.662677594047885)</f>
        <v>53.66267759</v>
      </c>
      <c r="AC116" s="201" t="str">
        <f>IFERROR(__xludf.DUMMYFUNCTION("""COMPUTED_VALUE"""),"％")</f>
        <v>％</v>
      </c>
      <c r="AD116" s="195">
        <f>IFERROR(__xludf.DUMMYFUNCTION("""COMPUTED_VALUE"""),21786.0)</f>
        <v>21786</v>
      </c>
      <c r="AE116" s="197" t="str">
        <f>IFERROR(__xludf.DUMMYFUNCTION("""COMPUTED_VALUE"""),"Saber Monument")</f>
        <v>Saber Monument</v>
      </c>
      <c r="AF116" s="372" t="str">
        <f>IFERROR(__xludf.DUMMYFUNCTION("""COMPUTED_VALUE"""),"")</f>
        <v/>
      </c>
    </row>
    <row r="117" ht="16.5" customHeight="1">
      <c r="C117" s="204"/>
      <c r="D117" s="208">
        <f>IFERROR(__xludf.DUMMYFUNCTION("""COMPUTED_VALUE"""),2.0)</f>
        <v>2</v>
      </c>
      <c r="E117" s="210" t="str">
        <f>IFERROR(__xludf.DUMMYFUNCTION("""COMPUTED_VALUE"""),"")</f>
        <v/>
      </c>
      <c r="F117" s="212" t="str">
        <f>IFERROR(__xludf.DUMMYFUNCTION("""COMPUTED_VALUE"""),"")</f>
        <v/>
      </c>
      <c r="G117" s="212" t="str">
        <f>IFERROR(__xludf.DUMMYFUNCTION("""COMPUTED_VALUE"""),"")</f>
        <v/>
      </c>
      <c r="H117" s="218" t="str">
        <f>IFERROR(__xludf.DUMMYFUNCTION("""COMPUTED_VALUE"""),"")</f>
        <v/>
      </c>
      <c r="I117" s="219" t="str">
        <f>IFERROR(__xludf.DUMMYFUNCTION("""COMPUTED_VALUE"""),"")</f>
        <v/>
      </c>
      <c r="J117" s="220" t="str">
        <f>IFERROR(__xludf.DUMMYFUNCTION("""COMPUTED_VALUE"""),"")</f>
        <v/>
      </c>
      <c r="K117" s="221" t="str">
        <f>IFERROR(__xludf.DUMMYFUNCTION("""COMPUTED_VALUE"""),"AP")</f>
        <v>AP</v>
      </c>
      <c r="L117" s="220" t="str">
        <f>IFERROR(__xludf.DUMMYFUNCTION("""COMPUTED_VALUE"""),"")</f>
        <v/>
      </c>
      <c r="M117" s="221" t="str">
        <f>IFERROR(__xludf.DUMMYFUNCTION("""COMPUTED_VALUE"""),"％")</f>
        <v>％</v>
      </c>
      <c r="N117" s="218" t="str">
        <f>IFERROR(__xludf.DUMMYFUNCTION("""COMPUTED_VALUE"""),"")</f>
        <v/>
      </c>
      <c r="O117" s="217"/>
      <c r="P117" s="371" t="str">
        <f>IFERROR(__xludf.DUMMYFUNCTION("""COMPUTED_VALUE"""),"")</f>
        <v/>
      </c>
      <c r="R117" s="203"/>
      <c r="S117" s="204"/>
      <c r="T117" s="208">
        <f>IFERROR(__xludf.DUMMYFUNCTION("""COMPUTED_VALUE"""),2.0)</f>
        <v>2</v>
      </c>
      <c r="U117" s="210" t="str">
        <f>IFERROR(__xludf.DUMMYFUNCTION("""COMPUTED_VALUE"""),"TRF27")</f>
        <v>TRF27</v>
      </c>
      <c r="V117" s="212" t="str">
        <f>IFERROR(__xludf.DUMMYFUNCTION("""COMPUTED_VALUE"""),"Chaldea Gate (Sun)")</f>
        <v>Chaldea Gate (Sun)</v>
      </c>
      <c r="W117" s="212" t="str">
        <f>IFERROR(__xludf.DUMMYFUNCTION("""COMPUTED_VALUE"""),"SUN Saber Training Ground- Adv")</f>
        <v>SUN Saber Training Ground- Adv</v>
      </c>
      <c r="X117" s="218">
        <f>IFERROR(__xludf.DUMMYFUNCTION("""COMPUTED_VALUE"""),30.0)</f>
        <v>30</v>
      </c>
      <c r="Y117" s="219">
        <f>IFERROR(__xludf.DUMMYFUNCTION("""COMPUTED_VALUE"""),18.266666666666666)</f>
        <v>18.26666667</v>
      </c>
      <c r="Z117" s="220">
        <f>IFERROR(__xludf.DUMMYFUNCTION("""COMPUTED_VALUE"""),87.09696060302605)</f>
        <v>87.0969606</v>
      </c>
      <c r="AA117" s="221" t="str">
        <f>IFERROR(__xludf.DUMMYFUNCTION("""COMPUTED_VALUE"""),"AP")</f>
        <v>AP</v>
      </c>
      <c r="AB117" s="220">
        <f>IFERROR(__xludf.DUMMYFUNCTION("""COMPUTED_VALUE"""),34.44437072464007)</f>
        <v>34.44437072</v>
      </c>
      <c r="AC117" s="221" t="str">
        <f>IFERROR(__xludf.DUMMYFUNCTION("""COMPUTED_VALUE"""),"％")</f>
        <v>％</v>
      </c>
      <c r="AD117" s="218">
        <f>IFERROR(__xludf.DUMMYFUNCTION("""COMPUTED_VALUE"""),4189.0)</f>
        <v>4189</v>
      </c>
      <c r="AE117" s="217"/>
      <c r="AF117" s="372" t="str">
        <f>IFERROR(__xludf.DUMMYFUNCTION("""COMPUTED_VALUE"""),"")</f>
        <v/>
      </c>
    </row>
    <row r="118" ht="16.5" customHeight="1">
      <c r="C118" s="204"/>
      <c r="D118" s="225">
        <f>IFERROR(__xludf.DUMMYFUNCTION("""COMPUTED_VALUE"""),3.0)</f>
        <v>3</v>
      </c>
      <c r="E118" s="227" t="str">
        <f>IFERROR(__xludf.DUMMYFUNCTION("""COMPUTED_VALUE"""),"")</f>
        <v/>
      </c>
      <c r="F118" s="229" t="str">
        <f>IFERROR(__xludf.DUMMYFUNCTION("""COMPUTED_VALUE"""),"")</f>
        <v/>
      </c>
      <c r="G118" s="229" t="str">
        <f>IFERROR(__xludf.DUMMYFUNCTION("""COMPUTED_VALUE"""),"")</f>
        <v/>
      </c>
      <c r="H118" s="234" t="str">
        <f>IFERROR(__xludf.DUMMYFUNCTION("""COMPUTED_VALUE"""),"")</f>
        <v/>
      </c>
      <c r="I118" s="235" t="str">
        <f>IFERROR(__xludf.DUMMYFUNCTION("""COMPUTED_VALUE"""),"")</f>
        <v/>
      </c>
      <c r="J118" s="236" t="str">
        <f>IFERROR(__xludf.DUMMYFUNCTION("""COMPUTED_VALUE"""),"")</f>
        <v/>
      </c>
      <c r="K118" s="237" t="str">
        <f>IFERROR(__xludf.DUMMYFUNCTION("""COMPUTED_VALUE"""),"AP")</f>
        <v>AP</v>
      </c>
      <c r="L118" s="236" t="str">
        <f>IFERROR(__xludf.DUMMYFUNCTION("""COMPUTED_VALUE"""),"")</f>
        <v/>
      </c>
      <c r="M118" s="237" t="str">
        <f>IFERROR(__xludf.DUMMYFUNCTION("""COMPUTED_VALUE"""),"％")</f>
        <v>％</v>
      </c>
      <c r="N118" s="234" t="str">
        <f>IFERROR(__xludf.DUMMYFUNCTION("""COMPUTED_VALUE"""),"")</f>
        <v/>
      </c>
      <c r="O118" s="217"/>
      <c r="P118" s="371" t="str">
        <f>IFERROR(__xludf.DUMMYFUNCTION("""COMPUTED_VALUE"""),"")</f>
        <v/>
      </c>
      <c r="R118" s="203"/>
      <c r="S118" s="204"/>
      <c r="T118" s="225">
        <f>IFERROR(__xludf.DUMMYFUNCTION("""COMPUTED_VALUE"""),3.0)</f>
        <v>3</v>
      </c>
      <c r="U118" s="227" t="str">
        <f>IFERROR(__xludf.DUMMYFUNCTION("""COMPUTED_VALUE"""),"TRF26")</f>
        <v>TRF26</v>
      </c>
      <c r="V118" s="229" t="str">
        <f>IFERROR(__xludf.DUMMYFUNCTION("""COMPUTED_VALUE"""),"Chaldea Gate (Sun)")</f>
        <v>Chaldea Gate (Sun)</v>
      </c>
      <c r="W118" s="229" t="str">
        <f>IFERROR(__xludf.DUMMYFUNCTION("""COMPUTED_VALUE"""),"SUN Saber Training Ground- Int")</f>
        <v>SUN Saber Training Ground- Int</v>
      </c>
      <c r="X118" s="234">
        <f>IFERROR(__xludf.DUMMYFUNCTION("""COMPUTED_VALUE"""),20.0)</f>
        <v>20</v>
      </c>
      <c r="Y118" s="235">
        <f>IFERROR(__xludf.DUMMYFUNCTION("""COMPUTED_VALUE"""),18.4)</f>
        <v>18.4</v>
      </c>
      <c r="Z118" s="236">
        <f>IFERROR(__xludf.DUMMYFUNCTION("""COMPUTED_VALUE"""),257.530335474661)</f>
        <v>257.5303355</v>
      </c>
      <c r="AA118" s="237" t="str">
        <f>IFERROR(__xludf.DUMMYFUNCTION("""COMPUTED_VALUE"""),"AP")</f>
        <v>AP</v>
      </c>
      <c r="AB118" s="236">
        <f>IFERROR(__xludf.DUMMYFUNCTION("""COMPUTED_VALUE"""),7.766075388026607)</f>
        <v>7.766075388</v>
      </c>
      <c r="AC118" s="237" t="str">
        <f>IFERROR(__xludf.DUMMYFUNCTION("""COMPUTED_VALUE"""),"％")</f>
        <v>％</v>
      </c>
      <c r="AD118" s="234">
        <f>IFERROR(__xludf.DUMMYFUNCTION("""COMPUTED_VALUE"""),451.0)</f>
        <v>451</v>
      </c>
      <c r="AE118" s="217"/>
      <c r="AF118" s="372" t="str">
        <f>IFERROR(__xludf.DUMMYFUNCTION("""COMPUTED_VALUE"""),"")</f>
        <v/>
      </c>
    </row>
    <row r="119" ht="16.5" customHeight="1">
      <c r="C119" s="204"/>
      <c r="D119" s="239">
        <f>IFERROR(__xludf.DUMMYFUNCTION("""COMPUTED_VALUE"""),4.0)</f>
        <v>4</v>
      </c>
      <c r="E119" s="241" t="str">
        <f>IFERROR(__xludf.DUMMYFUNCTION("""COMPUTED_VALUE"""),"")</f>
        <v/>
      </c>
      <c r="F119" s="243" t="str">
        <f>IFERROR(__xludf.DUMMYFUNCTION("""COMPUTED_VALUE"""),"")</f>
        <v/>
      </c>
      <c r="G119" s="243" t="str">
        <f>IFERROR(__xludf.DUMMYFUNCTION("""COMPUTED_VALUE"""),"")</f>
        <v/>
      </c>
      <c r="H119" s="247" t="str">
        <f>IFERROR(__xludf.DUMMYFUNCTION("""COMPUTED_VALUE"""),"")</f>
        <v/>
      </c>
      <c r="I119" s="249" t="str">
        <f>IFERROR(__xludf.DUMMYFUNCTION("""COMPUTED_VALUE"""),"")</f>
        <v/>
      </c>
      <c r="J119" s="251" t="str">
        <f>IFERROR(__xludf.DUMMYFUNCTION("""COMPUTED_VALUE"""),"")</f>
        <v/>
      </c>
      <c r="K119" s="253" t="str">
        <f>IFERROR(__xludf.DUMMYFUNCTION("""COMPUTED_VALUE"""),"AP")</f>
        <v>AP</v>
      </c>
      <c r="L119" s="251" t="str">
        <f>IFERROR(__xludf.DUMMYFUNCTION("""COMPUTED_VALUE"""),"")</f>
        <v/>
      </c>
      <c r="M119" s="253" t="str">
        <f>IFERROR(__xludf.DUMMYFUNCTION("""COMPUTED_VALUE"""),"％")</f>
        <v>％</v>
      </c>
      <c r="N119" s="247" t="str">
        <f>IFERROR(__xludf.DUMMYFUNCTION("""COMPUTED_VALUE"""),"")</f>
        <v/>
      </c>
      <c r="O119" s="217"/>
      <c r="P119" s="371" t="str">
        <f>IFERROR(__xludf.DUMMYFUNCTION("""COMPUTED_VALUE"""),"")</f>
        <v/>
      </c>
      <c r="R119" s="203"/>
      <c r="S119" s="204"/>
      <c r="T119" s="239">
        <f>IFERROR(__xludf.DUMMYFUNCTION("""COMPUTED_VALUE"""),4.0)</f>
        <v>4</v>
      </c>
      <c r="U119" s="241" t="str">
        <f>IFERROR(__xludf.DUMMYFUNCTION("""COMPUTED_VALUE"""),"CML12")</f>
        <v>CML12</v>
      </c>
      <c r="V119" s="243" t="str">
        <f>IFERROR(__xludf.DUMMYFUNCTION("""COMPUTED_VALUE"""),"Camelot")</f>
        <v>Camelot</v>
      </c>
      <c r="W119" s="245" t="str">
        <f>IFERROR(__xludf.DUMMYFUNCTION("""COMPUTED_VALUE"""),"Royal Castle")</f>
        <v>Royal Castle</v>
      </c>
      <c r="X119" s="247">
        <f>IFERROR(__xludf.DUMMYFUNCTION("""COMPUTED_VALUE"""),21.0)</f>
        <v>21</v>
      </c>
      <c r="Y119" s="249">
        <f>IFERROR(__xludf.DUMMYFUNCTION("""COMPUTED_VALUE"""),48.95238095238095)</f>
        <v>48.95238095</v>
      </c>
      <c r="Z119" s="251">
        <f>IFERROR(__xludf.DUMMYFUNCTION("""COMPUTED_VALUE"""),508.967040794921)</f>
        <v>508.9670408</v>
      </c>
      <c r="AA119" s="253" t="str">
        <f>IFERROR(__xludf.DUMMYFUNCTION("""COMPUTED_VALUE"""),"AP")</f>
        <v>AP</v>
      </c>
      <c r="AB119" s="251">
        <f>IFERROR(__xludf.DUMMYFUNCTION("""COMPUTED_VALUE"""),4.1260039092514775)</f>
        <v>4.126003909</v>
      </c>
      <c r="AC119" s="253" t="str">
        <f>IFERROR(__xludf.DUMMYFUNCTION("""COMPUTED_VALUE"""),"％")</f>
        <v>％</v>
      </c>
      <c r="AD119" s="247">
        <f>IFERROR(__xludf.DUMMYFUNCTION("""COMPUTED_VALUE"""),45219.0)</f>
        <v>45219</v>
      </c>
      <c r="AE119" s="217"/>
      <c r="AF119" s="372" t="str">
        <f>IFERROR(__xludf.DUMMYFUNCTION("""COMPUTED_VALUE"""),"")</f>
        <v/>
      </c>
    </row>
    <row r="120" ht="16.5" customHeight="1">
      <c r="A120" s="166"/>
      <c r="C120" s="255"/>
      <c r="D120" s="256">
        <f>IFERROR(__xludf.DUMMYFUNCTION("""COMPUTED_VALUE"""),5.0)</f>
        <v>5</v>
      </c>
      <c r="E120" s="257" t="str">
        <f>IFERROR(__xludf.DUMMYFUNCTION("""COMPUTED_VALUE"""),"")</f>
        <v/>
      </c>
      <c r="F120" s="42" t="str">
        <f>IFERROR(__xludf.DUMMYFUNCTION("""COMPUTED_VALUE"""),"")</f>
        <v/>
      </c>
      <c r="G120" s="42" t="str">
        <f>IFERROR(__xludf.DUMMYFUNCTION("""COMPUTED_VALUE"""),"")</f>
        <v/>
      </c>
      <c r="H120" s="259" t="str">
        <f>IFERROR(__xludf.DUMMYFUNCTION("""COMPUTED_VALUE"""),"")</f>
        <v/>
      </c>
      <c r="I120" s="260" t="str">
        <f>IFERROR(__xludf.DUMMYFUNCTION("""COMPUTED_VALUE"""),"")</f>
        <v/>
      </c>
      <c r="J120" s="261" t="str">
        <f>IFERROR(__xludf.DUMMYFUNCTION("""COMPUTED_VALUE"""),"")</f>
        <v/>
      </c>
      <c r="K120" s="262" t="str">
        <f>IFERROR(__xludf.DUMMYFUNCTION("""COMPUTED_VALUE"""),"AP")</f>
        <v>AP</v>
      </c>
      <c r="L120" s="261" t="str">
        <f>IFERROR(__xludf.DUMMYFUNCTION("""COMPUTED_VALUE"""),"")</f>
        <v/>
      </c>
      <c r="M120" s="262" t="str">
        <f>IFERROR(__xludf.DUMMYFUNCTION("""COMPUTED_VALUE"""),"％")</f>
        <v>％</v>
      </c>
      <c r="N120" s="259" t="str">
        <f>IFERROR(__xludf.DUMMYFUNCTION("""COMPUTED_VALUE"""),"")</f>
        <v/>
      </c>
      <c r="O120" s="263"/>
      <c r="P120" s="371" t="str">
        <f>IFERROR(__xludf.DUMMYFUNCTION("""COMPUTED_VALUE"""),"")</f>
        <v/>
      </c>
      <c r="Q120" s="166"/>
      <c r="R120" s="254"/>
      <c r="S120" s="255"/>
      <c r="T120" s="256">
        <f>IFERROR(__xludf.DUMMYFUNCTION("""COMPUTED_VALUE"""),5.0)</f>
        <v>5</v>
      </c>
      <c r="U120" s="257" t="str">
        <f>IFERROR(__xludf.DUMMYFUNCTION("""COMPUTED_VALUE"""),"TRF25")</f>
        <v>TRF25</v>
      </c>
      <c r="V120" s="42" t="str">
        <f>IFERROR(__xludf.DUMMYFUNCTION("""COMPUTED_VALUE"""),"Chaldea Gate (Sun)")</f>
        <v>Chaldea Gate (Sun)</v>
      </c>
      <c r="W120" s="42" t="str">
        <f>IFERROR(__xludf.DUMMYFUNCTION("""COMPUTED_VALUE"""),"SUN Saber Training Ground- Nov")</f>
        <v>SUN Saber Training Ground- Nov</v>
      </c>
      <c r="X120" s="259">
        <f>IFERROR(__xludf.DUMMYFUNCTION("""COMPUTED_VALUE"""),10.0)</f>
        <v>10</v>
      </c>
      <c r="Y120" s="260">
        <f>IFERROR(__xludf.DUMMYFUNCTION("""COMPUTED_VALUE"""),18.8)</f>
        <v>18.8</v>
      </c>
      <c r="Z120" s="261">
        <f>IFERROR(__xludf.DUMMYFUNCTION("""COMPUTED_VALUE"""),459.4371693520809)</f>
        <v>459.4371694</v>
      </c>
      <c r="AA120" s="262" t="str">
        <f>IFERROR(__xludf.DUMMYFUNCTION("""COMPUTED_VALUE"""),"AP")</f>
        <v>AP</v>
      </c>
      <c r="AB120" s="261">
        <f>IFERROR(__xludf.DUMMYFUNCTION("""COMPUTED_VALUE"""),2.1765761821366025)</f>
        <v>2.176576182</v>
      </c>
      <c r="AC120" s="262" t="str">
        <f>IFERROR(__xludf.DUMMYFUNCTION("""COMPUTED_VALUE"""),"％")</f>
        <v>％</v>
      </c>
      <c r="AD120" s="259">
        <f>IFERROR(__xludf.DUMMYFUNCTION("""COMPUTED_VALUE"""),4568.0)</f>
        <v>4568</v>
      </c>
      <c r="AE120" s="263"/>
      <c r="AF120" s="372" t="str">
        <f>IFERROR(__xludf.DUMMYFUNCTION("""COMPUTED_VALUE"""),"")</f>
        <v/>
      </c>
    </row>
    <row r="121" ht="16.5" customHeight="1">
      <c r="A121" s="61" t="str">
        <f>IFERROR(__xludf.DUMMYFUNCTION("""COMPUTED_VALUE"""),"")</f>
        <v/>
      </c>
      <c r="B121" s="367" t="str">
        <f>IFERROR(__xludf.DUMMYFUNCTION("""COMPUTED_VALUE"""),"A214")</f>
        <v>A214</v>
      </c>
      <c r="C121" s="65" t="str">
        <f>IFERROR(__xludf.DUMMYFUNCTION("""COMPUTED_VALUE"""),"Giant's Ring")</f>
        <v>Giant's Ring</v>
      </c>
      <c r="D121" s="70">
        <f>IFERROR(__xludf.DUMMYFUNCTION("""COMPUTED_VALUE"""),1.0)</f>
        <v>1</v>
      </c>
      <c r="E121" s="73" t="str">
        <f>IFERROR(__xludf.DUMMYFUNCTION("""COMPUTED_VALUE"""),"")</f>
        <v/>
      </c>
      <c r="F121" s="76" t="str">
        <f>IFERROR(__xludf.DUMMYFUNCTION("""COMPUTED_VALUE"""),"")</f>
        <v/>
      </c>
      <c r="G121" s="76" t="str">
        <f>IFERROR(__xludf.DUMMYFUNCTION("""COMPUTED_VALUE"""),"")</f>
        <v/>
      </c>
      <c r="H121" s="87" t="str">
        <f>IFERROR(__xludf.DUMMYFUNCTION("""COMPUTED_VALUE"""),"")</f>
        <v/>
      </c>
      <c r="I121" s="90" t="str">
        <f>IFERROR(__xludf.DUMMYFUNCTION("""COMPUTED_VALUE"""),"")</f>
        <v/>
      </c>
      <c r="J121" s="92" t="str">
        <f>IFERROR(__xludf.DUMMYFUNCTION("""COMPUTED_VALUE"""),"")</f>
        <v/>
      </c>
      <c r="K121" s="94" t="str">
        <f>IFERROR(__xludf.DUMMYFUNCTION("""COMPUTED_VALUE"""),"AP")</f>
        <v>AP</v>
      </c>
      <c r="L121" s="96" t="str">
        <f>IFERROR(__xludf.DUMMYFUNCTION("""COMPUTED_VALUE"""),"")</f>
        <v/>
      </c>
      <c r="M121" s="94" t="str">
        <f>IFERROR(__xludf.DUMMYFUNCTION("""COMPUTED_VALUE"""),"％")</f>
        <v>％</v>
      </c>
      <c r="N121" s="87" t="str">
        <f>IFERROR(__xludf.DUMMYFUNCTION("""COMPUTED_VALUE"""),"")</f>
        <v/>
      </c>
      <c r="O121" s="97" t="str">
        <f>IFERROR(__xludf.DUMMYFUNCTION("""COMPUTED_VALUE"""),"Giant's Ring")</f>
        <v>Giant's Ring</v>
      </c>
      <c r="P121" s="371" t="str">
        <f>IFERROR(__xludf.DUMMYFUNCTION("""COMPUTED_VALUE"""),"")</f>
        <v/>
      </c>
      <c r="Q121" s="61" t="str">
        <f>IFERROR(__xludf.DUMMYFUNCTION("""COMPUTED_VALUE"""),"")</f>
        <v/>
      </c>
      <c r="R121" s="361" t="str">
        <f>IFERROR(__xludf.DUMMYFUNCTION("""COMPUTED_VALUE"""),"B202")</f>
        <v>B202</v>
      </c>
      <c r="S121" s="65" t="str">
        <f>IFERROR(__xludf.DUMMYFUNCTION("""COMPUTED_VALUE"""),"Archer Monument")</f>
        <v>Archer Monument</v>
      </c>
      <c r="T121" s="70">
        <f>IFERROR(__xludf.DUMMYFUNCTION("""COMPUTED_VALUE"""),1.0)</f>
        <v>1</v>
      </c>
      <c r="U121" s="73" t="str">
        <f>IFERROR(__xludf.DUMMYFUNCTION("""COMPUTED_VALUE"""),"TRF4")</f>
        <v>TRF4</v>
      </c>
      <c r="V121" s="76" t="str">
        <f>IFERROR(__xludf.DUMMYFUNCTION("""COMPUTED_VALUE"""),"Chaldea Gate (Mon)")</f>
        <v>Chaldea Gate (Mon)</v>
      </c>
      <c r="W121" s="76" t="str">
        <f>IFERROR(__xludf.DUMMYFUNCTION("""COMPUTED_VALUE"""),"MON Archer Training Ground- Exp")</f>
        <v>MON Archer Training Ground- Exp</v>
      </c>
      <c r="X121" s="87">
        <f>IFERROR(__xludf.DUMMYFUNCTION("""COMPUTED_VALUE"""),40.0)</f>
        <v>40</v>
      </c>
      <c r="Y121" s="90">
        <f>IFERROR(__xludf.DUMMYFUNCTION("""COMPUTED_VALUE"""),19.7)</f>
        <v>19.7</v>
      </c>
      <c r="Z121" s="92">
        <f>IFERROR(__xludf.DUMMYFUNCTION("""COMPUTED_VALUE"""),69.35015157412198)</f>
        <v>69.35015157</v>
      </c>
      <c r="AA121" s="94" t="str">
        <f>IFERROR(__xludf.DUMMYFUNCTION("""COMPUTED_VALUE"""),"AP")</f>
        <v>AP</v>
      </c>
      <c r="AB121" s="96">
        <f>IFERROR(__xludf.DUMMYFUNCTION("""COMPUTED_VALUE"""),57.678316618021654)</f>
        <v>57.67831662</v>
      </c>
      <c r="AC121" s="94" t="str">
        <f>IFERROR(__xludf.DUMMYFUNCTION("""COMPUTED_VALUE"""),"％")</f>
        <v>％</v>
      </c>
      <c r="AD121" s="87">
        <f>IFERROR(__xludf.DUMMYFUNCTION("""COMPUTED_VALUE"""),9762.0)</f>
        <v>9762</v>
      </c>
      <c r="AE121" s="97" t="str">
        <f>IFERROR(__xludf.DUMMYFUNCTION("""COMPUTED_VALUE"""),"Archer Monument")</f>
        <v>Archer Monument</v>
      </c>
      <c r="AF121" s="372" t="str">
        <f>IFERROR(__xludf.DUMMYFUNCTION("""COMPUTED_VALUE"""),"")</f>
        <v/>
      </c>
    </row>
    <row r="122" ht="16.5" customHeight="1">
      <c r="C122" s="100"/>
      <c r="D122" s="105">
        <f>IFERROR(__xludf.DUMMYFUNCTION("""COMPUTED_VALUE"""),2.0)</f>
        <v>2</v>
      </c>
      <c r="E122" s="106" t="str">
        <f>IFERROR(__xludf.DUMMYFUNCTION("""COMPUTED_VALUE"""),"")</f>
        <v/>
      </c>
      <c r="F122" s="107" t="str">
        <f>IFERROR(__xludf.DUMMYFUNCTION("""COMPUTED_VALUE"""),"")</f>
        <v/>
      </c>
      <c r="G122" s="107" t="str">
        <f>IFERROR(__xludf.DUMMYFUNCTION("""COMPUTED_VALUE"""),"")</f>
        <v/>
      </c>
      <c r="H122" s="116" t="str">
        <f>IFERROR(__xludf.DUMMYFUNCTION("""COMPUTED_VALUE"""),"")</f>
        <v/>
      </c>
      <c r="I122" s="118" t="str">
        <f>IFERROR(__xludf.DUMMYFUNCTION("""COMPUTED_VALUE"""),"")</f>
        <v/>
      </c>
      <c r="J122" s="120" t="str">
        <f>IFERROR(__xludf.DUMMYFUNCTION("""COMPUTED_VALUE"""),"")</f>
        <v/>
      </c>
      <c r="K122" s="122" t="str">
        <f>IFERROR(__xludf.DUMMYFUNCTION("""COMPUTED_VALUE"""),"AP")</f>
        <v>AP</v>
      </c>
      <c r="L122" s="124" t="str">
        <f>IFERROR(__xludf.DUMMYFUNCTION("""COMPUTED_VALUE"""),"")</f>
        <v/>
      </c>
      <c r="M122" s="122" t="str">
        <f>IFERROR(__xludf.DUMMYFUNCTION("""COMPUTED_VALUE"""),"％")</f>
        <v>％</v>
      </c>
      <c r="N122" s="116" t="str">
        <f>IFERROR(__xludf.DUMMYFUNCTION("""COMPUTED_VALUE"""),"")</f>
        <v/>
      </c>
      <c r="O122" s="100"/>
      <c r="P122" s="371" t="str">
        <f>IFERROR(__xludf.DUMMYFUNCTION("""COMPUTED_VALUE"""),"")</f>
        <v/>
      </c>
      <c r="R122" s="358"/>
      <c r="S122" s="100"/>
      <c r="T122" s="105">
        <f>IFERROR(__xludf.DUMMYFUNCTION("""COMPUTED_VALUE"""),2.0)</f>
        <v>2</v>
      </c>
      <c r="U122" s="106" t="str">
        <f>IFERROR(__xludf.DUMMYFUNCTION("""COMPUTED_VALUE"""),"TRF3")</f>
        <v>TRF3</v>
      </c>
      <c r="V122" s="107" t="str">
        <f>IFERROR(__xludf.DUMMYFUNCTION("""COMPUTED_VALUE"""),"Chaldea Gate (Mon)")</f>
        <v>Chaldea Gate (Mon)</v>
      </c>
      <c r="W122" s="107" t="str">
        <f>IFERROR(__xludf.DUMMYFUNCTION("""COMPUTED_VALUE"""),"MON Archer Training Ground- Adv")</f>
        <v>MON Archer Training Ground- Adv</v>
      </c>
      <c r="X122" s="116">
        <f>IFERROR(__xludf.DUMMYFUNCTION("""COMPUTED_VALUE"""),30.0)</f>
        <v>30</v>
      </c>
      <c r="Y122" s="118">
        <f>IFERROR(__xludf.DUMMYFUNCTION("""COMPUTED_VALUE"""),18.266666666666666)</f>
        <v>18.26666667</v>
      </c>
      <c r="Z122" s="120">
        <f>IFERROR(__xludf.DUMMYFUNCTION("""COMPUTED_VALUE"""),86.61321922807558)</f>
        <v>86.61321923</v>
      </c>
      <c r="AA122" s="122" t="str">
        <f>IFERROR(__xludf.DUMMYFUNCTION("""COMPUTED_VALUE"""),"AP")</f>
        <v>AP</v>
      </c>
      <c r="AB122" s="124">
        <f>IFERROR(__xludf.DUMMYFUNCTION("""COMPUTED_VALUE"""),34.63674513817809)</f>
        <v>34.63674514</v>
      </c>
      <c r="AC122" s="122" t="str">
        <f>IFERROR(__xludf.DUMMYFUNCTION("""COMPUTED_VALUE"""),"％")</f>
        <v>％</v>
      </c>
      <c r="AD122" s="116">
        <f>IFERROR(__xludf.DUMMYFUNCTION("""COMPUTED_VALUE"""),977.0)</f>
        <v>977</v>
      </c>
      <c r="AE122" s="100"/>
      <c r="AF122" s="372" t="str">
        <f>IFERROR(__xludf.DUMMYFUNCTION("""COMPUTED_VALUE"""),"")</f>
        <v/>
      </c>
    </row>
    <row r="123" ht="16.5" customHeight="1">
      <c r="C123" s="100"/>
      <c r="D123" s="128">
        <f>IFERROR(__xludf.DUMMYFUNCTION("""COMPUTED_VALUE"""),3.0)</f>
        <v>3</v>
      </c>
      <c r="E123" s="129" t="str">
        <f>IFERROR(__xludf.DUMMYFUNCTION("""COMPUTED_VALUE"""),"")</f>
        <v/>
      </c>
      <c r="F123" s="131" t="str">
        <f>IFERROR(__xludf.DUMMYFUNCTION("""COMPUTED_VALUE"""),"")</f>
        <v/>
      </c>
      <c r="G123" s="131" t="str">
        <f>IFERROR(__xludf.DUMMYFUNCTION("""COMPUTED_VALUE"""),"")</f>
        <v/>
      </c>
      <c r="H123" s="136" t="str">
        <f>IFERROR(__xludf.DUMMYFUNCTION("""COMPUTED_VALUE"""),"")</f>
        <v/>
      </c>
      <c r="I123" s="138" t="str">
        <f>IFERROR(__xludf.DUMMYFUNCTION("""COMPUTED_VALUE"""),"")</f>
        <v/>
      </c>
      <c r="J123" s="140" t="str">
        <f>IFERROR(__xludf.DUMMYFUNCTION("""COMPUTED_VALUE"""),"")</f>
        <v/>
      </c>
      <c r="K123" s="142" t="str">
        <f>IFERROR(__xludf.DUMMYFUNCTION("""COMPUTED_VALUE"""),"AP")</f>
        <v>AP</v>
      </c>
      <c r="L123" s="144" t="str">
        <f>IFERROR(__xludf.DUMMYFUNCTION("""COMPUTED_VALUE"""),"")</f>
        <v/>
      </c>
      <c r="M123" s="142" t="str">
        <f>IFERROR(__xludf.DUMMYFUNCTION("""COMPUTED_VALUE"""),"％")</f>
        <v>％</v>
      </c>
      <c r="N123" s="136" t="str">
        <f>IFERROR(__xludf.DUMMYFUNCTION("""COMPUTED_VALUE"""),"")</f>
        <v/>
      </c>
      <c r="O123" s="100"/>
      <c r="P123" s="371" t="str">
        <f>IFERROR(__xludf.DUMMYFUNCTION("""COMPUTED_VALUE"""),"")</f>
        <v/>
      </c>
      <c r="R123" s="358"/>
      <c r="S123" s="100"/>
      <c r="T123" s="128">
        <f>IFERROR(__xludf.DUMMYFUNCTION("""COMPUTED_VALUE"""),3.0)</f>
        <v>3</v>
      </c>
      <c r="U123" s="129" t="str">
        <f>IFERROR(__xludf.DUMMYFUNCTION("""COMPUTED_VALUE"""),"TRF2")</f>
        <v>TRF2</v>
      </c>
      <c r="V123" s="131" t="str">
        <f>IFERROR(__xludf.DUMMYFUNCTION("""COMPUTED_VALUE"""),"Chaldea Gate (Mon)")</f>
        <v>Chaldea Gate (Mon)</v>
      </c>
      <c r="W123" s="131" t="str">
        <f>IFERROR(__xludf.DUMMYFUNCTION("""COMPUTED_VALUE"""),"MON Archer Training Ground- Int")</f>
        <v>MON Archer Training Ground- Int</v>
      </c>
      <c r="X123" s="136">
        <f>IFERROR(__xludf.DUMMYFUNCTION("""COMPUTED_VALUE"""),20.0)</f>
        <v>20</v>
      </c>
      <c r="Y123" s="138">
        <f>IFERROR(__xludf.DUMMYFUNCTION("""COMPUTED_VALUE"""),18.4)</f>
        <v>18.4</v>
      </c>
      <c r="Z123" s="140">
        <f>IFERROR(__xludf.DUMMYFUNCTION("""COMPUTED_VALUE"""),321.5929771973022)</f>
        <v>321.5929772</v>
      </c>
      <c r="AA123" s="142" t="str">
        <f>IFERROR(__xludf.DUMMYFUNCTION("""COMPUTED_VALUE"""),"AP")</f>
        <v>AP</v>
      </c>
      <c r="AB123" s="144">
        <f>IFERROR(__xludf.DUMMYFUNCTION("""COMPUTED_VALUE"""),6.219041278295606)</f>
        <v>6.219041278</v>
      </c>
      <c r="AC123" s="142" t="str">
        <f>IFERROR(__xludf.DUMMYFUNCTION("""COMPUTED_VALUE"""),"％")</f>
        <v>％</v>
      </c>
      <c r="AD123" s="136">
        <f>IFERROR(__xludf.DUMMYFUNCTION("""COMPUTED_VALUE"""),751.0)</f>
        <v>751</v>
      </c>
      <c r="AE123" s="100"/>
      <c r="AF123" s="372" t="str">
        <f>IFERROR(__xludf.DUMMYFUNCTION("""COMPUTED_VALUE"""),"")</f>
        <v/>
      </c>
    </row>
    <row r="124" ht="16.5" customHeight="1">
      <c r="C124" s="100"/>
      <c r="D124" s="147">
        <f>IFERROR(__xludf.DUMMYFUNCTION("""COMPUTED_VALUE"""),4.0)</f>
        <v>4</v>
      </c>
      <c r="E124" s="149" t="str">
        <f>IFERROR(__xludf.DUMMYFUNCTION("""COMPUTED_VALUE"""),"")</f>
        <v/>
      </c>
      <c r="F124" s="151" t="str">
        <f>IFERROR(__xludf.DUMMYFUNCTION("""COMPUTED_VALUE"""),"")</f>
        <v/>
      </c>
      <c r="G124" s="151" t="str">
        <f>IFERROR(__xludf.DUMMYFUNCTION("""COMPUTED_VALUE"""),"")</f>
        <v/>
      </c>
      <c r="H124" s="155" t="str">
        <f>IFERROR(__xludf.DUMMYFUNCTION("""COMPUTED_VALUE"""),"")</f>
        <v/>
      </c>
      <c r="I124" s="157" t="str">
        <f>IFERROR(__xludf.DUMMYFUNCTION("""COMPUTED_VALUE"""),"")</f>
        <v/>
      </c>
      <c r="J124" s="159" t="str">
        <f>IFERROR(__xludf.DUMMYFUNCTION("""COMPUTED_VALUE"""),"")</f>
        <v/>
      </c>
      <c r="K124" s="161" t="str">
        <f>IFERROR(__xludf.DUMMYFUNCTION("""COMPUTED_VALUE"""),"AP")</f>
        <v>AP</v>
      </c>
      <c r="L124" s="163" t="str">
        <f>IFERROR(__xludf.DUMMYFUNCTION("""COMPUTED_VALUE"""),"")</f>
        <v/>
      </c>
      <c r="M124" s="161" t="str">
        <f>IFERROR(__xludf.DUMMYFUNCTION("""COMPUTED_VALUE"""),"％")</f>
        <v>％</v>
      </c>
      <c r="N124" s="155" t="str">
        <f>IFERROR(__xludf.DUMMYFUNCTION("""COMPUTED_VALUE"""),"")</f>
        <v/>
      </c>
      <c r="O124" s="100"/>
      <c r="P124" s="371" t="str">
        <f>IFERROR(__xludf.DUMMYFUNCTION("""COMPUTED_VALUE"""),"")</f>
        <v/>
      </c>
      <c r="R124" s="358"/>
      <c r="S124" s="100"/>
      <c r="T124" s="147">
        <f>IFERROR(__xludf.DUMMYFUNCTION("""COMPUTED_VALUE"""),4.0)</f>
        <v>4</v>
      </c>
      <c r="U124" s="149" t="str">
        <f>IFERROR(__xludf.DUMMYFUNCTION("""COMPUTED_VALUE"""),"EPU8")</f>
        <v>EPU8</v>
      </c>
      <c r="V124" s="151" t="str">
        <f>IFERROR(__xludf.DUMMYFUNCTION("""COMPUTED_VALUE"""),"E Pluribus Unum")</f>
        <v>E Pluribus Unum</v>
      </c>
      <c r="W124" s="153" t="str">
        <f>IFERROR(__xludf.DUMMYFUNCTION("""COMPUTED_VALUE"""),"Montgomery")</f>
        <v>Montgomery</v>
      </c>
      <c r="X124" s="155">
        <f>IFERROR(__xludf.DUMMYFUNCTION("""COMPUTED_VALUE"""),18.0)</f>
        <v>18</v>
      </c>
      <c r="Y124" s="157">
        <f>IFERROR(__xludf.DUMMYFUNCTION("""COMPUTED_VALUE"""),42.44444444444444)</f>
        <v>42.44444444</v>
      </c>
      <c r="Z124" s="159">
        <f>IFERROR(__xludf.DUMMYFUNCTION("""COMPUTED_VALUE"""),406.56651629925943)</f>
        <v>406.5665163</v>
      </c>
      <c r="AA124" s="161" t="str">
        <f>IFERROR(__xludf.DUMMYFUNCTION("""COMPUTED_VALUE"""),"AP")</f>
        <v>AP</v>
      </c>
      <c r="AB124" s="163">
        <f>IFERROR(__xludf.DUMMYFUNCTION("""COMPUTED_VALUE"""),4.427319830428639)</f>
        <v>4.42731983</v>
      </c>
      <c r="AC124" s="161" t="str">
        <f>IFERROR(__xludf.DUMMYFUNCTION("""COMPUTED_VALUE"""),"％")</f>
        <v>％</v>
      </c>
      <c r="AD124" s="155">
        <f>IFERROR(__xludf.DUMMYFUNCTION("""COMPUTED_VALUE"""),2123.0)</f>
        <v>2123</v>
      </c>
      <c r="AE124" s="100"/>
      <c r="AF124" s="372" t="str">
        <f>IFERROR(__xludf.DUMMYFUNCTION("""COMPUTED_VALUE"""),"")</f>
        <v/>
      </c>
    </row>
    <row r="125" ht="16.5" customHeight="1">
      <c r="A125" s="166"/>
      <c r="C125" s="168"/>
      <c r="D125" s="169">
        <f>IFERROR(__xludf.DUMMYFUNCTION("""COMPUTED_VALUE"""),5.0)</f>
        <v>5</v>
      </c>
      <c r="E125" s="170" t="str">
        <f>IFERROR(__xludf.DUMMYFUNCTION("""COMPUTED_VALUE"""),"")</f>
        <v/>
      </c>
      <c r="F125" s="51" t="str">
        <f>IFERROR(__xludf.DUMMYFUNCTION("""COMPUTED_VALUE"""),"")</f>
        <v/>
      </c>
      <c r="G125" s="51" t="str">
        <f>IFERROR(__xludf.DUMMYFUNCTION("""COMPUTED_VALUE"""),"")</f>
        <v/>
      </c>
      <c r="H125" s="172" t="str">
        <f>IFERROR(__xludf.DUMMYFUNCTION("""COMPUTED_VALUE"""),"")</f>
        <v/>
      </c>
      <c r="I125" s="173" t="str">
        <f>IFERROR(__xludf.DUMMYFUNCTION("""COMPUTED_VALUE"""),"")</f>
        <v/>
      </c>
      <c r="J125" s="174" t="str">
        <f>IFERROR(__xludf.DUMMYFUNCTION("""COMPUTED_VALUE"""),"")</f>
        <v/>
      </c>
      <c r="K125" s="175" t="str">
        <f>IFERROR(__xludf.DUMMYFUNCTION("""COMPUTED_VALUE"""),"AP")</f>
        <v>AP</v>
      </c>
      <c r="L125" s="176" t="str">
        <f>IFERROR(__xludf.DUMMYFUNCTION("""COMPUTED_VALUE"""),"")</f>
        <v/>
      </c>
      <c r="M125" s="175" t="str">
        <f>IFERROR(__xludf.DUMMYFUNCTION("""COMPUTED_VALUE"""),"％")</f>
        <v>％</v>
      </c>
      <c r="N125" s="172" t="str">
        <f>IFERROR(__xludf.DUMMYFUNCTION("""COMPUTED_VALUE"""),"")</f>
        <v/>
      </c>
      <c r="O125" s="168"/>
      <c r="P125" s="371" t="str">
        <f>IFERROR(__xludf.DUMMYFUNCTION("""COMPUTED_VALUE"""),"")</f>
        <v/>
      </c>
      <c r="Q125" s="166"/>
      <c r="R125" s="359"/>
      <c r="S125" s="168"/>
      <c r="T125" s="169">
        <f>IFERROR(__xludf.DUMMYFUNCTION("""COMPUTED_VALUE"""),5.0)</f>
        <v>5</v>
      </c>
      <c r="U125" s="170" t="str">
        <f>IFERROR(__xludf.DUMMYFUNCTION("""COMPUTED_VALUE"""),"TRF1")</f>
        <v>TRF1</v>
      </c>
      <c r="V125" s="51" t="str">
        <f>IFERROR(__xludf.DUMMYFUNCTION("""COMPUTED_VALUE"""),"Chaldea Gate (Mon)")</f>
        <v>Chaldea Gate (Mon)</v>
      </c>
      <c r="W125" s="51" t="str">
        <f>IFERROR(__xludf.DUMMYFUNCTION("""COMPUTED_VALUE"""),"MON Archer Training Ground- Nov")</f>
        <v>MON Archer Training Ground- Nov</v>
      </c>
      <c r="X125" s="172">
        <f>IFERROR(__xludf.DUMMYFUNCTION("""COMPUTED_VALUE"""),10.0)</f>
        <v>10</v>
      </c>
      <c r="Y125" s="173">
        <f>IFERROR(__xludf.DUMMYFUNCTION("""COMPUTED_VALUE"""),18.8)</f>
        <v>18.8</v>
      </c>
      <c r="Z125" s="174">
        <f>IFERROR(__xludf.DUMMYFUNCTION("""COMPUTED_VALUE"""),553.1077429209258)</f>
        <v>553.1077429</v>
      </c>
      <c r="AA125" s="175" t="str">
        <f>IFERROR(__xludf.DUMMYFUNCTION("""COMPUTED_VALUE"""),"AP")</f>
        <v>AP</v>
      </c>
      <c r="AB125" s="176">
        <f>IFERROR(__xludf.DUMMYFUNCTION("""COMPUTED_VALUE"""),1.807966011683484)</f>
        <v>1.807966012</v>
      </c>
      <c r="AC125" s="175" t="str">
        <f>IFERROR(__xludf.DUMMYFUNCTION("""COMPUTED_VALUE"""),"％")</f>
        <v>％</v>
      </c>
      <c r="AD125" s="172">
        <f>IFERROR(__xludf.DUMMYFUNCTION("""COMPUTED_VALUE"""),1883.0)</f>
        <v>1883</v>
      </c>
      <c r="AE125" s="168"/>
      <c r="AF125" s="372" t="str">
        <f>IFERROR(__xludf.DUMMYFUNCTION("""COMPUTED_VALUE"""),"")</f>
        <v/>
      </c>
    </row>
    <row r="126" ht="16.5" customHeight="1">
      <c r="A126" s="61" t="str">
        <f>IFERROR(__xludf.DUMMYFUNCTION("""COMPUTED_VALUE"""),"")</f>
        <v/>
      </c>
      <c r="B126" s="366" t="str">
        <f>IFERROR(__xludf.DUMMYFUNCTION("""COMPUTED_VALUE"""),"A215")</f>
        <v>A215</v>
      </c>
      <c r="C126" s="180" t="str">
        <f>IFERROR(__xludf.DUMMYFUNCTION("""COMPUTED_VALUE"""),"Aurora Steel")</f>
        <v>Aurora Steel</v>
      </c>
      <c r="D126" s="185">
        <f>IFERROR(__xludf.DUMMYFUNCTION("""COMPUTED_VALUE"""),1.0)</f>
        <v>1</v>
      </c>
      <c r="E126" s="187" t="str">
        <f>IFERROR(__xludf.DUMMYFUNCTION("""COMPUTED_VALUE"""),"")</f>
        <v/>
      </c>
      <c r="F126" s="188" t="str">
        <f>IFERROR(__xludf.DUMMYFUNCTION("""COMPUTED_VALUE"""),"")</f>
        <v/>
      </c>
      <c r="G126" s="188" t="str">
        <f>IFERROR(__xludf.DUMMYFUNCTION("""COMPUTED_VALUE"""),"")</f>
        <v/>
      </c>
      <c r="H126" s="195" t="str">
        <f>IFERROR(__xludf.DUMMYFUNCTION("""COMPUTED_VALUE"""),"")</f>
        <v/>
      </c>
      <c r="I126" s="196" t="str">
        <f>IFERROR(__xludf.DUMMYFUNCTION("""COMPUTED_VALUE"""),"")</f>
        <v/>
      </c>
      <c r="J126" s="198" t="str">
        <f>IFERROR(__xludf.DUMMYFUNCTION("""COMPUTED_VALUE"""),"")</f>
        <v/>
      </c>
      <c r="K126" s="200" t="str">
        <f>IFERROR(__xludf.DUMMYFUNCTION("""COMPUTED_VALUE"""),"AP")</f>
        <v>AP</v>
      </c>
      <c r="L126" s="198" t="str">
        <f>IFERROR(__xludf.DUMMYFUNCTION("""COMPUTED_VALUE"""),"")</f>
        <v/>
      </c>
      <c r="M126" s="201" t="str">
        <f>IFERROR(__xludf.DUMMYFUNCTION("""COMPUTED_VALUE"""),"％")</f>
        <v>％</v>
      </c>
      <c r="N126" s="195" t="str">
        <f>IFERROR(__xludf.DUMMYFUNCTION("""COMPUTED_VALUE"""),"")</f>
        <v/>
      </c>
      <c r="O126" s="197" t="str">
        <f>IFERROR(__xludf.DUMMYFUNCTION("""COMPUTED_VALUE"""),"Aurora Steel")</f>
        <v>Aurora Steel</v>
      </c>
      <c r="P126" s="371" t="str">
        <f>IFERROR(__xludf.DUMMYFUNCTION("""COMPUTED_VALUE"""),"")</f>
        <v/>
      </c>
      <c r="Q126" s="61" t="str">
        <f>IFERROR(__xludf.DUMMYFUNCTION("""COMPUTED_VALUE"""),"")</f>
        <v/>
      </c>
      <c r="R126" s="202" t="str">
        <f>IFERROR(__xludf.DUMMYFUNCTION("""COMPUTED_VALUE"""),"B203")</f>
        <v>B203</v>
      </c>
      <c r="S126" s="180" t="str">
        <f>IFERROR(__xludf.DUMMYFUNCTION("""COMPUTED_VALUE"""),"Lancer Monument")</f>
        <v>Lancer Monument</v>
      </c>
      <c r="T126" s="185">
        <f>IFERROR(__xludf.DUMMYFUNCTION("""COMPUTED_VALUE"""),1.0)</f>
        <v>1</v>
      </c>
      <c r="U126" s="187" t="str">
        <f>IFERROR(__xludf.DUMMYFUNCTION("""COMPUTED_VALUE"""),"TRF8")</f>
        <v>TRF8</v>
      </c>
      <c r="V126" s="188" t="str">
        <f>IFERROR(__xludf.DUMMYFUNCTION("""COMPUTED_VALUE"""),"Chaldea Gate (Tue)")</f>
        <v>Chaldea Gate (Tue)</v>
      </c>
      <c r="W126" s="188" t="str">
        <f>IFERROR(__xludf.DUMMYFUNCTION("""COMPUTED_VALUE"""),"TUE Lancer Training Ground- Exp")</f>
        <v>TUE Lancer Training Ground- Exp</v>
      </c>
      <c r="X126" s="195">
        <f>IFERROR(__xludf.DUMMYFUNCTION("""COMPUTED_VALUE"""),40.0)</f>
        <v>40</v>
      </c>
      <c r="Y126" s="196">
        <f>IFERROR(__xludf.DUMMYFUNCTION("""COMPUTED_VALUE"""),19.7)</f>
        <v>19.7</v>
      </c>
      <c r="Z126" s="198">
        <f>IFERROR(__xludf.DUMMYFUNCTION("""COMPUTED_VALUE"""),71.97688333673857)</f>
        <v>71.97688334</v>
      </c>
      <c r="AA126" s="200" t="str">
        <f>IFERROR(__xludf.DUMMYFUNCTION("""COMPUTED_VALUE"""),"AP")</f>
        <v>AP</v>
      </c>
      <c r="AB126" s="198">
        <f>IFERROR(__xludf.DUMMYFUNCTION("""COMPUTED_VALUE"""),55.57339821573398)</f>
        <v>55.57339822</v>
      </c>
      <c r="AC126" s="201" t="str">
        <f>IFERROR(__xludf.DUMMYFUNCTION("""COMPUTED_VALUE"""),"％")</f>
        <v>％</v>
      </c>
      <c r="AD126" s="195">
        <f>IFERROR(__xludf.DUMMYFUNCTION("""COMPUTED_VALUE"""),6165.0)</f>
        <v>6165</v>
      </c>
      <c r="AE126" s="197" t="str">
        <f>IFERROR(__xludf.DUMMYFUNCTION("""COMPUTED_VALUE"""),"Lancer Monument")</f>
        <v>Lancer Monument</v>
      </c>
      <c r="AF126" s="372" t="str">
        <f>IFERROR(__xludf.DUMMYFUNCTION("""COMPUTED_VALUE"""),"")</f>
        <v/>
      </c>
    </row>
    <row r="127" ht="16.5" customHeight="1">
      <c r="C127" s="204"/>
      <c r="D127" s="208">
        <f>IFERROR(__xludf.DUMMYFUNCTION("""COMPUTED_VALUE"""),2.0)</f>
        <v>2</v>
      </c>
      <c r="E127" s="210" t="str">
        <f>IFERROR(__xludf.DUMMYFUNCTION("""COMPUTED_VALUE"""),"")</f>
        <v/>
      </c>
      <c r="F127" s="212" t="str">
        <f>IFERROR(__xludf.DUMMYFUNCTION("""COMPUTED_VALUE"""),"")</f>
        <v/>
      </c>
      <c r="G127" s="212" t="str">
        <f>IFERROR(__xludf.DUMMYFUNCTION("""COMPUTED_VALUE"""),"")</f>
        <v/>
      </c>
      <c r="H127" s="218" t="str">
        <f>IFERROR(__xludf.DUMMYFUNCTION("""COMPUTED_VALUE"""),"")</f>
        <v/>
      </c>
      <c r="I127" s="219" t="str">
        <f>IFERROR(__xludf.DUMMYFUNCTION("""COMPUTED_VALUE"""),"")</f>
        <v/>
      </c>
      <c r="J127" s="220" t="str">
        <f>IFERROR(__xludf.DUMMYFUNCTION("""COMPUTED_VALUE"""),"")</f>
        <v/>
      </c>
      <c r="K127" s="221" t="str">
        <f>IFERROR(__xludf.DUMMYFUNCTION("""COMPUTED_VALUE"""),"AP")</f>
        <v>AP</v>
      </c>
      <c r="L127" s="220" t="str">
        <f>IFERROR(__xludf.DUMMYFUNCTION("""COMPUTED_VALUE"""),"")</f>
        <v/>
      </c>
      <c r="M127" s="221" t="str">
        <f>IFERROR(__xludf.DUMMYFUNCTION("""COMPUTED_VALUE"""),"％")</f>
        <v>％</v>
      </c>
      <c r="N127" s="218" t="str">
        <f>IFERROR(__xludf.DUMMYFUNCTION("""COMPUTED_VALUE"""),"")</f>
        <v/>
      </c>
      <c r="O127" s="217"/>
      <c r="P127" s="371" t="str">
        <f>IFERROR(__xludf.DUMMYFUNCTION("""COMPUTED_VALUE"""),"")</f>
        <v/>
      </c>
      <c r="R127" s="203"/>
      <c r="S127" s="204"/>
      <c r="T127" s="208">
        <f>IFERROR(__xludf.DUMMYFUNCTION("""COMPUTED_VALUE"""),2.0)</f>
        <v>2</v>
      </c>
      <c r="U127" s="210" t="str">
        <f>IFERROR(__xludf.DUMMYFUNCTION("""COMPUTED_VALUE"""),"TRF7")</f>
        <v>TRF7</v>
      </c>
      <c r="V127" s="212" t="str">
        <f>IFERROR(__xludf.DUMMYFUNCTION("""COMPUTED_VALUE"""),"Chaldea Gate (Tue)")</f>
        <v>Chaldea Gate (Tue)</v>
      </c>
      <c r="W127" s="212" t="str">
        <f>IFERROR(__xludf.DUMMYFUNCTION("""COMPUTED_VALUE"""),"TUE Lancer Training Ground- Adv")</f>
        <v>TUE Lancer Training Ground- Adv</v>
      </c>
      <c r="X127" s="218">
        <f>IFERROR(__xludf.DUMMYFUNCTION("""COMPUTED_VALUE"""),30.0)</f>
        <v>30</v>
      </c>
      <c r="Y127" s="219">
        <f>IFERROR(__xludf.DUMMYFUNCTION("""COMPUTED_VALUE"""),18.266666666666666)</f>
        <v>18.26666667</v>
      </c>
      <c r="Z127" s="220">
        <f>IFERROR(__xludf.DUMMYFUNCTION("""COMPUTED_VALUE"""),86.5536998659027)</f>
        <v>86.55369987</v>
      </c>
      <c r="AA127" s="221" t="str">
        <f>IFERROR(__xludf.DUMMYFUNCTION("""COMPUTED_VALUE"""),"AP")</f>
        <v>AP</v>
      </c>
      <c r="AB127" s="220">
        <f>IFERROR(__xludf.DUMMYFUNCTION("""COMPUTED_VALUE"""),34.660563380281694)</f>
        <v>34.66056338</v>
      </c>
      <c r="AC127" s="221" t="str">
        <f>IFERROR(__xludf.DUMMYFUNCTION("""COMPUTED_VALUE"""),"％")</f>
        <v>％</v>
      </c>
      <c r="AD127" s="218">
        <f>IFERROR(__xludf.DUMMYFUNCTION("""COMPUTED_VALUE"""),1136.0)</f>
        <v>1136</v>
      </c>
      <c r="AE127" s="217"/>
      <c r="AF127" s="372" t="str">
        <f>IFERROR(__xludf.DUMMYFUNCTION("""COMPUTED_VALUE"""),"")</f>
        <v/>
      </c>
    </row>
    <row r="128" ht="16.5" customHeight="1">
      <c r="C128" s="204"/>
      <c r="D128" s="225">
        <f>IFERROR(__xludf.DUMMYFUNCTION("""COMPUTED_VALUE"""),3.0)</f>
        <v>3</v>
      </c>
      <c r="E128" s="227" t="str">
        <f>IFERROR(__xludf.DUMMYFUNCTION("""COMPUTED_VALUE"""),"")</f>
        <v/>
      </c>
      <c r="F128" s="229" t="str">
        <f>IFERROR(__xludf.DUMMYFUNCTION("""COMPUTED_VALUE"""),"")</f>
        <v/>
      </c>
      <c r="G128" s="229" t="str">
        <f>IFERROR(__xludf.DUMMYFUNCTION("""COMPUTED_VALUE"""),"")</f>
        <v/>
      </c>
      <c r="H128" s="234" t="str">
        <f>IFERROR(__xludf.DUMMYFUNCTION("""COMPUTED_VALUE"""),"")</f>
        <v/>
      </c>
      <c r="I128" s="235" t="str">
        <f>IFERROR(__xludf.DUMMYFUNCTION("""COMPUTED_VALUE"""),"")</f>
        <v/>
      </c>
      <c r="J128" s="236" t="str">
        <f>IFERROR(__xludf.DUMMYFUNCTION("""COMPUTED_VALUE"""),"")</f>
        <v/>
      </c>
      <c r="K128" s="237" t="str">
        <f>IFERROR(__xludf.DUMMYFUNCTION("""COMPUTED_VALUE"""),"AP")</f>
        <v>AP</v>
      </c>
      <c r="L128" s="236" t="str">
        <f>IFERROR(__xludf.DUMMYFUNCTION("""COMPUTED_VALUE"""),"")</f>
        <v/>
      </c>
      <c r="M128" s="237" t="str">
        <f>IFERROR(__xludf.DUMMYFUNCTION("""COMPUTED_VALUE"""),"％")</f>
        <v>％</v>
      </c>
      <c r="N128" s="234" t="str">
        <f>IFERROR(__xludf.DUMMYFUNCTION("""COMPUTED_VALUE"""),"")</f>
        <v/>
      </c>
      <c r="O128" s="217"/>
      <c r="P128" s="371" t="str">
        <f>IFERROR(__xludf.DUMMYFUNCTION("""COMPUTED_VALUE"""),"")</f>
        <v/>
      </c>
      <c r="R128" s="203"/>
      <c r="S128" s="204"/>
      <c r="T128" s="225">
        <f>IFERROR(__xludf.DUMMYFUNCTION("""COMPUTED_VALUE"""),3.0)</f>
        <v>3</v>
      </c>
      <c r="U128" s="227" t="str">
        <f>IFERROR(__xludf.DUMMYFUNCTION("""COMPUTED_VALUE"""),"TRF6")</f>
        <v>TRF6</v>
      </c>
      <c r="V128" s="229" t="str">
        <f>IFERROR(__xludf.DUMMYFUNCTION("""COMPUTED_VALUE"""),"Chaldea Gate (Tue)")</f>
        <v>Chaldea Gate (Tue)</v>
      </c>
      <c r="W128" s="229" t="str">
        <f>IFERROR(__xludf.DUMMYFUNCTION("""COMPUTED_VALUE"""),"TUE Lancer Training Ground- Int")</f>
        <v>TUE Lancer Training Ground- Int</v>
      </c>
      <c r="X128" s="234">
        <f>IFERROR(__xludf.DUMMYFUNCTION("""COMPUTED_VALUE"""),20.0)</f>
        <v>20</v>
      </c>
      <c r="Y128" s="235">
        <f>IFERROR(__xludf.DUMMYFUNCTION("""COMPUTED_VALUE"""),18.4)</f>
        <v>18.4</v>
      </c>
      <c r="Z128" s="236">
        <f>IFERROR(__xludf.DUMMYFUNCTION("""COMPUTED_VALUE"""),258.9701700248079)</f>
        <v>258.97017</v>
      </c>
      <c r="AA128" s="237" t="str">
        <f>IFERROR(__xludf.DUMMYFUNCTION("""COMPUTED_VALUE"""),"AP")</f>
        <v>AP</v>
      </c>
      <c r="AB128" s="236">
        <f>IFERROR(__xludf.DUMMYFUNCTION("""COMPUTED_VALUE"""),7.722897196261682)</f>
        <v>7.722897196</v>
      </c>
      <c r="AC128" s="237" t="str">
        <f>IFERROR(__xludf.DUMMYFUNCTION("""COMPUTED_VALUE"""),"％")</f>
        <v>％</v>
      </c>
      <c r="AD128" s="234">
        <f>IFERROR(__xludf.DUMMYFUNCTION("""COMPUTED_VALUE"""),428.0)</f>
        <v>428</v>
      </c>
      <c r="AE128" s="217"/>
      <c r="AF128" s="372" t="str">
        <f>IFERROR(__xludf.DUMMYFUNCTION("""COMPUTED_VALUE"""),"")</f>
        <v/>
      </c>
    </row>
    <row r="129" ht="16.5" customHeight="1">
      <c r="C129" s="204"/>
      <c r="D129" s="239">
        <f>IFERROR(__xludf.DUMMYFUNCTION("""COMPUTED_VALUE"""),4.0)</f>
        <v>4</v>
      </c>
      <c r="E129" s="241" t="str">
        <f>IFERROR(__xludf.DUMMYFUNCTION("""COMPUTED_VALUE"""),"")</f>
        <v/>
      </c>
      <c r="F129" s="243" t="str">
        <f>IFERROR(__xludf.DUMMYFUNCTION("""COMPUTED_VALUE"""),"")</f>
        <v/>
      </c>
      <c r="G129" s="243" t="str">
        <f>IFERROR(__xludf.DUMMYFUNCTION("""COMPUTED_VALUE"""),"")</f>
        <v/>
      </c>
      <c r="H129" s="247" t="str">
        <f>IFERROR(__xludf.DUMMYFUNCTION("""COMPUTED_VALUE"""),"")</f>
        <v/>
      </c>
      <c r="I129" s="249" t="str">
        <f>IFERROR(__xludf.DUMMYFUNCTION("""COMPUTED_VALUE"""),"")</f>
        <v/>
      </c>
      <c r="J129" s="251" t="str">
        <f>IFERROR(__xludf.DUMMYFUNCTION("""COMPUTED_VALUE"""),"")</f>
        <v/>
      </c>
      <c r="K129" s="253" t="str">
        <f>IFERROR(__xludf.DUMMYFUNCTION("""COMPUTED_VALUE"""),"AP")</f>
        <v>AP</v>
      </c>
      <c r="L129" s="251" t="str">
        <f>IFERROR(__xludf.DUMMYFUNCTION("""COMPUTED_VALUE"""),"")</f>
        <v/>
      </c>
      <c r="M129" s="253" t="str">
        <f>IFERROR(__xludf.DUMMYFUNCTION("""COMPUTED_VALUE"""),"％")</f>
        <v>％</v>
      </c>
      <c r="N129" s="247" t="str">
        <f>IFERROR(__xludf.DUMMYFUNCTION("""COMPUTED_VALUE"""),"")</f>
        <v/>
      </c>
      <c r="O129" s="217"/>
      <c r="P129" s="371" t="str">
        <f>IFERROR(__xludf.DUMMYFUNCTION("""COMPUTED_VALUE"""),"")</f>
        <v/>
      </c>
      <c r="R129" s="203"/>
      <c r="S129" s="204"/>
      <c r="T129" s="239">
        <f>IFERROR(__xludf.DUMMYFUNCTION("""COMPUTED_VALUE"""),4.0)</f>
        <v>4</v>
      </c>
      <c r="U129" s="241" t="str">
        <f>IFERROR(__xludf.DUMMYFUNCTION("""COMPUTED_VALUE"""),"EPU2")</f>
        <v>EPU2</v>
      </c>
      <c r="V129" s="243" t="str">
        <f>IFERROR(__xludf.DUMMYFUNCTION("""COMPUTED_VALUE"""),"E Pluribus Unum")</f>
        <v>E Pluribus Unum</v>
      </c>
      <c r="W129" s="245" t="str">
        <f>IFERROR(__xludf.DUMMYFUNCTION("""COMPUTED_VALUE"""),"Riverton")</f>
        <v>Riverton</v>
      </c>
      <c r="X129" s="247">
        <f>IFERROR(__xludf.DUMMYFUNCTION("""COMPUTED_VALUE"""),17.0)</f>
        <v>17</v>
      </c>
      <c r="Y129" s="249">
        <f>IFERROR(__xludf.DUMMYFUNCTION("""COMPUTED_VALUE"""),40.705882352941174)</f>
        <v>40.70588235</v>
      </c>
      <c r="Z129" s="251">
        <f>IFERROR(__xludf.DUMMYFUNCTION("""COMPUTED_VALUE"""),243.96838602329453)</f>
        <v>243.968386</v>
      </c>
      <c r="AA129" s="253" t="str">
        <f>IFERROR(__xludf.DUMMYFUNCTION("""COMPUTED_VALUE"""),"AP")</f>
        <v>AP</v>
      </c>
      <c r="AB129" s="251">
        <f>IFERROR(__xludf.DUMMYFUNCTION("""COMPUTED_VALUE"""),6.968115942028985)</f>
        <v>6.968115942</v>
      </c>
      <c r="AC129" s="253" t="str">
        <f>IFERROR(__xludf.DUMMYFUNCTION("""COMPUTED_VALUE"""),"％")</f>
        <v>％</v>
      </c>
      <c r="AD129" s="247">
        <f>IFERROR(__xludf.DUMMYFUNCTION("""COMPUTED_VALUE"""),414.0)</f>
        <v>414</v>
      </c>
      <c r="AE129" s="217"/>
      <c r="AF129" s="372" t="str">
        <f>IFERROR(__xludf.DUMMYFUNCTION("""COMPUTED_VALUE"""),"")</f>
        <v/>
      </c>
    </row>
    <row r="130" ht="16.5" customHeight="1">
      <c r="A130" s="166"/>
      <c r="C130" s="255"/>
      <c r="D130" s="256">
        <f>IFERROR(__xludf.DUMMYFUNCTION("""COMPUTED_VALUE"""),5.0)</f>
        <v>5</v>
      </c>
      <c r="E130" s="257" t="str">
        <f>IFERROR(__xludf.DUMMYFUNCTION("""COMPUTED_VALUE"""),"")</f>
        <v/>
      </c>
      <c r="F130" s="42" t="str">
        <f>IFERROR(__xludf.DUMMYFUNCTION("""COMPUTED_VALUE"""),"")</f>
        <v/>
      </c>
      <c r="G130" s="42" t="str">
        <f>IFERROR(__xludf.DUMMYFUNCTION("""COMPUTED_VALUE"""),"")</f>
        <v/>
      </c>
      <c r="H130" s="259" t="str">
        <f>IFERROR(__xludf.DUMMYFUNCTION("""COMPUTED_VALUE"""),"")</f>
        <v/>
      </c>
      <c r="I130" s="260" t="str">
        <f>IFERROR(__xludf.DUMMYFUNCTION("""COMPUTED_VALUE"""),"")</f>
        <v/>
      </c>
      <c r="J130" s="261" t="str">
        <f>IFERROR(__xludf.DUMMYFUNCTION("""COMPUTED_VALUE"""),"")</f>
        <v/>
      </c>
      <c r="K130" s="262" t="str">
        <f>IFERROR(__xludf.DUMMYFUNCTION("""COMPUTED_VALUE"""),"AP")</f>
        <v>AP</v>
      </c>
      <c r="L130" s="261" t="str">
        <f>IFERROR(__xludf.DUMMYFUNCTION("""COMPUTED_VALUE"""),"")</f>
        <v/>
      </c>
      <c r="M130" s="262" t="str">
        <f>IFERROR(__xludf.DUMMYFUNCTION("""COMPUTED_VALUE"""),"％")</f>
        <v>％</v>
      </c>
      <c r="N130" s="259" t="str">
        <f>IFERROR(__xludf.DUMMYFUNCTION("""COMPUTED_VALUE"""),"")</f>
        <v/>
      </c>
      <c r="O130" s="263"/>
      <c r="P130" s="371" t="str">
        <f>IFERROR(__xludf.DUMMYFUNCTION("""COMPUTED_VALUE"""),"")</f>
        <v/>
      </c>
      <c r="Q130" s="166"/>
      <c r="R130" s="254"/>
      <c r="S130" s="255"/>
      <c r="T130" s="256">
        <f>IFERROR(__xludf.DUMMYFUNCTION("""COMPUTED_VALUE"""),5.0)</f>
        <v>5</v>
      </c>
      <c r="U130" s="257" t="str">
        <f>IFERROR(__xludf.DUMMYFUNCTION("""COMPUTED_VALUE"""),"EPU7")</f>
        <v>EPU7</v>
      </c>
      <c r="V130" s="42" t="str">
        <f>IFERROR(__xludf.DUMMYFUNCTION("""COMPUTED_VALUE"""),"E Pluribus Unum")</f>
        <v>E Pluribus Unum</v>
      </c>
      <c r="W130" s="258" t="str">
        <f>IFERROR(__xludf.DUMMYFUNCTION("""COMPUTED_VALUE"""),"Des Moines")</f>
        <v>Des Moines</v>
      </c>
      <c r="X130" s="259">
        <f>IFERROR(__xludf.DUMMYFUNCTION("""COMPUTED_VALUE"""),18.0)</f>
        <v>18</v>
      </c>
      <c r="Y130" s="260">
        <f>IFERROR(__xludf.DUMMYFUNCTION("""COMPUTED_VALUE"""),41.111111111111114)</f>
        <v>41.11111111</v>
      </c>
      <c r="Z130" s="261">
        <f>IFERROR(__xludf.DUMMYFUNCTION("""COMPUTED_VALUE"""),355.94243902799377)</f>
        <v>355.942439</v>
      </c>
      <c r="AA130" s="262" t="str">
        <f>IFERROR(__xludf.DUMMYFUNCTION("""COMPUTED_VALUE"""),"AP")</f>
        <v>AP</v>
      </c>
      <c r="AB130" s="261">
        <f>IFERROR(__xludf.DUMMYFUNCTION("""COMPUTED_VALUE"""),5.056997431706748)</f>
        <v>5.056997432</v>
      </c>
      <c r="AC130" s="262" t="str">
        <f>IFERROR(__xludf.DUMMYFUNCTION("""COMPUTED_VALUE"""),"％")</f>
        <v>％</v>
      </c>
      <c r="AD130" s="259">
        <f>IFERROR(__xludf.DUMMYFUNCTION("""COMPUTED_VALUE"""),21415.0)</f>
        <v>21415</v>
      </c>
      <c r="AE130" s="263"/>
      <c r="AF130" s="372" t="str">
        <f>IFERROR(__xludf.DUMMYFUNCTION("""COMPUTED_VALUE"""),"")</f>
        <v/>
      </c>
    </row>
    <row r="131" ht="16.5" customHeight="1">
      <c r="A131" s="61" t="str">
        <f>IFERROR(__xludf.DUMMYFUNCTION("""COMPUTED_VALUE"""),"")</f>
        <v/>
      </c>
      <c r="B131" s="367" t="str">
        <f>IFERROR(__xludf.DUMMYFUNCTION("""COMPUTED_VALUE"""),"A216")</f>
        <v>A216</v>
      </c>
      <c r="C131" s="65" t="str">
        <f>IFERROR(__xludf.DUMMYFUNCTION("""COMPUTED_VALUE"""),"Ancient Bell of Tranquility")</f>
        <v>Ancient Bell of Tranquility</v>
      </c>
      <c r="D131" s="70">
        <f>IFERROR(__xludf.DUMMYFUNCTION("""COMPUTED_VALUE"""),1.0)</f>
        <v>1</v>
      </c>
      <c r="E131" s="73" t="str">
        <f>IFERROR(__xludf.DUMMYFUNCTION("""COMPUTED_VALUE"""),"")</f>
        <v/>
      </c>
      <c r="F131" s="76" t="str">
        <f>IFERROR(__xludf.DUMMYFUNCTION("""COMPUTED_VALUE"""),"")</f>
        <v/>
      </c>
      <c r="G131" s="76" t="str">
        <f>IFERROR(__xludf.DUMMYFUNCTION("""COMPUTED_VALUE"""),"")</f>
        <v/>
      </c>
      <c r="H131" s="87" t="str">
        <f>IFERROR(__xludf.DUMMYFUNCTION("""COMPUTED_VALUE"""),"")</f>
        <v/>
      </c>
      <c r="I131" s="90" t="str">
        <f>IFERROR(__xludf.DUMMYFUNCTION("""COMPUTED_VALUE"""),"")</f>
        <v/>
      </c>
      <c r="J131" s="92" t="str">
        <f>IFERROR(__xludf.DUMMYFUNCTION("""COMPUTED_VALUE"""),"")</f>
        <v/>
      </c>
      <c r="K131" s="94" t="str">
        <f>IFERROR(__xludf.DUMMYFUNCTION("""COMPUTED_VALUE"""),"AP")</f>
        <v>AP</v>
      </c>
      <c r="L131" s="96" t="str">
        <f>IFERROR(__xludf.DUMMYFUNCTION("""COMPUTED_VALUE"""),"")</f>
        <v/>
      </c>
      <c r="M131" s="94" t="str">
        <f>IFERROR(__xludf.DUMMYFUNCTION("""COMPUTED_VALUE"""),"％")</f>
        <v>％</v>
      </c>
      <c r="N131" s="87" t="str">
        <f>IFERROR(__xludf.DUMMYFUNCTION("""COMPUTED_VALUE"""),"")</f>
        <v/>
      </c>
      <c r="O131" s="97" t="str">
        <f>IFERROR(__xludf.DUMMYFUNCTION("""COMPUTED_VALUE"""),"Ancient Bell of Tranquility")</f>
        <v>Ancient Bell of Tranquility</v>
      </c>
      <c r="P131" s="371" t="str">
        <f>IFERROR(__xludf.DUMMYFUNCTION("""COMPUTED_VALUE"""),"")</f>
        <v/>
      </c>
      <c r="Q131" s="61" t="str">
        <f>IFERROR(__xludf.DUMMYFUNCTION("""COMPUTED_VALUE"""),"")</f>
        <v/>
      </c>
      <c r="R131" s="361" t="str">
        <f>IFERROR(__xludf.DUMMYFUNCTION("""COMPUTED_VALUE"""),"B204")</f>
        <v>B204</v>
      </c>
      <c r="S131" s="65" t="str">
        <f>IFERROR(__xludf.DUMMYFUNCTION("""COMPUTED_VALUE"""),"Rider Monument")</f>
        <v>Rider Monument</v>
      </c>
      <c r="T131" s="70">
        <f>IFERROR(__xludf.DUMMYFUNCTION("""COMPUTED_VALUE"""),1.0)</f>
        <v>1</v>
      </c>
      <c r="U131" s="73" t="str">
        <f>IFERROR(__xludf.DUMMYFUNCTION("""COMPUTED_VALUE"""),"TRF16")</f>
        <v>TRF16</v>
      </c>
      <c r="V131" s="76" t="str">
        <f>IFERROR(__xludf.DUMMYFUNCTION("""COMPUTED_VALUE"""),"Chaldea Gate (Thu)")</f>
        <v>Chaldea Gate (Thu)</v>
      </c>
      <c r="W131" s="76" t="str">
        <f>IFERROR(__xludf.DUMMYFUNCTION("""COMPUTED_VALUE"""),"THU Rider Training Ground- Exp")</f>
        <v>THU Rider Training Ground- Exp</v>
      </c>
      <c r="X131" s="87">
        <f>IFERROR(__xludf.DUMMYFUNCTION("""COMPUTED_VALUE"""),40.0)</f>
        <v>40</v>
      </c>
      <c r="Y131" s="90">
        <f>IFERROR(__xludf.DUMMYFUNCTION("""COMPUTED_VALUE"""),19.7)</f>
        <v>19.7</v>
      </c>
      <c r="Z131" s="92">
        <f>IFERROR(__xludf.DUMMYFUNCTION("""COMPUTED_VALUE"""),69.32841862307731)</f>
        <v>69.32841862</v>
      </c>
      <c r="AA131" s="94" t="str">
        <f>IFERROR(__xludf.DUMMYFUNCTION("""COMPUTED_VALUE"""),"AP")</f>
        <v>AP</v>
      </c>
      <c r="AB131" s="96">
        <f>IFERROR(__xludf.DUMMYFUNCTION("""COMPUTED_VALUE"""),57.69639751552795)</f>
        <v>57.69639752</v>
      </c>
      <c r="AC131" s="94" t="str">
        <f>IFERROR(__xludf.DUMMYFUNCTION("""COMPUTED_VALUE"""),"％")</f>
        <v>％</v>
      </c>
      <c r="AD131" s="87">
        <f>IFERROR(__xludf.DUMMYFUNCTION("""COMPUTED_VALUE"""),4025.0)</f>
        <v>4025</v>
      </c>
      <c r="AE131" s="97" t="str">
        <f>IFERROR(__xludf.DUMMYFUNCTION("""COMPUTED_VALUE"""),"Rider Monument")</f>
        <v>Rider Monument</v>
      </c>
      <c r="AF131" s="372" t="str">
        <f>IFERROR(__xludf.DUMMYFUNCTION("""COMPUTED_VALUE"""),"")</f>
        <v/>
      </c>
    </row>
    <row r="132" ht="16.5" customHeight="1">
      <c r="C132" s="100"/>
      <c r="D132" s="105">
        <f>IFERROR(__xludf.DUMMYFUNCTION("""COMPUTED_VALUE"""),2.0)</f>
        <v>2</v>
      </c>
      <c r="E132" s="106" t="str">
        <f>IFERROR(__xludf.DUMMYFUNCTION("""COMPUTED_VALUE"""),"")</f>
        <v/>
      </c>
      <c r="F132" s="107" t="str">
        <f>IFERROR(__xludf.DUMMYFUNCTION("""COMPUTED_VALUE"""),"")</f>
        <v/>
      </c>
      <c r="G132" s="107" t="str">
        <f>IFERROR(__xludf.DUMMYFUNCTION("""COMPUTED_VALUE"""),"")</f>
        <v/>
      </c>
      <c r="H132" s="116" t="str">
        <f>IFERROR(__xludf.DUMMYFUNCTION("""COMPUTED_VALUE"""),"")</f>
        <v/>
      </c>
      <c r="I132" s="118" t="str">
        <f>IFERROR(__xludf.DUMMYFUNCTION("""COMPUTED_VALUE"""),"")</f>
        <v/>
      </c>
      <c r="J132" s="120" t="str">
        <f>IFERROR(__xludf.DUMMYFUNCTION("""COMPUTED_VALUE"""),"")</f>
        <v/>
      </c>
      <c r="K132" s="122" t="str">
        <f>IFERROR(__xludf.DUMMYFUNCTION("""COMPUTED_VALUE"""),"AP")</f>
        <v>AP</v>
      </c>
      <c r="L132" s="124" t="str">
        <f>IFERROR(__xludf.DUMMYFUNCTION("""COMPUTED_VALUE"""),"")</f>
        <v/>
      </c>
      <c r="M132" s="122" t="str">
        <f>IFERROR(__xludf.DUMMYFUNCTION("""COMPUTED_VALUE"""),"％")</f>
        <v>％</v>
      </c>
      <c r="N132" s="116" t="str">
        <f>IFERROR(__xludf.DUMMYFUNCTION("""COMPUTED_VALUE"""),"")</f>
        <v/>
      </c>
      <c r="O132" s="100"/>
      <c r="P132" s="371" t="str">
        <f>IFERROR(__xludf.DUMMYFUNCTION("""COMPUTED_VALUE"""),"")</f>
        <v/>
      </c>
      <c r="R132" s="358"/>
      <c r="S132" s="100"/>
      <c r="T132" s="105">
        <f>IFERROR(__xludf.DUMMYFUNCTION("""COMPUTED_VALUE"""),2.0)</f>
        <v>2</v>
      </c>
      <c r="U132" s="106" t="str">
        <f>IFERROR(__xludf.DUMMYFUNCTION("""COMPUTED_VALUE"""),"TRF15")</f>
        <v>TRF15</v>
      </c>
      <c r="V132" s="107" t="str">
        <f>IFERROR(__xludf.DUMMYFUNCTION("""COMPUTED_VALUE"""),"Chaldea Gate (Thu)")</f>
        <v>Chaldea Gate (Thu)</v>
      </c>
      <c r="W132" s="107" t="str">
        <f>IFERROR(__xludf.DUMMYFUNCTION("""COMPUTED_VALUE"""),"THU Rider Training Ground- Adv")</f>
        <v>THU Rider Training Ground- Adv</v>
      </c>
      <c r="X132" s="116">
        <f>IFERROR(__xludf.DUMMYFUNCTION("""COMPUTED_VALUE"""),30.0)</f>
        <v>30</v>
      </c>
      <c r="Y132" s="118">
        <f>IFERROR(__xludf.DUMMYFUNCTION("""COMPUTED_VALUE"""),18.266666666666666)</f>
        <v>18.26666667</v>
      </c>
      <c r="Z132" s="120">
        <f>IFERROR(__xludf.DUMMYFUNCTION("""COMPUTED_VALUE"""),72.57616551372453)</f>
        <v>72.57616551</v>
      </c>
      <c r="AA132" s="122" t="str">
        <f>IFERROR(__xludf.DUMMYFUNCTION("""COMPUTED_VALUE"""),"AP")</f>
        <v>AP</v>
      </c>
      <c r="AB132" s="124">
        <f>IFERROR(__xludf.DUMMYFUNCTION("""COMPUTED_VALUE"""),41.33588456712672)</f>
        <v>41.33588457</v>
      </c>
      <c r="AC132" s="122" t="str">
        <f>IFERROR(__xludf.DUMMYFUNCTION("""COMPUTED_VALUE"""),"％")</f>
        <v>％</v>
      </c>
      <c r="AD132" s="116">
        <f>IFERROR(__xludf.DUMMYFUNCTION("""COMPUTED_VALUE"""),797.0)</f>
        <v>797</v>
      </c>
      <c r="AE132" s="100"/>
      <c r="AF132" s="372" t="str">
        <f>IFERROR(__xludf.DUMMYFUNCTION("""COMPUTED_VALUE"""),"")</f>
        <v/>
      </c>
    </row>
    <row r="133" ht="16.5" customHeight="1">
      <c r="C133" s="100"/>
      <c r="D133" s="128">
        <f>IFERROR(__xludf.DUMMYFUNCTION("""COMPUTED_VALUE"""),3.0)</f>
        <v>3</v>
      </c>
      <c r="E133" s="129" t="str">
        <f>IFERROR(__xludf.DUMMYFUNCTION("""COMPUTED_VALUE"""),"")</f>
        <v/>
      </c>
      <c r="F133" s="131" t="str">
        <f>IFERROR(__xludf.DUMMYFUNCTION("""COMPUTED_VALUE"""),"")</f>
        <v/>
      </c>
      <c r="G133" s="131" t="str">
        <f>IFERROR(__xludf.DUMMYFUNCTION("""COMPUTED_VALUE"""),"")</f>
        <v/>
      </c>
      <c r="H133" s="136" t="str">
        <f>IFERROR(__xludf.DUMMYFUNCTION("""COMPUTED_VALUE"""),"")</f>
        <v/>
      </c>
      <c r="I133" s="138" t="str">
        <f>IFERROR(__xludf.DUMMYFUNCTION("""COMPUTED_VALUE"""),"")</f>
        <v/>
      </c>
      <c r="J133" s="140" t="str">
        <f>IFERROR(__xludf.DUMMYFUNCTION("""COMPUTED_VALUE"""),"")</f>
        <v/>
      </c>
      <c r="K133" s="142" t="str">
        <f>IFERROR(__xludf.DUMMYFUNCTION("""COMPUTED_VALUE"""),"AP")</f>
        <v>AP</v>
      </c>
      <c r="L133" s="144" t="str">
        <f>IFERROR(__xludf.DUMMYFUNCTION("""COMPUTED_VALUE"""),"")</f>
        <v/>
      </c>
      <c r="M133" s="142" t="str">
        <f>IFERROR(__xludf.DUMMYFUNCTION("""COMPUTED_VALUE"""),"％")</f>
        <v>％</v>
      </c>
      <c r="N133" s="136" t="str">
        <f>IFERROR(__xludf.DUMMYFUNCTION("""COMPUTED_VALUE"""),"")</f>
        <v/>
      </c>
      <c r="O133" s="100"/>
      <c r="P133" s="371" t="str">
        <f>IFERROR(__xludf.DUMMYFUNCTION("""COMPUTED_VALUE"""),"")</f>
        <v/>
      </c>
      <c r="R133" s="358"/>
      <c r="S133" s="100"/>
      <c r="T133" s="128">
        <f>IFERROR(__xludf.DUMMYFUNCTION("""COMPUTED_VALUE"""),3.0)</f>
        <v>3</v>
      </c>
      <c r="U133" s="129" t="str">
        <f>IFERROR(__xludf.DUMMYFUNCTION("""COMPUTED_VALUE"""),"TRF14")</f>
        <v>TRF14</v>
      </c>
      <c r="V133" s="131" t="str">
        <f>IFERROR(__xludf.DUMMYFUNCTION("""COMPUTED_VALUE"""),"Chaldea Gate (Thu)")</f>
        <v>Chaldea Gate (Thu)</v>
      </c>
      <c r="W133" s="131" t="str">
        <f>IFERROR(__xludf.DUMMYFUNCTION("""COMPUTED_VALUE"""),"THU Rider Training Ground- Int")</f>
        <v>THU Rider Training Ground- Int</v>
      </c>
      <c r="X133" s="136">
        <f>IFERROR(__xludf.DUMMYFUNCTION("""COMPUTED_VALUE"""),20.0)</f>
        <v>20</v>
      </c>
      <c r="Y133" s="138">
        <f>IFERROR(__xludf.DUMMYFUNCTION("""COMPUTED_VALUE"""),18.4)</f>
        <v>18.4</v>
      </c>
      <c r="Z133" s="140">
        <f>IFERROR(__xludf.DUMMYFUNCTION("""COMPUTED_VALUE"""),278.738690792975)</f>
        <v>278.7386908</v>
      </c>
      <c r="AA133" s="142" t="str">
        <f>IFERROR(__xludf.DUMMYFUNCTION("""COMPUTED_VALUE"""),"AP")</f>
        <v>AP</v>
      </c>
      <c r="AB133" s="144">
        <f>IFERROR(__xludf.DUMMYFUNCTION("""COMPUTED_VALUE"""),7.175178997613365)</f>
        <v>7.175178998</v>
      </c>
      <c r="AC133" s="142" t="str">
        <f>IFERROR(__xludf.DUMMYFUNCTION("""COMPUTED_VALUE"""),"％")</f>
        <v>％</v>
      </c>
      <c r="AD133" s="136">
        <f>IFERROR(__xludf.DUMMYFUNCTION("""COMPUTED_VALUE"""),838.0)</f>
        <v>838</v>
      </c>
      <c r="AE133" s="100"/>
      <c r="AF133" s="372" t="str">
        <f>IFERROR(__xludf.DUMMYFUNCTION("""COMPUTED_VALUE"""),"")</f>
        <v/>
      </c>
    </row>
    <row r="134" ht="16.5" customHeight="1">
      <c r="C134" s="100"/>
      <c r="D134" s="147">
        <f>IFERROR(__xludf.DUMMYFUNCTION("""COMPUTED_VALUE"""),4.0)</f>
        <v>4</v>
      </c>
      <c r="E134" s="149" t="str">
        <f>IFERROR(__xludf.DUMMYFUNCTION("""COMPUTED_VALUE"""),"")</f>
        <v/>
      </c>
      <c r="F134" s="151" t="str">
        <f>IFERROR(__xludf.DUMMYFUNCTION("""COMPUTED_VALUE"""),"")</f>
        <v/>
      </c>
      <c r="G134" s="151" t="str">
        <f>IFERROR(__xludf.DUMMYFUNCTION("""COMPUTED_VALUE"""),"")</f>
        <v/>
      </c>
      <c r="H134" s="155" t="str">
        <f>IFERROR(__xludf.DUMMYFUNCTION("""COMPUTED_VALUE"""),"")</f>
        <v/>
      </c>
      <c r="I134" s="157" t="str">
        <f>IFERROR(__xludf.DUMMYFUNCTION("""COMPUTED_VALUE"""),"")</f>
        <v/>
      </c>
      <c r="J134" s="159" t="str">
        <f>IFERROR(__xludf.DUMMYFUNCTION("""COMPUTED_VALUE"""),"")</f>
        <v/>
      </c>
      <c r="K134" s="161" t="str">
        <f>IFERROR(__xludf.DUMMYFUNCTION("""COMPUTED_VALUE"""),"AP")</f>
        <v>AP</v>
      </c>
      <c r="L134" s="163" t="str">
        <f>IFERROR(__xludf.DUMMYFUNCTION("""COMPUTED_VALUE"""),"")</f>
        <v/>
      </c>
      <c r="M134" s="161" t="str">
        <f>IFERROR(__xludf.DUMMYFUNCTION("""COMPUTED_VALUE"""),"％")</f>
        <v>％</v>
      </c>
      <c r="N134" s="155" t="str">
        <f>IFERROR(__xludf.DUMMYFUNCTION("""COMPUTED_VALUE"""),"")</f>
        <v/>
      </c>
      <c r="O134" s="100"/>
      <c r="P134" s="371" t="str">
        <f>IFERROR(__xludf.DUMMYFUNCTION("""COMPUTED_VALUE"""),"")</f>
        <v/>
      </c>
      <c r="R134" s="358"/>
      <c r="S134" s="100"/>
      <c r="T134" s="147">
        <f>IFERROR(__xludf.DUMMYFUNCTION("""COMPUTED_VALUE"""),4.0)</f>
        <v>4</v>
      </c>
      <c r="U134" s="149" t="str">
        <f>IFERROR(__xludf.DUMMYFUNCTION("""COMPUTED_VALUE"""),"OKN2")</f>
        <v>OKN2</v>
      </c>
      <c r="V134" s="151" t="str">
        <f>IFERROR(__xludf.DUMMYFUNCTION("""COMPUTED_VALUE"""),"Okeanos")</f>
        <v>Okeanos</v>
      </c>
      <c r="W134" s="153" t="str">
        <f>IFERROR(__xludf.DUMMYFUNCTION("""COMPUTED_VALUE"""),"Pirate Island")</f>
        <v>Pirate Island</v>
      </c>
      <c r="X134" s="155">
        <f>IFERROR(__xludf.DUMMYFUNCTION("""COMPUTED_VALUE"""),13.0)</f>
        <v>13</v>
      </c>
      <c r="Y134" s="157">
        <f>IFERROR(__xludf.DUMMYFUNCTION("""COMPUTED_VALUE"""),32.92307692307692)</f>
        <v>32.92307692</v>
      </c>
      <c r="Z134" s="159">
        <f>IFERROR(__xludf.DUMMYFUNCTION("""COMPUTED_VALUE"""),618.7637564196624)</f>
        <v>618.7637564</v>
      </c>
      <c r="AA134" s="161" t="str">
        <f>IFERROR(__xludf.DUMMYFUNCTION("""COMPUTED_VALUE"""),"AP")</f>
        <v>AP</v>
      </c>
      <c r="AB134" s="163">
        <f>IFERROR(__xludf.DUMMYFUNCTION("""COMPUTED_VALUE"""),2.1009633911368018)</f>
        <v>2.100963391</v>
      </c>
      <c r="AC134" s="161" t="str">
        <f>IFERROR(__xludf.DUMMYFUNCTION("""COMPUTED_VALUE"""),"％")</f>
        <v>％</v>
      </c>
      <c r="AD134" s="155">
        <f>IFERROR(__xludf.DUMMYFUNCTION("""COMPUTED_VALUE"""),519.0)</f>
        <v>519</v>
      </c>
      <c r="AE134" s="100"/>
      <c r="AF134" s="372" t="str">
        <f>IFERROR(__xludf.DUMMYFUNCTION("""COMPUTED_VALUE"""),"")</f>
        <v/>
      </c>
    </row>
    <row r="135" ht="16.5" customHeight="1">
      <c r="A135" s="166"/>
      <c r="C135" s="168"/>
      <c r="D135" s="169">
        <f>IFERROR(__xludf.DUMMYFUNCTION("""COMPUTED_VALUE"""),5.0)</f>
        <v>5</v>
      </c>
      <c r="E135" s="170" t="str">
        <f>IFERROR(__xludf.DUMMYFUNCTION("""COMPUTED_VALUE"""),"")</f>
        <v/>
      </c>
      <c r="F135" s="51" t="str">
        <f>IFERROR(__xludf.DUMMYFUNCTION("""COMPUTED_VALUE"""),"")</f>
        <v/>
      </c>
      <c r="G135" s="51" t="str">
        <f>IFERROR(__xludf.DUMMYFUNCTION("""COMPUTED_VALUE"""),"")</f>
        <v/>
      </c>
      <c r="H135" s="172" t="str">
        <f>IFERROR(__xludf.DUMMYFUNCTION("""COMPUTED_VALUE"""),"")</f>
        <v/>
      </c>
      <c r="I135" s="173" t="str">
        <f>IFERROR(__xludf.DUMMYFUNCTION("""COMPUTED_VALUE"""),"")</f>
        <v/>
      </c>
      <c r="J135" s="174" t="str">
        <f>IFERROR(__xludf.DUMMYFUNCTION("""COMPUTED_VALUE"""),"")</f>
        <v/>
      </c>
      <c r="K135" s="175" t="str">
        <f>IFERROR(__xludf.DUMMYFUNCTION("""COMPUTED_VALUE"""),"AP")</f>
        <v>AP</v>
      </c>
      <c r="L135" s="176" t="str">
        <f>IFERROR(__xludf.DUMMYFUNCTION("""COMPUTED_VALUE"""),"")</f>
        <v/>
      </c>
      <c r="M135" s="175" t="str">
        <f>IFERROR(__xludf.DUMMYFUNCTION("""COMPUTED_VALUE"""),"％")</f>
        <v>％</v>
      </c>
      <c r="N135" s="172" t="str">
        <f>IFERROR(__xludf.DUMMYFUNCTION("""COMPUTED_VALUE"""),"")</f>
        <v/>
      </c>
      <c r="O135" s="168"/>
      <c r="P135" s="371" t="str">
        <f>IFERROR(__xludf.DUMMYFUNCTION("""COMPUTED_VALUE"""),"")</f>
        <v/>
      </c>
      <c r="Q135" s="166"/>
      <c r="R135" s="359"/>
      <c r="S135" s="168"/>
      <c r="T135" s="169">
        <f>IFERROR(__xludf.DUMMYFUNCTION("""COMPUTED_VALUE"""),5.0)</f>
        <v>5</v>
      </c>
      <c r="U135" s="170" t="str">
        <f>IFERROR(__xludf.DUMMYFUNCTION("""COMPUTED_VALUE"""),"TRF13")</f>
        <v>TRF13</v>
      </c>
      <c r="V135" s="51" t="str">
        <f>IFERROR(__xludf.DUMMYFUNCTION("""COMPUTED_VALUE"""),"Chaldea Gate (Thu)")</f>
        <v>Chaldea Gate (Thu)</v>
      </c>
      <c r="W135" s="51" t="str">
        <f>IFERROR(__xludf.DUMMYFUNCTION("""COMPUTED_VALUE"""),"THU Rider Training Ground- Nov")</f>
        <v>THU Rider Training Ground- Nov</v>
      </c>
      <c r="X135" s="172">
        <f>IFERROR(__xludf.DUMMYFUNCTION("""COMPUTED_VALUE"""),10.0)</f>
        <v>10</v>
      </c>
      <c r="Y135" s="173">
        <f>IFERROR(__xludf.DUMMYFUNCTION("""COMPUTED_VALUE"""),18.8)</f>
        <v>18.8</v>
      </c>
      <c r="Z135" s="174">
        <f>IFERROR(__xludf.DUMMYFUNCTION("""COMPUTED_VALUE"""),575.5528823910428)</f>
        <v>575.5528824</v>
      </c>
      <c r="AA135" s="175" t="str">
        <f>IFERROR(__xludf.DUMMYFUNCTION("""COMPUTED_VALUE"""),"AP")</f>
        <v>AP</v>
      </c>
      <c r="AB135" s="176">
        <f>IFERROR(__xludf.DUMMYFUNCTION("""COMPUTED_VALUE"""),1.737459807073955)</f>
        <v>1.737459807</v>
      </c>
      <c r="AC135" s="175" t="str">
        <f>IFERROR(__xludf.DUMMYFUNCTION("""COMPUTED_VALUE"""),"％")</f>
        <v>％</v>
      </c>
      <c r="AD135" s="172">
        <f>IFERROR(__xludf.DUMMYFUNCTION("""COMPUTED_VALUE"""),1244.0)</f>
        <v>1244</v>
      </c>
      <c r="AE135" s="168"/>
      <c r="AF135" s="372" t="str">
        <f>IFERROR(__xludf.DUMMYFUNCTION("""COMPUTED_VALUE"""),"")</f>
        <v/>
      </c>
    </row>
    <row r="136" ht="16.5" customHeight="1">
      <c r="A136" s="61" t="str">
        <f>IFERROR(__xludf.DUMMYFUNCTION("""COMPUTED_VALUE"""),"")</f>
        <v/>
      </c>
      <c r="B136" s="366" t="str">
        <f>IFERROR(__xludf.DUMMYFUNCTION("""COMPUTED_VALUE"""),"A217")</f>
        <v>A217</v>
      </c>
      <c r="C136" s="180" t="str">
        <f>IFERROR(__xludf.DUMMYFUNCTION("""COMPUTED_VALUE"""),"Arrowhead of Disastrous Sin")</f>
        <v>Arrowhead of Disastrous Sin</v>
      </c>
      <c r="D136" s="185">
        <f>IFERROR(__xludf.DUMMYFUNCTION("""COMPUTED_VALUE"""),1.0)</f>
        <v>1</v>
      </c>
      <c r="E136" s="187" t="str">
        <f>IFERROR(__xludf.DUMMYFUNCTION("""COMPUTED_VALUE"""),"")</f>
        <v/>
      </c>
      <c r="F136" s="188" t="str">
        <f>IFERROR(__xludf.DUMMYFUNCTION("""COMPUTED_VALUE"""),"")</f>
        <v/>
      </c>
      <c r="G136" s="188" t="str">
        <f>IFERROR(__xludf.DUMMYFUNCTION("""COMPUTED_VALUE"""),"")</f>
        <v/>
      </c>
      <c r="H136" s="195" t="str">
        <f>IFERROR(__xludf.DUMMYFUNCTION("""COMPUTED_VALUE"""),"")</f>
        <v/>
      </c>
      <c r="I136" s="196" t="str">
        <f>IFERROR(__xludf.DUMMYFUNCTION("""COMPUTED_VALUE"""),"")</f>
        <v/>
      </c>
      <c r="J136" s="198" t="str">
        <f>IFERROR(__xludf.DUMMYFUNCTION("""COMPUTED_VALUE"""),"")</f>
        <v/>
      </c>
      <c r="K136" s="200" t="str">
        <f>IFERROR(__xludf.DUMMYFUNCTION("""COMPUTED_VALUE"""),"AP")</f>
        <v>AP</v>
      </c>
      <c r="L136" s="198" t="str">
        <f>IFERROR(__xludf.DUMMYFUNCTION("""COMPUTED_VALUE"""),"")</f>
        <v/>
      </c>
      <c r="M136" s="201" t="str">
        <f>IFERROR(__xludf.DUMMYFUNCTION("""COMPUTED_VALUE"""),"％")</f>
        <v>％</v>
      </c>
      <c r="N136" s="195" t="str">
        <f>IFERROR(__xludf.DUMMYFUNCTION("""COMPUTED_VALUE"""),"")</f>
        <v/>
      </c>
      <c r="O136" s="197" t="str">
        <f>IFERROR(__xludf.DUMMYFUNCTION("""COMPUTED_VALUE"""),"Arrowhead of Disastrous Sin")</f>
        <v>Arrowhead of Disastrous Sin</v>
      </c>
      <c r="P136" s="371" t="str">
        <f>IFERROR(__xludf.DUMMYFUNCTION("""COMPUTED_VALUE"""),"")</f>
        <v/>
      </c>
      <c r="Q136" s="61" t="str">
        <f>IFERROR(__xludf.DUMMYFUNCTION("""COMPUTED_VALUE"""),"")</f>
        <v/>
      </c>
      <c r="R136" s="202" t="str">
        <f>IFERROR(__xludf.DUMMYFUNCTION("""COMPUTED_VALUE"""),"B205")</f>
        <v>B205</v>
      </c>
      <c r="S136" s="180" t="str">
        <f>IFERROR(__xludf.DUMMYFUNCTION("""COMPUTED_VALUE"""),"Caster Monument")</f>
        <v>Caster Monument</v>
      </c>
      <c r="T136" s="185">
        <f>IFERROR(__xludf.DUMMYFUNCTION("""COMPUTED_VALUE"""),1.0)</f>
        <v>1</v>
      </c>
      <c r="U136" s="187" t="str">
        <f>IFERROR(__xludf.DUMMYFUNCTION("""COMPUTED_VALUE"""),"TRF20")</f>
        <v>TRF20</v>
      </c>
      <c r="V136" s="188" t="str">
        <f>IFERROR(__xludf.DUMMYFUNCTION("""COMPUTED_VALUE"""),"Chaldea Gate (Fri)")</f>
        <v>Chaldea Gate (Fri)</v>
      </c>
      <c r="W136" s="188" t="str">
        <f>IFERROR(__xludf.DUMMYFUNCTION("""COMPUTED_VALUE"""),"FRI Caster Training Ground- Exp")</f>
        <v>FRI Caster Training Ground- Exp</v>
      </c>
      <c r="X136" s="195">
        <f>IFERROR(__xludf.DUMMYFUNCTION("""COMPUTED_VALUE"""),40.0)</f>
        <v>40</v>
      </c>
      <c r="Y136" s="196">
        <f>IFERROR(__xludf.DUMMYFUNCTION("""COMPUTED_VALUE"""),19.7)</f>
        <v>19.7</v>
      </c>
      <c r="Z136" s="198" t="str">
        <f>IFERROR(__xludf.DUMMYFUNCTION("""COMPUTED_VALUE"""),"")</f>
        <v/>
      </c>
      <c r="AA136" s="200" t="str">
        <f>IFERROR(__xludf.DUMMYFUNCTION("""COMPUTED_VALUE"""),"AP")</f>
        <v>AP</v>
      </c>
      <c r="AB136" s="198">
        <f>IFERROR(__xludf.DUMMYFUNCTION("""COMPUTED_VALUE"""),56.77417549809241)</f>
        <v>56.7741755</v>
      </c>
      <c r="AC136" s="201" t="str">
        <f>IFERROR(__xludf.DUMMYFUNCTION("""COMPUTED_VALUE"""),"％")</f>
        <v>％</v>
      </c>
      <c r="AD136" s="195">
        <f>IFERROR(__xludf.DUMMYFUNCTION("""COMPUTED_VALUE"""),11795.0)</f>
        <v>11795</v>
      </c>
      <c r="AE136" s="197" t="str">
        <f>IFERROR(__xludf.DUMMYFUNCTION("""COMPUTED_VALUE"""),"Caster Monument")</f>
        <v>Caster Monument</v>
      </c>
      <c r="AF136" s="372" t="str">
        <f>IFERROR(__xludf.DUMMYFUNCTION("""COMPUTED_VALUE"""),"")</f>
        <v/>
      </c>
    </row>
    <row r="137" ht="16.5" customHeight="1">
      <c r="C137" s="204"/>
      <c r="D137" s="208">
        <f>IFERROR(__xludf.DUMMYFUNCTION("""COMPUTED_VALUE"""),2.0)</f>
        <v>2</v>
      </c>
      <c r="E137" s="210" t="str">
        <f>IFERROR(__xludf.DUMMYFUNCTION("""COMPUTED_VALUE"""),"")</f>
        <v/>
      </c>
      <c r="F137" s="212" t="str">
        <f>IFERROR(__xludf.DUMMYFUNCTION("""COMPUTED_VALUE"""),"")</f>
        <v/>
      </c>
      <c r="G137" s="212" t="str">
        <f>IFERROR(__xludf.DUMMYFUNCTION("""COMPUTED_VALUE"""),"")</f>
        <v/>
      </c>
      <c r="H137" s="218" t="str">
        <f>IFERROR(__xludf.DUMMYFUNCTION("""COMPUTED_VALUE"""),"")</f>
        <v/>
      </c>
      <c r="I137" s="219" t="str">
        <f>IFERROR(__xludf.DUMMYFUNCTION("""COMPUTED_VALUE"""),"")</f>
        <v/>
      </c>
      <c r="J137" s="220" t="str">
        <f>IFERROR(__xludf.DUMMYFUNCTION("""COMPUTED_VALUE"""),"")</f>
        <v/>
      </c>
      <c r="K137" s="221" t="str">
        <f>IFERROR(__xludf.DUMMYFUNCTION("""COMPUTED_VALUE"""),"AP")</f>
        <v>AP</v>
      </c>
      <c r="L137" s="220" t="str">
        <f>IFERROR(__xludf.DUMMYFUNCTION("""COMPUTED_VALUE"""),"")</f>
        <v/>
      </c>
      <c r="M137" s="221" t="str">
        <f>IFERROR(__xludf.DUMMYFUNCTION("""COMPUTED_VALUE"""),"％")</f>
        <v>％</v>
      </c>
      <c r="N137" s="218" t="str">
        <f>IFERROR(__xludf.DUMMYFUNCTION("""COMPUTED_VALUE"""),"")</f>
        <v/>
      </c>
      <c r="O137" s="217"/>
      <c r="P137" s="371" t="str">
        <f>IFERROR(__xludf.DUMMYFUNCTION("""COMPUTED_VALUE"""),"")</f>
        <v/>
      </c>
      <c r="R137" s="203"/>
      <c r="S137" s="204"/>
      <c r="T137" s="208">
        <f>IFERROR(__xludf.DUMMYFUNCTION("""COMPUTED_VALUE"""),2.0)</f>
        <v>2</v>
      </c>
      <c r="U137" s="210" t="str">
        <f>IFERROR(__xludf.DUMMYFUNCTION("""COMPUTED_VALUE"""),"TRF19")</f>
        <v>TRF19</v>
      </c>
      <c r="V137" s="212" t="str">
        <f>IFERROR(__xludf.DUMMYFUNCTION("""COMPUTED_VALUE"""),"Chaldea Gate (Fri)")</f>
        <v>Chaldea Gate (Fri)</v>
      </c>
      <c r="W137" s="212" t="str">
        <f>IFERROR(__xludf.DUMMYFUNCTION("""COMPUTED_VALUE"""),"FRI Caster Training Ground- Adv")</f>
        <v>FRI Caster Training Ground- Adv</v>
      </c>
      <c r="X137" s="218">
        <f>IFERROR(__xludf.DUMMYFUNCTION("""COMPUTED_VALUE"""),30.0)</f>
        <v>30</v>
      </c>
      <c r="Y137" s="219">
        <f>IFERROR(__xludf.DUMMYFUNCTION("""COMPUTED_VALUE"""),18.266666666666666)</f>
        <v>18.26666667</v>
      </c>
      <c r="Z137" s="220" t="str">
        <f>IFERROR(__xludf.DUMMYFUNCTION("""COMPUTED_VALUE"""),"")</f>
        <v/>
      </c>
      <c r="AA137" s="221" t="str">
        <f>IFERROR(__xludf.DUMMYFUNCTION("""COMPUTED_VALUE"""),"AP")</f>
        <v>AP</v>
      </c>
      <c r="AB137" s="220">
        <f>IFERROR(__xludf.DUMMYFUNCTION("""COMPUTED_VALUE"""),32.71904276985744)</f>
        <v>32.71904277</v>
      </c>
      <c r="AC137" s="221" t="str">
        <f>IFERROR(__xludf.DUMMYFUNCTION("""COMPUTED_VALUE"""),"％")</f>
        <v>％</v>
      </c>
      <c r="AD137" s="218">
        <f>IFERROR(__xludf.DUMMYFUNCTION("""COMPUTED_VALUE"""),1964.0)</f>
        <v>1964</v>
      </c>
      <c r="AE137" s="217"/>
      <c r="AF137" s="372" t="str">
        <f>IFERROR(__xludf.DUMMYFUNCTION("""COMPUTED_VALUE"""),"")</f>
        <v/>
      </c>
    </row>
    <row r="138" ht="16.5" customHeight="1">
      <c r="C138" s="204"/>
      <c r="D138" s="225">
        <f>IFERROR(__xludf.DUMMYFUNCTION("""COMPUTED_VALUE"""),3.0)</f>
        <v>3</v>
      </c>
      <c r="E138" s="227" t="str">
        <f>IFERROR(__xludf.DUMMYFUNCTION("""COMPUTED_VALUE"""),"")</f>
        <v/>
      </c>
      <c r="F138" s="229" t="str">
        <f>IFERROR(__xludf.DUMMYFUNCTION("""COMPUTED_VALUE"""),"")</f>
        <v/>
      </c>
      <c r="G138" s="229" t="str">
        <f>IFERROR(__xludf.DUMMYFUNCTION("""COMPUTED_VALUE"""),"")</f>
        <v/>
      </c>
      <c r="H138" s="234" t="str">
        <f>IFERROR(__xludf.DUMMYFUNCTION("""COMPUTED_VALUE"""),"")</f>
        <v/>
      </c>
      <c r="I138" s="235" t="str">
        <f>IFERROR(__xludf.DUMMYFUNCTION("""COMPUTED_VALUE"""),"")</f>
        <v/>
      </c>
      <c r="J138" s="236" t="str">
        <f>IFERROR(__xludf.DUMMYFUNCTION("""COMPUTED_VALUE"""),"")</f>
        <v/>
      </c>
      <c r="K138" s="237" t="str">
        <f>IFERROR(__xludf.DUMMYFUNCTION("""COMPUTED_VALUE"""),"AP")</f>
        <v>AP</v>
      </c>
      <c r="L138" s="236" t="str">
        <f>IFERROR(__xludf.DUMMYFUNCTION("""COMPUTED_VALUE"""),"")</f>
        <v/>
      </c>
      <c r="M138" s="237" t="str">
        <f>IFERROR(__xludf.DUMMYFUNCTION("""COMPUTED_VALUE"""),"％")</f>
        <v>％</v>
      </c>
      <c r="N138" s="234" t="str">
        <f>IFERROR(__xludf.DUMMYFUNCTION("""COMPUTED_VALUE"""),"")</f>
        <v/>
      </c>
      <c r="O138" s="217"/>
      <c r="P138" s="371" t="str">
        <f>IFERROR(__xludf.DUMMYFUNCTION("""COMPUTED_VALUE"""),"")</f>
        <v/>
      </c>
      <c r="R138" s="203"/>
      <c r="S138" s="204"/>
      <c r="T138" s="225">
        <f>IFERROR(__xludf.DUMMYFUNCTION("""COMPUTED_VALUE"""),3.0)</f>
        <v>3</v>
      </c>
      <c r="U138" s="227" t="str">
        <f>IFERROR(__xludf.DUMMYFUNCTION("""COMPUTED_VALUE"""),"TRF18")</f>
        <v>TRF18</v>
      </c>
      <c r="V138" s="229" t="str">
        <f>IFERROR(__xludf.DUMMYFUNCTION("""COMPUTED_VALUE"""),"Chaldea Gate (Fri)")</f>
        <v>Chaldea Gate (Fri)</v>
      </c>
      <c r="W138" s="229" t="str">
        <f>IFERROR(__xludf.DUMMYFUNCTION("""COMPUTED_VALUE"""),"FRI Caster Training Ground- Int")</f>
        <v>FRI Caster Training Ground- Int</v>
      </c>
      <c r="X138" s="234">
        <f>IFERROR(__xludf.DUMMYFUNCTION("""COMPUTED_VALUE"""),20.0)</f>
        <v>20</v>
      </c>
      <c r="Y138" s="235">
        <f>IFERROR(__xludf.DUMMYFUNCTION("""COMPUTED_VALUE"""),18.4)</f>
        <v>18.4</v>
      </c>
      <c r="Z138" s="236" t="str">
        <f>IFERROR(__xludf.DUMMYFUNCTION("""COMPUTED_VALUE"""),"")</f>
        <v/>
      </c>
      <c r="AA138" s="237" t="str">
        <f>IFERROR(__xludf.DUMMYFUNCTION("""COMPUTED_VALUE"""),"AP")</f>
        <v>AP</v>
      </c>
      <c r="AB138" s="236">
        <f>IFERROR(__xludf.DUMMYFUNCTION("""COMPUTED_VALUE"""),7.25546875)</f>
        <v>7.25546875</v>
      </c>
      <c r="AC138" s="237" t="str">
        <f>IFERROR(__xludf.DUMMYFUNCTION("""COMPUTED_VALUE"""),"％")</f>
        <v>％</v>
      </c>
      <c r="AD138" s="234">
        <f>IFERROR(__xludf.DUMMYFUNCTION("""COMPUTED_VALUE"""),1024.0)</f>
        <v>1024</v>
      </c>
      <c r="AE138" s="217"/>
      <c r="AF138" s="372" t="str">
        <f>IFERROR(__xludf.DUMMYFUNCTION("""COMPUTED_VALUE"""),"")</f>
        <v/>
      </c>
    </row>
    <row r="139" ht="16.5" customHeight="1">
      <c r="C139" s="204"/>
      <c r="D139" s="239">
        <f>IFERROR(__xludf.DUMMYFUNCTION("""COMPUTED_VALUE"""),4.0)</f>
        <v>4</v>
      </c>
      <c r="E139" s="241" t="str">
        <f>IFERROR(__xludf.DUMMYFUNCTION("""COMPUTED_VALUE"""),"")</f>
        <v/>
      </c>
      <c r="F139" s="243" t="str">
        <f>IFERROR(__xludf.DUMMYFUNCTION("""COMPUTED_VALUE"""),"")</f>
        <v/>
      </c>
      <c r="G139" s="243" t="str">
        <f>IFERROR(__xludf.DUMMYFUNCTION("""COMPUTED_VALUE"""),"")</f>
        <v/>
      </c>
      <c r="H139" s="247" t="str">
        <f>IFERROR(__xludf.DUMMYFUNCTION("""COMPUTED_VALUE"""),"")</f>
        <v/>
      </c>
      <c r="I139" s="249" t="str">
        <f>IFERROR(__xludf.DUMMYFUNCTION("""COMPUTED_VALUE"""),"")</f>
        <v/>
      </c>
      <c r="J139" s="251" t="str">
        <f>IFERROR(__xludf.DUMMYFUNCTION("""COMPUTED_VALUE"""),"")</f>
        <v/>
      </c>
      <c r="K139" s="253" t="str">
        <f>IFERROR(__xludf.DUMMYFUNCTION("""COMPUTED_VALUE"""),"AP")</f>
        <v>AP</v>
      </c>
      <c r="L139" s="251" t="str">
        <f>IFERROR(__xludf.DUMMYFUNCTION("""COMPUTED_VALUE"""),"")</f>
        <v/>
      </c>
      <c r="M139" s="253" t="str">
        <f>IFERROR(__xludf.DUMMYFUNCTION("""COMPUTED_VALUE"""),"％")</f>
        <v>％</v>
      </c>
      <c r="N139" s="247" t="str">
        <f>IFERROR(__xludf.DUMMYFUNCTION("""COMPUTED_VALUE"""),"")</f>
        <v/>
      </c>
      <c r="O139" s="217"/>
      <c r="P139" s="371" t="str">
        <f>IFERROR(__xludf.DUMMYFUNCTION("""COMPUTED_VALUE"""),"")</f>
        <v/>
      </c>
      <c r="R139" s="203"/>
      <c r="S139" s="204"/>
      <c r="T139" s="239">
        <f>IFERROR(__xludf.DUMMYFUNCTION("""COMPUTED_VALUE"""),4.0)</f>
        <v>4</v>
      </c>
      <c r="U139" s="241" t="str">
        <f>IFERROR(__xludf.DUMMYFUNCTION("""COMPUTED_VALUE"""),"LDN5")</f>
        <v>LDN5</v>
      </c>
      <c r="V139" s="243" t="str">
        <f>IFERROR(__xludf.DUMMYFUNCTION("""COMPUTED_VALUE"""),"London")</f>
        <v>London</v>
      </c>
      <c r="W139" s="245" t="str">
        <f>IFERROR(__xludf.DUMMYFUNCTION("""COMPUTED_VALUE"""),"Westminster")</f>
        <v>Westminster</v>
      </c>
      <c r="X139" s="247">
        <f>IFERROR(__xludf.DUMMYFUNCTION("""COMPUTED_VALUE"""),16.0)</f>
        <v>16</v>
      </c>
      <c r="Y139" s="249">
        <f>IFERROR(__xludf.DUMMYFUNCTION("""COMPUTED_VALUE"""),37.25)</f>
        <v>37.25</v>
      </c>
      <c r="Z139" s="251" t="str">
        <f>IFERROR(__xludf.DUMMYFUNCTION("""COMPUTED_VALUE"""),"")</f>
        <v/>
      </c>
      <c r="AA139" s="253" t="str">
        <f>IFERROR(__xludf.DUMMYFUNCTION("""COMPUTED_VALUE"""),"AP")</f>
        <v>AP</v>
      </c>
      <c r="AB139" s="251">
        <f>IFERROR(__xludf.DUMMYFUNCTION("""COMPUTED_VALUE"""),5.670454545454546)</f>
        <v>5.670454545</v>
      </c>
      <c r="AC139" s="253" t="str">
        <f>IFERROR(__xludf.DUMMYFUNCTION("""COMPUTED_VALUE"""),"％")</f>
        <v>％</v>
      </c>
      <c r="AD139" s="247">
        <f>IFERROR(__xludf.DUMMYFUNCTION("""COMPUTED_VALUE"""),264.0)</f>
        <v>264</v>
      </c>
      <c r="AE139" s="217"/>
      <c r="AF139" s="372" t="str">
        <f>IFERROR(__xludf.DUMMYFUNCTION("""COMPUTED_VALUE"""),"")</f>
        <v/>
      </c>
    </row>
    <row r="140" ht="16.5" customHeight="1">
      <c r="A140" s="166"/>
      <c r="C140" s="255"/>
      <c r="D140" s="256">
        <f>IFERROR(__xludf.DUMMYFUNCTION("""COMPUTED_VALUE"""),5.0)</f>
        <v>5</v>
      </c>
      <c r="E140" s="257" t="str">
        <f>IFERROR(__xludf.DUMMYFUNCTION("""COMPUTED_VALUE"""),"")</f>
        <v/>
      </c>
      <c r="F140" s="42" t="str">
        <f>IFERROR(__xludf.DUMMYFUNCTION("""COMPUTED_VALUE"""),"")</f>
        <v/>
      </c>
      <c r="G140" s="42" t="str">
        <f>IFERROR(__xludf.DUMMYFUNCTION("""COMPUTED_VALUE"""),"")</f>
        <v/>
      </c>
      <c r="H140" s="259" t="str">
        <f>IFERROR(__xludf.DUMMYFUNCTION("""COMPUTED_VALUE"""),"")</f>
        <v/>
      </c>
      <c r="I140" s="260" t="str">
        <f>IFERROR(__xludf.DUMMYFUNCTION("""COMPUTED_VALUE"""),"")</f>
        <v/>
      </c>
      <c r="J140" s="261" t="str">
        <f>IFERROR(__xludf.DUMMYFUNCTION("""COMPUTED_VALUE"""),"")</f>
        <v/>
      </c>
      <c r="K140" s="262" t="str">
        <f>IFERROR(__xludf.DUMMYFUNCTION("""COMPUTED_VALUE"""),"AP")</f>
        <v>AP</v>
      </c>
      <c r="L140" s="261" t="str">
        <f>IFERROR(__xludf.DUMMYFUNCTION("""COMPUTED_VALUE"""),"")</f>
        <v/>
      </c>
      <c r="M140" s="262" t="str">
        <f>IFERROR(__xludf.DUMMYFUNCTION("""COMPUTED_VALUE"""),"％")</f>
        <v>％</v>
      </c>
      <c r="N140" s="259" t="str">
        <f>IFERROR(__xludf.DUMMYFUNCTION("""COMPUTED_VALUE"""),"")</f>
        <v/>
      </c>
      <c r="O140" s="263"/>
      <c r="P140" s="371" t="str">
        <f>IFERROR(__xludf.DUMMYFUNCTION("""COMPUTED_VALUE"""),"")</f>
        <v/>
      </c>
      <c r="Q140" s="166"/>
      <c r="R140" s="254"/>
      <c r="S140" s="255"/>
      <c r="T140" s="256">
        <f>IFERROR(__xludf.DUMMYFUNCTION("""COMPUTED_VALUE"""),5.0)</f>
        <v>5</v>
      </c>
      <c r="U140" s="257" t="str">
        <f>IFERROR(__xludf.DUMMYFUNCTION("""COMPUTED_VALUE"""),"LDN4")</f>
        <v>LDN4</v>
      </c>
      <c r="V140" s="42" t="str">
        <f>IFERROR(__xludf.DUMMYFUNCTION("""COMPUTED_VALUE"""),"London")</f>
        <v>London</v>
      </c>
      <c r="W140" s="258" t="str">
        <f>IFERROR(__xludf.DUMMYFUNCTION("""COMPUTED_VALUE"""),"Soho")</f>
        <v>Soho</v>
      </c>
      <c r="X140" s="259">
        <f>IFERROR(__xludf.DUMMYFUNCTION("""COMPUTED_VALUE"""),16.0)</f>
        <v>16</v>
      </c>
      <c r="Y140" s="260">
        <f>IFERROR(__xludf.DUMMYFUNCTION("""COMPUTED_VALUE"""),37.25)</f>
        <v>37.25</v>
      </c>
      <c r="Z140" s="261" t="str">
        <f>IFERROR(__xludf.DUMMYFUNCTION("""COMPUTED_VALUE"""),"")</f>
        <v/>
      </c>
      <c r="AA140" s="262" t="str">
        <f>IFERROR(__xludf.DUMMYFUNCTION("""COMPUTED_VALUE"""),"AP")</f>
        <v>AP</v>
      </c>
      <c r="AB140" s="261">
        <f>IFERROR(__xludf.DUMMYFUNCTION("""COMPUTED_VALUE"""),4.865217391304348)</f>
        <v>4.865217391</v>
      </c>
      <c r="AC140" s="262" t="str">
        <f>IFERROR(__xludf.DUMMYFUNCTION("""COMPUTED_VALUE"""),"％")</f>
        <v>％</v>
      </c>
      <c r="AD140" s="259">
        <f>IFERROR(__xludf.DUMMYFUNCTION("""COMPUTED_VALUE"""),368.0)</f>
        <v>368</v>
      </c>
      <c r="AE140" s="263"/>
      <c r="AF140" s="372" t="str">
        <f>IFERROR(__xludf.DUMMYFUNCTION("""COMPUTED_VALUE"""),"")</f>
        <v/>
      </c>
    </row>
    <row r="141" ht="16.5" customHeight="1">
      <c r="A141" s="61" t="str">
        <f>IFERROR(__xludf.DUMMYFUNCTION("""COMPUTED_VALUE"""),"")</f>
        <v/>
      </c>
      <c r="B141" s="367" t="str">
        <f>IFERROR(__xludf.DUMMYFUNCTION("""COMPUTED_VALUE"""),"A101")</f>
        <v>A101</v>
      </c>
      <c r="C141" s="65" t="str">
        <f>IFERROR(__xludf.DUMMYFUNCTION("""COMPUTED_VALUE"""),"Claw of Chaos")</f>
        <v>Claw of Chaos</v>
      </c>
      <c r="D141" s="70">
        <f>IFERROR(__xludf.DUMMYFUNCTION("""COMPUTED_VALUE"""),1.0)</f>
        <v>1</v>
      </c>
      <c r="E141" s="73" t="str">
        <f>IFERROR(__xludf.DUMMYFUNCTION("""COMPUTED_VALUE"""),"AGT1")</f>
        <v>AGT1</v>
      </c>
      <c r="F141" s="76" t="str">
        <f>IFERROR(__xludf.DUMMYFUNCTION("""COMPUTED_VALUE"""),"Agartha")</f>
        <v>Agartha</v>
      </c>
      <c r="G141" s="85" t="str">
        <f>IFERROR(__xludf.DUMMYFUNCTION("""COMPUTED_VALUE"""),"Underground Plains")</f>
        <v>Underground Plains</v>
      </c>
      <c r="H141" s="87">
        <f>IFERROR(__xludf.DUMMYFUNCTION("""COMPUTED_VALUE"""),20.0)</f>
        <v>20</v>
      </c>
      <c r="I141" s="90">
        <f>IFERROR(__xludf.DUMMYFUNCTION("""COMPUTED_VALUE"""),46.6)</f>
        <v>46.6</v>
      </c>
      <c r="J141" s="92">
        <f>IFERROR(__xludf.DUMMYFUNCTION("""COMPUTED_VALUE"""),96.88231591343018)</f>
        <v>96.88231591</v>
      </c>
      <c r="K141" s="94" t="str">
        <f>IFERROR(__xludf.DUMMYFUNCTION("""COMPUTED_VALUE"""),"AP")</f>
        <v>AP</v>
      </c>
      <c r="L141" s="96">
        <f>IFERROR(__xludf.DUMMYFUNCTION("""COMPUTED_VALUE"""),20.643602303924208)</f>
        <v>20.6436023</v>
      </c>
      <c r="M141" s="94" t="str">
        <f>IFERROR(__xludf.DUMMYFUNCTION("""COMPUTED_VALUE"""),"％")</f>
        <v>％</v>
      </c>
      <c r="N141" s="87">
        <f>IFERROR(__xludf.DUMMYFUNCTION("""COMPUTED_VALUE"""),18577.0)</f>
        <v>18577</v>
      </c>
      <c r="O141" s="97" t="str">
        <f>IFERROR(__xludf.DUMMYFUNCTION("""COMPUTED_VALUE"""),"Claw of Chaos")</f>
        <v>Claw of Chaos</v>
      </c>
      <c r="P141" s="371" t="str">
        <f>IFERROR(__xludf.DUMMYFUNCTION("""COMPUTED_VALUE"""),"")</f>
        <v/>
      </c>
      <c r="Q141" s="61" t="str">
        <f>IFERROR(__xludf.DUMMYFUNCTION("""COMPUTED_VALUE"""),"")</f>
        <v/>
      </c>
      <c r="R141" s="361" t="str">
        <f>IFERROR(__xludf.DUMMYFUNCTION("""COMPUTED_VALUE"""),"B206")</f>
        <v>B206</v>
      </c>
      <c r="S141" s="65" t="str">
        <f>IFERROR(__xludf.DUMMYFUNCTION("""COMPUTED_VALUE"""),"Assassin Monument")</f>
        <v>Assassin Monument</v>
      </c>
      <c r="T141" s="70">
        <f>IFERROR(__xludf.DUMMYFUNCTION("""COMPUTED_VALUE"""),1.0)</f>
        <v>1</v>
      </c>
      <c r="U141" s="73" t="str">
        <f>IFERROR(__xludf.DUMMYFUNCTION("""COMPUTED_VALUE"""),"TRF24")</f>
        <v>TRF24</v>
      </c>
      <c r="V141" s="76" t="str">
        <f>IFERROR(__xludf.DUMMYFUNCTION("""COMPUTED_VALUE"""),"Chaldea Gate (Sat)")</f>
        <v>Chaldea Gate (Sat)</v>
      </c>
      <c r="W141" s="76" t="str">
        <f>IFERROR(__xludf.DUMMYFUNCTION("""COMPUTED_VALUE"""),"SAT Assassin Training Ground- Exp")</f>
        <v>SAT Assassin Training Ground- Exp</v>
      </c>
      <c r="X141" s="87">
        <f>IFERROR(__xludf.DUMMYFUNCTION("""COMPUTED_VALUE"""),40.0)</f>
        <v>40</v>
      </c>
      <c r="Y141" s="90">
        <f>IFERROR(__xludf.DUMMYFUNCTION("""COMPUTED_VALUE"""),19.7)</f>
        <v>19.7</v>
      </c>
      <c r="Z141" s="92">
        <f>IFERROR(__xludf.DUMMYFUNCTION("""COMPUTED_VALUE"""),69.8020569097639)</f>
        <v>69.80205691</v>
      </c>
      <c r="AA141" s="94" t="str">
        <f>IFERROR(__xludf.DUMMYFUNCTION("""COMPUTED_VALUE"""),"AP")</f>
        <v>AP</v>
      </c>
      <c r="AB141" s="96">
        <f>IFERROR(__xludf.DUMMYFUNCTION("""COMPUTED_VALUE"""),57.30490156143924)</f>
        <v>57.30490156</v>
      </c>
      <c r="AC141" s="94" t="str">
        <f>IFERROR(__xludf.DUMMYFUNCTION("""COMPUTED_VALUE"""),"％")</f>
        <v>％</v>
      </c>
      <c r="AD141" s="87">
        <f>IFERROR(__xludf.DUMMYFUNCTION("""COMPUTED_VALUE"""),7365.0)</f>
        <v>7365</v>
      </c>
      <c r="AE141" s="97" t="str">
        <f>IFERROR(__xludf.DUMMYFUNCTION("""COMPUTED_VALUE"""),"Assassin Monument")</f>
        <v>Assassin Monument</v>
      </c>
      <c r="AF141" s="372" t="str">
        <f>IFERROR(__xludf.DUMMYFUNCTION("""COMPUTED_VALUE"""),"")</f>
        <v/>
      </c>
    </row>
    <row r="142" ht="16.5" customHeight="1">
      <c r="C142" s="100"/>
      <c r="D142" s="105">
        <f>IFERROR(__xludf.DUMMYFUNCTION("""COMPUTED_VALUE"""),2.0)</f>
        <v>2</v>
      </c>
      <c r="E142" s="106" t="str">
        <f>IFERROR(__xludf.DUMMYFUNCTION("""COMPUTED_VALUE"""),"EPU7")</f>
        <v>EPU7</v>
      </c>
      <c r="F142" s="107" t="str">
        <f>IFERROR(__xludf.DUMMYFUNCTION("""COMPUTED_VALUE"""),"E Pluribus Unum")</f>
        <v>E Pluribus Unum</v>
      </c>
      <c r="G142" s="114" t="str">
        <f>IFERROR(__xludf.DUMMYFUNCTION("""COMPUTED_VALUE"""),"Des Moines")</f>
        <v>Des Moines</v>
      </c>
      <c r="H142" s="116">
        <f>IFERROR(__xludf.DUMMYFUNCTION("""COMPUTED_VALUE"""),18.0)</f>
        <v>18</v>
      </c>
      <c r="I142" s="118">
        <f>IFERROR(__xludf.DUMMYFUNCTION("""COMPUTED_VALUE"""),41.111111111111114)</f>
        <v>41.11111111</v>
      </c>
      <c r="J142" s="120">
        <f>IFERROR(__xludf.DUMMYFUNCTION("""COMPUTED_VALUE"""),89.58077119360155)</f>
        <v>89.58077119</v>
      </c>
      <c r="K142" s="122" t="str">
        <f>IFERROR(__xludf.DUMMYFUNCTION("""COMPUTED_VALUE"""),"AP")</f>
        <v>AP</v>
      </c>
      <c r="L142" s="124">
        <f>IFERROR(__xludf.DUMMYFUNCTION("""COMPUTED_VALUE"""),20.0935979453654)</f>
        <v>20.09359795</v>
      </c>
      <c r="M142" s="122" t="str">
        <f>IFERROR(__xludf.DUMMYFUNCTION("""COMPUTED_VALUE"""),"％")</f>
        <v>％</v>
      </c>
      <c r="N142" s="116">
        <f>IFERROR(__xludf.DUMMYFUNCTION("""COMPUTED_VALUE"""),21415.0)</f>
        <v>21415</v>
      </c>
      <c r="O142" s="100"/>
      <c r="P142" s="371" t="str">
        <f>IFERROR(__xludf.DUMMYFUNCTION("""COMPUTED_VALUE"""),"")</f>
        <v/>
      </c>
      <c r="R142" s="358"/>
      <c r="S142" s="100"/>
      <c r="T142" s="105">
        <f>IFERROR(__xludf.DUMMYFUNCTION("""COMPUTED_VALUE"""),2.0)</f>
        <v>2</v>
      </c>
      <c r="U142" s="106" t="str">
        <f>IFERROR(__xludf.DUMMYFUNCTION("""COMPUTED_VALUE"""),"TRF23")</f>
        <v>TRF23</v>
      </c>
      <c r="V142" s="107" t="str">
        <f>IFERROR(__xludf.DUMMYFUNCTION("""COMPUTED_VALUE"""),"Chaldea Gate (Sat)")</f>
        <v>Chaldea Gate (Sat)</v>
      </c>
      <c r="W142" s="107" t="str">
        <f>IFERROR(__xludf.DUMMYFUNCTION("""COMPUTED_VALUE"""),"SAT Assassin Training Ground- Adv")</f>
        <v>SAT Assassin Training Ground- Adv</v>
      </c>
      <c r="X142" s="116">
        <f>IFERROR(__xludf.DUMMYFUNCTION("""COMPUTED_VALUE"""),30.0)</f>
        <v>30</v>
      </c>
      <c r="Y142" s="118">
        <f>IFERROR(__xludf.DUMMYFUNCTION("""COMPUTED_VALUE"""),18.266666666666666)</f>
        <v>18.26666667</v>
      </c>
      <c r="Z142" s="120">
        <f>IFERROR(__xludf.DUMMYFUNCTION("""COMPUTED_VALUE"""),79.26259602853929)</f>
        <v>79.26259603</v>
      </c>
      <c r="AA142" s="122" t="str">
        <f>IFERROR(__xludf.DUMMYFUNCTION("""COMPUTED_VALUE"""),"AP")</f>
        <v>AP</v>
      </c>
      <c r="AB142" s="124">
        <f>IFERROR(__xludf.DUMMYFUNCTION("""COMPUTED_VALUE"""),37.84887387387388)</f>
        <v>37.84887387</v>
      </c>
      <c r="AC142" s="122" t="str">
        <f>IFERROR(__xludf.DUMMYFUNCTION("""COMPUTED_VALUE"""),"％")</f>
        <v>％</v>
      </c>
      <c r="AD142" s="116">
        <f>IFERROR(__xludf.DUMMYFUNCTION("""COMPUTED_VALUE"""),888.0)</f>
        <v>888</v>
      </c>
      <c r="AE142" s="100"/>
      <c r="AF142" s="372" t="str">
        <f>IFERROR(__xludf.DUMMYFUNCTION("""COMPUTED_VALUE"""),"")</f>
        <v/>
      </c>
    </row>
    <row r="143" ht="16.5" customHeight="1">
      <c r="C143" s="100"/>
      <c r="D143" s="128">
        <f>IFERROR(__xludf.DUMMYFUNCTION("""COMPUTED_VALUE"""),3.0)</f>
        <v>3</v>
      </c>
      <c r="E143" s="129" t="str">
        <f>IFERROR(__xludf.DUMMYFUNCTION("""COMPUTED_VALUE"""),"SJK4")</f>
        <v>SJK4</v>
      </c>
      <c r="F143" s="131" t="str">
        <f>IFERROR(__xludf.DUMMYFUNCTION("""COMPUTED_VALUE"""),"Shinjuku")</f>
        <v>Shinjuku</v>
      </c>
      <c r="G143" s="134" t="str">
        <f>IFERROR(__xludf.DUMMYFUNCTION("""COMPUTED_VALUE"""),"Shinjuku 4-Chome")</f>
        <v>Shinjuku 4-Chome</v>
      </c>
      <c r="H143" s="136">
        <f>IFERROR(__xludf.DUMMYFUNCTION("""COMPUTED_VALUE"""),21.0)</f>
        <v>21</v>
      </c>
      <c r="I143" s="138">
        <f>IFERROR(__xludf.DUMMYFUNCTION("""COMPUTED_VALUE"""),45.523809523809526)</f>
        <v>45.52380952</v>
      </c>
      <c r="J143" s="140">
        <f>IFERROR(__xludf.DUMMYFUNCTION("""COMPUTED_VALUE"""),115.7015882983153)</f>
        <v>115.7015883</v>
      </c>
      <c r="K143" s="142" t="str">
        <f>IFERROR(__xludf.DUMMYFUNCTION("""COMPUTED_VALUE"""),"AP")</f>
        <v>AP</v>
      </c>
      <c r="L143" s="144">
        <f>IFERROR(__xludf.DUMMYFUNCTION("""COMPUTED_VALUE"""),18.150139776694644)</f>
        <v>18.15013978</v>
      </c>
      <c r="M143" s="142" t="str">
        <f>IFERROR(__xludf.DUMMYFUNCTION("""COMPUTED_VALUE"""),"％")</f>
        <v>％</v>
      </c>
      <c r="N143" s="136">
        <f>IFERROR(__xludf.DUMMYFUNCTION("""COMPUTED_VALUE"""),37176.0)</f>
        <v>37176</v>
      </c>
      <c r="O143" s="100"/>
      <c r="P143" s="371" t="str">
        <f>IFERROR(__xludf.DUMMYFUNCTION("""COMPUTED_VALUE"""),"")</f>
        <v/>
      </c>
      <c r="R143" s="358"/>
      <c r="S143" s="100"/>
      <c r="T143" s="128">
        <f>IFERROR(__xludf.DUMMYFUNCTION("""COMPUTED_VALUE"""),3.0)</f>
        <v>3</v>
      </c>
      <c r="U143" s="129" t="str">
        <f>IFERROR(__xludf.DUMMYFUNCTION("""COMPUTED_VALUE"""),"TRF22")</f>
        <v>TRF22</v>
      </c>
      <c r="V143" s="131" t="str">
        <f>IFERROR(__xludf.DUMMYFUNCTION("""COMPUTED_VALUE"""),"Chaldea Gate (Sat)")</f>
        <v>Chaldea Gate (Sat)</v>
      </c>
      <c r="W143" s="131" t="str">
        <f>IFERROR(__xludf.DUMMYFUNCTION("""COMPUTED_VALUE"""),"SAT Assassin Training Ground- Int")</f>
        <v>SAT Assassin Training Ground- Int</v>
      </c>
      <c r="X143" s="136">
        <f>IFERROR(__xludf.DUMMYFUNCTION("""COMPUTED_VALUE"""),20.0)</f>
        <v>20</v>
      </c>
      <c r="Y143" s="138">
        <f>IFERROR(__xludf.DUMMYFUNCTION("""COMPUTED_VALUE"""),18.4)</f>
        <v>18.4</v>
      </c>
      <c r="Z143" s="140">
        <f>IFERROR(__xludf.DUMMYFUNCTION("""COMPUTED_VALUE"""),244.31057563587683)</f>
        <v>244.3105756</v>
      </c>
      <c r="AA143" s="142" t="str">
        <f>IFERROR(__xludf.DUMMYFUNCTION("""COMPUTED_VALUE"""),"AP")</f>
        <v>AP</v>
      </c>
      <c r="AB143" s="144">
        <f>IFERROR(__xludf.DUMMYFUNCTION("""COMPUTED_VALUE"""),8.186301369863013)</f>
        <v>8.18630137</v>
      </c>
      <c r="AC143" s="142" t="str">
        <f>IFERROR(__xludf.DUMMYFUNCTION("""COMPUTED_VALUE"""),"％")</f>
        <v>％</v>
      </c>
      <c r="AD143" s="136">
        <f>IFERROR(__xludf.DUMMYFUNCTION("""COMPUTED_VALUE"""),584.0)</f>
        <v>584</v>
      </c>
      <c r="AE143" s="100"/>
      <c r="AF143" s="372" t="str">
        <f>IFERROR(__xludf.DUMMYFUNCTION("""COMPUTED_VALUE"""),"")</f>
        <v/>
      </c>
    </row>
    <row r="144" ht="16.5" customHeight="1">
      <c r="C144" s="100"/>
      <c r="D144" s="147">
        <f>IFERROR(__xludf.DUMMYFUNCTION("""COMPUTED_VALUE"""),4.0)</f>
        <v>4</v>
      </c>
      <c r="E144" s="149" t="str">
        <f>IFERROR(__xludf.DUMMYFUNCTION("""COMPUTED_VALUE"""),"BBL6")</f>
        <v>BBL6</v>
      </c>
      <c r="F144" s="151" t="str">
        <f>IFERROR(__xludf.DUMMYFUNCTION("""COMPUTED_VALUE"""),"Babylonia")</f>
        <v>Babylonia</v>
      </c>
      <c r="G144" s="153" t="str">
        <f>IFERROR(__xludf.DUMMYFUNCTION("""COMPUTED_VALUE"""),"Ur")</f>
        <v>Ur</v>
      </c>
      <c r="H144" s="155">
        <f>IFERROR(__xludf.DUMMYFUNCTION("""COMPUTED_VALUE"""),21.0)</f>
        <v>21</v>
      </c>
      <c r="I144" s="157">
        <f>IFERROR(__xludf.DUMMYFUNCTION("""COMPUTED_VALUE"""),45.523809523809526)</f>
        <v>45.52380952</v>
      </c>
      <c r="J144" s="159">
        <f>IFERROR(__xludf.DUMMYFUNCTION("""COMPUTED_VALUE"""),117.28860613692292)</f>
        <v>117.2886061</v>
      </c>
      <c r="K144" s="161" t="str">
        <f>IFERROR(__xludf.DUMMYFUNCTION("""COMPUTED_VALUE"""),"AP")</f>
        <v>AP</v>
      </c>
      <c r="L144" s="163">
        <f>IFERROR(__xludf.DUMMYFUNCTION("""COMPUTED_VALUE"""),17.904552446880103)</f>
        <v>17.90455245</v>
      </c>
      <c r="M144" s="161" t="str">
        <f>IFERROR(__xludf.DUMMYFUNCTION("""COMPUTED_VALUE"""),"％")</f>
        <v>％</v>
      </c>
      <c r="N144" s="155">
        <f>IFERROR(__xludf.DUMMYFUNCTION("""COMPUTED_VALUE"""),20802.0)</f>
        <v>20802</v>
      </c>
      <c r="O144" s="100"/>
      <c r="P144" s="371" t="str">
        <f>IFERROR(__xludf.DUMMYFUNCTION("""COMPUTED_VALUE"""),"")</f>
        <v/>
      </c>
      <c r="R144" s="358"/>
      <c r="S144" s="100"/>
      <c r="T144" s="147">
        <f>IFERROR(__xludf.DUMMYFUNCTION("""COMPUTED_VALUE"""),4.0)</f>
        <v>4</v>
      </c>
      <c r="U144" s="149" t="str">
        <f>IFERROR(__xludf.DUMMYFUNCTION("""COMPUTED_VALUE"""),"CML7")</f>
        <v>CML7</v>
      </c>
      <c r="V144" s="151" t="str">
        <f>IFERROR(__xludf.DUMMYFUNCTION("""COMPUTED_VALUE"""),"Camelot")</f>
        <v>Camelot</v>
      </c>
      <c r="W144" s="153" t="str">
        <f>IFERROR(__xludf.DUMMYFUNCTION("""COMPUTED_VALUE"""),"West Village Ruins")</f>
        <v>West Village Ruins</v>
      </c>
      <c r="X144" s="155">
        <f>IFERROR(__xludf.DUMMYFUNCTION("""COMPUTED_VALUE"""),20.0)</f>
        <v>20</v>
      </c>
      <c r="Y144" s="157">
        <f>IFERROR(__xludf.DUMMYFUNCTION("""COMPUTED_VALUE"""),43.0)</f>
        <v>43</v>
      </c>
      <c r="Z144" s="159">
        <f>IFERROR(__xludf.DUMMYFUNCTION("""COMPUTED_VALUE"""),567.4480378536466)</f>
        <v>567.4480379</v>
      </c>
      <c r="AA144" s="161" t="str">
        <f>IFERROR(__xludf.DUMMYFUNCTION("""COMPUTED_VALUE"""),"AP")</f>
        <v>AP</v>
      </c>
      <c r="AB144" s="163">
        <f>IFERROR(__xludf.DUMMYFUNCTION("""COMPUTED_VALUE"""),3.524551794319236)</f>
        <v>3.524551794</v>
      </c>
      <c r="AC144" s="161" t="str">
        <f>IFERROR(__xludf.DUMMYFUNCTION("""COMPUTED_VALUE"""),"％")</f>
        <v>％</v>
      </c>
      <c r="AD144" s="155">
        <f>IFERROR(__xludf.DUMMYFUNCTION("""COMPUTED_VALUE"""),777.0)</f>
        <v>777</v>
      </c>
      <c r="AE144" s="100"/>
      <c r="AF144" s="372" t="str">
        <f>IFERROR(__xludf.DUMMYFUNCTION("""COMPUTED_VALUE"""),"")</f>
        <v/>
      </c>
    </row>
    <row r="145" ht="16.5" customHeight="1">
      <c r="A145" s="166"/>
      <c r="C145" s="168"/>
      <c r="D145" s="169">
        <f>IFERROR(__xludf.DUMMYFUNCTION("""COMPUTED_VALUE"""),5.0)</f>
        <v>5</v>
      </c>
      <c r="E145" s="170" t="str">
        <f>IFERROR(__xludf.DUMMYFUNCTION("""COMPUTED_VALUE"""),"TRF11")</f>
        <v>TRF11</v>
      </c>
      <c r="F145" s="51" t="str">
        <f>IFERROR(__xludf.DUMMYFUNCTION("""COMPUTED_VALUE"""),"Chaldea Gate (Wed)")</f>
        <v>Chaldea Gate (Wed)</v>
      </c>
      <c r="G145" s="51" t="str">
        <f>IFERROR(__xludf.DUMMYFUNCTION("""COMPUTED_VALUE"""),"WED Berserker Training Ground- Adv")</f>
        <v>WED Berserker Training Ground- Adv</v>
      </c>
      <c r="H145" s="172">
        <f>IFERROR(__xludf.DUMMYFUNCTION("""COMPUTED_VALUE"""),30.0)</f>
        <v>30</v>
      </c>
      <c r="I145" s="173">
        <f>IFERROR(__xludf.DUMMYFUNCTION("""COMPUTED_VALUE"""),18.266666666666666)</f>
        <v>18.26666667</v>
      </c>
      <c r="J145" s="174">
        <f>IFERROR(__xludf.DUMMYFUNCTION("""COMPUTED_VALUE"""),339.5651290388132)</f>
        <v>339.565129</v>
      </c>
      <c r="K145" s="175" t="str">
        <f>IFERROR(__xludf.DUMMYFUNCTION("""COMPUTED_VALUE"""),"AP")</f>
        <v>AP</v>
      </c>
      <c r="L145" s="176">
        <f>IFERROR(__xludf.DUMMYFUNCTION("""COMPUTED_VALUE"""),8.834829443447038)</f>
        <v>8.834829443</v>
      </c>
      <c r="M145" s="175" t="str">
        <f>IFERROR(__xludf.DUMMYFUNCTION("""COMPUTED_VALUE"""),"％")</f>
        <v>％</v>
      </c>
      <c r="N145" s="172">
        <f>IFERROR(__xludf.DUMMYFUNCTION("""COMPUTED_VALUE"""),557.0)</f>
        <v>557</v>
      </c>
      <c r="O145" s="168"/>
      <c r="P145" s="371" t="str">
        <f>IFERROR(__xludf.DUMMYFUNCTION("""COMPUTED_VALUE"""),"")</f>
        <v/>
      </c>
      <c r="Q145" s="166"/>
      <c r="R145" s="359"/>
      <c r="S145" s="168"/>
      <c r="T145" s="169">
        <f>IFERROR(__xludf.DUMMYFUNCTION("""COMPUTED_VALUE"""),5.0)</f>
        <v>5</v>
      </c>
      <c r="U145" s="170" t="str">
        <f>IFERROR(__xludf.DUMMYFUNCTION("""COMPUTED_VALUE"""),"TRF21")</f>
        <v>TRF21</v>
      </c>
      <c r="V145" s="51" t="str">
        <f>IFERROR(__xludf.DUMMYFUNCTION("""COMPUTED_VALUE"""),"Chaldea Gate (Sat)")</f>
        <v>Chaldea Gate (Sat)</v>
      </c>
      <c r="W145" s="51" t="str">
        <f>IFERROR(__xludf.DUMMYFUNCTION("""COMPUTED_VALUE"""),"SAT Assassin Training Ground- Nov")</f>
        <v>SAT Assassin Training Ground- Nov</v>
      </c>
      <c r="X145" s="172">
        <f>IFERROR(__xludf.DUMMYFUNCTION("""COMPUTED_VALUE"""),10.0)</f>
        <v>10</v>
      </c>
      <c r="Y145" s="173">
        <f>IFERROR(__xludf.DUMMYFUNCTION("""COMPUTED_VALUE"""),18.8)</f>
        <v>18.8</v>
      </c>
      <c r="Z145" s="174">
        <f>IFERROR(__xludf.DUMMYFUNCTION("""COMPUTED_VALUE"""),361.44578313253015)</f>
        <v>361.4457831</v>
      </c>
      <c r="AA145" s="175" t="str">
        <f>IFERROR(__xludf.DUMMYFUNCTION("""COMPUTED_VALUE"""),"AP")</f>
        <v>AP</v>
      </c>
      <c r="AB145" s="176">
        <f>IFERROR(__xludf.DUMMYFUNCTION("""COMPUTED_VALUE"""),2.7666666666666666)</f>
        <v>2.766666667</v>
      </c>
      <c r="AC145" s="175" t="str">
        <f>IFERROR(__xludf.DUMMYFUNCTION("""COMPUTED_VALUE"""),"％")</f>
        <v>％</v>
      </c>
      <c r="AD145" s="172">
        <f>IFERROR(__xludf.DUMMYFUNCTION("""COMPUTED_VALUE"""),1350.0)</f>
        <v>1350</v>
      </c>
      <c r="AE145" s="168"/>
      <c r="AF145" s="372" t="str">
        <f>IFERROR(__xludf.DUMMYFUNCTION("""COMPUTED_VALUE"""),"")</f>
        <v/>
      </c>
    </row>
    <row r="146" ht="16.5" customHeight="1">
      <c r="A146" s="61" t="str">
        <f>IFERROR(__xludf.DUMMYFUNCTION("""COMPUTED_VALUE"""),"")</f>
        <v/>
      </c>
      <c r="B146" s="366" t="str">
        <f>IFERROR(__xludf.DUMMYFUNCTION("""COMPUTED_VALUE"""),"A102")</f>
        <v>A102</v>
      </c>
      <c r="C146" s="197" t="str">
        <f>IFERROR(__xludf.DUMMYFUNCTION("""COMPUTED_VALUE"""),"Heart of the Foreign God")</f>
        <v>Heart of the Foreign God</v>
      </c>
      <c r="D146" s="185">
        <f>IFERROR(__xludf.DUMMYFUNCTION("""COMPUTED_VALUE"""),1.0)</f>
        <v>1</v>
      </c>
      <c r="E146" s="187" t="str">
        <f>IFERROR(__xludf.DUMMYFUNCTION("""COMPUTED_VALUE"""),"SJK9")</f>
        <v>SJK9</v>
      </c>
      <c r="F146" s="188" t="str">
        <f>IFERROR(__xludf.DUMMYFUNCTION("""COMPUTED_VALUE"""),"Shinjuku")</f>
        <v>Shinjuku</v>
      </c>
      <c r="G146" s="193" t="str">
        <f>IFERROR(__xludf.DUMMYFUNCTION("""COMPUTED_VALUE"""),"Shinjuku Gyoen")</f>
        <v>Shinjuku Gyoen</v>
      </c>
      <c r="H146" s="195">
        <f>IFERROR(__xludf.DUMMYFUNCTION("""COMPUTED_VALUE"""),21.0)</f>
        <v>21</v>
      </c>
      <c r="I146" s="196">
        <f>IFERROR(__xludf.DUMMYFUNCTION("""COMPUTED_VALUE"""),48.95238095238095)</f>
        <v>48.95238095</v>
      </c>
      <c r="J146" s="198">
        <f>IFERROR(__xludf.DUMMYFUNCTION("""COMPUTED_VALUE"""),175.36860697281523)</f>
        <v>175.368607</v>
      </c>
      <c r="K146" s="200" t="str">
        <f>IFERROR(__xludf.DUMMYFUNCTION("""COMPUTED_VALUE"""),"AP")</f>
        <v>AP</v>
      </c>
      <c r="L146" s="198">
        <f>IFERROR(__xludf.DUMMYFUNCTION("""COMPUTED_VALUE"""),11.974777220677424)</f>
        <v>11.97477722</v>
      </c>
      <c r="M146" s="201" t="str">
        <f>IFERROR(__xludf.DUMMYFUNCTION("""COMPUTED_VALUE"""),"％")</f>
        <v>％</v>
      </c>
      <c r="N146" s="195">
        <f>IFERROR(__xludf.DUMMYFUNCTION("""COMPUTED_VALUE"""),45673.0)</f>
        <v>45673</v>
      </c>
      <c r="O146" s="197" t="str">
        <f>IFERROR(__xludf.DUMMYFUNCTION("""COMPUTED_VALUE"""),"Heart of the Foreign God")</f>
        <v>Heart of the Foreign God</v>
      </c>
      <c r="P146" s="371" t="str">
        <f>IFERROR(__xludf.DUMMYFUNCTION("""COMPUTED_VALUE"""),"")</f>
        <v/>
      </c>
      <c r="Q146" s="61" t="str">
        <f>IFERROR(__xludf.DUMMYFUNCTION("""COMPUTED_VALUE"""),"")</f>
        <v/>
      </c>
      <c r="R146" s="202" t="str">
        <f>IFERROR(__xludf.DUMMYFUNCTION("""COMPUTED_VALUE"""),"B207")</f>
        <v>B207</v>
      </c>
      <c r="S146" s="197" t="str">
        <f>IFERROR(__xludf.DUMMYFUNCTION("""COMPUTED_VALUE"""),"Berserker Monument")</f>
        <v>Berserker Monument</v>
      </c>
      <c r="T146" s="185">
        <f>IFERROR(__xludf.DUMMYFUNCTION("""COMPUTED_VALUE"""),1.0)</f>
        <v>1</v>
      </c>
      <c r="U146" s="187" t="str">
        <f>IFERROR(__xludf.DUMMYFUNCTION("""COMPUTED_VALUE"""),"TRF12")</f>
        <v>TRF12</v>
      </c>
      <c r="V146" s="188" t="str">
        <f>IFERROR(__xludf.DUMMYFUNCTION("""COMPUTED_VALUE"""),"Chaldea Gate (Wed)")</f>
        <v>Chaldea Gate (Wed)</v>
      </c>
      <c r="W146" s="188" t="str">
        <f>IFERROR(__xludf.DUMMYFUNCTION("""COMPUTED_VALUE"""),"WED Berserker Training Ground- Exp")</f>
        <v>WED Berserker Training Ground- Exp</v>
      </c>
      <c r="X146" s="195">
        <f>IFERROR(__xludf.DUMMYFUNCTION("""COMPUTED_VALUE"""),40.0)</f>
        <v>40</v>
      </c>
      <c r="Y146" s="196">
        <f>IFERROR(__xludf.DUMMYFUNCTION("""COMPUTED_VALUE"""),19.7)</f>
        <v>19.7</v>
      </c>
      <c r="Z146" s="198">
        <f>IFERROR(__xludf.DUMMYFUNCTION("""COMPUTED_VALUE"""),72.4844522611243)</f>
        <v>72.48445226</v>
      </c>
      <c r="AA146" s="200" t="str">
        <f>IFERROR(__xludf.DUMMYFUNCTION("""COMPUTED_VALUE"""),"AP")</f>
        <v>AP</v>
      </c>
      <c r="AB146" s="198">
        <f>IFERROR(__xludf.DUMMYFUNCTION("""COMPUTED_VALUE"""),55.18424814179531)</f>
        <v>55.18424814</v>
      </c>
      <c r="AC146" s="201" t="str">
        <f>IFERROR(__xludf.DUMMYFUNCTION("""COMPUTED_VALUE"""),"％")</f>
        <v>％</v>
      </c>
      <c r="AD146" s="195">
        <f>IFERROR(__xludf.DUMMYFUNCTION("""COMPUTED_VALUE"""),3498.0)</f>
        <v>3498</v>
      </c>
      <c r="AE146" s="197" t="str">
        <f>IFERROR(__xludf.DUMMYFUNCTION("""COMPUTED_VALUE"""),"Berserker Monument")</f>
        <v>Berserker Monument</v>
      </c>
      <c r="AF146" s="372" t="str">
        <f>IFERROR(__xludf.DUMMYFUNCTION("""COMPUTED_VALUE"""),"")</f>
        <v/>
      </c>
    </row>
    <row r="147" ht="16.5" customHeight="1">
      <c r="C147" s="217"/>
      <c r="D147" s="208">
        <f>IFERROR(__xludf.DUMMYFUNCTION("""COMPUTED_VALUE"""),2.0)</f>
        <v>2</v>
      </c>
      <c r="E147" s="210" t="str">
        <f>IFERROR(__xludf.DUMMYFUNCTION("""COMPUTED_VALUE"""),"TRF20")</f>
        <v>TRF20</v>
      </c>
      <c r="F147" s="212" t="str">
        <f>IFERROR(__xludf.DUMMYFUNCTION("""COMPUTED_VALUE"""),"Chaldea Gate (Fri)")</f>
        <v>Chaldea Gate (Fri)</v>
      </c>
      <c r="G147" s="212" t="str">
        <f>IFERROR(__xludf.DUMMYFUNCTION("""COMPUTED_VALUE"""),"FRI Caster Training Ground- Exp")</f>
        <v>FRI Caster Training Ground- Exp</v>
      </c>
      <c r="H147" s="218">
        <f>IFERROR(__xludf.DUMMYFUNCTION("""COMPUTED_VALUE"""),40.0)</f>
        <v>40</v>
      </c>
      <c r="I147" s="219">
        <f>IFERROR(__xludf.DUMMYFUNCTION("""COMPUTED_VALUE"""),19.7)</f>
        <v>19.7</v>
      </c>
      <c r="J147" s="220">
        <f>IFERROR(__xludf.DUMMYFUNCTION("""COMPUTED_VALUE"""),638.3629332763253)</f>
        <v>638.3629333</v>
      </c>
      <c r="K147" s="221" t="str">
        <f>IFERROR(__xludf.DUMMYFUNCTION("""COMPUTED_VALUE"""),"AP")</f>
        <v>AP</v>
      </c>
      <c r="L147" s="220">
        <f>IFERROR(__xludf.DUMMYFUNCTION("""COMPUTED_VALUE"""),6.266027977956762)</f>
        <v>6.266027978</v>
      </c>
      <c r="M147" s="221" t="str">
        <f>IFERROR(__xludf.DUMMYFUNCTION("""COMPUTED_VALUE"""),"％")</f>
        <v>％</v>
      </c>
      <c r="N147" s="218">
        <f>IFERROR(__xludf.DUMMYFUNCTION("""COMPUTED_VALUE"""),11795.0)</f>
        <v>11795</v>
      </c>
      <c r="O147" s="217"/>
      <c r="P147" s="371" t="str">
        <f>IFERROR(__xludf.DUMMYFUNCTION("""COMPUTED_VALUE"""),"")</f>
        <v/>
      </c>
      <c r="R147" s="203"/>
      <c r="S147" s="217"/>
      <c r="T147" s="208">
        <f>IFERROR(__xludf.DUMMYFUNCTION("""COMPUTED_VALUE"""),2.0)</f>
        <v>2</v>
      </c>
      <c r="U147" s="210" t="str">
        <f>IFERROR(__xludf.DUMMYFUNCTION("""COMPUTED_VALUE"""),"TRF11")</f>
        <v>TRF11</v>
      </c>
      <c r="V147" s="212" t="str">
        <f>IFERROR(__xludf.DUMMYFUNCTION("""COMPUTED_VALUE"""),"Chaldea Gate (Wed)")</f>
        <v>Chaldea Gate (Wed)</v>
      </c>
      <c r="W147" s="212" t="str">
        <f>IFERROR(__xludf.DUMMYFUNCTION("""COMPUTED_VALUE"""),"WED Berserker Training Ground- Adv")</f>
        <v>WED Berserker Training Ground- Adv</v>
      </c>
      <c r="X147" s="218">
        <f>IFERROR(__xludf.DUMMYFUNCTION("""COMPUTED_VALUE"""),30.0)</f>
        <v>30</v>
      </c>
      <c r="Y147" s="219">
        <f>IFERROR(__xludf.DUMMYFUNCTION("""COMPUTED_VALUE"""),18.266666666666666)</f>
        <v>18.26666667</v>
      </c>
      <c r="Z147" s="220">
        <f>IFERROR(__xludf.DUMMYFUNCTION("""COMPUTED_VALUE"""),75.99496095650868)</f>
        <v>75.99496096</v>
      </c>
      <c r="AA147" s="221" t="str">
        <f>IFERROR(__xludf.DUMMYFUNCTION("""COMPUTED_VALUE"""),"AP")</f>
        <v>AP</v>
      </c>
      <c r="AB147" s="220">
        <f>IFERROR(__xludf.DUMMYFUNCTION("""COMPUTED_VALUE"""),39.47630161579893)</f>
        <v>39.47630162</v>
      </c>
      <c r="AC147" s="221" t="str">
        <f>IFERROR(__xludf.DUMMYFUNCTION("""COMPUTED_VALUE"""),"％")</f>
        <v>％</v>
      </c>
      <c r="AD147" s="218">
        <f>IFERROR(__xludf.DUMMYFUNCTION("""COMPUTED_VALUE"""),557.0)</f>
        <v>557</v>
      </c>
      <c r="AE147" s="217"/>
      <c r="AF147" s="372" t="str">
        <f>IFERROR(__xludf.DUMMYFUNCTION("""COMPUTED_VALUE"""),"")</f>
        <v/>
      </c>
    </row>
    <row r="148" ht="16.5" customHeight="1">
      <c r="C148" s="217"/>
      <c r="D148" s="225">
        <f>IFERROR(__xludf.DUMMYFUNCTION("""COMPUTED_VALUE"""),3.0)</f>
        <v>3</v>
      </c>
      <c r="E148" s="227" t="str">
        <f>IFERROR(__xludf.DUMMYFUNCTION("""COMPUTED_VALUE"""),"TRF19")</f>
        <v>TRF19</v>
      </c>
      <c r="F148" s="229" t="str">
        <f>IFERROR(__xludf.DUMMYFUNCTION("""COMPUTED_VALUE"""),"Chaldea Gate (Fri)")</f>
        <v>Chaldea Gate (Fri)</v>
      </c>
      <c r="G148" s="229" t="str">
        <f>IFERROR(__xludf.DUMMYFUNCTION("""COMPUTED_VALUE"""),"FRI Caster Training Ground- Adv")</f>
        <v>FRI Caster Training Ground- Adv</v>
      </c>
      <c r="H148" s="234">
        <f>IFERROR(__xludf.DUMMYFUNCTION("""COMPUTED_VALUE"""),30.0)</f>
        <v>30</v>
      </c>
      <c r="I148" s="235">
        <f>IFERROR(__xludf.DUMMYFUNCTION("""COMPUTED_VALUE"""),18.266666666666666)</f>
        <v>18.26666667</v>
      </c>
      <c r="J148" s="236">
        <f>IFERROR(__xludf.DUMMYFUNCTION("""COMPUTED_VALUE"""),706.4832911665608)</f>
        <v>706.4832912</v>
      </c>
      <c r="K148" s="237" t="str">
        <f>IFERROR(__xludf.DUMMYFUNCTION("""COMPUTED_VALUE"""),"AP")</f>
        <v>AP</v>
      </c>
      <c r="L148" s="236">
        <f>IFERROR(__xludf.DUMMYFUNCTION("""COMPUTED_VALUE"""),4.246384928716904)</f>
        <v>4.246384929</v>
      </c>
      <c r="M148" s="237" t="str">
        <f>IFERROR(__xludf.DUMMYFUNCTION("""COMPUTED_VALUE"""),"％")</f>
        <v>％</v>
      </c>
      <c r="N148" s="234">
        <f>IFERROR(__xludf.DUMMYFUNCTION("""COMPUTED_VALUE"""),1964.0)</f>
        <v>1964</v>
      </c>
      <c r="O148" s="217"/>
      <c r="P148" s="371" t="str">
        <f>IFERROR(__xludf.DUMMYFUNCTION("""COMPUTED_VALUE"""),"")</f>
        <v/>
      </c>
      <c r="R148" s="203"/>
      <c r="S148" s="217"/>
      <c r="T148" s="225">
        <f>IFERROR(__xludf.DUMMYFUNCTION("""COMPUTED_VALUE"""),3.0)</f>
        <v>3</v>
      </c>
      <c r="U148" s="227" t="str">
        <f>IFERROR(__xludf.DUMMYFUNCTION("""COMPUTED_VALUE"""),"EPU12")</f>
        <v>EPU12</v>
      </c>
      <c r="V148" s="229" t="str">
        <f>IFERROR(__xludf.DUMMYFUNCTION("""COMPUTED_VALUE"""),"E Pluribus Unum")</f>
        <v>E Pluribus Unum</v>
      </c>
      <c r="W148" s="233" t="str">
        <f>IFERROR(__xludf.DUMMYFUNCTION("""COMPUTED_VALUE"""),"Charlotte")</f>
        <v>Charlotte</v>
      </c>
      <c r="X148" s="234">
        <f>IFERROR(__xludf.DUMMYFUNCTION("""COMPUTED_VALUE"""),20.0)</f>
        <v>20</v>
      </c>
      <c r="Y148" s="235">
        <f>IFERROR(__xludf.DUMMYFUNCTION("""COMPUTED_VALUE"""),45.4)</f>
        <v>45.4</v>
      </c>
      <c r="Z148" s="236">
        <f>IFERROR(__xludf.DUMMYFUNCTION("""COMPUTED_VALUE"""),156.28013387680437)</f>
        <v>156.2801339</v>
      </c>
      <c r="AA148" s="237" t="str">
        <f>IFERROR(__xludf.DUMMYFUNCTION("""COMPUTED_VALUE"""),"AP")</f>
        <v>AP</v>
      </c>
      <c r="AB148" s="236">
        <f>IFERROR(__xludf.DUMMYFUNCTION("""COMPUTED_VALUE"""),12.797531908800385)</f>
        <v>12.79753191</v>
      </c>
      <c r="AC148" s="237" t="str">
        <f>IFERROR(__xludf.DUMMYFUNCTION("""COMPUTED_VALUE"""),"％")</f>
        <v>％</v>
      </c>
      <c r="AD148" s="234">
        <f>IFERROR(__xludf.DUMMYFUNCTION("""COMPUTED_VALUE"""),153641.0)</f>
        <v>153641</v>
      </c>
      <c r="AE148" s="217"/>
      <c r="AF148" s="372" t="str">
        <f>IFERROR(__xludf.DUMMYFUNCTION("""COMPUTED_VALUE"""),"")</f>
        <v/>
      </c>
    </row>
    <row r="149" ht="16.5" customHeight="1">
      <c r="C149" s="217"/>
      <c r="D149" s="239">
        <f>IFERROR(__xludf.DUMMYFUNCTION("""COMPUTED_VALUE"""),4.0)</f>
        <v>4</v>
      </c>
      <c r="E149" s="241" t="str">
        <f>IFERROR(__xludf.DUMMYFUNCTION("""COMPUTED_VALUE"""),"")</f>
        <v/>
      </c>
      <c r="F149" s="243" t="str">
        <f>IFERROR(__xludf.DUMMYFUNCTION("""COMPUTED_VALUE"""),"")</f>
        <v/>
      </c>
      <c r="G149" s="243" t="str">
        <f>IFERROR(__xludf.DUMMYFUNCTION("""COMPUTED_VALUE"""),"")</f>
        <v/>
      </c>
      <c r="H149" s="247" t="str">
        <f>IFERROR(__xludf.DUMMYFUNCTION("""COMPUTED_VALUE"""),"")</f>
        <v/>
      </c>
      <c r="I149" s="249" t="str">
        <f>IFERROR(__xludf.DUMMYFUNCTION("""COMPUTED_VALUE"""),"")</f>
        <v/>
      </c>
      <c r="J149" s="251" t="str">
        <f>IFERROR(__xludf.DUMMYFUNCTION("""COMPUTED_VALUE"""),"")</f>
        <v/>
      </c>
      <c r="K149" s="253" t="str">
        <f>IFERROR(__xludf.DUMMYFUNCTION("""COMPUTED_VALUE"""),"AP")</f>
        <v>AP</v>
      </c>
      <c r="L149" s="251" t="str">
        <f>IFERROR(__xludf.DUMMYFUNCTION("""COMPUTED_VALUE"""),"")</f>
        <v/>
      </c>
      <c r="M149" s="253" t="str">
        <f>IFERROR(__xludf.DUMMYFUNCTION("""COMPUTED_VALUE"""),"％")</f>
        <v>％</v>
      </c>
      <c r="N149" s="247" t="str">
        <f>IFERROR(__xludf.DUMMYFUNCTION("""COMPUTED_VALUE"""),"")</f>
        <v/>
      </c>
      <c r="O149" s="217"/>
      <c r="P149" s="371" t="str">
        <f>IFERROR(__xludf.DUMMYFUNCTION("""COMPUTED_VALUE"""),"")</f>
        <v/>
      </c>
      <c r="R149" s="203"/>
      <c r="S149" s="217"/>
      <c r="T149" s="239">
        <f>IFERROR(__xludf.DUMMYFUNCTION("""COMPUTED_VALUE"""),4.0)</f>
        <v>4</v>
      </c>
      <c r="U149" s="241" t="str">
        <f>IFERROR(__xludf.DUMMYFUNCTION("""COMPUTED_VALUE"""),"TRF10")</f>
        <v>TRF10</v>
      </c>
      <c r="V149" s="243" t="str">
        <f>IFERROR(__xludf.DUMMYFUNCTION("""COMPUTED_VALUE"""),"Chaldea Gate (Wed)")</f>
        <v>Chaldea Gate (Wed)</v>
      </c>
      <c r="W149" s="243" t="str">
        <f>IFERROR(__xludf.DUMMYFUNCTION("""COMPUTED_VALUE"""),"WED Berserker Training Ground- Int")</f>
        <v>WED Berserker Training Ground- Int</v>
      </c>
      <c r="X149" s="247">
        <f>IFERROR(__xludf.DUMMYFUNCTION("""COMPUTED_VALUE"""),20.0)</f>
        <v>20</v>
      </c>
      <c r="Y149" s="249">
        <f>IFERROR(__xludf.DUMMYFUNCTION("""COMPUTED_VALUE"""),18.4)</f>
        <v>18.4</v>
      </c>
      <c r="Z149" s="251">
        <f>IFERROR(__xludf.DUMMYFUNCTION("""COMPUTED_VALUE"""),216.7310004429539)</f>
        <v>216.7310004</v>
      </c>
      <c r="AA149" s="253" t="str">
        <f>IFERROR(__xludf.DUMMYFUNCTION("""COMPUTED_VALUE"""),"AP")</f>
        <v>AP</v>
      </c>
      <c r="AB149" s="251">
        <f>IFERROR(__xludf.DUMMYFUNCTION("""COMPUTED_VALUE"""),9.228029197080291)</f>
        <v>9.228029197</v>
      </c>
      <c r="AC149" s="253" t="str">
        <f>IFERROR(__xludf.DUMMYFUNCTION("""COMPUTED_VALUE"""),"％")</f>
        <v>％</v>
      </c>
      <c r="AD149" s="247">
        <f>IFERROR(__xludf.DUMMYFUNCTION("""COMPUTED_VALUE"""),685.0)</f>
        <v>685</v>
      </c>
      <c r="AE149" s="217"/>
      <c r="AF149" s="372" t="str">
        <f>IFERROR(__xludf.DUMMYFUNCTION("""COMPUTED_VALUE"""),"")</f>
        <v/>
      </c>
    </row>
    <row r="150" ht="16.5" customHeight="1">
      <c r="A150" s="166"/>
      <c r="C150" s="263"/>
      <c r="D150" s="256">
        <f>IFERROR(__xludf.DUMMYFUNCTION("""COMPUTED_VALUE"""),5.0)</f>
        <v>5</v>
      </c>
      <c r="E150" s="257" t="str">
        <f>IFERROR(__xludf.DUMMYFUNCTION("""COMPUTED_VALUE"""),"")</f>
        <v/>
      </c>
      <c r="F150" s="42" t="str">
        <f>IFERROR(__xludf.DUMMYFUNCTION("""COMPUTED_VALUE"""),"")</f>
        <v/>
      </c>
      <c r="G150" s="42" t="str">
        <f>IFERROR(__xludf.DUMMYFUNCTION("""COMPUTED_VALUE"""),"")</f>
        <v/>
      </c>
      <c r="H150" s="259" t="str">
        <f>IFERROR(__xludf.DUMMYFUNCTION("""COMPUTED_VALUE"""),"")</f>
        <v/>
      </c>
      <c r="I150" s="260" t="str">
        <f>IFERROR(__xludf.DUMMYFUNCTION("""COMPUTED_VALUE"""),"")</f>
        <v/>
      </c>
      <c r="J150" s="261" t="str">
        <f>IFERROR(__xludf.DUMMYFUNCTION("""COMPUTED_VALUE"""),"")</f>
        <v/>
      </c>
      <c r="K150" s="262" t="str">
        <f>IFERROR(__xludf.DUMMYFUNCTION("""COMPUTED_VALUE"""),"AP")</f>
        <v>AP</v>
      </c>
      <c r="L150" s="261" t="str">
        <f>IFERROR(__xludf.DUMMYFUNCTION("""COMPUTED_VALUE"""),"")</f>
        <v/>
      </c>
      <c r="M150" s="262" t="str">
        <f>IFERROR(__xludf.DUMMYFUNCTION("""COMPUTED_VALUE"""),"％")</f>
        <v>％</v>
      </c>
      <c r="N150" s="259" t="str">
        <f>IFERROR(__xludf.DUMMYFUNCTION("""COMPUTED_VALUE"""),"")</f>
        <v/>
      </c>
      <c r="O150" s="263"/>
      <c r="P150" s="371" t="str">
        <f>IFERROR(__xludf.DUMMYFUNCTION("""COMPUTED_VALUE"""),"")</f>
        <v/>
      </c>
      <c r="Q150" s="166"/>
      <c r="R150" s="254"/>
      <c r="S150" s="263"/>
      <c r="T150" s="256">
        <f>IFERROR(__xludf.DUMMYFUNCTION("""COMPUTED_VALUE"""),5.0)</f>
        <v>5</v>
      </c>
      <c r="U150" s="257" t="str">
        <f>IFERROR(__xludf.DUMMYFUNCTION("""COMPUTED_VALUE"""),"OKN10")</f>
        <v>OKN10</v>
      </c>
      <c r="V150" s="42" t="str">
        <f>IFERROR(__xludf.DUMMYFUNCTION("""COMPUTED_VALUE"""),"Okeanos")</f>
        <v>Okeanos</v>
      </c>
      <c r="W150" s="258" t="str">
        <f>IFERROR(__xludf.DUMMYFUNCTION("""COMPUTED_VALUE"""),"Archipelago (Quiet Bay)")</f>
        <v>Archipelago (Quiet Bay)</v>
      </c>
      <c r="X150" s="259">
        <f>IFERROR(__xludf.DUMMYFUNCTION("""COMPUTED_VALUE"""),15.0)</f>
        <v>15</v>
      </c>
      <c r="Y150" s="260">
        <f>IFERROR(__xludf.DUMMYFUNCTION("""COMPUTED_VALUE"""),38.13333333333333)</f>
        <v>38.13333333</v>
      </c>
      <c r="Z150" s="261">
        <f>IFERROR(__xludf.DUMMYFUNCTION("""COMPUTED_VALUE"""),649.4082840236686)</f>
        <v>649.408284</v>
      </c>
      <c r="AA150" s="262" t="str">
        <f>IFERROR(__xludf.DUMMYFUNCTION("""COMPUTED_VALUE"""),"AP")</f>
        <v>AP</v>
      </c>
      <c r="AB150" s="261">
        <f>IFERROR(__xludf.DUMMYFUNCTION("""COMPUTED_VALUE"""),2.3097949886104785)</f>
        <v>2.309794989</v>
      </c>
      <c r="AC150" s="262" t="str">
        <f>IFERROR(__xludf.DUMMYFUNCTION("""COMPUTED_VALUE"""),"％")</f>
        <v>％</v>
      </c>
      <c r="AD150" s="259">
        <f>IFERROR(__xludf.DUMMYFUNCTION("""COMPUTED_VALUE"""),439.0)</f>
        <v>439</v>
      </c>
      <c r="AE150" s="263"/>
      <c r="AF150" s="372" t="str">
        <f>IFERROR(__xludf.DUMMYFUNCTION("""COMPUTED_VALUE"""),"")</f>
        <v/>
      </c>
    </row>
    <row r="151" ht="16.5" customHeight="1">
      <c r="A151" s="352" t="str">
        <f>IFERROR(__xludf.DUMMYFUNCTION("""COMPUTED_VALUE"""),"Item")</f>
        <v>Item</v>
      </c>
      <c r="C151" s="353"/>
      <c r="D151" s="30" t="str">
        <f>IFERROR(__xludf.DUMMYFUNCTION("""COMPUTED_VALUE"""),"No.")</f>
        <v>No.</v>
      </c>
      <c r="E151" s="31" t="str">
        <f>IFERROR(__xludf.DUMMYFUNCTION("""COMPUTED_VALUE"""),"Node Code")</f>
        <v>Node Code</v>
      </c>
      <c r="F151" s="31" t="str">
        <f>IFERROR(__xludf.DUMMYFUNCTION("""COMPUTED_VALUE"""),"Area")</f>
        <v>Area</v>
      </c>
      <c r="G151" s="31" t="str">
        <f>IFERROR(__xludf.DUMMYFUNCTION("""COMPUTED_VALUE"""),"Quest")</f>
        <v>Quest</v>
      </c>
      <c r="H151" s="30" t="str">
        <f>IFERROR(__xludf.DUMMYFUNCTION("""COMPUTED_VALUE"""),"AP")</f>
        <v>AP</v>
      </c>
      <c r="I151" s="365" t="str">
        <f>IFERROR(__xludf.DUMMYFUNCTION("""COMPUTED_VALUE"""),"BP/AP")</f>
        <v>BP/AP</v>
      </c>
      <c r="J151" s="36" t="str">
        <f>IFERROR(__xludf.DUMMYFUNCTION("""COMPUTED_VALUE"""),"AP/Drop")</f>
        <v>AP/Drop</v>
      </c>
      <c r="K151" s="28"/>
      <c r="L151" s="36" t="str">
        <f>IFERROR(__xludf.DUMMYFUNCTION("""COMPUTED_VALUE"""),"Drop Chance")</f>
        <v>Drop Chance</v>
      </c>
      <c r="M151" s="28"/>
      <c r="N151" s="38" t="str">
        <f>IFERROR(__xludf.DUMMYFUNCTION("""COMPUTED_VALUE"""),"Runs")</f>
        <v>Runs</v>
      </c>
      <c r="O151" s="355" t="str">
        <f>IFERROR(__xludf.DUMMYFUNCTION("""COMPUTED_VALUE"""),"")</f>
        <v/>
      </c>
      <c r="P151" s="42" t="str">
        <f>IFERROR(__xludf.DUMMYFUNCTION("""COMPUTED_VALUE"""),"")</f>
        <v/>
      </c>
      <c r="Q151" s="352" t="str">
        <f>IFERROR(__xludf.DUMMYFUNCTION("""COMPUTED_VALUE"""),"Item")</f>
        <v>Item</v>
      </c>
      <c r="S151" s="353"/>
      <c r="T151" s="30" t="str">
        <f>IFERROR(__xludf.DUMMYFUNCTION("""COMPUTED_VALUE"""),"No.")</f>
        <v>No.</v>
      </c>
      <c r="U151" s="31" t="str">
        <f>IFERROR(__xludf.DUMMYFUNCTION("""COMPUTED_VALUE"""),"Node Code")</f>
        <v>Node Code</v>
      </c>
      <c r="V151" s="31" t="str">
        <f>IFERROR(__xludf.DUMMYFUNCTION("""COMPUTED_VALUE"""),"Area")</f>
        <v>Area</v>
      </c>
      <c r="W151" s="31" t="str">
        <f>IFERROR(__xludf.DUMMYFUNCTION("""COMPUTED_VALUE"""),"Quest")</f>
        <v>Quest</v>
      </c>
      <c r="X151" s="30" t="str">
        <f>IFERROR(__xludf.DUMMYFUNCTION("""COMPUTED_VALUE"""),"AP")</f>
        <v>AP</v>
      </c>
      <c r="Y151" s="365" t="str">
        <f>IFERROR(__xludf.DUMMYFUNCTION("""COMPUTED_VALUE"""),"BP/AP")</f>
        <v>BP/AP</v>
      </c>
      <c r="Z151" s="36" t="str">
        <f>IFERROR(__xludf.DUMMYFUNCTION("""COMPUTED_VALUE"""),"AP/Drop")</f>
        <v>AP/Drop</v>
      </c>
      <c r="AA151" s="28"/>
      <c r="AB151" s="36" t="str">
        <f>IFERROR(__xludf.DUMMYFUNCTION("""COMPUTED_VALUE"""),"Drop Chance")</f>
        <v>Drop Chance</v>
      </c>
      <c r="AC151" s="28"/>
      <c r="AD151" s="369" t="str">
        <f>IFERROR(__xludf.DUMMYFUNCTION("""COMPUTED_VALUE"""),"Runs")</f>
        <v>Runs</v>
      </c>
      <c r="AE151" s="373" t="str">
        <f>IFERROR(__xludf.DUMMYFUNCTION("""COMPUTED_VALUE"""),"")</f>
        <v/>
      </c>
      <c r="AF151" s="51" t="str">
        <f>IFERROR(__xludf.DUMMYFUNCTION("""COMPUTED_VALUE"""),"")</f>
        <v/>
      </c>
    </row>
    <row r="152" ht="16.5" customHeight="1">
      <c r="A152" s="54"/>
      <c r="B152" s="55"/>
      <c r="C152" s="57"/>
      <c r="D152" s="57"/>
      <c r="E152" s="57"/>
      <c r="F152" s="57"/>
      <c r="G152" s="57"/>
      <c r="H152" s="57"/>
      <c r="I152" s="58" t="str">
        <f>IFERROR(__xludf.DUMMYFUNCTION("""COMPUTED_VALUE"""),"1P+2L")</f>
        <v>1P+2L</v>
      </c>
      <c r="J152" s="55"/>
      <c r="K152" s="57"/>
      <c r="L152" s="55"/>
      <c r="M152" s="57"/>
      <c r="N152" s="57"/>
      <c r="O152" s="57"/>
      <c r="P152" s="42" t="str">
        <f>IFERROR(__xludf.DUMMYFUNCTION("""COMPUTED_VALUE"""),"")</f>
        <v/>
      </c>
      <c r="Q152" s="54"/>
      <c r="R152" s="55"/>
      <c r="S152" s="57"/>
      <c r="T152" s="57"/>
      <c r="U152" s="57"/>
      <c r="V152" s="57"/>
      <c r="W152" s="57"/>
      <c r="X152" s="57"/>
      <c r="Y152" s="58" t="str">
        <f>IFERROR(__xludf.DUMMYFUNCTION("""COMPUTED_VALUE"""),"1P+2L")</f>
        <v>1P+2L</v>
      </c>
      <c r="Z152" s="55"/>
      <c r="AA152" s="57"/>
      <c r="AB152" s="55"/>
      <c r="AC152" s="57"/>
      <c r="AD152" s="370"/>
      <c r="AE152" s="370"/>
      <c r="AF152" s="51" t="str">
        <f>IFERROR(__xludf.DUMMYFUNCTION("""COMPUTED_VALUE"""),"")</f>
        <v/>
      </c>
    </row>
    <row r="153" ht="16.5" customHeight="1">
      <c r="A153" s="61" t="str">
        <f>IFERROR(__xludf.DUMMYFUNCTION("""COMPUTED_VALUE"""),"")</f>
        <v/>
      </c>
      <c r="B153" s="363" t="str">
        <f>IFERROR(__xludf.DUMMYFUNCTION("""COMPUTED_VALUE"""),"A103")</f>
        <v>A103</v>
      </c>
      <c r="C153" s="65" t="str">
        <f>IFERROR(__xludf.DUMMYFUNCTION("""COMPUTED_VALUE"""),"Dragon's Reverse Scale")</f>
        <v>Dragon's Reverse Scale</v>
      </c>
      <c r="D153" s="70">
        <f>IFERROR(__xludf.DUMMYFUNCTION("""COMPUTED_VALUE"""),1.0)</f>
        <v>1</v>
      </c>
      <c r="E153" s="73" t="str">
        <f>IFERROR(__xludf.DUMMYFUNCTION("""COMPUTED_VALUE"""),"BBL12")</f>
        <v>BBL12</v>
      </c>
      <c r="F153" s="76" t="str">
        <f>IFERROR(__xludf.DUMMYFUNCTION("""COMPUTED_VALUE"""),"Babylonia")</f>
        <v>Babylonia</v>
      </c>
      <c r="G153" s="85" t="str">
        <f>IFERROR(__xludf.DUMMYFUNCTION("""COMPUTED_VALUE"""),"Nippur")</f>
        <v>Nippur</v>
      </c>
      <c r="H153" s="87">
        <f>IFERROR(__xludf.DUMMYFUNCTION("""COMPUTED_VALUE"""),21.0)</f>
        <v>21</v>
      </c>
      <c r="I153" s="90">
        <f>IFERROR(__xludf.DUMMYFUNCTION("""COMPUTED_VALUE"""),48.95238095238095)</f>
        <v>48.95238095</v>
      </c>
      <c r="J153" s="92">
        <f>IFERROR(__xludf.DUMMYFUNCTION("""COMPUTED_VALUE"""),166.80886472267542)</f>
        <v>166.8088647</v>
      </c>
      <c r="K153" s="94" t="str">
        <f>IFERROR(__xludf.DUMMYFUNCTION("""COMPUTED_VALUE"""),"AP")</f>
        <v>AP</v>
      </c>
      <c r="L153" s="96">
        <f>IFERROR(__xludf.DUMMYFUNCTION("""COMPUTED_VALUE"""),12.589258991069274)</f>
        <v>12.58925899</v>
      </c>
      <c r="M153" s="94" t="str">
        <f>IFERROR(__xludf.DUMMYFUNCTION("""COMPUTED_VALUE"""),"％")</f>
        <v>％</v>
      </c>
      <c r="N153" s="87">
        <f>IFERROR(__xludf.DUMMYFUNCTION("""COMPUTED_VALUE"""),24858.0)</f>
        <v>24858</v>
      </c>
      <c r="O153" s="97" t="str">
        <f>IFERROR(__xludf.DUMMYFUNCTION("""COMPUTED_VALUE"""),"Dragon's Reverse Scale")</f>
        <v>Dragon's Reverse Scale</v>
      </c>
      <c r="P153" s="371" t="str">
        <f>IFERROR(__xludf.DUMMYFUNCTION("""COMPUTED_VALUE"""),"")</f>
        <v/>
      </c>
      <c r="Q153" s="61" t="str">
        <f>IFERROR(__xludf.DUMMYFUNCTION("""COMPUTED_VALUE"""),"")</f>
        <v/>
      </c>
      <c r="R153" s="363" t="str">
        <f>IFERROR(__xludf.DUMMYFUNCTION("""COMPUTED_VALUE"""),"B211")</f>
        <v>B211</v>
      </c>
      <c r="S153" s="65" t="str">
        <f>IFERROR(__xludf.DUMMYFUNCTION("""COMPUTED_VALUE"""),"Saber Piece")</f>
        <v>Saber Piece</v>
      </c>
      <c r="T153" s="70">
        <f>IFERROR(__xludf.DUMMYFUNCTION("""COMPUTED_VALUE"""),1.0)</f>
        <v>1</v>
      </c>
      <c r="U153" s="73" t="str">
        <f>IFERROR(__xludf.DUMMYFUNCTION("""COMPUTED_VALUE"""),"TRF27")</f>
        <v>TRF27</v>
      </c>
      <c r="V153" s="76" t="str">
        <f>IFERROR(__xludf.DUMMYFUNCTION("""COMPUTED_VALUE"""),"Chaldea Gate (Sun)")</f>
        <v>Chaldea Gate (Sun)</v>
      </c>
      <c r="W153" s="76" t="str">
        <f>IFERROR(__xludf.DUMMYFUNCTION("""COMPUTED_VALUE"""),"SUN Saber Training Ground- Adv")</f>
        <v>SUN Saber Training Ground- Adv</v>
      </c>
      <c r="X153" s="87">
        <f>IFERROR(__xludf.DUMMYFUNCTION("""COMPUTED_VALUE"""),30.0)</f>
        <v>30</v>
      </c>
      <c r="Y153" s="90">
        <f>IFERROR(__xludf.DUMMYFUNCTION("""COMPUTED_VALUE"""),18.266666666666666)</f>
        <v>18.26666667</v>
      </c>
      <c r="Z153" s="92">
        <f>IFERROR(__xludf.DUMMYFUNCTION("""COMPUTED_VALUE"""),30.067870024053036)</f>
        <v>30.06787002</v>
      </c>
      <c r="AA153" s="94" t="str">
        <f>IFERROR(__xludf.DUMMYFUNCTION("""COMPUTED_VALUE"""),"AP")</f>
        <v>AP</v>
      </c>
      <c r="AB153" s="96">
        <f>IFERROR(__xludf.DUMMYFUNCTION("""COMPUTED_VALUE"""),99.77427724677956)</f>
        <v>99.77427725</v>
      </c>
      <c r="AC153" s="94" t="str">
        <f>IFERROR(__xludf.DUMMYFUNCTION("""COMPUTED_VALUE"""),"％")</f>
        <v>％</v>
      </c>
      <c r="AD153" s="87">
        <f>IFERROR(__xludf.DUMMYFUNCTION("""COMPUTED_VALUE"""),4189.0)</f>
        <v>4189</v>
      </c>
      <c r="AE153" s="97" t="str">
        <f>IFERROR(__xludf.DUMMYFUNCTION("""COMPUTED_VALUE"""),"Saber Piece")</f>
        <v>Saber Piece</v>
      </c>
      <c r="AF153" s="372" t="str">
        <f>IFERROR(__xludf.DUMMYFUNCTION("""COMPUTED_VALUE"""),"")</f>
        <v/>
      </c>
    </row>
    <row r="154" ht="16.5" customHeight="1">
      <c r="B154" s="99"/>
      <c r="C154" s="100"/>
      <c r="D154" s="105">
        <f>IFERROR(__xludf.DUMMYFUNCTION("""COMPUTED_VALUE"""),2.0)</f>
        <v>2</v>
      </c>
      <c r="E154" s="106" t="str">
        <f>IFERROR(__xludf.DUMMYFUNCTION("""COMPUTED_VALUE"""),"TRF16")</f>
        <v>TRF16</v>
      </c>
      <c r="F154" s="107" t="str">
        <f>IFERROR(__xludf.DUMMYFUNCTION("""COMPUTED_VALUE"""),"Chaldea Gate (Thu)")</f>
        <v>Chaldea Gate (Thu)</v>
      </c>
      <c r="G154" s="107" t="str">
        <f>IFERROR(__xludf.DUMMYFUNCTION("""COMPUTED_VALUE"""),"THU Rider Training Ground- Exp")</f>
        <v>THU Rider Training Ground- Exp</v>
      </c>
      <c r="H154" s="116">
        <f>IFERROR(__xludf.DUMMYFUNCTION("""COMPUTED_VALUE"""),40.0)</f>
        <v>40</v>
      </c>
      <c r="I154" s="118">
        <f>IFERROR(__xludf.DUMMYFUNCTION("""COMPUTED_VALUE"""),19.7)</f>
        <v>19.7</v>
      </c>
      <c r="J154" s="120">
        <f>IFERROR(__xludf.DUMMYFUNCTION("""COMPUTED_VALUE"""),544.839255499154)</f>
        <v>544.8392555</v>
      </c>
      <c r="K154" s="122" t="str">
        <f>IFERROR(__xludf.DUMMYFUNCTION("""COMPUTED_VALUE"""),"AP")</f>
        <v>AP</v>
      </c>
      <c r="L154" s="124">
        <f>IFERROR(__xludf.DUMMYFUNCTION("""COMPUTED_VALUE"""),7.341614906832298)</f>
        <v>7.341614907</v>
      </c>
      <c r="M154" s="122" t="str">
        <f>IFERROR(__xludf.DUMMYFUNCTION("""COMPUTED_VALUE"""),"％")</f>
        <v>％</v>
      </c>
      <c r="N154" s="116">
        <f>IFERROR(__xludf.DUMMYFUNCTION("""COMPUTED_VALUE"""),4025.0)</f>
        <v>4025</v>
      </c>
      <c r="O154" s="100"/>
      <c r="P154" s="371" t="str">
        <f>IFERROR(__xludf.DUMMYFUNCTION("""COMPUTED_VALUE"""),"")</f>
        <v/>
      </c>
      <c r="R154" s="99"/>
      <c r="S154" s="100"/>
      <c r="T154" s="105">
        <f>IFERROR(__xludf.DUMMYFUNCTION("""COMPUTED_VALUE"""),2.0)</f>
        <v>2</v>
      </c>
      <c r="U154" s="106" t="str">
        <f>IFERROR(__xludf.DUMMYFUNCTION("""COMPUTED_VALUE"""),"TRF28")</f>
        <v>TRF28</v>
      </c>
      <c r="V154" s="107" t="str">
        <f>IFERROR(__xludf.DUMMYFUNCTION("""COMPUTED_VALUE"""),"Chaldea Gate (Sun)")</f>
        <v>Chaldea Gate (Sun)</v>
      </c>
      <c r="W154" s="107" t="str">
        <f>IFERROR(__xludf.DUMMYFUNCTION("""COMPUTED_VALUE"""),"SUN Saber Training Ground- Exp")</f>
        <v>SUN Saber Training Ground- Exp</v>
      </c>
      <c r="X154" s="116">
        <f>IFERROR(__xludf.DUMMYFUNCTION("""COMPUTED_VALUE"""),40.0)</f>
        <v>40</v>
      </c>
      <c r="Y154" s="118">
        <f>IFERROR(__xludf.DUMMYFUNCTION("""COMPUTED_VALUE"""),19.7)</f>
        <v>19.7</v>
      </c>
      <c r="Z154" s="120">
        <f>IFERROR(__xludf.DUMMYFUNCTION("""COMPUTED_VALUE"""),54.23720719842522)</f>
        <v>54.2372072</v>
      </c>
      <c r="AA154" s="122" t="str">
        <f>IFERROR(__xludf.DUMMYFUNCTION("""COMPUTED_VALUE"""),"AP")</f>
        <v>AP</v>
      </c>
      <c r="AB154" s="124">
        <f>IFERROR(__xludf.DUMMYFUNCTION("""COMPUTED_VALUE"""),73.75011005574306)</f>
        <v>73.75011006</v>
      </c>
      <c r="AC154" s="122" t="str">
        <f>IFERROR(__xludf.DUMMYFUNCTION("""COMPUTED_VALUE"""),"％")</f>
        <v>％</v>
      </c>
      <c r="AD154" s="116">
        <f>IFERROR(__xludf.DUMMYFUNCTION("""COMPUTED_VALUE"""),21786.0)</f>
        <v>21786</v>
      </c>
      <c r="AE154" s="100"/>
      <c r="AF154" s="372" t="str">
        <f>IFERROR(__xludf.DUMMYFUNCTION("""COMPUTED_VALUE"""),"")</f>
        <v/>
      </c>
    </row>
    <row r="155" ht="16.5" customHeight="1">
      <c r="B155" s="99"/>
      <c r="C155" s="100"/>
      <c r="D155" s="128">
        <f>IFERROR(__xludf.DUMMYFUNCTION("""COMPUTED_VALUE"""),3.0)</f>
        <v>3</v>
      </c>
      <c r="E155" s="129" t="str">
        <f>IFERROR(__xludf.DUMMYFUNCTION("""COMPUTED_VALUE"""),"TRF15")</f>
        <v>TRF15</v>
      </c>
      <c r="F155" s="131" t="str">
        <f>IFERROR(__xludf.DUMMYFUNCTION("""COMPUTED_VALUE"""),"Chaldea Gate (Thu)")</f>
        <v>Chaldea Gate (Thu)</v>
      </c>
      <c r="G155" s="131" t="str">
        <f>IFERROR(__xludf.DUMMYFUNCTION("""COMPUTED_VALUE"""),"THU Rider Training Ground- Adv")</f>
        <v>THU Rider Training Ground- Adv</v>
      </c>
      <c r="H155" s="136">
        <f>IFERROR(__xludf.DUMMYFUNCTION("""COMPUTED_VALUE"""),30.0)</f>
        <v>30</v>
      </c>
      <c r="I155" s="138">
        <f>IFERROR(__xludf.DUMMYFUNCTION("""COMPUTED_VALUE"""),18.266666666666666)</f>
        <v>18.26666667</v>
      </c>
      <c r="J155" s="140">
        <f>IFERROR(__xludf.DUMMYFUNCTION("""COMPUTED_VALUE"""),838.5354562670968)</f>
        <v>838.5354563</v>
      </c>
      <c r="K155" s="142" t="str">
        <f>IFERROR(__xludf.DUMMYFUNCTION("""COMPUTED_VALUE"""),"AP")</f>
        <v>AP</v>
      </c>
      <c r="L155" s="144">
        <f>IFERROR(__xludf.DUMMYFUNCTION("""COMPUTED_VALUE"""),3.5776662484316186)</f>
        <v>3.577666248</v>
      </c>
      <c r="M155" s="142" t="str">
        <f>IFERROR(__xludf.DUMMYFUNCTION("""COMPUTED_VALUE"""),"％")</f>
        <v>％</v>
      </c>
      <c r="N155" s="136">
        <f>IFERROR(__xludf.DUMMYFUNCTION("""COMPUTED_VALUE"""),797.0)</f>
        <v>797</v>
      </c>
      <c r="O155" s="100"/>
      <c r="P155" s="371" t="str">
        <f>IFERROR(__xludf.DUMMYFUNCTION("""COMPUTED_VALUE"""),"")</f>
        <v/>
      </c>
      <c r="R155" s="99"/>
      <c r="S155" s="100"/>
      <c r="T155" s="128">
        <f>IFERROR(__xludf.DUMMYFUNCTION("""COMPUTED_VALUE"""),3.0)</f>
        <v>3</v>
      </c>
      <c r="U155" s="129" t="str">
        <f>IFERROR(__xludf.DUMMYFUNCTION("""COMPUTED_VALUE"""),"TRF26")</f>
        <v>TRF26</v>
      </c>
      <c r="V155" s="131" t="str">
        <f>IFERROR(__xludf.DUMMYFUNCTION("""COMPUTED_VALUE"""),"Chaldea Gate (Sun)")</f>
        <v>Chaldea Gate (Sun)</v>
      </c>
      <c r="W155" s="131" t="str">
        <f>IFERROR(__xludf.DUMMYFUNCTION("""COMPUTED_VALUE"""),"SUN Saber Training Ground- Int")</f>
        <v>SUN Saber Training Ground- Int</v>
      </c>
      <c r="X155" s="136">
        <f>IFERROR(__xludf.DUMMYFUNCTION("""COMPUTED_VALUE"""),20.0)</f>
        <v>20</v>
      </c>
      <c r="Y155" s="138">
        <f>IFERROR(__xludf.DUMMYFUNCTION("""COMPUTED_VALUE"""),18.4)</f>
        <v>18.4</v>
      </c>
      <c r="Z155" s="140">
        <f>IFERROR(__xludf.DUMMYFUNCTION("""COMPUTED_VALUE"""),28.459196390540946)</f>
        <v>28.45919639</v>
      </c>
      <c r="AA155" s="142" t="str">
        <f>IFERROR(__xludf.DUMMYFUNCTION("""COMPUTED_VALUE"""),"AP")</f>
        <v>AP</v>
      </c>
      <c r="AB155" s="144">
        <f>IFERROR(__xludf.DUMMYFUNCTION("""COMPUTED_VALUE"""),70.27605321507761)</f>
        <v>70.27605322</v>
      </c>
      <c r="AC155" s="142" t="str">
        <f>IFERROR(__xludf.DUMMYFUNCTION("""COMPUTED_VALUE"""),"％")</f>
        <v>％</v>
      </c>
      <c r="AD155" s="136">
        <f>IFERROR(__xludf.DUMMYFUNCTION("""COMPUTED_VALUE"""),451.0)</f>
        <v>451</v>
      </c>
      <c r="AE155" s="100"/>
      <c r="AF155" s="372" t="str">
        <f>IFERROR(__xludf.DUMMYFUNCTION("""COMPUTED_VALUE"""),"")</f>
        <v/>
      </c>
    </row>
    <row r="156" ht="16.5" customHeight="1">
      <c r="B156" s="99"/>
      <c r="C156" s="100"/>
      <c r="D156" s="147">
        <f>IFERROR(__xludf.DUMMYFUNCTION("""COMPUTED_VALUE"""),4.0)</f>
        <v>4</v>
      </c>
      <c r="E156" s="149" t="str">
        <f>IFERROR(__xludf.DUMMYFUNCTION("""COMPUTED_VALUE"""),"")</f>
        <v/>
      </c>
      <c r="F156" s="151" t="str">
        <f>IFERROR(__xludf.DUMMYFUNCTION("""COMPUTED_VALUE"""),"")</f>
        <v/>
      </c>
      <c r="G156" s="151" t="str">
        <f>IFERROR(__xludf.DUMMYFUNCTION("""COMPUTED_VALUE"""),"")</f>
        <v/>
      </c>
      <c r="H156" s="155" t="str">
        <f>IFERROR(__xludf.DUMMYFUNCTION("""COMPUTED_VALUE"""),"")</f>
        <v/>
      </c>
      <c r="I156" s="157" t="str">
        <f>IFERROR(__xludf.DUMMYFUNCTION("""COMPUTED_VALUE"""),"")</f>
        <v/>
      </c>
      <c r="J156" s="159" t="str">
        <f>IFERROR(__xludf.DUMMYFUNCTION("""COMPUTED_VALUE"""),"")</f>
        <v/>
      </c>
      <c r="K156" s="161" t="str">
        <f>IFERROR(__xludf.DUMMYFUNCTION("""COMPUTED_VALUE"""),"AP")</f>
        <v>AP</v>
      </c>
      <c r="L156" s="163" t="str">
        <f>IFERROR(__xludf.DUMMYFUNCTION("""COMPUTED_VALUE"""),"")</f>
        <v/>
      </c>
      <c r="M156" s="161" t="str">
        <f>IFERROR(__xludf.DUMMYFUNCTION("""COMPUTED_VALUE"""),"％")</f>
        <v>％</v>
      </c>
      <c r="N156" s="155" t="str">
        <f>IFERROR(__xludf.DUMMYFUNCTION("""COMPUTED_VALUE"""),"")</f>
        <v/>
      </c>
      <c r="O156" s="100"/>
      <c r="P156" s="371" t="str">
        <f>IFERROR(__xludf.DUMMYFUNCTION("""COMPUTED_VALUE"""),"")</f>
        <v/>
      </c>
      <c r="R156" s="99"/>
      <c r="S156" s="100"/>
      <c r="T156" s="147">
        <f>IFERROR(__xludf.DUMMYFUNCTION("""COMPUTED_VALUE"""),4.0)</f>
        <v>4</v>
      </c>
      <c r="U156" s="149" t="str">
        <f>IFERROR(__xludf.DUMMYFUNCTION("""COMPUTED_VALUE"""),"TRF25")</f>
        <v>TRF25</v>
      </c>
      <c r="V156" s="151" t="str">
        <f>IFERROR(__xludf.DUMMYFUNCTION("""COMPUTED_VALUE"""),"Chaldea Gate (Sun)")</f>
        <v>Chaldea Gate (Sun)</v>
      </c>
      <c r="W156" s="151" t="str">
        <f>IFERROR(__xludf.DUMMYFUNCTION("""COMPUTED_VALUE"""),"SUN Saber Training Ground- Nov")</f>
        <v>SUN Saber Training Ground- Nov</v>
      </c>
      <c r="X156" s="155">
        <f>IFERROR(__xludf.DUMMYFUNCTION("""COMPUTED_VALUE"""),10.0)</f>
        <v>10</v>
      </c>
      <c r="Y156" s="157">
        <f>IFERROR(__xludf.DUMMYFUNCTION("""COMPUTED_VALUE"""),18.8)</f>
        <v>18.8</v>
      </c>
      <c r="Z156" s="159">
        <f>IFERROR(__xludf.DUMMYFUNCTION("""COMPUTED_VALUE"""),43.94581042885647)</f>
        <v>43.94581043</v>
      </c>
      <c r="AA156" s="161" t="str">
        <f>IFERROR(__xludf.DUMMYFUNCTION("""COMPUTED_VALUE"""),"AP")</f>
        <v>AP</v>
      </c>
      <c r="AB156" s="163">
        <f>IFERROR(__xludf.DUMMYFUNCTION("""COMPUTED_VALUE"""),22.75529772329247)</f>
        <v>22.75529772</v>
      </c>
      <c r="AC156" s="161" t="str">
        <f>IFERROR(__xludf.DUMMYFUNCTION("""COMPUTED_VALUE"""),"％")</f>
        <v>％</v>
      </c>
      <c r="AD156" s="155">
        <f>IFERROR(__xludf.DUMMYFUNCTION("""COMPUTED_VALUE"""),4568.0)</f>
        <v>4568</v>
      </c>
      <c r="AE156" s="100"/>
      <c r="AF156" s="372" t="str">
        <f>IFERROR(__xludf.DUMMYFUNCTION("""COMPUTED_VALUE"""),"")</f>
        <v/>
      </c>
    </row>
    <row r="157" ht="16.5" customHeight="1">
      <c r="A157" s="166"/>
      <c r="B157" s="167"/>
      <c r="C157" s="168"/>
      <c r="D157" s="169">
        <f>IFERROR(__xludf.DUMMYFUNCTION("""COMPUTED_VALUE"""),5.0)</f>
        <v>5</v>
      </c>
      <c r="E157" s="170" t="str">
        <f>IFERROR(__xludf.DUMMYFUNCTION("""COMPUTED_VALUE"""),"")</f>
        <v/>
      </c>
      <c r="F157" s="51" t="str">
        <f>IFERROR(__xludf.DUMMYFUNCTION("""COMPUTED_VALUE"""),"")</f>
        <v/>
      </c>
      <c r="G157" s="51" t="str">
        <f>IFERROR(__xludf.DUMMYFUNCTION("""COMPUTED_VALUE"""),"")</f>
        <v/>
      </c>
      <c r="H157" s="172" t="str">
        <f>IFERROR(__xludf.DUMMYFUNCTION("""COMPUTED_VALUE"""),"")</f>
        <v/>
      </c>
      <c r="I157" s="173" t="str">
        <f>IFERROR(__xludf.DUMMYFUNCTION("""COMPUTED_VALUE"""),"")</f>
        <v/>
      </c>
      <c r="J157" s="174" t="str">
        <f>IFERROR(__xludf.DUMMYFUNCTION("""COMPUTED_VALUE"""),"")</f>
        <v/>
      </c>
      <c r="K157" s="175" t="str">
        <f>IFERROR(__xludf.DUMMYFUNCTION("""COMPUTED_VALUE"""),"AP")</f>
        <v>AP</v>
      </c>
      <c r="L157" s="176" t="str">
        <f>IFERROR(__xludf.DUMMYFUNCTION("""COMPUTED_VALUE"""),"")</f>
        <v/>
      </c>
      <c r="M157" s="175" t="str">
        <f>IFERROR(__xludf.DUMMYFUNCTION("""COMPUTED_VALUE"""),"％")</f>
        <v>％</v>
      </c>
      <c r="N157" s="172" t="str">
        <f>IFERROR(__xludf.DUMMYFUNCTION("""COMPUTED_VALUE"""),"")</f>
        <v/>
      </c>
      <c r="O157" s="168"/>
      <c r="P157" s="371" t="str">
        <f>IFERROR(__xludf.DUMMYFUNCTION("""COMPUTED_VALUE"""),"")</f>
        <v/>
      </c>
      <c r="Q157" s="166"/>
      <c r="R157" s="167"/>
      <c r="S157" s="168"/>
      <c r="T157" s="169">
        <f>IFERROR(__xludf.DUMMYFUNCTION("""COMPUTED_VALUE"""),5.0)</f>
        <v>5</v>
      </c>
      <c r="U157" s="170" t="str">
        <f>IFERROR(__xludf.DUMMYFUNCTION("""COMPUTED_VALUE"""),"SEP8")</f>
        <v>SEP8</v>
      </c>
      <c r="V157" s="51" t="str">
        <f>IFERROR(__xludf.DUMMYFUNCTION("""COMPUTED_VALUE"""),"Septem")</f>
        <v>Septem</v>
      </c>
      <c r="W157" s="171" t="str">
        <f>IFERROR(__xludf.DUMMYFUNCTION("""COMPUTED_VALUE"""),"Gaul")</f>
        <v>Gaul</v>
      </c>
      <c r="X157" s="172">
        <f>IFERROR(__xludf.DUMMYFUNCTION("""COMPUTED_VALUE"""),9.0)</f>
        <v>9</v>
      </c>
      <c r="Y157" s="173">
        <f>IFERROR(__xludf.DUMMYFUNCTION("""COMPUTED_VALUE"""),31.555555555555557)</f>
        <v>31.55555556</v>
      </c>
      <c r="Z157" s="174">
        <f>IFERROR(__xludf.DUMMYFUNCTION("""COMPUTED_VALUE"""),87.66594971445522)</f>
        <v>87.66594971</v>
      </c>
      <c r="AA157" s="175" t="str">
        <f>IFERROR(__xludf.DUMMYFUNCTION("""COMPUTED_VALUE"""),"AP")</f>
        <v>AP</v>
      </c>
      <c r="AB157" s="176">
        <f>IFERROR(__xludf.DUMMYFUNCTION("""COMPUTED_VALUE"""),10.266243654822336)</f>
        <v>10.26624365</v>
      </c>
      <c r="AC157" s="175" t="str">
        <f>IFERROR(__xludf.DUMMYFUNCTION("""COMPUTED_VALUE"""),"％")</f>
        <v>％</v>
      </c>
      <c r="AD157" s="172">
        <f>IFERROR(__xludf.DUMMYFUNCTION("""COMPUTED_VALUE"""),2364.0)</f>
        <v>2364</v>
      </c>
      <c r="AE157" s="168"/>
      <c r="AF157" s="372" t="str">
        <f>IFERROR(__xludf.DUMMYFUNCTION("""COMPUTED_VALUE"""),"")</f>
        <v/>
      </c>
    </row>
    <row r="158" ht="16.5" customHeight="1">
      <c r="A158" s="61" t="str">
        <f>IFERROR(__xludf.DUMMYFUNCTION("""COMPUTED_VALUE"""),"")</f>
        <v/>
      </c>
      <c r="B158" s="366" t="str">
        <f>IFERROR(__xludf.DUMMYFUNCTION("""COMPUTED_VALUE"""),"A104")</f>
        <v>A104</v>
      </c>
      <c r="C158" s="180" t="str">
        <f>IFERROR(__xludf.DUMMYFUNCTION("""COMPUTED_VALUE"""),"Spirit Root")</f>
        <v>Spirit Root</v>
      </c>
      <c r="D158" s="185">
        <f>IFERROR(__xludf.DUMMYFUNCTION("""COMPUTED_VALUE"""),1.0)</f>
        <v>1</v>
      </c>
      <c r="E158" s="187" t="str">
        <f>IFERROR(__xludf.DUMMYFUNCTION("""COMPUTED_VALUE"""),"CML10")</f>
        <v>CML10</v>
      </c>
      <c r="F158" s="188" t="str">
        <f>IFERROR(__xludf.DUMMYFUNCTION("""COMPUTED_VALUE"""),"Camelot")</f>
        <v>Camelot</v>
      </c>
      <c r="G158" s="193" t="str">
        <f>IFERROR(__xludf.DUMMYFUNCTION("""COMPUTED_VALUE"""),"Holy City")</f>
        <v>Holy City</v>
      </c>
      <c r="H158" s="195">
        <f>IFERROR(__xludf.DUMMYFUNCTION("""COMPUTED_VALUE"""),20.0)</f>
        <v>20</v>
      </c>
      <c r="I158" s="196">
        <f>IFERROR(__xludf.DUMMYFUNCTION("""COMPUTED_VALUE"""),45.4)</f>
        <v>45.4</v>
      </c>
      <c r="J158" s="198">
        <f>IFERROR(__xludf.DUMMYFUNCTION("""COMPUTED_VALUE"""),166.01660231647563)</f>
        <v>166.0166023</v>
      </c>
      <c r="K158" s="200" t="str">
        <f>IFERROR(__xludf.DUMMYFUNCTION("""COMPUTED_VALUE"""),"AP")</f>
        <v>AP</v>
      </c>
      <c r="L158" s="198">
        <f>IFERROR(__xludf.DUMMYFUNCTION("""COMPUTED_VALUE"""),12.04698790418215)</f>
        <v>12.0469879</v>
      </c>
      <c r="M158" s="201" t="str">
        <f>IFERROR(__xludf.DUMMYFUNCTION("""COMPUTED_VALUE"""),"％")</f>
        <v>％</v>
      </c>
      <c r="N158" s="195">
        <f>IFERROR(__xludf.DUMMYFUNCTION("""COMPUTED_VALUE"""),25298.0)</f>
        <v>25298</v>
      </c>
      <c r="O158" s="197" t="str">
        <f>IFERROR(__xludf.DUMMYFUNCTION("""COMPUTED_VALUE"""),"Spirit Root")</f>
        <v>Spirit Root</v>
      </c>
      <c r="P158" s="371" t="str">
        <f>IFERROR(__xludf.DUMMYFUNCTION("""COMPUTED_VALUE"""),"")</f>
        <v/>
      </c>
      <c r="Q158" s="61" t="str">
        <f>IFERROR(__xludf.DUMMYFUNCTION("""COMPUTED_VALUE"""),"")</f>
        <v/>
      </c>
      <c r="R158" s="366" t="str">
        <f>IFERROR(__xludf.DUMMYFUNCTION("""COMPUTED_VALUE"""),"B212")</f>
        <v>B212</v>
      </c>
      <c r="S158" s="180" t="str">
        <f>IFERROR(__xludf.DUMMYFUNCTION("""COMPUTED_VALUE"""),"Archer Piece")</f>
        <v>Archer Piece</v>
      </c>
      <c r="T158" s="185">
        <f>IFERROR(__xludf.DUMMYFUNCTION("""COMPUTED_VALUE"""),1.0)</f>
        <v>1</v>
      </c>
      <c r="U158" s="187" t="str">
        <f>IFERROR(__xludf.DUMMYFUNCTION("""COMPUTED_VALUE"""),"TRF3")</f>
        <v>TRF3</v>
      </c>
      <c r="V158" s="188" t="str">
        <f>IFERROR(__xludf.DUMMYFUNCTION("""COMPUTED_VALUE"""),"Chaldea Gate (Mon)")</f>
        <v>Chaldea Gate (Mon)</v>
      </c>
      <c r="W158" s="188" t="str">
        <f>IFERROR(__xludf.DUMMYFUNCTION("""COMPUTED_VALUE"""),"MON Archer Training Ground- Adv")</f>
        <v>MON Archer Training Ground- Adv</v>
      </c>
      <c r="X158" s="195">
        <f>IFERROR(__xludf.DUMMYFUNCTION("""COMPUTED_VALUE"""),30.0)</f>
        <v>30</v>
      </c>
      <c r="Y158" s="196">
        <f>IFERROR(__xludf.DUMMYFUNCTION("""COMPUTED_VALUE"""),18.266666666666666)</f>
        <v>18.26666667</v>
      </c>
      <c r="Z158" s="198">
        <f>IFERROR(__xludf.DUMMYFUNCTION("""COMPUTED_VALUE"""),28.37976796562281)</f>
        <v>28.37976797</v>
      </c>
      <c r="AA158" s="200" t="str">
        <f>IFERROR(__xludf.DUMMYFUNCTION("""COMPUTED_VALUE"""),"AP")</f>
        <v>AP</v>
      </c>
      <c r="AB158" s="198">
        <f>IFERROR(__xludf.DUMMYFUNCTION("""COMPUTED_VALUE"""),105.70910951893552)</f>
        <v>105.7091095</v>
      </c>
      <c r="AC158" s="201" t="str">
        <f>IFERROR(__xludf.DUMMYFUNCTION("""COMPUTED_VALUE"""),"％")</f>
        <v>％</v>
      </c>
      <c r="AD158" s="195">
        <f>IFERROR(__xludf.DUMMYFUNCTION("""COMPUTED_VALUE"""),977.0)</f>
        <v>977</v>
      </c>
      <c r="AE158" s="197" t="str">
        <f>IFERROR(__xludf.DUMMYFUNCTION("""COMPUTED_VALUE"""),"Archer Piece")</f>
        <v>Archer Piece</v>
      </c>
      <c r="AF158" s="372" t="str">
        <f>IFERROR(__xludf.DUMMYFUNCTION("""COMPUTED_VALUE"""),"")</f>
        <v/>
      </c>
    </row>
    <row r="159" ht="16.5" customHeight="1">
      <c r="C159" s="204"/>
      <c r="D159" s="208">
        <f>IFERROR(__xludf.DUMMYFUNCTION("""COMPUTED_VALUE"""),2.0)</f>
        <v>2</v>
      </c>
      <c r="E159" s="210" t="str">
        <f>IFERROR(__xludf.DUMMYFUNCTION("""COMPUTED_VALUE"""),"SJK8")</f>
        <v>SJK8</v>
      </c>
      <c r="F159" s="212" t="str">
        <f>IFERROR(__xludf.DUMMYFUNCTION("""COMPUTED_VALUE"""),"Shinjuku")</f>
        <v>Shinjuku</v>
      </c>
      <c r="G159" s="216" t="str">
        <f>IFERROR(__xludf.DUMMYFUNCTION("""COMPUTED_VALUE"""),"Tower - Top Floor")</f>
        <v>Tower - Top Floor</v>
      </c>
      <c r="H159" s="218">
        <f>IFERROR(__xludf.DUMMYFUNCTION("""COMPUTED_VALUE"""),21.0)</f>
        <v>21</v>
      </c>
      <c r="I159" s="219">
        <f>IFERROR(__xludf.DUMMYFUNCTION("""COMPUTED_VALUE"""),47.80952380952381)</f>
        <v>47.80952381</v>
      </c>
      <c r="J159" s="220">
        <f>IFERROR(__xludf.DUMMYFUNCTION("""COMPUTED_VALUE"""),176.44777662874873)</f>
        <v>176.4477766</v>
      </c>
      <c r="K159" s="221" t="str">
        <f>IFERROR(__xludf.DUMMYFUNCTION("""COMPUTED_VALUE"""),"AP")</f>
        <v>AP</v>
      </c>
      <c r="L159" s="220">
        <f>IFERROR(__xludf.DUMMYFUNCTION("""COMPUTED_VALUE"""),11.901538461538461)</f>
        <v>11.90153846</v>
      </c>
      <c r="M159" s="221" t="str">
        <f>IFERROR(__xludf.DUMMYFUNCTION("""COMPUTED_VALUE"""),"％")</f>
        <v>％</v>
      </c>
      <c r="N159" s="218">
        <f>IFERROR(__xludf.DUMMYFUNCTION("""COMPUTED_VALUE"""),3250.0)</f>
        <v>3250</v>
      </c>
      <c r="O159" s="217"/>
      <c r="P159" s="371" t="str">
        <f>IFERROR(__xludf.DUMMYFUNCTION("""COMPUTED_VALUE"""),"")</f>
        <v/>
      </c>
      <c r="S159" s="204"/>
      <c r="T159" s="208">
        <f>IFERROR(__xludf.DUMMYFUNCTION("""COMPUTED_VALUE"""),2.0)</f>
        <v>2</v>
      </c>
      <c r="U159" s="210" t="str">
        <f>IFERROR(__xludf.DUMMYFUNCTION("""COMPUTED_VALUE"""),"TRF4")</f>
        <v>TRF4</v>
      </c>
      <c r="V159" s="212" t="str">
        <f>IFERROR(__xludf.DUMMYFUNCTION("""COMPUTED_VALUE"""),"Chaldea Gate (Mon)")</f>
        <v>Chaldea Gate (Mon)</v>
      </c>
      <c r="W159" s="212" t="str">
        <f>IFERROR(__xludf.DUMMYFUNCTION("""COMPUTED_VALUE"""),"MON Archer Training Ground- Exp")</f>
        <v>MON Archer Training Ground- Exp</v>
      </c>
      <c r="X159" s="218">
        <f>IFERROR(__xludf.DUMMYFUNCTION("""COMPUTED_VALUE"""),40.0)</f>
        <v>40</v>
      </c>
      <c r="Y159" s="219">
        <f>IFERROR(__xludf.DUMMYFUNCTION("""COMPUTED_VALUE"""),19.7)</f>
        <v>19.7</v>
      </c>
      <c r="Z159" s="220">
        <f>IFERROR(__xludf.DUMMYFUNCTION("""COMPUTED_VALUE"""),49.475666235772636)</f>
        <v>49.47566624</v>
      </c>
      <c r="AA159" s="221" t="str">
        <f>IFERROR(__xludf.DUMMYFUNCTION("""COMPUTED_VALUE"""),"AP")</f>
        <v>AP</v>
      </c>
      <c r="AB159" s="220">
        <f>IFERROR(__xludf.DUMMYFUNCTION("""COMPUTED_VALUE"""),80.84782488705245)</f>
        <v>80.84782489</v>
      </c>
      <c r="AC159" s="221" t="str">
        <f>IFERROR(__xludf.DUMMYFUNCTION("""COMPUTED_VALUE"""),"％")</f>
        <v>％</v>
      </c>
      <c r="AD159" s="218">
        <f>IFERROR(__xludf.DUMMYFUNCTION("""COMPUTED_VALUE"""),9762.0)</f>
        <v>9762</v>
      </c>
      <c r="AE159" s="217"/>
      <c r="AF159" s="372" t="str">
        <f>IFERROR(__xludf.DUMMYFUNCTION("""COMPUTED_VALUE"""),"")</f>
        <v/>
      </c>
    </row>
    <row r="160" ht="16.5" customHeight="1">
      <c r="C160" s="204"/>
      <c r="D160" s="225">
        <f>IFERROR(__xludf.DUMMYFUNCTION("""COMPUTED_VALUE"""),3.0)</f>
        <v>3</v>
      </c>
      <c r="E160" s="227" t="str">
        <f>IFERROR(__xludf.DUMMYFUNCTION("""COMPUTED_VALUE"""),"TRF28")</f>
        <v>TRF28</v>
      </c>
      <c r="F160" s="229" t="str">
        <f>IFERROR(__xludf.DUMMYFUNCTION("""COMPUTED_VALUE"""),"Chaldea Gate (Sun)")</f>
        <v>Chaldea Gate (Sun)</v>
      </c>
      <c r="G160" s="229" t="str">
        <f>IFERROR(__xludf.DUMMYFUNCTION("""COMPUTED_VALUE"""),"SUN Saber Training Ground- Exp")</f>
        <v>SUN Saber Training Ground- Exp</v>
      </c>
      <c r="H160" s="234">
        <f>IFERROR(__xludf.DUMMYFUNCTION("""COMPUTED_VALUE"""),40.0)</f>
        <v>40</v>
      </c>
      <c r="I160" s="235">
        <f>IFERROR(__xludf.DUMMYFUNCTION("""COMPUTED_VALUE"""),19.7)</f>
        <v>19.7</v>
      </c>
      <c r="J160" s="236">
        <f>IFERROR(__xludf.DUMMYFUNCTION("""COMPUTED_VALUE"""),489.74141671181326)</f>
        <v>489.7414167</v>
      </c>
      <c r="K160" s="237" t="str">
        <f>IFERROR(__xludf.DUMMYFUNCTION("""COMPUTED_VALUE"""),"AP")</f>
        <v>AP</v>
      </c>
      <c r="L160" s="236">
        <f>IFERROR(__xludf.DUMMYFUNCTION("""COMPUTED_VALUE"""),8.167575507206463)</f>
        <v>8.167575507</v>
      </c>
      <c r="M160" s="237" t="str">
        <f>IFERROR(__xludf.DUMMYFUNCTION("""COMPUTED_VALUE"""),"％")</f>
        <v>％</v>
      </c>
      <c r="N160" s="234">
        <f>IFERROR(__xludf.DUMMYFUNCTION("""COMPUTED_VALUE"""),21786.0)</f>
        <v>21786</v>
      </c>
      <c r="O160" s="217"/>
      <c r="P160" s="371" t="str">
        <f>IFERROR(__xludf.DUMMYFUNCTION("""COMPUTED_VALUE"""),"")</f>
        <v/>
      </c>
      <c r="S160" s="204"/>
      <c r="T160" s="225">
        <f>IFERROR(__xludf.DUMMYFUNCTION("""COMPUTED_VALUE"""),3.0)</f>
        <v>3</v>
      </c>
      <c r="U160" s="227" t="str">
        <f>IFERROR(__xludf.DUMMYFUNCTION("""COMPUTED_VALUE"""),"TRF2")</f>
        <v>TRF2</v>
      </c>
      <c r="V160" s="229" t="str">
        <f>IFERROR(__xludf.DUMMYFUNCTION("""COMPUTED_VALUE"""),"Chaldea Gate (Mon)")</f>
        <v>Chaldea Gate (Mon)</v>
      </c>
      <c r="W160" s="229" t="str">
        <f>IFERROR(__xludf.DUMMYFUNCTION("""COMPUTED_VALUE"""),"MON Archer Training Ground- Int")</f>
        <v>MON Archer Training Ground- Int</v>
      </c>
      <c r="X160" s="234">
        <f>IFERROR(__xludf.DUMMYFUNCTION("""COMPUTED_VALUE"""),20.0)</f>
        <v>20</v>
      </c>
      <c r="Y160" s="235">
        <f>IFERROR(__xludf.DUMMYFUNCTION("""COMPUTED_VALUE"""),18.4)</f>
        <v>18.4</v>
      </c>
      <c r="Z160" s="236">
        <f>IFERROR(__xludf.DUMMYFUNCTION("""COMPUTED_VALUE"""),28.735302332878007)</f>
        <v>28.73530233</v>
      </c>
      <c r="AA160" s="237" t="str">
        <f>IFERROR(__xludf.DUMMYFUNCTION("""COMPUTED_VALUE"""),"AP")</f>
        <v>AP</v>
      </c>
      <c r="AB160" s="236">
        <f>IFERROR(__xludf.DUMMYFUNCTION("""COMPUTED_VALUE"""),69.60079893475366)</f>
        <v>69.60079893</v>
      </c>
      <c r="AC160" s="237" t="str">
        <f>IFERROR(__xludf.DUMMYFUNCTION("""COMPUTED_VALUE"""),"％")</f>
        <v>％</v>
      </c>
      <c r="AD160" s="234">
        <f>IFERROR(__xludf.DUMMYFUNCTION("""COMPUTED_VALUE"""),751.0)</f>
        <v>751</v>
      </c>
      <c r="AE160" s="217"/>
      <c r="AF160" s="372" t="str">
        <f>IFERROR(__xludf.DUMMYFUNCTION("""COMPUTED_VALUE"""),"")</f>
        <v/>
      </c>
    </row>
    <row r="161" ht="16.5" customHeight="1">
      <c r="C161" s="204"/>
      <c r="D161" s="239">
        <f>IFERROR(__xludf.DUMMYFUNCTION("""COMPUTED_VALUE"""),4.0)</f>
        <v>4</v>
      </c>
      <c r="E161" s="241" t="str">
        <f>IFERROR(__xludf.DUMMYFUNCTION("""COMPUTED_VALUE"""),"EPU13")</f>
        <v>EPU13</v>
      </c>
      <c r="F161" s="243" t="str">
        <f>IFERROR(__xludf.DUMMYFUNCTION("""COMPUTED_VALUE"""),"E Pluribus Unum")</f>
        <v>E Pluribus Unum</v>
      </c>
      <c r="G161" s="245" t="str">
        <f>IFERROR(__xludf.DUMMYFUNCTION("""COMPUTED_VALUE"""),"Washington")</f>
        <v>Washington</v>
      </c>
      <c r="H161" s="247">
        <f>IFERROR(__xludf.DUMMYFUNCTION("""COMPUTED_VALUE"""),20.0)</f>
        <v>20</v>
      </c>
      <c r="I161" s="249">
        <f>IFERROR(__xludf.DUMMYFUNCTION("""COMPUTED_VALUE"""),47.2)</f>
        <v>47.2</v>
      </c>
      <c r="J161" s="251">
        <f>IFERROR(__xludf.DUMMYFUNCTION("""COMPUTED_VALUE"""),305.48874609613375)</f>
        <v>305.4887461</v>
      </c>
      <c r="K161" s="253" t="str">
        <f>IFERROR(__xludf.DUMMYFUNCTION("""COMPUTED_VALUE"""),"AP")</f>
        <v>AP</v>
      </c>
      <c r="L161" s="251">
        <f>IFERROR(__xludf.DUMMYFUNCTION("""COMPUTED_VALUE"""),6.546886016451235)</f>
        <v>6.546886016</v>
      </c>
      <c r="M161" s="253" t="str">
        <f>IFERROR(__xludf.DUMMYFUNCTION("""COMPUTED_VALUE"""),"％")</f>
        <v>％</v>
      </c>
      <c r="N161" s="247">
        <f>IFERROR(__xludf.DUMMYFUNCTION("""COMPUTED_VALUE"""),851.0)</f>
        <v>851</v>
      </c>
      <c r="O161" s="217"/>
      <c r="P161" s="371" t="str">
        <f>IFERROR(__xludf.DUMMYFUNCTION("""COMPUTED_VALUE"""),"")</f>
        <v/>
      </c>
      <c r="S161" s="204"/>
      <c r="T161" s="239">
        <f>IFERROR(__xludf.DUMMYFUNCTION("""COMPUTED_VALUE"""),4.0)</f>
        <v>4</v>
      </c>
      <c r="U161" s="241" t="str">
        <f>IFERROR(__xludf.DUMMYFUNCTION("""COMPUTED_VALUE"""),"TRF1")</f>
        <v>TRF1</v>
      </c>
      <c r="V161" s="243" t="str">
        <f>IFERROR(__xludf.DUMMYFUNCTION("""COMPUTED_VALUE"""),"Chaldea Gate (Mon)")</f>
        <v>Chaldea Gate (Mon)</v>
      </c>
      <c r="W161" s="243" t="str">
        <f>IFERROR(__xludf.DUMMYFUNCTION("""COMPUTED_VALUE"""),"MON Archer Training Ground- Nov")</f>
        <v>MON Archer Training Ground- Nov</v>
      </c>
      <c r="X161" s="247">
        <f>IFERROR(__xludf.DUMMYFUNCTION("""COMPUTED_VALUE"""),10.0)</f>
        <v>10</v>
      </c>
      <c r="Y161" s="249">
        <f>IFERROR(__xludf.DUMMYFUNCTION("""COMPUTED_VALUE"""),18.8)</f>
        <v>18.8</v>
      </c>
      <c r="Z161" s="251">
        <f>IFERROR(__xludf.DUMMYFUNCTION("""COMPUTED_VALUE"""),44.89383311796373)</f>
        <v>44.89383312</v>
      </c>
      <c r="AA161" s="253" t="str">
        <f>IFERROR(__xludf.DUMMYFUNCTION("""COMPUTED_VALUE"""),"AP")</f>
        <v>AP</v>
      </c>
      <c r="AB161" s="251">
        <f>IFERROR(__xludf.DUMMYFUNCTION("""COMPUTED_VALUE"""),22.274774296335636)</f>
        <v>22.2747743</v>
      </c>
      <c r="AC161" s="253" t="str">
        <f>IFERROR(__xludf.DUMMYFUNCTION("""COMPUTED_VALUE"""),"％")</f>
        <v>％</v>
      </c>
      <c r="AD161" s="247">
        <f>IFERROR(__xludf.DUMMYFUNCTION("""COMPUTED_VALUE"""),1883.0)</f>
        <v>1883</v>
      </c>
      <c r="AE161" s="217"/>
      <c r="AF161" s="372" t="str">
        <f>IFERROR(__xludf.DUMMYFUNCTION("""COMPUTED_VALUE"""),"")</f>
        <v/>
      </c>
    </row>
    <row r="162" ht="16.5" customHeight="1">
      <c r="A162" s="166"/>
      <c r="C162" s="255"/>
      <c r="D162" s="256">
        <f>IFERROR(__xludf.DUMMYFUNCTION("""COMPUTED_VALUE"""),5.0)</f>
        <v>5</v>
      </c>
      <c r="E162" s="257" t="str">
        <f>IFERROR(__xludf.DUMMYFUNCTION("""COMPUTED_VALUE"""),"TRF27")</f>
        <v>TRF27</v>
      </c>
      <c r="F162" s="42" t="str">
        <f>IFERROR(__xludf.DUMMYFUNCTION("""COMPUTED_VALUE"""),"Chaldea Gate (Sun)")</f>
        <v>Chaldea Gate (Sun)</v>
      </c>
      <c r="G162" s="42" t="str">
        <f>IFERROR(__xludf.DUMMYFUNCTION("""COMPUTED_VALUE"""),"SUN Saber Training Ground- Adv")</f>
        <v>SUN Saber Training Ground- Adv</v>
      </c>
      <c r="H162" s="259">
        <f>IFERROR(__xludf.DUMMYFUNCTION("""COMPUTED_VALUE"""),30.0)</f>
        <v>30</v>
      </c>
      <c r="I162" s="260">
        <f>IFERROR(__xludf.DUMMYFUNCTION("""COMPUTED_VALUE"""),18.266666666666666)</f>
        <v>18.26666667</v>
      </c>
      <c r="J162" s="261">
        <f>IFERROR(__xludf.DUMMYFUNCTION("""COMPUTED_VALUE"""),773.3633644721781)</f>
        <v>773.3633645</v>
      </c>
      <c r="K162" s="262" t="str">
        <f>IFERROR(__xludf.DUMMYFUNCTION("""COMPUTED_VALUE"""),"AP")</f>
        <v>AP</v>
      </c>
      <c r="L162" s="261">
        <f>IFERROR(__xludf.DUMMYFUNCTION("""COMPUTED_VALUE"""),3.8791597039866317)</f>
        <v>3.879159704</v>
      </c>
      <c r="M162" s="262" t="str">
        <f>IFERROR(__xludf.DUMMYFUNCTION("""COMPUTED_VALUE"""),"％")</f>
        <v>％</v>
      </c>
      <c r="N162" s="259">
        <f>IFERROR(__xludf.DUMMYFUNCTION("""COMPUTED_VALUE"""),4189.0)</f>
        <v>4189</v>
      </c>
      <c r="O162" s="263"/>
      <c r="P162" s="371" t="str">
        <f>IFERROR(__xludf.DUMMYFUNCTION("""COMPUTED_VALUE"""),"")</f>
        <v/>
      </c>
      <c r="Q162" s="166"/>
      <c r="S162" s="255"/>
      <c r="T162" s="256">
        <f>IFERROR(__xludf.DUMMYFUNCTION("""COMPUTED_VALUE"""),5.0)</f>
        <v>5</v>
      </c>
      <c r="U162" s="257" t="str">
        <f>IFERROR(__xludf.DUMMYFUNCTION("""COMPUTED_VALUE"""),"EPU8")</f>
        <v>EPU8</v>
      </c>
      <c r="V162" s="42" t="str">
        <f>IFERROR(__xludf.DUMMYFUNCTION("""COMPUTED_VALUE"""),"E Pluribus Unum")</f>
        <v>E Pluribus Unum</v>
      </c>
      <c r="W162" s="258" t="str">
        <f>IFERROR(__xludf.DUMMYFUNCTION("""COMPUTED_VALUE"""),"Montgomery")</f>
        <v>Montgomery</v>
      </c>
      <c r="X162" s="259">
        <f>IFERROR(__xludf.DUMMYFUNCTION("""COMPUTED_VALUE"""),18.0)</f>
        <v>18</v>
      </c>
      <c r="Y162" s="260">
        <f>IFERROR(__xludf.DUMMYFUNCTION("""COMPUTED_VALUE"""),42.44444444444444)</f>
        <v>42.44444444</v>
      </c>
      <c r="Z162" s="261">
        <f>IFERROR(__xludf.DUMMYFUNCTION("""COMPUTED_VALUE"""),147.37597186227325)</f>
        <v>147.3759719</v>
      </c>
      <c r="AA162" s="262" t="str">
        <f>IFERROR(__xludf.DUMMYFUNCTION("""COMPUTED_VALUE"""),"AP")</f>
        <v>AP</v>
      </c>
      <c r="AB162" s="261">
        <f>IFERROR(__xludf.DUMMYFUNCTION("""COMPUTED_VALUE"""),12.213659915214318)</f>
        <v>12.21365992</v>
      </c>
      <c r="AC162" s="262" t="str">
        <f>IFERROR(__xludf.DUMMYFUNCTION("""COMPUTED_VALUE"""),"％")</f>
        <v>％</v>
      </c>
      <c r="AD162" s="259">
        <f>IFERROR(__xludf.DUMMYFUNCTION("""COMPUTED_VALUE"""),2123.0)</f>
        <v>2123</v>
      </c>
      <c r="AE162" s="263"/>
      <c r="AF162" s="372" t="str">
        <f>IFERROR(__xludf.DUMMYFUNCTION("""COMPUTED_VALUE"""),"")</f>
        <v/>
      </c>
    </row>
    <row r="163" ht="16.5" customHeight="1">
      <c r="A163" s="61" t="str">
        <f>IFERROR(__xludf.DUMMYFUNCTION("""COMPUTED_VALUE"""),"")</f>
        <v/>
      </c>
      <c r="B163" s="367" t="str">
        <f>IFERROR(__xludf.DUMMYFUNCTION("""COMPUTED_VALUE"""),"A105")</f>
        <v>A105</v>
      </c>
      <c r="C163" s="65" t="str">
        <f>IFERROR(__xludf.DUMMYFUNCTION("""COMPUTED_VALUE"""),"Warhorse's Young Horn")</f>
        <v>Warhorse's Young Horn</v>
      </c>
      <c r="D163" s="70">
        <f>IFERROR(__xludf.DUMMYFUNCTION("""COMPUTED_VALUE"""),1.0)</f>
        <v>1</v>
      </c>
      <c r="E163" s="73" t="str">
        <f>IFERROR(__xludf.DUMMYFUNCTION("""COMPUTED_VALUE"""),"AGT2")</f>
        <v>AGT2</v>
      </c>
      <c r="F163" s="76" t="str">
        <f>IFERROR(__xludf.DUMMYFUNCTION("""COMPUTED_VALUE"""),"Agartha")</f>
        <v>Agartha</v>
      </c>
      <c r="G163" s="85" t="str">
        <f>IFERROR(__xludf.DUMMYFUNCTION("""COMPUTED_VALUE"""),"Camping Ground")</f>
        <v>Camping Ground</v>
      </c>
      <c r="H163" s="87">
        <f>IFERROR(__xludf.DUMMYFUNCTION("""COMPUTED_VALUE"""),20.0)</f>
        <v>20</v>
      </c>
      <c r="I163" s="90">
        <f>IFERROR(__xludf.DUMMYFUNCTION("""COMPUTED_VALUE"""),46.6)</f>
        <v>46.6</v>
      </c>
      <c r="J163" s="92">
        <f>IFERROR(__xludf.DUMMYFUNCTION("""COMPUTED_VALUE"""),88.1284961889496)</f>
        <v>88.12849619</v>
      </c>
      <c r="K163" s="94" t="str">
        <f>IFERROR(__xludf.DUMMYFUNCTION("""COMPUTED_VALUE"""),"AP")</f>
        <v>AP</v>
      </c>
      <c r="L163" s="96">
        <f>IFERROR(__xludf.DUMMYFUNCTION("""COMPUTED_VALUE"""),22.694135115070527)</f>
        <v>22.69413512</v>
      </c>
      <c r="M163" s="94" t="str">
        <f>IFERROR(__xludf.DUMMYFUNCTION("""COMPUTED_VALUE"""),"％")</f>
        <v>％</v>
      </c>
      <c r="N163" s="87">
        <f>IFERROR(__xludf.DUMMYFUNCTION("""COMPUTED_VALUE"""),1347.0)</f>
        <v>1347</v>
      </c>
      <c r="O163" s="97" t="str">
        <f>IFERROR(__xludf.DUMMYFUNCTION("""COMPUTED_VALUE"""),"Warhorse's Young Horn")</f>
        <v>Warhorse's Young Horn</v>
      </c>
      <c r="P163" s="371" t="str">
        <f>IFERROR(__xludf.DUMMYFUNCTION("""COMPUTED_VALUE"""),"")</f>
        <v/>
      </c>
      <c r="Q163" s="61" t="str">
        <f>IFERROR(__xludf.DUMMYFUNCTION("""COMPUTED_VALUE"""),"")</f>
        <v/>
      </c>
      <c r="R163" s="367" t="str">
        <f>IFERROR(__xludf.DUMMYFUNCTION("""COMPUTED_VALUE"""),"B213")</f>
        <v>B213</v>
      </c>
      <c r="S163" s="65" t="str">
        <f>IFERROR(__xludf.DUMMYFUNCTION("""COMPUTED_VALUE"""),"Lancer Piece")</f>
        <v>Lancer Piece</v>
      </c>
      <c r="T163" s="70">
        <f>IFERROR(__xludf.DUMMYFUNCTION("""COMPUTED_VALUE"""),1.0)</f>
        <v>1</v>
      </c>
      <c r="U163" s="73" t="str">
        <f>IFERROR(__xludf.DUMMYFUNCTION("""COMPUTED_VALUE"""),"TRF7")</f>
        <v>TRF7</v>
      </c>
      <c r="V163" s="76" t="str">
        <f>IFERROR(__xludf.DUMMYFUNCTION("""COMPUTED_VALUE"""),"Chaldea Gate (Tue)")</f>
        <v>Chaldea Gate (Tue)</v>
      </c>
      <c r="W163" s="76" t="str">
        <f>IFERROR(__xludf.DUMMYFUNCTION("""COMPUTED_VALUE"""),"TUE Lancer Training Ground- Adv")</f>
        <v>TUE Lancer Training Ground- Adv</v>
      </c>
      <c r="X163" s="87">
        <f>IFERROR(__xludf.DUMMYFUNCTION("""COMPUTED_VALUE"""),30.0)</f>
        <v>30</v>
      </c>
      <c r="Y163" s="90">
        <f>IFERROR(__xludf.DUMMYFUNCTION("""COMPUTED_VALUE"""),18.266666666666666)</f>
        <v>18.26666667</v>
      </c>
      <c r="Z163" s="92">
        <f>IFERROR(__xludf.DUMMYFUNCTION("""COMPUTED_VALUE"""),30.221607385139272)</f>
        <v>30.22160739</v>
      </c>
      <c r="AA163" s="94" t="str">
        <f>IFERROR(__xludf.DUMMYFUNCTION("""COMPUTED_VALUE"""),"AP")</f>
        <v>AP</v>
      </c>
      <c r="AB163" s="96">
        <f>IFERROR(__xludf.DUMMYFUNCTION("""COMPUTED_VALUE"""),99.26672535211267)</f>
        <v>99.26672535</v>
      </c>
      <c r="AC163" s="94" t="str">
        <f>IFERROR(__xludf.DUMMYFUNCTION("""COMPUTED_VALUE"""),"％")</f>
        <v>％</v>
      </c>
      <c r="AD163" s="87">
        <f>IFERROR(__xludf.DUMMYFUNCTION("""COMPUTED_VALUE"""),1136.0)</f>
        <v>1136</v>
      </c>
      <c r="AE163" s="97" t="str">
        <f>IFERROR(__xludf.DUMMYFUNCTION("""COMPUTED_VALUE"""),"Lancer Piece")</f>
        <v>Lancer Piece</v>
      </c>
      <c r="AF163" s="372" t="str">
        <f>IFERROR(__xludf.DUMMYFUNCTION("""COMPUTED_VALUE"""),"")</f>
        <v/>
      </c>
    </row>
    <row r="164" ht="16.5" customHeight="1">
      <c r="C164" s="100"/>
      <c r="D164" s="105">
        <f>IFERROR(__xludf.DUMMYFUNCTION("""COMPUTED_VALUE"""),2.0)</f>
        <v>2</v>
      </c>
      <c r="E164" s="106" t="str">
        <f>IFERROR(__xludf.DUMMYFUNCTION("""COMPUTED_VALUE"""),"CML4")</f>
        <v>CML4</v>
      </c>
      <c r="F164" s="107" t="str">
        <f>IFERROR(__xludf.DUMMYFUNCTION("""COMPUTED_VALUE"""),"Camelot")</f>
        <v>Camelot</v>
      </c>
      <c r="G164" s="114" t="str">
        <f>IFERROR(__xludf.DUMMYFUNCTION("""COMPUTED_VALUE"""),"East Village")</f>
        <v>East Village</v>
      </c>
      <c r="H164" s="116">
        <f>IFERROR(__xludf.DUMMYFUNCTION("""COMPUTED_VALUE"""),19.0)</f>
        <v>19</v>
      </c>
      <c r="I164" s="118">
        <f>IFERROR(__xludf.DUMMYFUNCTION("""COMPUTED_VALUE"""),44.0)</f>
        <v>44</v>
      </c>
      <c r="J164" s="120">
        <f>IFERROR(__xludf.DUMMYFUNCTION("""COMPUTED_VALUE"""),113.67064385411977)</f>
        <v>113.6706439</v>
      </c>
      <c r="K164" s="122" t="str">
        <f>IFERROR(__xludf.DUMMYFUNCTION("""COMPUTED_VALUE"""),"AP")</f>
        <v>AP</v>
      </c>
      <c r="L164" s="124">
        <f>IFERROR(__xludf.DUMMYFUNCTION("""COMPUTED_VALUE"""),16.714957666980244)</f>
        <v>16.71495767</v>
      </c>
      <c r="M164" s="122" t="str">
        <f>IFERROR(__xludf.DUMMYFUNCTION("""COMPUTED_VALUE"""),"％")</f>
        <v>％</v>
      </c>
      <c r="N164" s="116">
        <f>IFERROR(__xludf.DUMMYFUNCTION("""COMPUTED_VALUE"""),1063.0)</f>
        <v>1063</v>
      </c>
      <c r="O164" s="100"/>
      <c r="P164" s="371" t="str">
        <f>IFERROR(__xludf.DUMMYFUNCTION("""COMPUTED_VALUE"""),"")</f>
        <v/>
      </c>
      <c r="S164" s="100"/>
      <c r="T164" s="105">
        <f>IFERROR(__xludf.DUMMYFUNCTION("""COMPUTED_VALUE"""),2.0)</f>
        <v>2</v>
      </c>
      <c r="U164" s="106" t="str">
        <f>IFERROR(__xludf.DUMMYFUNCTION("""COMPUTED_VALUE"""),"TRF8")</f>
        <v>TRF8</v>
      </c>
      <c r="V164" s="107" t="str">
        <f>IFERROR(__xludf.DUMMYFUNCTION("""COMPUTED_VALUE"""),"Chaldea Gate (Tue)")</f>
        <v>Chaldea Gate (Tue)</v>
      </c>
      <c r="W164" s="107" t="str">
        <f>IFERROR(__xludf.DUMMYFUNCTION("""COMPUTED_VALUE"""),"TUE Lancer Training Ground- Exp")</f>
        <v>TUE Lancer Training Ground- Exp</v>
      </c>
      <c r="X164" s="116">
        <f>IFERROR(__xludf.DUMMYFUNCTION("""COMPUTED_VALUE"""),40.0)</f>
        <v>40</v>
      </c>
      <c r="Y164" s="118">
        <f>IFERROR(__xludf.DUMMYFUNCTION("""COMPUTED_VALUE"""),19.7)</f>
        <v>19.7</v>
      </c>
      <c r="Z164" s="120">
        <f>IFERROR(__xludf.DUMMYFUNCTION("""COMPUTED_VALUE"""),51.75833516985171)</f>
        <v>51.75833517</v>
      </c>
      <c r="AA164" s="122" t="str">
        <f>IFERROR(__xludf.DUMMYFUNCTION("""COMPUTED_VALUE"""),"AP")</f>
        <v>AP</v>
      </c>
      <c r="AB164" s="124">
        <f>IFERROR(__xludf.DUMMYFUNCTION("""COMPUTED_VALUE"""),77.28223844282239)</f>
        <v>77.28223844</v>
      </c>
      <c r="AC164" s="122" t="str">
        <f>IFERROR(__xludf.DUMMYFUNCTION("""COMPUTED_VALUE"""),"％")</f>
        <v>％</v>
      </c>
      <c r="AD164" s="116">
        <f>IFERROR(__xludf.DUMMYFUNCTION("""COMPUTED_VALUE"""),6165.0)</f>
        <v>6165</v>
      </c>
      <c r="AE164" s="100"/>
      <c r="AF164" s="372" t="str">
        <f>IFERROR(__xludf.DUMMYFUNCTION("""COMPUTED_VALUE"""),"")</f>
        <v/>
      </c>
    </row>
    <row r="165" ht="16.5" customHeight="1">
      <c r="C165" s="100"/>
      <c r="D165" s="128">
        <f>IFERROR(__xludf.DUMMYFUNCTION("""COMPUTED_VALUE"""),3.0)</f>
        <v>3</v>
      </c>
      <c r="E165" s="129" t="str">
        <f>IFERROR(__xludf.DUMMYFUNCTION("""COMPUTED_VALUE"""),"TRF8")</f>
        <v>TRF8</v>
      </c>
      <c r="F165" s="131" t="str">
        <f>IFERROR(__xludf.DUMMYFUNCTION("""COMPUTED_VALUE"""),"Chaldea Gate (Tue)")</f>
        <v>Chaldea Gate (Tue)</v>
      </c>
      <c r="G165" s="131" t="str">
        <f>IFERROR(__xludf.DUMMYFUNCTION("""COMPUTED_VALUE"""),"TUE Lancer Training Ground- Exp")</f>
        <v>TUE Lancer Training Ground- Exp</v>
      </c>
      <c r="H165" s="136">
        <f>IFERROR(__xludf.DUMMYFUNCTION("""COMPUTED_VALUE"""),40.0)</f>
        <v>40</v>
      </c>
      <c r="I165" s="138">
        <f>IFERROR(__xludf.DUMMYFUNCTION("""COMPUTED_VALUE"""),19.7)</f>
        <v>19.7</v>
      </c>
      <c r="J165" s="140">
        <f>IFERROR(__xludf.DUMMYFUNCTION("""COMPUTED_VALUE"""),311.42261792006065)</f>
        <v>311.4226179</v>
      </c>
      <c r="K165" s="142" t="str">
        <f>IFERROR(__xludf.DUMMYFUNCTION("""COMPUTED_VALUE"""),"AP")</f>
        <v>AP</v>
      </c>
      <c r="L165" s="144">
        <f>IFERROR(__xludf.DUMMYFUNCTION("""COMPUTED_VALUE"""),12.844282238442823)</f>
        <v>12.84428224</v>
      </c>
      <c r="M165" s="142" t="str">
        <f>IFERROR(__xludf.DUMMYFUNCTION("""COMPUTED_VALUE"""),"％")</f>
        <v>％</v>
      </c>
      <c r="N165" s="136">
        <f>IFERROR(__xludf.DUMMYFUNCTION("""COMPUTED_VALUE"""),6165.0)</f>
        <v>6165</v>
      </c>
      <c r="O165" s="100"/>
      <c r="P165" s="371" t="str">
        <f>IFERROR(__xludf.DUMMYFUNCTION("""COMPUTED_VALUE"""),"")</f>
        <v/>
      </c>
      <c r="S165" s="100"/>
      <c r="T165" s="128">
        <f>IFERROR(__xludf.DUMMYFUNCTION("""COMPUTED_VALUE"""),3.0)</f>
        <v>3</v>
      </c>
      <c r="U165" s="129" t="str">
        <f>IFERROR(__xludf.DUMMYFUNCTION("""COMPUTED_VALUE"""),"TRF6")</f>
        <v>TRF6</v>
      </c>
      <c r="V165" s="131" t="str">
        <f>IFERROR(__xludf.DUMMYFUNCTION("""COMPUTED_VALUE"""),"Chaldea Gate (Tue)")</f>
        <v>Chaldea Gate (Tue)</v>
      </c>
      <c r="W165" s="131" t="str">
        <f>IFERROR(__xludf.DUMMYFUNCTION("""COMPUTED_VALUE"""),"TUE Lancer Training Ground- Int")</f>
        <v>TUE Lancer Training Ground- Int</v>
      </c>
      <c r="X165" s="136">
        <f>IFERROR(__xludf.DUMMYFUNCTION("""COMPUTED_VALUE"""),20.0)</f>
        <v>20</v>
      </c>
      <c r="Y165" s="138">
        <f>IFERROR(__xludf.DUMMYFUNCTION("""COMPUTED_VALUE"""),18.4)</f>
        <v>18.4</v>
      </c>
      <c r="Z165" s="140">
        <f>IFERROR(__xludf.DUMMYFUNCTION("""COMPUTED_VALUE"""),28.828925920437555)</f>
        <v>28.82892592</v>
      </c>
      <c r="AA165" s="142" t="str">
        <f>IFERROR(__xludf.DUMMYFUNCTION("""COMPUTED_VALUE"""),"AP")</f>
        <v>AP</v>
      </c>
      <c r="AB165" s="144">
        <f>IFERROR(__xludf.DUMMYFUNCTION("""COMPUTED_VALUE"""),69.37476635514018)</f>
        <v>69.37476636</v>
      </c>
      <c r="AC165" s="142" t="str">
        <f>IFERROR(__xludf.DUMMYFUNCTION("""COMPUTED_VALUE"""),"％")</f>
        <v>％</v>
      </c>
      <c r="AD165" s="136">
        <f>IFERROR(__xludf.DUMMYFUNCTION("""COMPUTED_VALUE"""),428.0)</f>
        <v>428</v>
      </c>
      <c r="AE165" s="100"/>
      <c r="AF165" s="372" t="str">
        <f>IFERROR(__xludf.DUMMYFUNCTION("""COMPUTED_VALUE"""),"")</f>
        <v/>
      </c>
    </row>
    <row r="166" ht="16.5" customHeight="1">
      <c r="C166" s="100"/>
      <c r="D166" s="147">
        <f>IFERROR(__xludf.DUMMYFUNCTION("""COMPUTED_VALUE"""),4.0)</f>
        <v>4</v>
      </c>
      <c r="E166" s="149" t="str">
        <f>IFERROR(__xludf.DUMMYFUNCTION("""COMPUTED_VALUE"""),"EPU11")</f>
        <v>EPU11</v>
      </c>
      <c r="F166" s="151" t="str">
        <f>IFERROR(__xludf.DUMMYFUNCTION("""COMPUTED_VALUE"""),"E Pluribus Unum")</f>
        <v>E Pluribus Unum</v>
      </c>
      <c r="G166" s="153" t="str">
        <f>IFERROR(__xludf.DUMMYFUNCTION("""COMPUTED_VALUE"""),"Kearney")</f>
        <v>Kearney</v>
      </c>
      <c r="H166" s="155">
        <f>IFERROR(__xludf.DUMMYFUNCTION("""COMPUTED_VALUE"""),18.0)</f>
        <v>18</v>
      </c>
      <c r="I166" s="157">
        <f>IFERROR(__xludf.DUMMYFUNCTION("""COMPUTED_VALUE"""),43.77777777777778)</f>
        <v>43.77777778</v>
      </c>
      <c r="J166" s="159">
        <f>IFERROR(__xludf.DUMMYFUNCTION("""COMPUTED_VALUE"""),142.64183271988833)</f>
        <v>142.6418327</v>
      </c>
      <c r="K166" s="161" t="str">
        <f>IFERROR(__xludf.DUMMYFUNCTION("""COMPUTED_VALUE"""),"AP")</f>
        <v>AP</v>
      </c>
      <c r="L166" s="163">
        <f>IFERROR(__xludf.DUMMYFUNCTION("""COMPUTED_VALUE"""),12.619019019019019)</f>
        <v>12.61901902</v>
      </c>
      <c r="M166" s="161" t="str">
        <f>IFERROR(__xludf.DUMMYFUNCTION("""COMPUTED_VALUE"""),"％")</f>
        <v>％</v>
      </c>
      <c r="N166" s="155">
        <f>IFERROR(__xludf.DUMMYFUNCTION("""COMPUTED_VALUE"""),999.0)</f>
        <v>999</v>
      </c>
      <c r="O166" s="100"/>
      <c r="P166" s="371" t="str">
        <f>IFERROR(__xludf.DUMMYFUNCTION("""COMPUTED_VALUE"""),"")</f>
        <v/>
      </c>
      <c r="S166" s="100"/>
      <c r="T166" s="147">
        <f>IFERROR(__xludf.DUMMYFUNCTION("""COMPUTED_VALUE"""),4.0)</f>
        <v>4</v>
      </c>
      <c r="U166" s="149" t="str">
        <f>IFERROR(__xludf.DUMMYFUNCTION("""COMPUTED_VALUE"""),"TRF5")</f>
        <v>TRF5</v>
      </c>
      <c r="V166" s="151" t="str">
        <f>IFERROR(__xludf.DUMMYFUNCTION("""COMPUTED_VALUE"""),"Chaldea Gate (Tue)")</f>
        <v>Chaldea Gate (Tue)</v>
      </c>
      <c r="W166" s="151" t="str">
        <f>IFERROR(__xludf.DUMMYFUNCTION("""COMPUTED_VALUE"""),"TUE Lancer Training Ground- Nov")</f>
        <v>TUE Lancer Training Ground- Nov</v>
      </c>
      <c r="X166" s="155">
        <f>IFERROR(__xludf.DUMMYFUNCTION("""COMPUTED_VALUE"""),10.0)</f>
        <v>10</v>
      </c>
      <c r="Y166" s="157">
        <f>IFERROR(__xludf.DUMMYFUNCTION("""COMPUTED_VALUE"""),18.8)</f>
        <v>18.8</v>
      </c>
      <c r="Z166" s="159">
        <f>IFERROR(__xludf.DUMMYFUNCTION("""COMPUTED_VALUE"""),42.30078345316581)</f>
        <v>42.30078345</v>
      </c>
      <c r="AA166" s="161" t="str">
        <f>IFERROR(__xludf.DUMMYFUNCTION("""COMPUTED_VALUE"""),"AP")</f>
        <v>AP</v>
      </c>
      <c r="AB166" s="163">
        <f>IFERROR(__xludf.DUMMYFUNCTION("""COMPUTED_VALUE"""),23.64022408963585)</f>
        <v>23.64022409</v>
      </c>
      <c r="AC166" s="161" t="str">
        <f>IFERROR(__xludf.DUMMYFUNCTION("""COMPUTED_VALUE"""),"％")</f>
        <v>％</v>
      </c>
      <c r="AD166" s="155">
        <f>IFERROR(__xludf.DUMMYFUNCTION("""COMPUTED_VALUE"""),1785.0)</f>
        <v>1785</v>
      </c>
      <c r="AE166" s="100"/>
      <c r="AF166" s="372" t="str">
        <f>IFERROR(__xludf.DUMMYFUNCTION("""COMPUTED_VALUE"""),"")</f>
        <v/>
      </c>
    </row>
    <row r="167" ht="16.5" customHeight="1">
      <c r="A167" s="166"/>
      <c r="C167" s="168"/>
      <c r="D167" s="169">
        <f>IFERROR(__xludf.DUMMYFUNCTION("""COMPUTED_VALUE"""),5.0)</f>
        <v>5</v>
      </c>
      <c r="E167" s="170" t="str">
        <f>IFERROR(__xludf.DUMMYFUNCTION("""COMPUTED_VALUE"""),"TRF7")</f>
        <v>TRF7</v>
      </c>
      <c r="F167" s="51" t="str">
        <f>IFERROR(__xludf.DUMMYFUNCTION("""COMPUTED_VALUE"""),"Chaldea Gate (Tue)")</f>
        <v>Chaldea Gate (Tue)</v>
      </c>
      <c r="G167" s="51" t="str">
        <f>IFERROR(__xludf.DUMMYFUNCTION("""COMPUTED_VALUE"""),"TUE Lancer Training Ground- Adv")</f>
        <v>TUE Lancer Training Ground- Adv</v>
      </c>
      <c r="H167" s="172">
        <f>IFERROR(__xludf.DUMMYFUNCTION("""COMPUTED_VALUE"""),30.0)</f>
        <v>30</v>
      </c>
      <c r="I167" s="173">
        <f>IFERROR(__xludf.DUMMYFUNCTION("""COMPUTED_VALUE"""),18.266666666666666)</f>
        <v>18.26666667</v>
      </c>
      <c r="J167" s="174">
        <f>IFERROR(__xludf.DUMMYFUNCTION("""COMPUTED_VALUE"""),491.63300634737453)</f>
        <v>491.6330063</v>
      </c>
      <c r="K167" s="175" t="str">
        <f>IFERROR(__xludf.DUMMYFUNCTION("""COMPUTED_VALUE"""),"AP")</f>
        <v>AP</v>
      </c>
      <c r="L167" s="176">
        <f>IFERROR(__xludf.DUMMYFUNCTION("""COMPUTED_VALUE"""),6.102112676056338)</f>
        <v>6.102112676</v>
      </c>
      <c r="M167" s="175" t="str">
        <f>IFERROR(__xludf.DUMMYFUNCTION("""COMPUTED_VALUE"""),"％")</f>
        <v>％</v>
      </c>
      <c r="N167" s="172">
        <f>IFERROR(__xludf.DUMMYFUNCTION("""COMPUTED_VALUE"""),1136.0)</f>
        <v>1136</v>
      </c>
      <c r="O167" s="168"/>
      <c r="P167" s="371" t="str">
        <f>IFERROR(__xludf.DUMMYFUNCTION("""COMPUTED_VALUE"""),"")</f>
        <v/>
      </c>
      <c r="Q167" s="166"/>
      <c r="S167" s="168"/>
      <c r="T167" s="169">
        <f>IFERROR(__xludf.DUMMYFUNCTION("""COMPUTED_VALUE"""),5.0)</f>
        <v>5</v>
      </c>
      <c r="U167" s="170" t="str">
        <f>IFERROR(__xludf.DUMMYFUNCTION("""COMPUTED_VALUE"""),"EPU2")</f>
        <v>EPU2</v>
      </c>
      <c r="V167" s="51" t="str">
        <f>IFERROR(__xludf.DUMMYFUNCTION("""COMPUTED_VALUE"""),"E Pluribus Unum")</f>
        <v>E Pluribus Unum</v>
      </c>
      <c r="W167" s="171" t="str">
        <f>IFERROR(__xludf.DUMMYFUNCTION("""COMPUTED_VALUE"""),"Riverton")</f>
        <v>Riverton</v>
      </c>
      <c r="X167" s="172">
        <f>IFERROR(__xludf.DUMMYFUNCTION("""COMPUTED_VALUE"""),17.0)</f>
        <v>17</v>
      </c>
      <c r="Y167" s="173">
        <f>IFERROR(__xludf.DUMMYFUNCTION("""COMPUTED_VALUE"""),40.705882352941174)</f>
        <v>40.70588235</v>
      </c>
      <c r="Z167" s="174">
        <f>IFERROR(__xludf.DUMMYFUNCTION("""COMPUTED_VALUE"""),78.29046898638425)</f>
        <v>78.29046899</v>
      </c>
      <c r="AA167" s="175" t="str">
        <f>IFERROR(__xludf.DUMMYFUNCTION("""COMPUTED_VALUE"""),"AP")</f>
        <v>AP</v>
      </c>
      <c r="AB167" s="176">
        <f>IFERROR(__xludf.DUMMYFUNCTION("""COMPUTED_VALUE"""),21.71400966183575)</f>
        <v>21.71400966</v>
      </c>
      <c r="AC167" s="175" t="str">
        <f>IFERROR(__xludf.DUMMYFUNCTION("""COMPUTED_VALUE"""),"％")</f>
        <v>％</v>
      </c>
      <c r="AD167" s="172">
        <f>IFERROR(__xludf.DUMMYFUNCTION("""COMPUTED_VALUE"""),414.0)</f>
        <v>414</v>
      </c>
      <c r="AE167" s="168"/>
      <c r="AF167" s="372" t="str">
        <f>IFERROR(__xludf.DUMMYFUNCTION("""COMPUTED_VALUE"""),"")</f>
        <v/>
      </c>
    </row>
    <row r="168" ht="16.5" customHeight="1">
      <c r="A168" s="61" t="str">
        <f>IFERROR(__xludf.DUMMYFUNCTION("""COMPUTED_VALUE"""),"")</f>
        <v/>
      </c>
      <c r="B168" s="366" t="str">
        <f>IFERROR(__xludf.DUMMYFUNCTION("""COMPUTED_VALUE"""),"A106")</f>
        <v>A106</v>
      </c>
      <c r="C168" s="180" t="str">
        <f>IFERROR(__xludf.DUMMYFUNCTION("""COMPUTED_VALUE"""),"Tearstone of Blood")</f>
        <v>Tearstone of Blood</v>
      </c>
      <c r="D168" s="185">
        <f>IFERROR(__xludf.DUMMYFUNCTION("""COMPUTED_VALUE"""),1.0)</f>
        <v>1</v>
      </c>
      <c r="E168" s="187" t="str">
        <f>IFERROR(__xludf.DUMMYFUNCTION("""COMPUTED_VALUE"""),"SJK10")</f>
        <v>SJK10</v>
      </c>
      <c r="F168" s="188" t="str">
        <f>IFERROR(__xludf.DUMMYFUNCTION("""COMPUTED_VALUE"""),"Shinjuku")</f>
        <v>Shinjuku</v>
      </c>
      <c r="G168" s="193" t="str">
        <f>IFERROR(__xludf.DUMMYFUNCTION("""COMPUTED_VALUE"""),"Shinjuku 2-chome")</f>
        <v>Shinjuku 2-chome</v>
      </c>
      <c r="H168" s="195">
        <f>IFERROR(__xludf.DUMMYFUNCTION("""COMPUTED_VALUE"""),21.0)</f>
        <v>21</v>
      </c>
      <c r="I168" s="196">
        <f>IFERROR(__xludf.DUMMYFUNCTION("""COMPUTED_VALUE"""),48.95238095238095)</f>
        <v>48.95238095</v>
      </c>
      <c r="J168" s="198">
        <f>IFERROR(__xludf.DUMMYFUNCTION("""COMPUTED_VALUE"""),114.24783023911634)</f>
        <v>114.2478302</v>
      </c>
      <c r="K168" s="200" t="str">
        <f>IFERROR(__xludf.DUMMYFUNCTION("""COMPUTED_VALUE"""),"AP")</f>
        <v>AP</v>
      </c>
      <c r="L168" s="198">
        <f>IFERROR(__xludf.DUMMYFUNCTION("""COMPUTED_VALUE"""),18.381093064128923)</f>
        <v>18.38109306</v>
      </c>
      <c r="M168" s="201" t="str">
        <f>IFERROR(__xludf.DUMMYFUNCTION("""COMPUTED_VALUE"""),"％")</f>
        <v>％</v>
      </c>
      <c r="N168" s="195">
        <f>IFERROR(__xludf.DUMMYFUNCTION("""COMPUTED_VALUE"""),39972.0)</f>
        <v>39972</v>
      </c>
      <c r="O168" s="197" t="str">
        <f>IFERROR(__xludf.DUMMYFUNCTION("""COMPUTED_VALUE"""),"Tearstone of Blood")</f>
        <v>Tearstone of Blood</v>
      </c>
      <c r="P168" s="371" t="str">
        <f>IFERROR(__xludf.DUMMYFUNCTION("""COMPUTED_VALUE"""),"")</f>
        <v/>
      </c>
      <c r="Q168" s="61" t="str">
        <f>IFERROR(__xludf.DUMMYFUNCTION("""COMPUTED_VALUE"""),"")</f>
        <v/>
      </c>
      <c r="R168" s="366" t="str">
        <f>IFERROR(__xludf.DUMMYFUNCTION("""COMPUTED_VALUE"""),"B214")</f>
        <v>B214</v>
      </c>
      <c r="S168" s="180" t="str">
        <f>IFERROR(__xludf.DUMMYFUNCTION("""COMPUTED_VALUE"""),"Rider Piece")</f>
        <v>Rider Piece</v>
      </c>
      <c r="T168" s="185">
        <f>IFERROR(__xludf.DUMMYFUNCTION("""COMPUTED_VALUE"""),1.0)</f>
        <v>1</v>
      </c>
      <c r="U168" s="187" t="str">
        <f>IFERROR(__xludf.DUMMYFUNCTION("""COMPUTED_VALUE"""),"TRF15")</f>
        <v>TRF15</v>
      </c>
      <c r="V168" s="188" t="str">
        <f>IFERROR(__xludf.DUMMYFUNCTION("""COMPUTED_VALUE"""),"Chaldea Gate (Thu)")</f>
        <v>Chaldea Gate (Thu)</v>
      </c>
      <c r="W168" s="188" t="str">
        <f>IFERROR(__xludf.DUMMYFUNCTION("""COMPUTED_VALUE"""),"THU Rider Training Ground- Adv")</f>
        <v>THU Rider Training Ground- Adv</v>
      </c>
      <c r="X168" s="195">
        <f>IFERROR(__xludf.DUMMYFUNCTION("""COMPUTED_VALUE"""),30.0)</f>
        <v>30</v>
      </c>
      <c r="Y168" s="196">
        <f>IFERROR(__xludf.DUMMYFUNCTION("""COMPUTED_VALUE"""),18.266666666666666)</f>
        <v>18.26666667</v>
      </c>
      <c r="Z168" s="198">
        <f>IFERROR(__xludf.DUMMYFUNCTION("""COMPUTED_VALUE"""),29.294721314207024)</f>
        <v>29.29472131</v>
      </c>
      <c r="AA168" s="200" t="str">
        <f>IFERROR(__xludf.DUMMYFUNCTION("""COMPUTED_VALUE"""),"AP")</f>
        <v>AP</v>
      </c>
      <c r="AB168" s="198">
        <f>IFERROR(__xludf.DUMMYFUNCTION("""COMPUTED_VALUE"""),102.40752823086575)</f>
        <v>102.4075282</v>
      </c>
      <c r="AC168" s="201" t="str">
        <f>IFERROR(__xludf.DUMMYFUNCTION("""COMPUTED_VALUE"""),"％")</f>
        <v>％</v>
      </c>
      <c r="AD168" s="195">
        <f>IFERROR(__xludf.DUMMYFUNCTION("""COMPUTED_VALUE"""),797.0)</f>
        <v>797</v>
      </c>
      <c r="AE168" s="197" t="str">
        <f>IFERROR(__xludf.DUMMYFUNCTION("""COMPUTED_VALUE"""),"Rider Piece")</f>
        <v>Rider Piece</v>
      </c>
      <c r="AF168" s="372" t="str">
        <f>IFERROR(__xludf.DUMMYFUNCTION("""COMPUTED_VALUE"""),"")</f>
        <v/>
      </c>
    </row>
    <row r="169" ht="16.5" customHeight="1">
      <c r="C169" s="204"/>
      <c r="D169" s="208">
        <f>IFERROR(__xludf.DUMMYFUNCTION("""COMPUTED_VALUE"""),2.0)</f>
        <v>2</v>
      </c>
      <c r="E169" s="210" t="str">
        <f>IFERROR(__xludf.DUMMYFUNCTION("""COMPUTED_VALUE"""),"TRF4")</f>
        <v>TRF4</v>
      </c>
      <c r="F169" s="212" t="str">
        <f>IFERROR(__xludf.DUMMYFUNCTION("""COMPUTED_VALUE"""),"Chaldea Gate (Mon)")</f>
        <v>Chaldea Gate (Mon)</v>
      </c>
      <c r="G169" s="212" t="str">
        <f>IFERROR(__xludf.DUMMYFUNCTION("""COMPUTED_VALUE"""),"MON Archer Training Ground- Exp")</f>
        <v>MON Archer Training Ground- Exp</v>
      </c>
      <c r="H169" s="218">
        <f>IFERROR(__xludf.DUMMYFUNCTION("""COMPUTED_VALUE"""),40.0)</f>
        <v>40</v>
      </c>
      <c r="I169" s="219">
        <f>IFERROR(__xludf.DUMMYFUNCTION("""COMPUTED_VALUE"""),19.7)</f>
        <v>19.7</v>
      </c>
      <c r="J169" s="220">
        <f>IFERROR(__xludf.DUMMYFUNCTION("""COMPUTED_VALUE"""),312.25634960428175)</f>
        <v>312.2563496</v>
      </c>
      <c r="K169" s="221" t="str">
        <f>IFERROR(__xludf.DUMMYFUNCTION("""COMPUTED_VALUE"""),"AP")</f>
        <v>AP</v>
      </c>
      <c r="L169" s="220">
        <f>IFERROR(__xludf.DUMMYFUNCTION("""COMPUTED_VALUE"""),12.809987707437001)</f>
        <v>12.80998771</v>
      </c>
      <c r="M169" s="221" t="str">
        <f>IFERROR(__xludf.DUMMYFUNCTION("""COMPUTED_VALUE"""),"％")</f>
        <v>％</v>
      </c>
      <c r="N169" s="218">
        <f>IFERROR(__xludf.DUMMYFUNCTION("""COMPUTED_VALUE"""),9762.0)</f>
        <v>9762</v>
      </c>
      <c r="O169" s="217"/>
      <c r="P169" s="371" t="str">
        <f>IFERROR(__xludf.DUMMYFUNCTION("""COMPUTED_VALUE"""),"")</f>
        <v/>
      </c>
      <c r="S169" s="204"/>
      <c r="T169" s="208">
        <f>IFERROR(__xludf.DUMMYFUNCTION("""COMPUTED_VALUE"""),2.0)</f>
        <v>2</v>
      </c>
      <c r="U169" s="210" t="str">
        <f>IFERROR(__xludf.DUMMYFUNCTION("""COMPUTED_VALUE"""),"TRF16")</f>
        <v>TRF16</v>
      </c>
      <c r="V169" s="212" t="str">
        <f>IFERROR(__xludf.DUMMYFUNCTION("""COMPUTED_VALUE"""),"Chaldea Gate (Thu)")</f>
        <v>Chaldea Gate (Thu)</v>
      </c>
      <c r="W169" s="212" t="str">
        <f>IFERROR(__xludf.DUMMYFUNCTION("""COMPUTED_VALUE"""),"THU Rider Training Ground- Exp")</f>
        <v>THU Rider Training Ground- Exp</v>
      </c>
      <c r="X169" s="218">
        <f>IFERROR(__xludf.DUMMYFUNCTION("""COMPUTED_VALUE"""),40.0)</f>
        <v>40</v>
      </c>
      <c r="Y169" s="219">
        <f>IFERROR(__xludf.DUMMYFUNCTION("""COMPUTED_VALUE"""),19.7)</f>
        <v>19.7</v>
      </c>
      <c r="Z169" s="220">
        <f>IFERROR(__xludf.DUMMYFUNCTION("""COMPUTED_VALUE"""),50.84574474804512)</f>
        <v>50.84574475</v>
      </c>
      <c r="AA169" s="221" t="str">
        <f>IFERROR(__xludf.DUMMYFUNCTION("""COMPUTED_VALUE"""),"AP")</f>
        <v>AP</v>
      </c>
      <c r="AB169" s="220">
        <f>IFERROR(__xludf.DUMMYFUNCTION("""COMPUTED_VALUE"""),78.66931677018634)</f>
        <v>78.66931677</v>
      </c>
      <c r="AC169" s="221" t="str">
        <f>IFERROR(__xludf.DUMMYFUNCTION("""COMPUTED_VALUE"""),"％")</f>
        <v>％</v>
      </c>
      <c r="AD169" s="218">
        <f>IFERROR(__xludf.DUMMYFUNCTION("""COMPUTED_VALUE"""),4025.0)</f>
        <v>4025</v>
      </c>
      <c r="AE169" s="217"/>
      <c r="AF169" s="372" t="str">
        <f>IFERROR(__xludf.DUMMYFUNCTION("""COMPUTED_VALUE"""),"")</f>
        <v/>
      </c>
    </row>
    <row r="170" ht="16.5" customHeight="1">
      <c r="C170" s="204"/>
      <c r="D170" s="225">
        <f>IFERROR(__xludf.DUMMYFUNCTION("""COMPUTED_VALUE"""),3.0)</f>
        <v>3</v>
      </c>
      <c r="E170" s="227" t="str">
        <f>IFERROR(__xludf.DUMMYFUNCTION("""COMPUTED_VALUE"""),"EPU10")</f>
        <v>EPU10</v>
      </c>
      <c r="F170" s="229" t="str">
        <f>IFERROR(__xludf.DUMMYFUNCTION("""COMPUTED_VALUE"""),"E Pluribus Unum")</f>
        <v>E Pluribus Unum</v>
      </c>
      <c r="G170" s="233" t="str">
        <f>IFERROR(__xludf.DUMMYFUNCTION("""COMPUTED_VALUE"""),"Alexandria")</f>
        <v>Alexandria</v>
      </c>
      <c r="H170" s="234">
        <f>IFERROR(__xludf.DUMMYFUNCTION("""COMPUTED_VALUE"""),18.0)</f>
        <v>18</v>
      </c>
      <c r="I170" s="235">
        <f>IFERROR(__xludf.DUMMYFUNCTION("""COMPUTED_VALUE"""),43.77777777777778)</f>
        <v>43.77777778</v>
      </c>
      <c r="J170" s="236">
        <f>IFERROR(__xludf.DUMMYFUNCTION("""COMPUTED_VALUE"""),153.65455078752439)</f>
        <v>153.6545508</v>
      </c>
      <c r="K170" s="237" t="str">
        <f>IFERROR(__xludf.DUMMYFUNCTION("""COMPUTED_VALUE"""),"AP")</f>
        <v>AP</v>
      </c>
      <c r="L170" s="236">
        <f>IFERROR(__xludf.DUMMYFUNCTION("""COMPUTED_VALUE"""),11.714589582765203)</f>
        <v>11.71458958</v>
      </c>
      <c r="M170" s="237" t="str">
        <f>IFERROR(__xludf.DUMMYFUNCTION("""COMPUTED_VALUE"""),"％")</f>
        <v>％</v>
      </c>
      <c r="N170" s="234">
        <f>IFERROR(__xludf.DUMMYFUNCTION("""COMPUTED_VALUE"""),3667.0)</f>
        <v>3667</v>
      </c>
      <c r="O170" s="217"/>
      <c r="P170" s="371" t="str">
        <f>IFERROR(__xludf.DUMMYFUNCTION("""COMPUTED_VALUE"""),"")</f>
        <v/>
      </c>
      <c r="S170" s="204"/>
      <c r="T170" s="225">
        <f>IFERROR(__xludf.DUMMYFUNCTION("""COMPUTED_VALUE"""),3.0)</f>
        <v>3</v>
      </c>
      <c r="U170" s="227" t="str">
        <f>IFERROR(__xludf.DUMMYFUNCTION("""COMPUTED_VALUE"""),"TRF14")</f>
        <v>TRF14</v>
      </c>
      <c r="V170" s="229" t="str">
        <f>IFERROR(__xludf.DUMMYFUNCTION("""COMPUTED_VALUE"""),"Chaldea Gate (Thu)")</f>
        <v>Chaldea Gate (Thu)</v>
      </c>
      <c r="W170" s="229" t="str">
        <f>IFERROR(__xludf.DUMMYFUNCTION("""COMPUTED_VALUE"""),"THU Rider Training Ground- Int")</f>
        <v>THU Rider Training Ground- Int</v>
      </c>
      <c r="X170" s="234">
        <f>IFERROR(__xludf.DUMMYFUNCTION("""COMPUTED_VALUE"""),20.0)</f>
        <v>20</v>
      </c>
      <c r="Y170" s="235">
        <f>IFERROR(__xludf.DUMMYFUNCTION("""COMPUTED_VALUE"""),18.4)</f>
        <v>18.4</v>
      </c>
      <c r="Z170" s="236">
        <f>IFERROR(__xludf.DUMMYFUNCTION("""COMPUTED_VALUE"""),28.650748064877874)</f>
        <v>28.65074806</v>
      </c>
      <c r="AA170" s="237" t="str">
        <f>IFERROR(__xludf.DUMMYFUNCTION("""COMPUTED_VALUE"""),"AP")</f>
        <v>AP</v>
      </c>
      <c r="AB170" s="236">
        <f>IFERROR(__xludf.DUMMYFUNCTION("""COMPUTED_VALUE"""),69.80620525059666)</f>
        <v>69.80620525</v>
      </c>
      <c r="AC170" s="237" t="str">
        <f>IFERROR(__xludf.DUMMYFUNCTION("""COMPUTED_VALUE"""),"％")</f>
        <v>％</v>
      </c>
      <c r="AD170" s="234">
        <f>IFERROR(__xludf.DUMMYFUNCTION("""COMPUTED_VALUE"""),838.0)</f>
        <v>838</v>
      </c>
      <c r="AE170" s="217"/>
      <c r="AF170" s="372" t="str">
        <f>IFERROR(__xludf.DUMMYFUNCTION("""COMPUTED_VALUE"""),"")</f>
        <v/>
      </c>
    </row>
    <row r="171" ht="16.5" customHeight="1">
      <c r="C171" s="204"/>
      <c r="D171" s="239">
        <f>IFERROR(__xludf.DUMMYFUNCTION("""COMPUTED_VALUE"""),4.0)</f>
        <v>4</v>
      </c>
      <c r="E171" s="241" t="str">
        <f>IFERROR(__xludf.DUMMYFUNCTION("""COMPUTED_VALUE"""),"TRF3")</f>
        <v>TRF3</v>
      </c>
      <c r="F171" s="243" t="str">
        <f>IFERROR(__xludf.DUMMYFUNCTION("""COMPUTED_VALUE"""),"Chaldea Gate (Mon)")</f>
        <v>Chaldea Gate (Mon)</v>
      </c>
      <c r="G171" s="243" t="str">
        <f>IFERROR(__xludf.DUMMYFUNCTION("""COMPUTED_VALUE"""),"MON Archer Training Ground- Adv")</f>
        <v>MON Archer Training Ground- Adv</v>
      </c>
      <c r="H171" s="247">
        <f>IFERROR(__xludf.DUMMYFUNCTION("""COMPUTED_VALUE"""),30.0)</f>
        <v>30</v>
      </c>
      <c r="I171" s="249">
        <f>IFERROR(__xludf.DUMMYFUNCTION("""COMPUTED_VALUE"""),18.266666666666666)</f>
        <v>18.26666667</v>
      </c>
      <c r="J171" s="251">
        <f>IFERROR(__xludf.DUMMYFUNCTION("""COMPUTED_VALUE"""),461.78569740511415)</f>
        <v>461.7856974</v>
      </c>
      <c r="K171" s="253" t="str">
        <f>IFERROR(__xludf.DUMMYFUNCTION("""COMPUTED_VALUE"""),"AP")</f>
        <v>AP</v>
      </c>
      <c r="L171" s="251">
        <f>IFERROR(__xludf.DUMMYFUNCTION("""COMPUTED_VALUE"""),6.496519959058341)</f>
        <v>6.496519959</v>
      </c>
      <c r="M171" s="253" t="str">
        <f>IFERROR(__xludf.DUMMYFUNCTION("""COMPUTED_VALUE"""),"％")</f>
        <v>％</v>
      </c>
      <c r="N171" s="247">
        <f>IFERROR(__xludf.DUMMYFUNCTION("""COMPUTED_VALUE"""),977.0)</f>
        <v>977</v>
      </c>
      <c r="O171" s="217"/>
      <c r="P171" s="371" t="str">
        <f>IFERROR(__xludf.DUMMYFUNCTION("""COMPUTED_VALUE"""),"")</f>
        <v/>
      </c>
      <c r="S171" s="204"/>
      <c r="T171" s="239">
        <f>IFERROR(__xludf.DUMMYFUNCTION("""COMPUTED_VALUE"""),4.0)</f>
        <v>4</v>
      </c>
      <c r="U171" s="241" t="str">
        <f>IFERROR(__xludf.DUMMYFUNCTION("""COMPUTED_VALUE"""),"TRF13")</f>
        <v>TRF13</v>
      </c>
      <c r="V171" s="243" t="str">
        <f>IFERROR(__xludf.DUMMYFUNCTION("""COMPUTED_VALUE"""),"Chaldea Gate (Thu)")</f>
        <v>Chaldea Gate (Thu)</v>
      </c>
      <c r="W171" s="243" t="str">
        <f>IFERROR(__xludf.DUMMYFUNCTION("""COMPUTED_VALUE"""),"THU Rider Training Ground- Nov")</f>
        <v>THU Rider Training Ground- Nov</v>
      </c>
      <c r="X171" s="247">
        <f>IFERROR(__xludf.DUMMYFUNCTION("""COMPUTED_VALUE"""),10.0)</f>
        <v>10</v>
      </c>
      <c r="Y171" s="249">
        <f>IFERROR(__xludf.DUMMYFUNCTION("""COMPUTED_VALUE"""),18.8)</f>
        <v>18.8</v>
      </c>
      <c r="Z171" s="251">
        <f>IFERROR(__xludf.DUMMYFUNCTION("""COMPUTED_VALUE"""),43.98417418298689)</f>
        <v>43.98417418</v>
      </c>
      <c r="AA171" s="253" t="str">
        <f>IFERROR(__xludf.DUMMYFUNCTION("""COMPUTED_VALUE"""),"AP")</f>
        <v>AP</v>
      </c>
      <c r="AB171" s="251">
        <f>IFERROR(__xludf.DUMMYFUNCTION("""COMPUTED_VALUE"""),22.735450160771705)</f>
        <v>22.73545016</v>
      </c>
      <c r="AC171" s="253" t="str">
        <f>IFERROR(__xludf.DUMMYFUNCTION("""COMPUTED_VALUE"""),"％")</f>
        <v>％</v>
      </c>
      <c r="AD171" s="247">
        <f>IFERROR(__xludf.DUMMYFUNCTION("""COMPUTED_VALUE"""),1244.0)</f>
        <v>1244</v>
      </c>
      <c r="AE171" s="217"/>
      <c r="AF171" s="372" t="str">
        <f>IFERROR(__xludf.DUMMYFUNCTION("""COMPUTED_VALUE"""),"")</f>
        <v/>
      </c>
    </row>
    <row r="172" ht="16.5" customHeight="1">
      <c r="A172" s="166"/>
      <c r="C172" s="255"/>
      <c r="D172" s="256">
        <f>IFERROR(__xludf.DUMMYFUNCTION("""COMPUTED_VALUE"""),5.0)</f>
        <v>5</v>
      </c>
      <c r="E172" s="257" t="str">
        <f>IFERROR(__xludf.DUMMYFUNCTION("""COMPUTED_VALUE"""),"")</f>
        <v/>
      </c>
      <c r="F172" s="42" t="str">
        <f>IFERROR(__xludf.DUMMYFUNCTION("""COMPUTED_VALUE"""),"")</f>
        <v/>
      </c>
      <c r="G172" s="42" t="str">
        <f>IFERROR(__xludf.DUMMYFUNCTION("""COMPUTED_VALUE"""),"")</f>
        <v/>
      </c>
      <c r="H172" s="259" t="str">
        <f>IFERROR(__xludf.DUMMYFUNCTION("""COMPUTED_VALUE"""),"")</f>
        <v/>
      </c>
      <c r="I172" s="260" t="str">
        <f>IFERROR(__xludf.DUMMYFUNCTION("""COMPUTED_VALUE"""),"")</f>
        <v/>
      </c>
      <c r="J172" s="261" t="str">
        <f>IFERROR(__xludf.DUMMYFUNCTION("""COMPUTED_VALUE"""),"")</f>
        <v/>
      </c>
      <c r="K172" s="262" t="str">
        <f>IFERROR(__xludf.DUMMYFUNCTION("""COMPUTED_VALUE"""),"AP")</f>
        <v>AP</v>
      </c>
      <c r="L172" s="261" t="str">
        <f>IFERROR(__xludf.DUMMYFUNCTION("""COMPUTED_VALUE"""),"")</f>
        <v/>
      </c>
      <c r="M172" s="262" t="str">
        <f>IFERROR(__xludf.DUMMYFUNCTION("""COMPUTED_VALUE"""),"％")</f>
        <v>％</v>
      </c>
      <c r="N172" s="259" t="str">
        <f>IFERROR(__xludf.DUMMYFUNCTION("""COMPUTED_VALUE"""),"")</f>
        <v/>
      </c>
      <c r="O172" s="263"/>
      <c r="P172" s="371" t="str">
        <f>IFERROR(__xludf.DUMMYFUNCTION("""COMPUTED_VALUE"""),"")</f>
        <v/>
      </c>
      <c r="Q172" s="166"/>
      <c r="S172" s="255"/>
      <c r="T172" s="256">
        <f>IFERROR(__xludf.DUMMYFUNCTION("""COMPUTED_VALUE"""),5.0)</f>
        <v>5</v>
      </c>
      <c r="U172" s="257" t="str">
        <f>IFERROR(__xludf.DUMMYFUNCTION("""COMPUTED_VALUE"""),"ORL4")</f>
        <v>ORL4</v>
      </c>
      <c r="V172" s="42" t="str">
        <f>IFERROR(__xludf.DUMMYFUNCTION("""COMPUTED_VALUE"""),"Orleans")</f>
        <v>Orleans</v>
      </c>
      <c r="W172" s="258" t="str">
        <f>IFERROR(__xludf.DUMMYFUNCTION("""COMPUTED_VALUE"""),"Jura")</f>
        <v>Jura</v>
      </c>
      <c r="X172" s="259">
        <f>IFERROR(__xludf.DUMMYFUNCTION("""COMPUTED_VALUE"""),7.0)</f>
        <v>7</v>
      </c>
      <c r="Y172" s="260">
        <f>IFERROR(__xludf.DUMMYFUNCTION("""COMPUTED_VALUE"""),30.285714285714285)</f>
        <v>30.28571429</v>
      </c>
      <c r="Z172" s="261">
        <f>IFERROR(__xludf.DUMMYFUNCTION("""COMPUTED_VALUE"""),64.17927425776362)</f>
        <v>64.17927426</v>
      </c>
      <c r="AA172" s="262" t="str">
        <f>IFERROR(__xludf.DUMMYFUNCTION("""COMPUTED_VALUE"""),"AP")</f>
        <v>AP</v>
      </c>
      <c r="AB172" s="261">
        <f>IFERROR(__xludf.DUMMYFUNCTION("""COMPUTED_VALUE"""),10.90694789081886)</f>
        <v>10.90694789</v>
      </c>
      <c r="AC172" s="262" t="str">
        <f>IFERROR(__xludf.DUMMYFUNCTION("""COMPUTED_VALUE"""),"％")</f>
        <v>％</v>
      </c>
      <c r="AD172" s="259">
        <f>IFERROR(__xludf.DUMMYFUNCTION("""COMPUTED_VALUE"""),403.0)</f>
        <v>403</v>
      </c>
      <c r="AE172" s="263"/>
      <c r="AF172" s="372" t="str">
        <f>IFERROR(__xludf.DUMMYFUNCTION("""COMPUTED_VALUE"""),"")</f>
        <v/>
      </c>
    </row>
    <row r="173" ht="16.5" customHeight="1">
      <c r="A173" s="61" t="str">
        <f>IFERROR(__xludf.DUMMYFUNCTION("""COMPUTED_VALUE"""),"")</f>
        <v/>
      </c>
      <c r="B173" s="367" t="str">
        <f>IFERROR(__xludf.DUMMYFUNCTION("""COMPUTED_VALUE"""),"A107")</f>
        <v>A107</v>
      </c>
      <c r="C173" s="65" t="str">
        <f>IFERROR(__xludf.DUMMYFUNCTION("""COMPUTED_VALUE"""),"Black Beast Grease")</f>
        <v>Black Beast Grease</v>
      </c>
      <c r="D173" s="70">
        <f>IFERROR(__xludf.DUMMYFUNCTION("""COMPUTED_VALUE"""),1.0)</f>
        <v>1</v>
      </c>
      <c r="E173" s="73" t="str">
        <f>IFERROR(__xludf.DUMMYFUNCTION("""COMPUTED_VALUE"""),"AGT6")</f>
        <v>AGT6</v>
      </c>
      <c r="F173" s="76" t="str">
        <f>IFERROR(__xludf.DUMMYFUNCTION("""COMPUTED_VALUE"""),"Agartha")</f>
        <v>Agartha</v>
      </c>
      <c r="G173" s="85" t="str">
        <f>IFERROR(__xludf.DUMMYFUNCTION("""COMPUTED_VALUE"""),"Northern Cliffs")</f>
        <v>Northern Cliffs</v>
      </c>
      <c r="H173" s="87">
        <f>IFERROR(__xludf.DUMMYFUNCTION("""COMPUTED_VALUE"""),21.0)</f>
        <v>21</v>
      </c>
      <c r="I173" s="90">
        <f>IFERROR(__xludf.DUMMYFUNCTION("""COMPUTED_VALUE"""),45.523809523809526)</f>
        <v>45.52380952</v>
      </c>
      <c r="J173" s="92">
        <f>IFERROR(__xludf.DUMMYFUNCTION("""COMPUTED_VALUE"""),102.44743758212877)</f>
        <v>102.4474376</v>
      </c>
      <c r="K173" s="94" t="str">
        <f>IFERROR(__xludf.DUMMYFUNCTION("""COMPUTED_VALUE"""),"AP")</f>
        <v>AP</v>
      </c>
      <c r="L173" s="96">
        <f>IFERROR(__xludf.DUMMYFUNCTION("""COMPUTED_VALUE"""),20.4983164983165)</f>
        <v>20.4983165</v>
      </c>
      <c r="M173" s="94" t="str">
        <f>IFERROR(__xludf.DUMMYFUNCTION("""COMPUTED_VALUE"""),"％")</f>
        <v>％</v>
      </c>
      <c r="N173" s="87">
        <f>IFERROR(__xludf.DUMMYFUNCTION("""COMPUTED_VALUE"""),2079.0)</f>
        <v>2079</v>
      </c>
      <c r="O173" s="97" t="str">
        <f>IFERROR(__xludf.DUMMYFUNCTION("""COMPUTED_VALUE"""),"Black Beast Grease")</f>
        <v>Black Beast Grease</v>
      </c>
      <c r="P173" s="371" t="str">
        <f>IFERROR(__xludf.DUMMYFUNCTION("""COMPUTED_VALUE"""),"")</f>
        <v/>
      </c>
      <c r="Q173" s="61" t="str">
        <f>IFERROR(__xludf.DUMMYFUNCTION("""COMPUTED_VALUE"""),"")</f>
        <v/>
      </c>
      <c r="R173" s="367" t="str">
        <f>IFERROR(__xludf.DUMMYFUNCTION("""COMPUTED_VALUE"""),"B215")</f>
        <v>B215</v>
      </c>
      <c r="S173" s="65" t="str">
        <f>IFERROR(__xludf.DUMMYFUNCTION("""COMPUTED_VALUE"""),"Caster Piece")</f>
        <v>Caster Piece</v>
      </c>
      <c r="T173" s="70">
        <f>IFERROR(__xludf.DUMMYFUNCTION("""COMPUTED_VALUE"""),1.0)</f>
        <v>1</v>
      </c>
      <c r="U173" s="73" t="str">
        <f>IFERROR(__xludf.DUMMYFUNCTION("""COMPUTED_VALUE"""),"TRF19")</f>
        <v>TRF19</v>
      </c>
      <c r="V173" s="76" t="str">
        <f>IFERROR(__xludf.DUMMYFUNCTION("""COMPUTED_VALUE"""),"Chaldea Gate (Fri)")</f>
        <v>Chaldea Gate (Fri)</v>
      </c>
      <c r="W173" s="76" t="str">
        <f>IFERROR(__xludf.DUMMYFUNCTION("""COMPUTED_VALUE"""),"FRI Caster Training Ground- Adv")</f>
        <v>FRI Caster Training Ground- Adv</v>
      </c>
      <c r="X173" s="87">
        <f>IFERROR(__xludf.DUMMYFUNCTION("""COMPUTED_VALUE"""),30.0)</f>
        <v>30</v>
      </c>
      <c r="Y173" s="90">
        <f>IFERROR(__xludf.DUMMYFUNCTION("""COMPUTED_VALUE"""),18.266666666666666)</f>
        <v>18.26666667</v>
      </c>
      <c r="Z173" s="92">
        <f>IFERROR(__xludf.DUMMYFUNCTION("""COMPUTED_VALUE"""),32.390068767756034)</f>
        <v>32.39006877</v>
      </c>
      <c r="AA173" s="94" t="str">
        <f>IFERROR(__xludf.DUMMYFUNCTION("""COMPUTED_VALUE"""),"AP")</f>
        <v>AP</v>
      </c>
      <c r="AB173" s="96">
        <f>IFERROR(__xludf.DUMMYFUNCTION("""COMPUTED_VALUE"""),92.62098273117802)</f>
        <v>92.62098273</v>
      </c>
      <c r="AC173" s="94" t="str">
        <f>IFERROR(__xludf.DUMMYFUNCTION("""COMPUTED_VALUE"""),"％")</f>
        <v>％</v>
      </c>
      <c r="AD173" s="87">
        <f>IFERROR(__xludf.DUMMYFUNCTION("""COMPUTED_VALUE"""),1964.0)</f>
        <v>1964</v>
      </c>
      <c r="AE173" s="97" t="str">
        <f>IFERROR(__xludf.DUMMYFUNCTION("""COMPUTED_VALUE"""),"Caster Piece")</f>
        <v>Caster Piece</v>
      </c>
      <c r="AF173" s="372" t="str">
        <f>IFERROR(__xludf.DUMMYFUNCTION("""COMPUTED_VALUE"""),"")</f>
        <v/>
      </c>
    </row>
    <row r="174" ht="16.5" customHeight="1">
      <c r="C174" s="100"/>
      <c r="D174" s="105">
        <f>IFERROR(__xludf.DUMMYFUNCTION("""COMPUTED_VALUE"""),2.0)</f>
        <v>2</v>
      </c>
      <c r="E174" s="106" t="str">
        <f>IFERROR(__xludf.DUMMYFUNCTION("""COMPUTED_VALUE"""),"BBL2")</f>
        <v>BBL2</v>
      </c>
      <c r="F174" s="107" t="str">
        <f>IFERROR(__xludf.DUMMYFUNCTION("""COMPUTED_VALUE"""),"Babylonia")</f>
        <v>Babylonia</v>
      </c>
      <c r="G174" s="114" t="str">
        <f>IFERROR(__xludf.DUMMYFUNCTION("""COMPUTED_VALUE"""),"Northern Hill")</f>
        <v>Northern Hill</v>
      </c>
      <c r="H174" s="116">
        <f>IFERROR(__xludf.DUMMYFUNCTION("""COMPUTED_VALUE"""),20.0)</f>
        <v>20</v>
      </c>
      <c r="I174" s="118">
        <f>IFERROR(__xludf.DUMMYFUNCTION("""COMPUTED_VALUE"""),46.6)</f>
        <v>46.6</v>
      </c>
      <c r="J174" s="120">
        <f>IFERROR(__xludf.DUMMYFUNCTION("""COMPUTED_VALUE"""),112.29938785256364)</f>
        <v>112.2993879</v>
      </c>
      <c r="K174" s="122" t="str">
        <f>IFERROR(__xludf.DUMMYFUNCTION("""COMPUTED_VALUE"""),"AP")</f>
        <v>AP</v>
      </c>
      <c r="L174" s="124">
        <f>IFERROR(__xludf.DUMMYFUNCTION("""COMPUTED_VALUE"""),17.809536082474224)</f>
        <v>17.80953608</v>
      </c>
      <c r="M174" s="122" t="str">
        <f>IFERROR(__xludf.DUMMYFUNCTION("""COMPUTED_VALUE"""),"％")</f>
        <v>％</v>
      </c>
      <c r="N174" s="116">
        <f>IFERROR(__xludf.DUMMYFUNCTION("""COMPUTED_VALUE"""),388.0)</f>
        <v>388</v>
      </c>
      <c r="O174" s="100"/>
      <c r="P174" s="371" t="str">
        <f>IFERROR(__xludf.DUMMYFUNCTION("""COMPUTED_VALUE"""),"")</f>
        <v/>
      </c>
      <c r="S174" s="100"/>
      <c r="T174" s="105">
        <f>IFERROR(__xludf.DUMMYFUNCTION("""COMPUTED_VALUE"""),2.0)</f>
        <v>2</v>
      </c>
      <c r="U174" s="106" t="str">
        <f>IFERROR(__xludf.DUMMYFUNCTION("""COMPUTED_VALUE"""),"TRF18")</f>
        <v>TRF18</v>
      </c>
      <c r="V174" s="107" t="str">
        <f>IFERROR(__xludf.DUMMYFUNCTION("""COMPUTED_VALUE"""),"Chaldea Gate (Fri)")</f>
        <v>Chaldea Gate (Fri)</v>
      </c>
      <c r="W174" s="107" t="str">
        <f>IFERROR(__xludf.DUMMYFUNCTION("""COMPUTED_VALUE"""),"FRI Caster Training Ground- Int")</f>
        <v>FRI Caster Training Ground- Int</v>
      </c>
      <c r="X174" s="116">
        <f>IFERROR(__xludf.DUMMYFUNCTION("""COMPUTED_VALUE"""),20.0)</f>
        <v>20</v>
      </c>
      <c r="Y174" s="118">
        <f>IFERROR(__xludf.DUMMYFUNCTION("""COMPUTED_VALUE"""),18.4)</f>
        <v>18.4</v>
      </c>
      <c r="Z174" s="120">
        <f>IFERROR(__xludf.DUMMYFUNCTION("""COMPUTED_VALUE"""),23.944898672624827)</f>
        <v>23.94489867</v>
      </c>
      <c r="AA174" s="122" t="str">
        <f>IFERROR(__xludf.DUMMYFUNCTION("""COMPUTED_VALUE"""),"AP")</f>
        <v>AP</v>
      </c>
      <c r="AB174" s="124">
        <f>IFERROR(__xludf.DUMMYFUNCTION("""COMPUTED_VALUE"""),83.52509765625001)</f>
        <v>83.52509766</v>
      </c>
      <c r="AC174" s="122" t="str">
        <f>IFERROR(__xludf.DUMMYFUNCTION("""COMPUTED_VALUE"""),"％")</f>
        <v>％</v>
      </c>
      <c r="AD174" s="116">
        <f>IFERROR(__xludf.DUMMYFUNCTION("""COMPUTED_VALUE"""),1024.0)</f>
        <v>1024</v>
      </c>
      <c r="AE174" s="100"/>
      <c r="AF174" s="372" t="str">
        <f>IFERROR(__xludf.DUMMYFUNCTION("""COMPUTED_VALUE"""),"")</f>
        <v/>
      </c>
    </row>
    <row r="175" ht="16.5" customHeight="1">
      <c r="C175" s="100"/>
      <c r="D175" s="128">
        <f>IFERROR(__xludf.DUMMYFUNCTION("""COMPUTED_VALUE"""),3.0)</f>
        <v>3</v>
      </c>
      <c r="E175" s="129" t="str">
        <f>IFERROR(__xludf.DUMMYFUNCTION("""COMPUTED_VALUE"""),"TRF24")</f>
        <v>TRF24</v>
      </c>
      <c r="F175" s="131" t="str">
        <f>IFERROR(__xludf.DUMMYFUNCTION("""COMPUTED_VALUE"""),"Chaldea Gate (Sat)")</f>
        <v>Chaldea Gate (Sat)</v>
      </c>
      <c r="G175" s="131" t="str">
        <f>IFERROR(__xludf.DUMMYFUNCTION("""COMPUTED_VALUE"""),"SAT Assassin Training Ground- Exp")</f>
        <v>SAT Assassin Training Ground- Exp</v>
      </c>
      <c r="H175" s="136">
        <f>IFERROR(__xludf.DUMMYFUNCTION("""COMPUTED_VALUE"""),40.0)</f>
        <v>40</v>
      </c>
      <c r="I175" s="138">
        <f>IFERROR(__xludf.DUMMYFUNCTION("""COMPUTED_VALUE"""),19.7)</f>
        <v>19.7</v>
      </c>
      <c r="J175" s="140">
        <f>IFERROR(__xludf.DUMMYFUNCTION("""COMPUTED_VALUE"""),331.27949488606794)</f>
        <v>331.2794949</v>
      </c>
      <c r="K175" s="142" t="str">
        <f>IFERROR(__xludf.DUMMYFUNCTION("""COMPUTED_VALUE"""),"AP")</f>
        <v>AP</v>
      </c>
      <c r="L175" s="144">
        <f>IFERROR(__xludf.DUMMYFUNCTION("""COMPUTED_VALUE"""),12.074396579769179)</f>
        <v>12.07439658</v>
      </c>
      <c r="M175" s="142" t="str">
        <f>IFERROR(__xludf.DUMMYFUNCTION("""COMPUTED_VALUE"""),"％")</f>
        <v>％</v>
      </c>
      <c r="N175" s="136">
        <f>IFERROR(__xludf.DUMMYFUNCTION("""COMPUTED_VALUE"""),7365.0)</f>
        <v>7365</v>
      </c>
      <c r="O175" s="100"/>
      <c r="P175" s="371" t="str">
        <f>IFERROR(__xludf.DUMMYFUNCTION("""COMPUTED_VALUE"""),"")</f>
        <v/>
      </c>
      <c r="S175" s="100"/>
      <c r="T175" s="128">
        <f>IFERROR(__xludf.DUMMYFUNCTION("""COMPUTED_VALUE"""),3.0)</f>
        <v>3</v>
      </c>
      <c r="U175" s="129" t="str">
        <f>IFERROR(__xludf.DUMMYFUNCTION("""COMPUTED_VALUE"""),"TRF20")</f>
        <v>TRF20</v>
      </c>
      <c r="V175" s="131" t="str">
        <f>IFERROR(__xludf.DUMMYFUNCTION("""COMPUTED_VALUE"""),"Chaldea Gate (Fri)")</f>
        <v>Chaldea Gate (Fri)</v>
      </c>
      <c r="W175" s="131" t="str">
        <f>IFERROR(__xludf.DUMMYFUNCTION("""COMPUTED_VALUE"""),"FRI Caster Training Ground- Exp")</f>
        <v>FRI Caster Training Ground- Exp</v>
      </c>
      <c r="X175" s="136">
        <f>IFERROR(__xludf.DUMMYFUNCTION("""COMPUTED_VALUE"""),40.0)</f>
        <v>40</v>
      </c>
      <c r="Y175" s="138">
        <f>IFERROR(__xludf.DUMMYFUNCTION("""COMPUTED_VALUE"""),19.7)</f>
        <v>19.7</v>
      </c>
      <c r="Z175" s="140">
        <f>IFERROR(__xludf.DUMMYFUNCTION("""COMPUTED_VALUE"""),49.61964929698486)</f>
        <v>49.6196493</v>
      </c>
      <c r="AA175" s="142" t="str">
        <f>IFERROR(__xludf.DUMMYFUNCTION("""COMPUTED_VALUE"""),"AP")</f>
        <v>AP</v>
      </c>
      <c r="AB175" s="144">
        <f>IFERROR(__xludf.DUMMYFUNCTION("""COMPUTED_VALUE"""),80.61322594319627)</f>
        <v>80.61322594</v>
      </c>
      <c r="AC175" s="142" t="str">
        <f>IFERROR(__xludf.DUMMYFUNCTION("""COMPUTED_VALUE"""),"％")</f>
        <v>％</v>
      </c>
      <c r="AD175" s="136">
        <f>IFERROR(__xludf.DUMMYFUNCTION("""COMPUTED_VALUE"""),11795.0)</f>
        <v>11795</v>
      </c>
      <c r="AE175" s="100"/>
      <c r="AF175" s="372" t="str">
        <f>IFERROR(__xludf.DUMMYFUNCTION("""COMPUTED_VALUE"""),"")</f>
        <v/>
      </c>
    </row>
    <row r="176" ht="16.5" customHeight="1">
      <c r="C176" s="100"/>
      <c r="D176" s="147">
        <f>IFERROR(__xludf.DUMMYFUNCTION("""COMPUTED_VALUE"""),4.0)</f>
        <v>4</v>
      </c>
      <c r="E176" s="149" t="str">
        <f>IFERROR(__xludf.DUMMYFUNCTION("""COMPUTED_VALUE"""),"EPU9")</f>
        <v>EPU9</v>
      </c>
      <c r="F176" s="151" t="str">
        <f>IFERROR(__xludf.DUMMYFUNCTION("""COMPUTED_VALUE"""),"E Pluribus Unum")</f>
        <v>E Pluribus Unum</v>
      </c>
      <c r="G176" s="153" t="str">
        <f>IFERROR(__xludf.DUMMYFUNCTION("""COMPUTED_VALUE"""),"Lubbock")</f>
        <v>Lubbock</v>
      </c>
      <c r="H176" s="155">
        <f>IFERROR(__xludf.DUMMYFUNCTION("""COMPUTED_VALUE"""),18.0)</f>
        <v>18</v>
      </c>
      <c r="I176" s="157">
        <f>IFERROR(__xludf.DUMMYFUNCTION("""COMPUTED_VALUE"""),43.77777777777778)</f>
        <v>43.77777778</v>
      </c>
      <c r="J176" s="159">
        <f>IFERROR(__xludf.DUMMYFUNCTION("""COMPUTED_VALUE"""),158.41514726507714)</f>
        <v>158.4151473</v>
      </c>
      <c r="K176" s="161" t="str">
        <f>IFERROR(__xludf.DUMMYFUNCTION("""COMPUTED_VALUE"""),"AP")</f>
        <v>AP</v>
      </c>
      <c r="L176" s="163">
        <f>IFERROR(__xludf.DUMMYFUNCTION("""COMPUTED_VALUE"""),11.362549800796813)</f>
        <v>11.3625498</v>
      </c>
      <c r="M176" s="161" t="str">
        <f>IFERROR(__xludf.DUMMYFUNCTION("""COMPUTED_VALUE"""),"％")</f>
        <v>％</v>
      </c>
      <c r="N176" s="155">
        <f>IFERROR(__xludf.DUMMYFUNCTION("""COMPUTED_VALUE"""),502.0)</f>
        <v>502</v>
      </c>
      <c r="O176" s="100"/>
      <c r="P176" s="371" t="str">
        <f>IFERROR(__xludf.DUMMYFUNCTION("""COMPUTED_VALUE"""),"")</f>
        <v/>
      </c>
      <c r="S176" s="100"/>
      <c r="T176" s="147">
        <f>IFERROR(__xludf.DUMMYFUNCTION("""COMPUTED_VALUE"""),4.0)</f>
        <v>4</v>
      </c>
      <c r="U176" s="149" t="str">
        <f>IFERROR(__xludf.DUMMYFUNCTION("""COMPUTED_VALUE"""),"TRF17")</f>
        <v>TRF17</v>
      </c>
      <c r="V176" s="151" t="str">
        <f>IFERROR(__xludf.DUMMYFUNCTION("""COMPUTED_VALUE"""),"Chaldea Gate (Fri)")</f>
        <v>Chaldea Gate (Fri)</v>
      </c>
      <c r="W176" s="151" t="str">
        <f>IFERROR(__xludf.DUMMYFUNCTION("""COMPUTED_VALUE"""),"FRI Caster Training Ground- Nov")</f>
        <v>FRI Caster Training Ground- Nov</v>
      </c>
      <c r="X176" s="155">
        <f>IFERROR(__xludf.DUMMYFUNCTION("""COMPUTED_VALUE"""),10.0)</f>
        <v>10</v>
      </c>
      <c r="Y176" s="157">
        <f>IFERROR(__xludf.DUMMYFUNCTION("""COMPUTED_VALUE"""),18.8)</f>
        <v>18.8</v>
      </c>
      <c r="Z176" s="159">
        <f>IFERROR(__xludf.DUMMYFUNCTION("""COMPUTED_VALUE"""),31.463871267818124)</f>
        <v>31.46387127</v>
      </c>
      <c r="AA176" s="161" t="str">
        <f>IFERROR(__xludf.DUMMYFUNCTION("""COMPUTED_VALUE"""),"AP")</f>
        <v>AP</v>
      </c>
      <c r="AB176" s="163">
        <f>IFERROR(__xludf.DUMMYFUNCTION("""COMPUTED_VALUE"""),31.782484472049692)</f>
        <v>31.78248447</v>
      </c>
      <c r="AC176" s="161" t="str">
        <f>IFERROR(__xludf.DUMMYFUNCTION("""COMPUTED_VALUE"""),"％")</f>
        <v>％</v>
      </c>
      <c r="AD176" s="155">
        <f>IFERROR(__xludf.DUMMYFUNCTION("""COMPUTED_VALUE"""),3220.0)</f>
        <v>3220</v>
      </c>
      <c r="AE176" s="100"/>
      <c r="AF176" s="372" t="str">
        <f>IFERROR(__xludf.DUMMYFUNCTION("""COMPUTED_VALUE"""),"")</f>
        <v/>
      </c>
    </row>
    <row r="177" ht="16.5" customHeight="1">
      <c r="A177" s="166"/>
      <c r="C177" s="168"/>
      <c r="D177" s="169">
        <f>IFERROR(__xludf.DUMMYFUNCTION("""COMPUTED_VALUE"""),5.0)</f>
        <v>5</v>
      </c>
      <c r="E177" s="170" t="str">
        <f>IFERROR(__xludf.DUMMYFUNCTION("""COMPUTED_VALUE"""),"TRF23")</f>
        <v>TRF23</v>
      </c>
      <c r="F177" s="51" t="str">
        <f>IFERROR(__xludf.DUMMYFUNCTION("""COMPUTED_VALUE"""),"Chaldea Gate (Sat)")</f>
        <v>Chaldea Gate (Sat)</v>
      </c>
      <c r="G177" s="51" t="str">
        <f>IFERROR(__xludf.DUMMYFUNCTION("""COMPUTED_VALUE"""),"SAT Assassin Training Ground- Adv")</f>
        <v>SAT Assassin Training Ground- Adv</v>
      </c>
      <c r="H177" s="172">
        <f>IFERROR(__xludf.DUMMYFUNCTION("""COMPUTED_VALUE"""),30.0)</f>
        <v>30</v>
      </c>
      <c r="I177" s="173">
        <f>IFERROR(__xludf.DUMMYFUNCTION("""COMPUTED_VALUE"""),18.266666666666666)</f>
        <v>18.26666667</v>
      </c>
      <c r="J177" s="174">
        <f>IFERROR(__xludf.DUMMYFUNCTION("""COMPUTED_VALUE"""),525.2469488751749)</f>
        <v>525.2469489</v>
      </c>
      <c r="K177" s="175" t="str">
        <f>IFERROR(__xludf.DUMMYFUNCTION("""COMPUTED_VALUE"""),"AP")</f>
        <v>AP</v>
      </c>
      <c r="L177" s="176">
        <f>IFERROR(__xludf.DUMMYFUNCTION("""COMPUTED_VALUE"""),5.7115990990991)</f>
        <v>5.711599099</v>
      </c>
      <c r="M177" s="175" t="str">
        <f>IFERROR(__xludf.DUMMYFUNCTION("""COMPUTED_VALUE"""),"％")</f>
        <v>％</v>
      </c>
      <c r="N177" s="172">
        <f>IFERROR(__xludf.DUMMYFUNCTION("""COMPUTED_VALUE"""),888.0)</f>
        <v>888</v>
      </c>
      <c r="O177" s="168"/>
      <c r="P177" s="371" t="str">
        <f>IFERROR(__xludf.DUMMYFUNCTION("""COMPUTED_VALUE"""),"")</f>
        <v/>
      </c>
      <c r="Q177" s="166"/>
      <c r="S177" s="168"/>
      <c r="T177" s="169">
        <f>IFERROR(__xludf.DUMMYFUNCTION("""COMPUTED_VALUE"""),5.0)</f>
        <v>5</v>
      </c>
      <c r="U177" s="170" t="str">
        <f>IFERROR(__xludf.DUMMYFUNCTION("""COMPUTED_VALUE"""),"LDN5")</f>
        <v>LDN5</v>
      </c>
      <c r="V177" s="51" t="str">
        <f>IFERROR(__xludf.DUMMYFUNCTION("""COMPUTED_VALUE"""),"London")</f>
        <v>London</v>
      </c>
      <c r="W177" s="171" t="str">
        <f>IFERROR(__xludf.DUMMYFUNCTION("""COMPUTED_VALUE"""),"Westminster")</f>
        <v>Westminster</v>
      </c>
      <c r="X177" s="172">
        <f>IFERROR(__xludf.DUMMYFUNCTION("""COMPUTED_VALUE"""),16.0)</f>
        <v>16</v>
      </c>
      <c r="Y177" s="173">
        <f>IFERROR(__xludf.DUMMYFUNCTION("""COMPUTED_VALUE"""),37.25)</f>
        <v>37.25</v>
      </c>
      <c r="Z177" s="174">
        <f>IFERROR(__xludf.DUMMYFUNCTION("""COMPUTED_VALUE"""),132.04126289465458)</f>
        <v>132.0412629</v>
      </c>
      <c r="AA177" s="175" t="str">
        <f>IFERROR(__xludf.DUMMYFUNCTION("""COMPUTED_VALUE"""),"AP")</f>
        <v>AP</v>
      </c>
      <c r="AB177" s="176">
        <f>IFERROR(__xludf.DUMMYFUNCTION("""COMPUTED_VALUE"""),12.117424242424242)</f>
        <v>12.11742424</v>
      </c>
      <c r="AC177" s="175" t="str">
        <f>IFERROR(__xludf.DUMMYFUNCTION("""COMPUTED_VALUE"""),"％")</f>
        <v>％</v>
      </c>
      <c r="AD177" s="172">
        <f>IFERROR(__xludf.DUMMYFUNCTION("""COMPUTED_VALUE"""),264.0)</f>
        <v>264</v>
      </c>
      <c r="AE177" s="168"/>
      <c r="AF177" s="372" t="str">
        <f>IFERROR(__xludf.DUMMYFUNCTION("""COMPUTED_VALUE"""),"")</f>
        <v/>
      </c>
    </row>
    <row r="178" ht="16.5" customHeight="1">
      <c r="A178" s="61" t="str">
        <f>IFERROR(__xludf.DUMMYFUNCTION("""COMPUTED_VALUE"""),"")</f>
        <v/>
      </c>
      <c r="B178" s="366" t="str">
        <f>IFERROR(__xludf.DUMMYFUNCTION("""COMPUTED_VALUE"""),"A108")</f>
        <v>A108</v>
      </c>
      <c r="C178" s="197" t="str">
        <f>IFERROR(__xludf.DUMMYFUNCTION("""COMPUTED_VALUE"""),"Lamp of Evil-Sealing")</f>
        <v>Lamp of Evil-Sealing</v>
      </c>
      <c r="D178" s="185">
        <f>IFERROR(__xludf.DUMMYFUNCTION("""COMPUTED_VALUE"""),1.0)</f>
        <v>1</v>
      </c>
      <c r="E178" s="187" t="str">
        <f>IFERROR(__xludf.DUMMYFUNCTION("""COMPUTED_VALUE"""),"CML11")</f>
        <v>CML11</v>
      </c>
      <c r="F178" s="188" t="str">
        <f>IFERROR(__xludf.DUMMYFUNCTION("""COMPUTED_VALUE"""),"Camelot")</f>
        <v>Camelot</v>
      </c>
      <c r="G178" s="193" t="str">
        <f>IFERROR(__xludf.DUMMYFUNCTION("""COMPUTED_VALUE"""),"Hidden Village")</f>
        <v>Hidden Village</v>
      </c>
      <c r="H178" s="195">
        <f>IFERROR(__xludf.DUMMYFUNCTION("""COMPUTED_VALUE"""),21.0)</f>
        <v>21</v>
      </c>
      <c r="I178" s="196">
        <f>IFERROR(__xludf.DUMMYFUNCTION("""COMPUTED_VALUE"""),47.80952380952381)</f>
        <v>47.80952381</v>
      </c>
      <c r="J178" s="198">
        <f>IFERROR(__xludf.DUMMYFUNCTION("""COMPUTED_VALUE"""),131.14441707799108)</f>
        <v>131.1444171</v>
      </c>
      <c r="K178" s="200" t="str">
        <f>IFERROR(__xludf.DUMMYFUNCTION("""COMPUTED_VALUE"""),"AP")</f>
        <v>AP</v>
      </c>
      <c r="L178" s="198">
        <f>IFERROR(__xludf.DUMMYFUNCTION("""COMPUTED_VALUE"""),16.01288142331776)</f>
        <v>16.01288142</v>
      </c>
      <c r="M178" s="201" t="str">
        <f>IFERROR(__xludf.DUMMYFUNCTION("""COMPUTED_VALUE"""),"％")</f>
        <v>％</v>
      </c>
      <c r="N178" s="195">
        <f>IFERROR(__xludf.DUMMYFUNCTION("""COMPUTED_VALUE"""),50305.0)</f>
        <v>50305</v>
      </c>
      <c r="O178" s="197" t="str">
        <f>IFERROR(__xludf.DUMMYFUNCTION("""COMPUTED_VALUE"""),"Lamp of Evil-Sealing")</f>
        <v>Lamp of Evil-Sealing</v>
      </c>
      <c r="P178" s="371" t="str">
        <f>IFERROR(__xludf.DUMMYFUNCTION("""COMPUTED_VALUE"""),"")</f>
        <v/>
      </c>
      <c r="Q178" s="61" t="str">
        <f>IFERROR(__xludf.DUMMYFUNCTION("""COMPUTED_VALUE"""),"")</f>
        <v/>
      </c>
      <c r="R178" s="366" t="str">
        <f>IFERROR(__xludf.DUMMYFUNCTION("""COMPUTED_VALUE"""),"B216")</f>
        <v>B216</v>
      </c>
      <c r="S178" s="197" t="str">
        <f>IFERROR(__xludf.DUMMYFUNCTION("""COMPUTED_VALUE"""),"Assassin Piece")</f>
        <v>Assassin Piece</v>
      </c>
      <c r="T178" s="185">
        <f>IFERROR(__xludf.DUMMYFUNCTION("""COMPUTED_VALUE"""),1.0)</f>
        <v>1</v>
      </c>
      <c r="U178" s="187" t="str">
        <f>IFERROR(__xludf.DUMMYFUNCTION("""COMPUTED_VALUE"""),"TRF23")</f>
        <v>TRF23</v>
      </c>
      <c r="V178" s="188" t="str">
        <f>IFERROR(__xludf.DUMMYFUNCTION("""COMPUTED_VALUE"""),"Chaldea Gate (Sat)")</f>
        <v>Chaldea Gate (Sat)</v>
      </c>
      <c r="W178" s="188" t="str">
        <f>IFERROR(__xludf.DUMMYFUNCTION("""COMPUTED_VALUE"""),"SAT Assassin Training Ground- Adv")</f>
        <v>SAT Assassin Training Ground- Adv</v>
      </c>
      <c r="X178" s="195">
        <f>IFERROR(__xludf.DUMMYFUNCTION("""COMPUTED_VALUE"""),30.0)</f>
        <v>30</v>
      </c>
      <c r="Y178" s="196">
        <f>IFERROR(__xludf.DUMMYFUNCTION("""COMPUTED_VALUE"""),18.266666666666666)</f>
        <v>18.26666667</v>
      </c>
      <c r="Z178" s="198">
        <f>IFERROR(__xludf.DUMMYFUNCTION("""COMPUTED_VALUE"""),29.234054600961745)</f>
        <v>29.2340546</v>
      </c>
      <c r="AA178" s="200" t="str">
        <f>IFERROR(__xludf.DUMMYFUNCTION("""COMPUTED_VALUE"""),"AP")</f>
        <v>AP</v>
      </c>
      <c r="AB178" s="198">
        <f>IFERROR(__xludf.DUMMYFUNCTION("""COMPUTED_VALUE"""),102.62004504504503)</f>
        <v>102.620045</v>
      </c>
      <c r="AC178" s="201" t="str">
        <f>IFERROR(__xludf.DUMMYFUNCTION("""COMPUTED_VALUE"""),"％")</f>
        <v>％</v>
      </c>
      <c r="AD178" s="195">
        <f>IFERROR(__xludf.DUMMYFUNCTION("""COMPUTED_VALUE"""),888.0)</f>
        <v>888</v>
      </c>
      <c r="AE178" s="197" t="str">
        <f>IFERROR(__xludf.DUMMYFUNCTION("""COMPUTED_VALUE"""),"Assassin Piece")</f>
        <v>Assassin Piece</v>
      </c>
      <c r="AF178" s="372" t="str">
        <f>IFERROR(__xludf.DUMMYFUNCTION("""COMPUTED_VALUE"""),"")</f>
        <v/>
      </c>
    </row>
    <row r="179" ht="16.5" customHeight="1">
      <c r="C179" s="217"/>
      <c r="D179" s="208">
        <f>IFERROR(__xludf.DUMMYFUNCTION("""COMPUTED_VALUE"""),2.0)</f>
        <v>2</v>
      </c>
      <c r="E179" s="210" t="str">
        <f>IFERROR(__xludf.DUMMYFUNCTION("""COMPUTED_VALUE"""),"CML2")</f>
        <v>CML2</v>
      </c>
      <c r="F179" s="212" t="str">
        <f>IFERROR(__xludf.DUMMYFUNCTION("""COMPUTED_VALUE"""),"Camelot")</f>
        <v>Camelot</v>
      </c>
      <c r="G179" s="216" t="str">
        <f>IFERROR(__xludf.DUMMYFUNCTION("""COMPUTED_VALUE"""),"Dune of Dawn")</f>
        <v>Dune of Dawn</v>
      </c>
      <c r="H179" s="218">
        <f>IFERROR(__xludf.DUMMYFUNCTION("""COMPUTED_VALUE"""),19.0)</f>
        <v>19</v>
      </c>
      <c r="I179" s="219">
        <f>IFERROR(__xludf.DUMMYFUNCTION("""COMPUTED_VALUE"""),42.73684210526316)</f>
        <v>42.73684211</v>
      </c>
      <c r="J179" s="220">
        <f>IFERROR(__xludf.DUMMYFUNCTION("""COMPUTED_VALUE"""),156.13907123753953)</f>
        <v>156.1390712</v>
      </c>
      <c r="K179" s="221" t="str">
        <f>IFERROR(__xludf.DUMMYFUNCTION("""COMPUTED_VALUE"""),"AP")</f>
        <v>AP</v>
      </c>
      <c r="L179" s="220">
        <f>IFERROR(__xludf.DUMMYFUNCTION("""COMPUTED_VALUE"""),12.168639053254438)</f>
        <v>12.16863905</v>
      </c>
      <c r="M179" s="221" t="str">
        <f>IFERROR(__xludf.DUMMYFUNCTION("""COMPUTED_VALUE"""),"％")</f>
        <v>％</v>
      </c>
      <c r="N179" s="218">
        <f>IFERROR(__xludf.DUMMYFUNCTION("""COMPUTED_VALUE"""),338.0)</f>
        <v>338</v>
      </c>
      <c r="O179" s="217"/>
      <c r="P179" s="371" t="str">
        <f>IFERROR(__xludf.DUMMYFUNCTION("""COMPUTED_VALUE"""),"")</f>
        <v/>
      </c>
      <c r="S179" s="217"/>
      <c r="T179" s="208">
        <f>IFERROR(__xludf.DUMMYFUNCTION("""COMPUTED_VALUE"""),2.0)</f>
        <v>2</v>
      </c>
      <c r="U179" s="210" t="str">
        <f>IFERROR(__xludf.DUMMYFUNCTION("""COMPUTED_VALUE"""),"TRF24")</f>
        <v>TRF24</v>
      </c>
      <c r="V179" s="212" t="str">
        <f>IFERROR(__xludf.DUMMYFUNCTION("""COMPUTED_VALUE"""),"Chaldea Gate (Sat)")</f>
        <v>Chaldea Gate (Sat)</v>
      </c>
      <c r="W179" s="212" t="str">
        <f>IFERROR(__xludf.DUMMYFUNCTION("""COMPUTED_VALUE"""),"SAT Assassin Training Ground- Exp")</f>
        <v>SAT Assassin Training Ground- Exp</v>
      </c>
      <c r="X179" s="218">
        <f>IFERROR(__xludf.DUMMYFUNCTION("""COMPUTED_VALUE"""),40.0)</f>
        <v>40</v>
      </c>
      <c r="Y179" s="219">
        <f>IFERROR(__xludf.DUMMYFUNCTION("""COMPUTED_VALUE"""),19.7)</f>
        <v>19.7</v>
      </c>
      <c r="Z179" s="220">
        <f>IFERROR(__xludf.DUMMYFUNCTION("""COMPUTED_VALUE"""),50.150126941444874)</f>
        <v>50.15012694</v>
      </c>
      <c r="AA179" s="221" t="str">
        <f>IFERROR(__xludf.DUMMYFUNCTION("""COMPUTED_VALUE"""),"AP")</f>
        <v>AP</v>
      </c>
      <c r="AB179" s="220">
        <f>IFERROR(__xludf.DUMMYFUNCTION("""COMPUTED_VALUE"""),79.76051595383571)</f>
        <v>79.76051595</v>
      </c>
      <c r="AC179" s="221" t="str">
        <f>IFERROR(__xludf.DUMMYFUNCTION("""COMPUTED_VALUE"""),"％")</f>
        <v>％</v>
      </c>
      <c r="AD179" s="218">
        <f>IFERROR(__xludf.DUMMYFUNCTION("""COMPUTED_VALUE"""),7365.0)</f>
        <v>7365</v>
      </c>
      <c r="AE179" s="217"/>
      <c r="AF179" s="372" t="str">
        <f>IFERROR(__xludf.DUMMYFUNCTION("""COMPUTED_VALUE"""),"")</f>
        <v/>
      </c>
    </row>
    <row r="180" ht="16.5" customHeight="1">
      <c r="C180" s="217"/>
      <c r="D180" s="225">
        <f>IFERROR(__xludf.DUMMYFUNCTION("""COMPUTED_VALUE"""),3.0)</f>
        <v>3</v>
      </c>
      <c r="E180" s="227" t="str">
        <f>IFERROR(__xludf.DUMMYFUNCTION("""COMPUTED_VALUE"""),"")</f>
        <v/>
      </c>
      <c r="F180" s="229" t="str">
        <f>IFERROR(__xludf.DUMMYFUNCTION("""COMPUTED_VALUE"""),"")</f>
        <v/>
      </c>
      <c r="G180" s="229" t="str">
        <f>IFERROR(__xludf.DUMMYFUNCTION("""COMPUTED_VALUE"""),"")</f>
        <v/>
      </c>
      <c r="H180" s="234" t="str">
        <f>IFERROR(__xludf.DUMMYFUNCTION("""COMPUTED_VALUE"""),"")</f>
        <v/>
      </c>
      <c r="I180" s="235" t="str">
        <f>IFERROR(__xludf.DUMMYFUNCTION("""COMPUTED_VALUE"""),"")</f>
        <v/>
      </c>
      <c r="J180" s="236" t="str">
        <f>IFERROR(__xludf.DUMMYFUNCTION("""COMPUTED_VALUE"""),"")</f>
        <v/>
      </c>
      <c r="K180" s="237" t="str">
        <f>IFERROR(__xludf.DUMMYFUNCTION("""COMPUTED_VALUE"""),"AP")</f>
        <v>AP</v>
      </c>
      <c r="L180" s="236" t="str">
        <f>IFERROR(__xludf.DUMMYFUNCTION("""COMPUTED_VALUE"""),"")</f>
        <v/>
      </c>
      <c r="M180" s="237" t="str">
        <f>IFERROR(__xludf.DUMMYFUNCTION("""COMPUTED_VALUE"""),"％")</f>
        <v>％</v>
      </c>
      <c r="N180" s="234" t="str">
        <f>IFERROR(__xludf.DUMMYFUNCTION("""COMPUTED_VALUE"""),"")</f>
        <v/>
      </c>
      <c r="O180" s="217"/>
      <c r="P180" s="371" t="str">
        <f>IFERROR(__xludf.DUMMYFUNCTION("""COMPUTED_VALUE"""),"")</f>
        <v/>
      </c>
      <c r="S180" s="217"/>
      <c r="T180" s="225">
        <f>IFERROR(__xludf.DUMMYFUNCTION("""COMPUTED_VALUE"""),3.0)</f>
        <v>3</v>
      </c>
      <c r="U180" s="227" t="str">
        <f>IFERROR(__xludf.DUMMYFUNCTION("""COMPUTED_VALUE"""),"TRF22")</f>
        <v>TRF22</v>
      </c>
      <c r="V180" s="229" t="str">
        <f>IFERROR(__xludf.DUMMYFUNCTION("""COMPUTED_VALUE"""),"Chaldea Gate (Sat)")</f>
        <v>Chaldea Gate (Sat)</v>
      </c>
      <c r="W180" s="229" t="str">
        <f>IFERROR(__xludf.DUMMYFUNCTION("""COMPUTED_VALUE"""),"SAT Assassin Training Ground- Int")</f>
        <v>SAT Assassin Training Ground- Int</v>
      </c>
      <c r="X180" s="234">
        <f>IFERROR(__xludf.DUMMYFUNCTION("""COMPUTED_VALUE"""),20.0)</f>
        <v>20</v>
      </c>
      <c r="Y180" s="235">
        <f>IFERROR(__xludf.DUMMYFUNCTION("""COMPUTED_VALUE"""),18.4)</f>
        <v>18.4</v>
      </c>
      <c r="Z180" s="236">
        <f>IFERROR(__xludf.DUMMYFUNCTION("""COMPUTED_VALUE"""),28.718675006884613)</f>
        <v>28.71867501</v>
      </c>
      <c r="AA180" s="237" t="str">
        <f>IFERROR(__xludf.DUMMYFUNCTION("""COMPUTED_VALUE"""),"AP")</f>
        <v>AP</v>
      </c>
      <c r="AB180" s="236">
        <f>IFERROR(__xludf.DUMMYFUNCTION("""COMPUTED_VALUE"""),69.64109589041097)</f>
        <v>69.64109589</v>
      </c>
      <c r="AC180" s="237" t="str">
        <f>IFERROR(__xludf.DUMMYFUNCTION("""COMPUTED_VALUE"""),"％")</f>
        <v>％</v>
      </c>
      <c r="AD180" s="234">
        <f>IFERROR(__xludf.DUMMYFUNCTION("""COMPUTED_VALUE"""),584.0)</f>
        <v>584</v>
      </c>
      <c r="AE180" s="217"/>
      <c r="AF180" s="372" t="str">
        <f>IFERROR(__xludf.DUMMYFUNCTION("""COMPUTED_VALUE"""),"")</f>
        <v/>
      </c>
    </row>
    <row r="181" ht="16.5" customHeight="1">
      <c r="C181" s="217"/>
      <c r="D181" s="239">
        <f>IFERROR(__xludf.DUMMYFUNCTION("""COMPUTED_VALUE"""),4.0)</f>
        <v>4</v>
      </c>
      <c r="E181" s="241" t="str">
        <f>IFERROR(__xludf.DUMMYFUNCTION("""COMPUTED_VALUE"""),"")</f>
        <v/>
      </c>
      <c r="F181" s="243" t="str">
        <f>IFERROR(__xludf.DUMMYFUNCTION("""COMPUTED_VALUE"""),"")</f>
        <v/>
      </c>
      <c r="G181" s="243" t="str">
        <f>IFERROR(__xludf.DUMMYFUNCTION("""COMPUTED_VALUE"""),"")</f>
        <v/>
      </c>
      <c r="H181" s="247" t="str">
        <f>IFERROR(__xludf.DUMMYFUNCTION("""COMPUTED_VALUE"""),"")</f>
        <v/>
      </c>
      <c r="I181" s="249" t="str">
        <f>IFERROR(__xludf.DUMMYFUNCTION("""COMPUTED_VALUE"""),"")</f>
        <v/>
      </c>
      <c r="J181" s="251" t="str">
        <f>IFERROR(__xludf.DUMMYFUNCTION("""COMPUTED_VALUE"""),"")</f>
        <v/>
      </c>
      <c r="K181" s="253" t="str">
        <f>IFERROR(__xludf.DUMMYFUNCTION("""COMPUTED_VALUE"""),"AP")</f>
        <v>AP</v>
      </c>
      <c r="L181" s="251" t="str">
        <f>IFERROR(__xludf.DUMMYFUNCTION("""COMPUTED_VALUE"""),"")</f>
        <v/>
      </c>
      <c r="M181" s="253" t="str">
        <f>IFERROR(__xludf.DUMMYFUNCTION("""COMPUTED_VALUE"""),"％")</f>
        <v>％</v>
      </c>
      <c r="N181" s="247" t="str">
        <f>IFERROR(__xludf.DUMMYFUNCTION("""COMPUTED_VALUE"""),"")</f>
        <v/>
      </c>
      <c r="O181" s="217"/>
      <c r="P181" s="371" t="str">
        <f>IFERROR(__xludf.DUMMYFUNCTION("""COMPUTED_VALUE"""),"")</f>
        <v/>
      </c>
      <c r="S181" s="217"/>
      <c r="T181" s="239">
        <f>IFERROR(__xludf.DUMMYFUNCTION("""COMPUTED_VALUE"""),4.0)</f>
        <v>4</v>
      </c>
      <c r="U181" s="241" t="str">
        <f>IFERROR(__xludf.DUMMYFUNCTION("""COMPUTED_VALUE"""),"TRF21")</f>
        <v>TRF21</v>
      </c>
      <c r="V181" s="243" t="str">
        <f>IFERROR(__xludf.DUMMYFUNCTION("""COMPUTED_VALUE"""),"Chaldea Gate (Sat)")</f>
        <v>Chaldea Gate (Sat)</v>
      </c>
      <c r="W181" s="243" t="str">
        <f>IFERROR(__xludf.DUMMYFUNCTION("""COMPUTED_VALUE"""),"SAT Assassin Training Ground- Nov")</f>
        <v>SAT Assassin Training Ground- Nov</v>
      </c>
      <c r="X181" s="247">
        <f>IFERROR(__xludf.DUMMYFUNCTION("""COMPUTED_VALUE"""),10.0)</f>
        <v>10</v>
      </c>
      <c r="Y181" s="249">
        <f>IFERROR(__xludf.DUMMYFUNCTION("""COMPUTED_VALUE"""),18.8)</f>
        <v>18.8</v>
      </c>
      <c r="Z181" s="251">
        <f>IFERROR(__xludf.DUMMYFUNCTION("""COMPUTED_VALUE"""),35.897954082528074)</f>
        <v>35.89795408</v>
      </c>
      <c r="AA181" s="253" t="str">
        <f>IFERROR(__xludf.DUMMYFUNCTION("""COMPUTED_VALUE"""),"AP")</f>
        <v>AP</v>
      </c>
      <c r="AB181" s="251">
        <f>IFERROR(__xludf.DUMMYFUNCTION("""COMPUTED_VALUE"""),27.85674074074074)</f>
        <v>27.85674074</v>
      </c>
      <c r="AC181" s="253" t="str">
        <f>IFERROR(__xludf.DUMMYFUNCTION("""COMPUTED_VALUE"""),"％")</f>
        <v>％</v>
      </c>
      <c r="AD181" s="247">
        <f>IFERROR(__xludf.DUMMYFUNCTION("""COMPUTED_VALUE"""),1350.0)</f>
        <v>1350</v>
      </c>
      <c r="AE181" s="217"/>
      <c r="AF181" s="372" t="str">
        <f>IFERROR(__xludf.DUMMYFUNCTION("""COMPUTED_VALUE"""),"")</f>
        <v/>
      </c>
    </row>
    <row r="182" ht="16.5" customHeight="1">
      <c r="A182" s="166"/>
      <c r="C182" s="263"/>
      <c r="D182" s="256">
        <f>IFERROR(__xludf.DUMMYFUNCTION("""COMPUTED_VALUE"""),5.0)</f>
        <v>5</v>
      </c>
      <c r="E182" s="257" t="str">
        <f>IFERROR(__xludf.DUMMYFUNCTION("""COMPUTED_VALUE"""),"")</f>
        <v/>
      </c>
      <c r="F182" s="42" t="str">
        <f>IFERROR(__xludf.DUMMYFUNCTION("""COMPUTED_VALUE"""),"")</f>
        <v/>
      </c>
      <c r="G182" s="42" t="str">
        <f>IFERROR(__xludf.DUMMYFUNCTION("""COMPUTED_VALUE"""),"")</f>
        <v/>
      </c>
      <c r="H182" s="259" t="str">
        <f>IFERROR(__xludf.DUMMYFUNCTION("""COMPUTED_VALUE"""),"")</f>
        <v/>
      </c>
      <c r="I182" s="260" t="str">
        <f>IFERROR(__xludf.DUMMYFUNCTION("""COMPUTED_VALUE"""),"")</f>
        <v/>
      </c>
      <c r="J182" s="261" t="str">
        <f>IFERROR(__xludf.DUMMYFUNCTION("""COMPUTED_VALUE"""),"")</f>
        <v/>
      </c>
      <c r="K182" s="262" t="str">
        <f>IFERROR(__xludf.DUMMYFUNCTION("""COMPUTED_VALUE"""),"AP")</f>
        <v>AP</v>
      </c>
      <c r="L182" s="261" t="str">
        <f>IFERROR(__xludf.DUMMYFUNCTION("""COMPUTED_VALUE"""),"")</f>
        <v/>
      </c>
      <c r="M182" s="262" t="str">
        <f>IFERROR(__xludf.DUMMYFUNCTION("""COMPUTED_VALUE"""),"％")</f>
        <v>％</v>
      </c>
      <c r="N182" s="259" t="str">
        <f>IFERROR(__xludf.DUMMYFUNCTION("""COMPUTED_VALUE"""),"")</f>
        <v/>
      </c>
      <c r="O182" s="263"/>
      <c r="P182" s="371" t="str">
        <f>IFERROR(__xludf.DUMMYFUNCTION("""COMPUTED_VALUE"""),"")</f>
        <v/>
      </c>
      <c r="Q182" s="166"/>
      <c r="S182" s="263"/>
      <c r="T182" s="256">
        <f>IFERROR(__xludf.DUMMYFUNCTION("""COMPUTED_VALUE"""),5.0)</f>
        <v>5</v>
      </c>
      <c r="U182" s="257" t="str">
        <f>IFERROR(__xludf.DUMMYFUNCTION("""COMPUTED_VALUE"""),"ORL5")</f>
        <v>ORL5</v>
      </c>
      <c r="V182" s="42" t="str">
        <f>IFERROR(__xludf.DUMMYFUNCTION("""COMPUTED_VALUE"""),"Orleans")</f>
        <v>Orleans</v>
      </c>
      <c r="W182" s="258" t="str">
        <f>IFERROR(__xludf.DUMMYFUNCTION("""COMPUTED_VALUE"""),"Lyon")</f>
        <v>Lyon</v>
      </c>
      <c r="X182" s="259">
        <f>IFERROR(__xludf.DUMMYFUNCTION("""COMPUTED_VALUE"""),7.0)</f>
        <v>7</v>
      </c>
      <c r="Y182" s="260">
        <f>IFERROR(__xludf.DUMMYFUNCTION("""COMPUTED_VALUE"""),30.285714285714285)</f>
        <v>30.28571429</v>
      </c>
      <c r="Z182" s="261">
        <f>IFERROR(__xludf.DUMMYFUNCTION("""COMPUTED_VALUE"""),55.61889831112378)</f>
        <v>55.61889831</v>
      </c>
      <c r="AA182" s="262" t="str">
        <f>IFERROR(__xludf.DUMMYFUNCTION("""COMPUTED_VALUE"""),"AP")</f>
        <v>AP</v>
      </c>
      <c r="AB182" s="261">
        <f>IFERROR(__xludf.DUMMYFUNCTION("""COMPUTED_VALUE"""),12.585650224215247)</f>
        <v>12.58565022</v>
      </c>
      <c r="AC182" s="262" t="str">
        <f>IFERROR(__xludf.DUMMYFUNCTION("""COMPUTED_VALUE"""),"％")</f>
        <v>％</v>
      </c>
      <c r="AD182" s="259">
        <f>IFERROR(__xludf.DUMMYFUNCTION("""COMPUTED_VALUE"""),446.0)</f>
        <v>446</v>
      </c>
      <c r="AE182" s="263"/>
      <c r="AF182" s="372" t="str">
        <f>IFERROR(__xludf.DUMMYFUNCTION("""COMPUTED_VALUE"""),"")</f>
        <v/>
      </c>
    </row>
    <row r="183" ht="16.5" customHeight="1">
      <c r="A183" s="61" t="str">
        <f>IFERROR(__xludf.DUMMYFUNCTION("""COMPUTED_VALUE"""),"")</f>
        <v/>
      </c>
      <c r="B183" s="367" t="str">
        <f>IFERROR(__xludf.DUMMYFUNCTION("""COMPUTED_VALUE"""),"A109")</f>
        <v>A109</v>
      </c>
      <c r="C183" s="65" t="str">
        <f>IFERROR(__xludf.DUMMYFUNCTION("""COMPUTED_VALUE"""),"Scarab of Wisdom")</f>
        <v>Scarab of Wisdom</v>
      </c>
      <c r="D183" s="70">
        <f>IFERROR(__xludf.DUMMYFUNCTION("""COMPUTED_VALUE"""),1.0)</f>
        <v>1</v>
      </c>
      <c r="E183" s="73" t="str">
        <f>IFERROR(__xludf.DUMMYFUNCTION("""COMPUTED_VALUE"""),"CML14")</f>
        <v>CML14</v>
      </c>
      <c r="F183" s="76" t="str">
        <f>IFERROR(__xludf.DUMMYFUNCTION("""COMPUTED_VALUE"""),"Camelot")</f>
        <v>Camelot</v>
      </c>
      <c r="G183" s="85" t="str">
        <f>IFERROR(__xludf.DUMMYFUNCTION("""COMPUTED_VALUE"""),"Great Temple")</f>
        <v>Great Temple</v>
      </c>
      <c r="H183" s="87">
        <f>IFERROR(__xludf.DUMMYFUNCTION("""COMPUTED_VALUE"""),22.0)</f>
        <v>22</v>
      </c>
      <c r="I183" s="90">
        <f>IFERROR(__xludf.DUMMYFUNCTION("""COMPUTED_VALUE"""),48.90909090909091)</f>
        <v>48.90909091</v>
      </c>
      <c r="J183" s="92">
        <f>IFERROR(__xludf.DUMMYFUNCTION("""COMPUTED_VALUE"""),181.6186765819385)</f>
        <v>181.6186766</v>
      </c>
      <c r="K183" s="94" t="str">
        <f>IFERROR(__xludf.DUMMYFUNCTION("""COMPUTED_VALUE"""),"AP")</f>
        <v>AP</v>
      </c>
      <c r="L183" s="96">
        <f>IFERROR(__xludf.DUMMYFUNCTION("""COMPUTED_VALUE"""),12.113291658126665)</f>
        <v>12.11329166</v>
      </c>
      <c r="M183" s="94" t="str">
        <f>IFERROR(__xludf.DUMMYFUNCTION("""COMPUTED_VALUE"""),"％")</f>
        <v>％</v>
      </c>
      <c r="N183" s="87">
        <f>IFERROR(__xludf.DUMMYFUNCTION("""COMPUTED_VALUE"""),29274.0)</f>
        <v>29274</v>
      </c>
      <c r="O183" s="97" t="str">
        <f>IFERROR(__xludf.DUMMYFUNCTION("""COMPUTED_VALUE"""),"Scarab of Wisdom")</f>
        <v>Scarab of Wisdom</v>
      </c>
      <c r="P183" s="371" t="str">
        <f>IFERROR(__xludf.DUMMYFUNCTION("""COMPUTED_VALUE"""),"")</f>
        <v/>
      </c>
      <c r="Q183" s="61" t="str">
        <f>IFERROR(__xludf.DUMMYFUNCTION("""COMPUTED_VALUE"""),"")</f>
        <v/>
      </c>
      <c r="R183" s="367" t="str">
        <f>IFERROR(__xludf.DUMMYFUNCTION("""COMPUTED_VALUE"""),"B217")</f>
        <v>B217</v>
      </c>
      <c r="S183" s="65" t="str">
        <f>IFERROR(__xludf.DUMMYFUNCTION("""COMPUTED_VALUE"""),"Berserker Piece")</f>
        <v>Berserker Piece</v>
      </c>
      <c r="T183" s="70">
        <f>IFERROR(__xludf.DUMMYFUNCTION("""COMPUTED_VALUE"""),1.0)</f>
        <v>1</v>
      </c>
      <c r="U183" s="73" t="str">
        <f>IFERROR(__xludf.DUMMYFUNCTION("""COMPUTED_VALUE"""),"TRF11")</f>
        <v>TRF11</v>
      </c>
      <c r="V183" s="76" t="str">
        <f>IFERROR(__xludf.DUMMYFUNCTION("""COMPUTED_VALUE"""),"Chaldea Gate (Wed)")</f>
        <v>Chaldea Gate (Wed)</v>
      </c>
      <c r="W183" s="76" t="str">
        <f>IFERROR(__xludf.DUMMYFUNCTION("""COMPUTED_VALUE"""),"WED Berserker Training Ground- Adv")</f>
        <v>WED Berserker Training Ground- Adv</v>
      </c>
      <c r="X183" s="87">
        <f>IFERROR(__xludf.DUMMYFUNCTION("""COMPUTED_VALUE"""),30.0)</f>
        <v>30</v>
      </c>
      <c r="Y183" s="90">
        <f>IFERROR(__xludf.DUMMYFUNCTION("""COMPUTED_VALUE"""),18.266666666666666)</f>
        <v>18.26666667</v>
      </c>
      <c r="Z183" s="92">
        <f>IFERROR(__xludf.DUMMYFUNCTION("""COMPUTED_VALUE"""),29.3604998488927)</f>
        <v>29.36049985</v>
      </c>
      <c r="AA183" s="94" t="str">
        <f>IFERROR(__xludf.DUMMYFUNCTION("""COMPUTED_VALUE"""),"AP")</f>
        <v>AP</v>
      </c>
      <c r="AB183" s="96">
        <f>IFERROR(__xludf.DUMMYFUNCTION("""COMPUTED_VALUE"""),102.17809694793536)</f>
        <v>102.1780969</v>
      </c>
      <c r="AC183" s="94" t="str">
        <f>IFERROR(__xludf.DUMMYFUNCTION("""COMPUTED_VALUE"""),"％")</f>
        <v>％</v>
      </c>
      <c r="AD183" s="87">
        <f>IFERROR(__xludf.DUMMYFUNCTION("""COMPUTED_VALUE"""),557.0)</f>
        <v>557</v>
      </c>
      <c r="AE183" s="97" t="str">
        <f>IFERROR(__xludf.DUMMYFUNCTION("""COMPUTED_VALUE"""),"Berserker Piece")</f>
        <v>Berserker Piece</v>
      </c>
      <c r="AF183" s="372" t="str">
        <f>IFERROR(__xludf.DUMMYFUNCTION("""COMPUTED_VALUE"""),"")</f>
        <v/>
      </c>
    </row>
    <row r="184" ht="16.5" customHeight="1">
      <c r="C184" s="100"/>
      <c r="D184" s="105">
        <f>IFERROR(__xludf.DUMMYFUNCTION("""COMPUTED_VALUE"""),2.0)</f>
        <v>2</v>
      </c>
      <c r="E184" s="106" t="str">
        <f>IFERROR(__xludf.DUMMYFUNCTION("""COMPUTED_VALUE"""),"CML1")</f>
        <v>CML1</v>
      </c>
      <c r="F184" s="107" t="str">
        <f>IFERROR(__xludf.DUMMYFUNCTION("""COMPUTED_VALUE"""),"Camelot")</f>
        <v>Camelot</v>
      </c>
      <c r="G184" s="114" t="str">
        <f>IFERROR(__xludf.DUMMYFUNCTION("""COMPUTED_VALUE"""),"Sandstorm Desert")</f>
        <v>Sandstorm Desert</v>
      </c>
      <c r="H184" s="116">
        <f>IFERROR(__xludf.DUMMYFUNCTION("""COMPUTED_VALUE"""),19.0)</f>
        <v>19</v>
      </c>
      <c r="I184" s="118">
        <f>IFERROR(__xludf.DUMMYFUNCTION("""COMPUTED_VALUE"""),42.73684210526316)</f>
        <v>42.73684211</v>
      </c>
      <c r="J184" s="120">
        <f>IFERROR(__xludf.DUMMYFUNCTION("""COMPUTED_VALUE"""),234.6498686329983)</f>
        <v>234.6498686</v>
      </c>
      <c r="K184" s="122" t="str">
        <f>IFERROR(__xludf.DUMMYFUNCTION("""COMPUTED_VALUE"""),"AP")</f>
        <v>AP</v>
      </c>
      <c r="L184" s="124">
        <f>IFERROR(__xludf.DUMMYFUNCTION("""COMPUTED_VALUE"""),8.09717052504161)</f>
        <v>8.097170525</v>
      </c>
      <c r="M184" s="122" t="str">
        <f>IFERROR(__xludf.DUMMYFUNCTION("""COMPUTED_VALUE"""),"％")</f>
        <v>％</v>
      </c>
      <c r="N184" s="116">
        <f>IFERROR(__xludf.DUMMYFUNCTION("""COMPUTED_VALUE"""),33045.0)</f>
        <v>33045</v>
      </c>
      <c r="O184" s="100"/>
      <c r="P184" s="371" t="str">
        <f>IFERROR(__xludf.DUMMYFUNCTION("""COMPUTED_VALUE"""),"")</f>
        <v/>
      </c>
      <c r="S184" s="100"/>
      <c r="T184" s="105">
        <f>IFERROR(__xludf.DUMMYFUNCTION("""COMPUTED_VALUE"""),2.0)</f>
        <v>2</v>
      </c>
      <c r="U184" s="106" t="str">
        <f>IFERROR(__xludf.DUMMYFUNCTION("""COMPUTED_VALUE"""),"TRF12")</f>
        <v>TRF12</v>
      </c>
      <c r="V184" s="107" t="str">
        <f>IFERROR(__xludf.DUMMYFUNCTION("""COMPUTED_VALUE"""),"Chaldea Gate (Wed)")</f>
        <v>Chaldea Gate (Wed)</v>
      </c>
      <c r="W184" s="107" t="str">
        <f>IFERROR(__xludf.DUMMYFUNCTION("""COMPUTED_VALUE"""),"WED Berserker Training Ground- Exp")</f>
        <v>WED Berserker Training Ground- Exp</v>
      </c>
      <c r="X184" s="116">
        <f>IFERROR(__xludf.DUMMYFUNCTION("""COMPUTED_VALUE"""),40.0)</f>
        <v>40</v>
      </c>
      <c r="Y184" s="118">
        <f>IFERROR(__xludf.DUMMYFUNCTION("""COMPUTED_VALUE"""),19.7)</f>
        <v>19.7</v>
      </c>
      <c r="Z184" s="120">
        <f>IFERROR(__xludf.DUMMYFUNCTION("""COMPUTED_VALUE"""),46.30555810657526)</f>
        <v>46.30555811</v>
      </c>
      <c r="AA184" s="122" t="str">
        <f>IFERROR(__xludf.DUMMYFUNCTION("""COMPUTED_VALUE"""),"AP")</f>
        <v>AP</v>
      </c>
      <c r="AB184" s="124">
        <f>IFERROR(__xludf.DUMMYFUNCTION("""COMPUTED_VALUE"""),86.38271869639794)</f>
        <v>86.3827187</v>
      </c>
      <c r="AC184" s="122" t="str">
        <f>IFERROR(__xludf.DUMMYFUNCTION("""COMPUTED_VALUE"""),"％")</f>
        <v>％</v>
      </c>
      <c r="AD184" s="116">
        <f>IFERROR(__xludf.DUMMYFUNCTION("""COMPUTED_VALUE"""),3498.0)</f>
        <v>3498</v>
      </c>
      <c r="AE184" s="100"/>
      <c r="AF184" s="372" t="str">
        <f>IFERROR(__xludf.DUMMYFUNCTION("""COMPUTED_VALUE"""),"")</f>
        <v/>
      </c>
    </row>
    <row r="185" ht="16.5" customHeight="1">
      <c r="C185" s="100"/>
      <c r="D185" s="128">
        <f>IFERROR(__xludf.DUMMYFUNCTION("""COMPUTED_VALUE"""),3.0)</f>
        <v>3</v>
      </c>
      <c r="E185" s="129" t="str">
        <f>IFERROR(__xludf.DUMMYFUNCTION("""COMPUTED_VALUE"""),"")</f>
        <v/>
      </c>
      <c r="F185" s="131" t="str">
        <f>IFERROR(__xludf.DUMMYFUNCTION("""COMPUTED_VALUE"""),"")</f>
        <v/>
      </c>
      <c r="G185" s="131" t="str">
        <f>IFERROR(__xludf.DUMMYFUNCTION("""COMPUTED_VALUE"""),"")</f>
        <v/>
      </c>
      <c r="H185" s="136" t="str">
        <f>IFERROR(__xludf.DUMMYFUNCTION("""COMPUTED_VALUE"""),"")</f>
        <v/>
      </c>
      <c r="I185" s="138" t="str">
        <f>IFERROR(__xludf.DUMMYFUNCTION("""COMPUTED_VALUE"""),"")</f>
        <v/>
      </c>
      <c r="J185" s="140" t="str">
        <f>IFERROR(__xludf.DUMMYFUNCTION("""COMPUTED_VALUE"""),"")</f>
        <v/>
      </c>
      <c r="K185" s="142" t="str">
        <f>IFERROR(__xludf.DUMMYFUNCTION("""COMPUTED_VALUE"""),"AP")</f>
        <v>AP</v>
      </c>
      <c r="L185" s="144" t="str">
        <f>IFERROR(__xludf.DUMMYFUNCTION("""COMPUTED_VALUE"""),"")</f>
        <v/>
      </c>
      <c r="M185" s="142" t="str">
        <f>IFERROR(__xludf.DUMMYFUNCTION("""COMPUTED_VALUE"""),"％")</f>
        <v>％</v>
      </c>
      <c r="N185" s="136" t="str">
        <f>IFERROR(__xludf.DUMMYFUNCTION("""COMPUTED_VALUE"""),"")</f>
        <v/>
      </c>
      <c r="O185" s="100"/>
      <c r="P185" s="371" t="str">
        <f>IFERROR(__xludf.DUMMYFUNCTION("""COMPUTED_VALUE"""),"")</f>
        <v/>
      </c>
      <c r="S185" s="100"/>
      <c r="T185" s="128">
        <f>IFERROR(__xludf.DUMMYFUNCTION("""COMPUTED_VALUE"""),3.0)</f>
        <v>3</v>
      </c>
      <c r="U185" s="129" t="str">
        <f>IFERROR(__xludf.DUMMYFUNCTION("""COMPUTED_VALUE"""),"TRF10")</f>
        <v>TRF10</v>
      </c>
      <c r="V185" s="131" t="str">
        <f>IFERROR(__xludf.DUMMYFUNCTION("""COMPUTED_VALUE"""),"Chaldea Gate (Wed)")</f>
        <v>Chaldea Gate (Wed)</v>
      </c>
      <c r="W185" s="131" t="str">
        <f>IFERROR(__xludf.DUMMYFUNCTION("""COMPUTED_VALUE"""),"WED Berserker Training Ground- Int")</f>
        <v>WED Berserker Training Ground- Int</v>
      </c>
      <c r="X185" s="136">
        <f>IFERROR(__xludf.DUMMYFUNCTION("""COMPUTED_VALUE"""),20.0)</f>
        <v>20</v>
      </c>
      <c r="Y185" s="138">
        <f>IFERROR(__xludf.DUMMYFUNCTION("""COMPUTED_VALUE"""),18.4)</f>
        <v>18.4</v>
      </c>
      <c r="Z185" s="140">
        <f>IFERROR(__xludf.DUMMYFUNCTION("""COMPUTED_VALUE"""),28.418401848648156)</f>
        <v>28.41840185</v>
      </c>
      <c r="AA185" s="142" t="str">
        <f>IFERROR(__xludf.DUMMYFUNCTION("""COMPUTED_VALUE"""),"AP")</f>
        <v>AP</v>
      </c>
      <c r="AB185" s="144">
        <f>IFERROR(__xludf.DUMMYFUNCTION("""COMPUTED_VALUE"""),70.37693430656934)</f>
        <v>70.37693431</v>
      </c>
      <c r="AC185" s="142" t="str">
        <f>IFERROR(__xludf.DUMMYFUNCTION("""COMPUTED_VALUE"""),"％")</f>
        <v>％</v>
      </c>
      <c r="AD185" s="136">
        <f>IFERROR(__xludf.DUMMYFUNCTION("""COMPUTED_VALUE"""),685.0)</f>
        <v>685</v>
      </c>
      <c r="AE185" s="100"/>
      <c r="AF185" s="372" t="str">
        <f>IFERROR(__xludf.DUMMYFUNCTION("""COMPUTED_VALUE"""),"")</f>
        <v/>
      </c>
    </row>
    <row r="186" ht="16.5" customHeight="1">
      <c r="C186" s="100"/>
      <c r="D186" s="147">
        <f>IFERROR(__xludf.DUMMYFUNCTION("""COMPUTED_VALUE"""),4.0)</f>
        <v>4</v>
      </c>
      <c r="E186" s="149" t="str">
        <f>IFERROR(__xludf.DUMMYFUNCTION("""COMPUTED_VALUE"""),"")</f>
        <v/>
      </c>
      <c r="F186" s="151" t="str">
        <f>IFERROR(__xludf.DUMMYFUNCTION("""COMPUTED_VALUE"""),"")</f>
        <v/>
      </c>
      <c r="G186" s="151" t="str">
        <f>IFERROR(__xludf.DUMMYFUNCTION("""COMPUTED_VALUE"""),"")</f>
        <v/>
      </c>
      <c r="H186" s="155" t="str">
        <f>IFERROR(__xludf.DUMMYFUNCTION("""COMPUTED_VALUE"""),"")</f>
        <v/>
      </c>
      <c r="I186" s="157" t="str">
        <f>IFERROR(__xludf.DUMMYFUNCTION("""COMPUTED_VALUE"""),"")</f>
        <v/>
      </c>
      <c r="J186" s="159" t="str">
        <f>IFERROR(__xludf.DUMMYFUNCTION("""COMPUTED_VALUE"""),"")</f>
        <v/>
      </c>
      <c r="K186" s="161" t="str">
        <f>IFERROR(__xludf.DUMMYFUNCTION("""COMPUTED_VALUE"""),"AP")</f>
        <v>AP</v>
      </c>
      <c r="L186" s="163" t="str">
        <f>IFERROR(__xludf.DUMMYFUNCTION("""COMPUTED_VALUE"""),"")</f>
        <v/>
      </c>
      <c r="M186" s="161" t="str">
        <f>IFERROR(__xludf.DUMMYFUNCTION("""COMPUTED_VALUE"""),"％")</f>
        <v>％</v>
      </c>
      <c r="N186" s="155" t="str">
        <f>IFERROR(__xludf.DUMMYFUNCTION("""COMPUTED_VALUE"""),"")</f>
        <v/>
      </c>
      <c r="O186" s="100"/>
      <c r="P186" s="371" t="str">
        <f>IFERROR(__xludf.DUMMYFUNCTION("""COMPUTED_VALUE"""),"")</f>
        <v/>
      </c>
      <c r="S186" s="100"/>
      <c r="T186" s="147">
        <f>IFERROR(__xludf.DUMMYFUNCTION("""COMPUTED_VALUE"""),4.0)</f>
        <v>4</v>
      </c>
      <c r="U186" s="149" t="str">
        <f>IFERROR(__xludf.DUMMYFUNCTION("""COMPUTED_VALUE"""),"EPU12")</f>
        <v>EPU12</v>
      </c>
      <c r="V186" s="151" t="str">
        <f>IFERROR(__xludf.DUMMYFUNCTION("""COMPUTED_VALUE"""),"E Pluribus Unum")</f>
        <v>E Pluribus Unum</v>
      </c>
      <c r="W186" s="153" t="str">
        <f>IFERROR(__xludf.DUMMYFUNCTION("""COMPUTED_VALUE"""),"Charlotte")</f>
        <v>Charlotte</v>
      </c>
      <c r="X186" s="155">
        <f>IFERROR(__xludf.DUMMYFUNCTION("""COMPUTED_VALUE"""),20.0)</f>
        <v>20</v>
      </c>
      <c r="Y186" s="157">
        <f>IFERROR(__xludf.DUMMYFUNCTION("""COMPUTED_VALUE"""),45.4)</f>
        <v>45.4</v>
      </c>
      <c r="Z186" s="159">
        <f>IFERROR(__xludf.DUMMYFUNCTION("""COMPUTED_VALUE"""),69.44920323785591)</f>
        <v>69.44920324</v>
      </c>
      <c r="AA186" s="161" t="str">
        <f>IFERROR(__xludf.DUMMYFUNCTION("""COMPUTED_VALUE"""),"AP")</f>
        <v>AP</v>
      </c>
      <c r="AB186" s="163">
        <f>IFERROR(__xludf.DUMMYFUNCTION("""COMPUTED_VALUE"""),28.798026568429005)</f>
        <v>28.79802657</v>
      </c>
      <c r="AC186" s="161" t="str">
        <f>IFERROR(__xludf.DUMMYFUNCTION("""COMPUTED_VALUE"""),"％")</f>
        <v>％</v>
      </c>
      <c r="AD186" s="155">
        <f>IFERROR(__xludf.DUMMYFUNCTION("""COMPUTED_VALUE"""),153641.0)</f>
        <v>153641</v>
      </c>
      <c r="AE186" s="100"/>
      <c r="AF186" s="372" t="str">
        <f>IFERROR(__xludf.DUMMYFUNCTION("""COMPUTED_VALUE"""),"")</f>
        <v/>
      </c>
    </row>
    <row r="187" ht="16.5" customHeight="1">
      <c r="A187" s="166"/>
      <c r="C187" s="168"/>
      <c r="D187" s="169">
        <f>IFERROR(__xludf.DUMMYFUNCTION("""COMPUTED_VALUE"""),5.0)</f>
        <v>5</v>
      </c>
      <c r="E187" s="170" t="str">
        <f>IFERROR(__xludf.DUMMYFUNCTION("""COMPUTED_VALUE"""),"")</f>
        <v/>
      </c>
      <c r="F187" s="51" t="str">
        <f>IFERROR(__xludf.DUMMYFUNCTION("""COMPUTED_VALUE"""),"")</f>
        <v/>
      </c>
      <c r="G187" s="51" t="str">
        <f>IFERROR(__xludf.DUMMYFUNCTION("""COMPUTED_VALUE"""),"")</f>
        <v/>
      </c>
      <c r="H187" s="172" t="str">
        <f>IFERROR(__xludf.DUMMYFUNCTION("""COMPUTED_VALUE"""),"")</f>
        <v/>
      </c>
      <c r="I187" s="173" t="str">
        <f>IFERROR(__xludf.DUMMYFUNCTION("""COMPUTED_VALUE"""),"")</f>
        <v/>
      </c>
      <c r="J187" s="174" t="str">
        <f>IFERROR(__xludf.DUMMYFUNCTION("""COMPUTED_VALUE"""),"")</f>
        <v/>
      </c>
      <c r="K187" s="175" t="str">
        <f>IFERROR(__xludf.DUMMYFUNCTION("""COMPUTED_VALUE"""),"AP")</f>
        <v>AP</v>
      </c>
      <c r="L187" s="176" t="str">
        <f>IFERROR(__xludf.DUMMYFUNCTION("""COMPUTED_VALUE"""),"")</f>
        <v/>
      </c>
      <c r="M187" s="175" t="str">
        <f>IFERROR(__xludf.DUMMYFUNCTION("""COMPUTED_VALUE"""),"％")</f>
        <v>％</v>
      </c>
      <c r="N187" s="172" t="str">
        <f>IFERROR(__xludf.DUMMYFUNCTION("""COMPUTED_VALUE"""),"")</f>
        <v/>
      </c>
      <c r="O187" s="168"/>
      <c r="P187" s="371" t="str">
        <f>IFERROR(__xludf.DUMMYFUNCTION("""COMPUTED_VALUE"""),"")</f>
        <v/>
      </c>
      <c r="Q187" s="166"/>
      <c r="S187" s="168"/>
      <c r="T187" s="169">
        <f>IFERROR(__xludf.DUMMYFUNCTION("""COMPUTED_VALUE"""),5.0)</f>
        <v>5</v>
      </c>
      <c r="U187" s="170" t="str">
        <f>IFERROR(__xludf.DUMMYFUNCTION("""COMPUTED_VALUE"""),"TRF9")</f>
        <v>TRF9</v>
      </c>
      <c r="V187" s="51" t="str">
        <f>IFERROR(__xludf.DUMMYFUNCTION("""COMPUTED_VALUE"""),"Chaldea Gate (Wed)")</f>
        <v>Chaldea Gate (Wed)</v>
      </c>
      <c r="W187" s="51" t="str">
        <f>IFERROR(__xludf.DUMMYFUNCTION("""COMPUTED_VALUE"""),"WED Berserker Training Ground- Nov")</f>
        <v>WED Berserker Training Ground- Nov</v>
      </c>
      <c r="X187" s="172">
        <f>IFERROR(__xludf.DUMMYFUNCTION("""COMPUTED_VALUE"""),10.0)</f>
        <v>10</v>
      </c>
      <c r="Y187" s="173">
        <f>IFERROR(__xludf.DUMMYFUNCTION("""COMPUTED_VALUE"""),18.8)</f>
        <v>18.8</v>
      </c>
      <c r="Z187" s="174">
        <f>IFERROR(__xludf.DUMMYFUNCTION("""COMPUTED_VALUE"""),53.124329990232745)</f>
        <v>53.12432999</v>
      </c>
      <c r="AA187" s="175" t="str">
        <f>IFERROR(__xludf.DUMMYFUNCTION("""COMPUTED_VALUE"""),"AP")</f>
        <v>AP</v>
      </c>
      <c r="AB187" s="176">
        <f>IFERROR(__xludf.DUMMYFUNCTION("""COMPUTED_VALUE"""),18.823766816143497)</f>
        <v>18.82376682</v>
      </c>
      <c r="AC187" s="175" t="str">
        <f>IFERROR(__xludf.DUMMYFUNCTION("""COMPUTED_VALUE"""),"％")</f>
        <v>％</v>
      </c>
      <c r="AD187" s="172">
        <f>IFERROR(__xludf.DUMMYFUNCTION("""COMPUTED_VALUE"""),1115.0)</f>
        <v>1115</v>
      </c>
      <c r="AE187" s="168"/>
      <c r="AF187" s="372" t="str">
        <f>IFERROR(__xludf.DUMMYFUNCTION("""COMPUTED_VALUE"""),"")</f>
        <v/>
      </c>
    </row>
    <row r="188" ht="16.5" customHeight="1">
      <c r="A188" s="352" t="str">
        <f>IFERROR(__xludf.DUMMYFUNCTION("""COMPUTED_VALUE"""),"Item")</f>
        <v>Item</v>
      </c>
      <c r="C188" s="353"/>
      <c r="D188" s="30" t="str">
        <f>IFERROR(__xludf.DUMMYFUNCTION("""COMPUTED_VALUE"""),"No.")</f>
        <v>No.</v>
      </c>
      <c r="E188" s="31" t="str">
        <f>IFERROR(__xludf.DUMMYFUNCTION("""COMPUTED_VALUE"""),"Node Code")</f>
        <v>Node Code</v>
      </c>
      <c r="F188" s="31" t="str">
        <f>IFERROR(__xludf.DUMMYFUNCTION("""COMPUTED_VALUE"""),"Area")</f>
        <v>Area</v>
      </c>
      <c r="G188" s="31" t="str">
        <f>IFERROR(__xludf.DUMMYFUNCTION("""COMPUTED_VALUE"""),"Quest")</f>
        <v>Quest</v>
      </c>
      <c r="H188" s="30" t="str">
        <f>IFERROR(__xludf.DUMMYFUNCTION("""COMPUTED_VALUE"""),"AP")</f>
        <v>AP</v>
      </c>
      <c r="I188" s="354" t="str">
        <f>IFERROR(__xludf.DUMMYFUNCTION("""COMPUTED_VALUE"""),"BP/AP")</f>
        <v>BP/AP</v>
      </c>
      <c r="J188" s="36" t="str">
        <f>IFERROR(__xludf.DUMMYFUNCTION("""COMPUTED_VALUE"""),"AP/Drop")</f>
        <v>AP/Drop</v>
      </c>
      <c r="K188" s="28"/>
      <c r="L188" s="36" t="str">
        <f>IFERROR(__xludf.DUMMYFUNCTION("""COMPUTED_VALUE"""),"Drop Chance")</f>
        <v>Drop Chance</v>
      </c>
      <c r="M188" s="28"/>
      <c r="N188" s="642" t="str">
        <f>IFERROR(__xludf.DUMMYFUNCTION("""COMPUTED_VALUE"""),"Runs")</f>
        <v>Runs</v>
      </c>
      <c r="O188" s="355" t="str">
        <f>IFERROR(__xludf.DUMMYFUNCTION("""COMPUTED_VALUE"""),"")</f>
        <v/>
      </c>
      <c r="P188" s="42" t="str">
        <f>IFERROR(__xludf.DUMMYFUNCTION("""COMPUTED_VALUE"""),"")</f>
        <v/>
      </c>
      <c r="Q188" s="352" t="str">
        <f>IFERROR(__xludf.DUMMYFUNCTION("""COMPUTED_VALUE"""),"Item")</f>
        <v>Item</v>
      </c>
      <c r="S188" s="353"/>
      <c r="T188" s="30" t="str">
        <f>IFERROR(__xludf.DUMMYFUNCTION("""COMPUTED_VALUE"""),"No.")</f>
        <v>No.</v>
      </c>
      <c r="U188" s="31" t="str">
        <f>IFERROR(__xludf.DUMMYFUNCTION("""COMPUTED_VALUE"""),"Node Code")</f>
        <v>Node Code</v>
      </c>
      <c r="V188" s="31" t="str">
        <f>IFERROR(__xludf.DUMMYFUNCTION("""COMPUTED_VALUE"""),"Area")</f>
        <v>Area</v>
      </c>
      <c r="W188" s="31" t="str">
        <f>IFERROR(__xludf.DUMMYFUNCTION("""COMPUTED_VALUE"""),"Quest")</f>
        <v>Quest</v>
      </c>
      <c r="X188" s="30" t="str">
        <f>IFERROR(__xludf.DUMMYFUNCTION("""COMPUTED_VALUE"""),"AP")</f>
        <v>AP</v>
      </c>
      <c r="Y188" s="354" t="str">
        <f>IFERROR(__xludf.DUMMYFUNCTION("""COMPUTED_VALUE"""),"BP/AP")</f>
        <v>BP/AP</v>
      </c>
      <c r="Z188" s="36" t="str">
        <f>IFERROR(__xludf.DUMMYFUNCTION("""COMPUTED_VALUE"""),"AP/Drop")</f>
        <v>AP/Drop</v>
      </c>
      <c r="AA188" s="28"/>
      <c r="AB188" s="36" t="str">
        <f>IFERROR(__xludf.DUMMYFUNCTION("""COMPUTED_VALUE"""),"Drop Chance")</f>
        <v>Drop Chance</v>
      </c>
      <c r="AC188" s="28"/>
      <c r="AD188" s="369" t="str">
        <f>IFERROR(__xludf.DUMMYFUNCTION("""COMPUTED_VALUE"""),"Runs")</f>
        <v>Runs</v>
      </c>
      <c r="AE188" s="373" t="str">
        <f>IFERROR(__xludf.DUMMYFUNCTION("""COMPUTED_VALUE"""),"")</f>
        <v/>
      </c>
      <c r="AF188" s="51" t="str">
        <f>IFERROR(__xludf.DUMMYFUNCTION("""COMPUTED_VALUE"""),"")</f>
        <v/>
      </c>
    </row>
    <row r="189" ht="16.5" customHeight="1">
      <c r="A189" s="54"/>
      <c r="B189" s="55"/>
      <c r="C189" s="57"/>
      <c r="D189" s="57"/>
      <c r="E189" s="57"/>
      <c r="F189" s="57"/>
      <c r="G189" s="57"/>
      <c r="H189" s="57"/>
      <c r="I189" s="58" t="str">
        <f>IFERROR(__xludf.DUMMYFUNCTION("""COMPUTED_VALUE"""),"1P+2L")</f>
        <v>1P+2L</v>
      </c>
      <c r="J189" s="55"/>
      <c r="K189" s="57"/>
      <c r="L189" s="55"/>
      <c r="M189" s="57"/>
      <c r="N189" s="57"/>
      <c r="O189" s="57"/>
      <c r="P189" s="42" t="str">
        <f>IFERROR(__xludf.DUMMYFUNCTION("""COMPUTED_VALUE"""),"")</f>
        <v/>
      </c>
      <c r="Q189" s="54"/>
      <c r="R189" s="55"/>
      <c r="S189" s="57"/>
      <c r="T189" s="57"/>
      <c r="U189" s="57"/>
      <c r="V189" s="57"/>
      <c r="W189" s="57"/>
      <c r="X189" s="57"/>
      <c r="Y189" s="58" t="str">
        <f>IFERROR(__xludf.DUMMYFUNCTION("""COMPUTED_VALUE"""),"1P+2L")</f>
        <v>1P+2L</v>
      </c>
      <c r="Z189" s="55"/>
      <c r="AA189" s="57"/>
      <c r="AB189" s="55"/>
      <c r="AC189" s="57"/>
      <c r="AD189" s="370"/>
      <c r="AE189" s="370"/>
      <c r="AF189" s="51" t="str">
        <f>IFERROR(__xludf.DUMMYFUNCTION("""COMPUTED_VALUE"""),"")</f>
        <v/>
      </c>
    </row>
    <row r="190" ht="16.5" customHeight="1">
      <c r="A190" s="61" t="str">
        <f>IFERROR(__xludf.DUMMYFUNCTION("""COMPUTED_VALUE"""),"")</f>
        <v/>
      </c>
      <c r="B190" s="366" t="str">
        <f>IFERROR(__xludf.DUMMYFUNCTION("""COMPUTED_VALUE"""),"A110")</f>
        <v>A110</v>
      </c>
      <c r="C190" s="180" t="str">
        <f>IFERROR(__xludf.DUMMYFUNCTION("""COMPUTED_VALUE"""),"Primordial Lanugo")</f>
        <v>Primordial Lanugo</v>
      </c>
      <c r="D190" s="185">
        <f>IFERROR(__xludf.DUMMYFUNCTION("""COMPUTED_VALUE"""),1.0)</f>
        <v>1</v>
      </c>
      <c r="E190" s="187" t="str">
        <f>IFERROR(__xludf.DUMMYFUNCTION("""COMPUTED_VALUE"""),"BBL14")</f>
        <v>BBL14</v>
      </c>
      <c r="F190" s="188" t="str">
        <f>IFERROR(__xludf.DUMMYFUNCTION("""COMPUTED_VALUE"""),"Babylonia")</f>
        <v>Babylonia</v>
      </c>
      <c r="G190" s="193" t="str">
        <f>IFERROR(__xludf.DUMMYFUNCTION("""COMPUTED_VALUE"""),"Blood Fort")</f>
        <v>Blood Fort</v>
      </c>
      <c r="H190" s="195">
        <f>IFERROR(__xludf.DUMMYFUNCTION("""COMPUTED_VALUE"""),21.0)</f>
        <v>21</v>
      </c>
      <c r="I190" s="196">
        <f>IFERROR(__xludf.DUMMYFUNCTION("""COMPUTED_VALUE"""),48.95238095238095)</f>
        <v>48.95238095</v>
      </c>
      <c r="J190" s="198">
        <f>IFERROR(__xludf.DUMMYFUNCTION("""COMPUTED_VALUE"""),114.2777712349616)</f>
        <v>114.2777712</v>
      </c>
      <c r="K190" s="200" t="str">
        <f>IFERROR(__xludf.DUMMYFUNCTION("""COMPUTED_VALUE"""),"AP")</f>
        <v>AP</v>
      </c>
      <c r="L190" s="198">
        <f>IFERROR(__xludf.DUMMYFUNCTION("""COMPUTED_VALUE"""),18.37627718239517)</f>
        <v>18.37627718</v>
      </c>
      <c r="M190" s="201" t="str">
        <f>IFERROR(__xludf.DUMMYFUNCTION("""COMPUTED_VALUE"""),"％")</f>
        <v>％</v>
      </c>
      <c r="N190" s="195">
        <f>IFERROR(__xludf.DUMMYFUNCTION("""COMPUTED_VALUE"""),19222.0)</f>
        <v>19222</v>
      </c>
      <c r="O190" s="197" t="str">
        <f>IFERROR(__xludf.DUMMYFUNCTION("""COMPUTED_VALUE"""),"Primordial Lanugo")</f>
        <v>Primordial Lanugo</v>
      </c>
      <c r="P190" s="371" t="str">
        <f>IFERROR(__xludf.DUMMYFUNCTION("""COMPUTED_VALUE"""),"")</f>
        <v/>
      </c>
      <c r="Q190" s="458" t="str">
        <f>IFERROR(__xludf.DUMMYFUNCTION("""COMPUTED_VALUE"""),"")</f>
        <v/>
      </c>
      <c r="R190" s="459" t="str">
        <f>IFERROR(__xludf.DUMMYFUNCTION("""COMPUTED_VALUE"""),"")</f>
        <v/>
      </c>
      <c r="S190" s="459" t="str">
        <f>IFERROR(__xludf.DUMMYFUNCTION("""COMPUTED_VALUE"""),"")</f>
        <v/>
      </c>
      <c r="T190" t="str">
        <f>IFERROR(__xludf.DUMMYFUNCTION("""COMPUTED_VALUE"""),"")</f>
        <v/>
      </c>
      <c r="U190" t="str">
        <f>IFERROR(__xludf.DUMMYFUNCTION("""COMPUTED_VALUE"""),"")</f>
        <v/>
      </c>
      <c r="V190" t="str">
        <f>IFERROR(__xludf.DUMMYFUNCTION("""COMPUTED_VALUE"""),"")</f>
        <v/>
      </c>
      <c r="W190" t="str">
        <f>IFERROR(__xludf.DUMMYFUNCTION("""COMPUTED_VALUE"""),"")</f>
        <v/>
      </c>
      <c r="X190" t="str">
        <f>IFERROR(__xludf.DUMMYFUNCTION("""COMPUTED_VALUE"""),"")</f>
        <v/>
      </c>
      <c r="Y190" t="str">
        <f>IFERROR(__xludf.DUMMYFUNCTION("""COMPUTED_VALUE"""),"")</f>
        <v/>
      </c>
      <c r="Z190" t="str">
        <f>IFERROR(__xludf.DUMMYFUNCTION("""COMPUTED_VALUE"""),"")</f>
        <v/>
      </c>
      <c r="AA190" t="str">
        <f>IFERROR(__xludf.DUMMYFUNCTION("""COMPUTED_VALUE"""),"")</f>
        <v/>
      </c>
      <c r="AB190" t="str">
        <f>IFERROR(__xludf.DUMMYFUNCTION("""COMPUTED_VALUE"""),"")</f>
        <v/>
      </c>
      <c r="AC190" t="str">
        <f>IFERROR(__xludf.DUMMYFUNCTION("""COMPUTED_VALUE"""),"")</f>
        <v/>
      </c>
      <c r="AD190" t="str">
        <f>IFERROR(__xludf.DUMMYFUNCTION("""COMPUTED_VALUE"""),"")</f>
        <v/>
      </c>
      <c r="AE190" s="460" t="str">
        <f>IFERROR(__xludf.DUMMYFUNCTION("""COMPUTED_VALUE"""),"")</f>
        <v/>
      </c>
      <c r="AF190" s="372" t="str">
        <f>IFERROR(__xludf.DUMMYFUNCTION("""COMPUTED_VALUE"""),"")</f>
        <v/>
      </c>
    </row>
    <row r="191" ht="16.5" customHeight="1">
      <c r="C191" s="204"/>
      <c r="D191" s="208">
        <f>IFERROR(__xludf.DUMMYFUNCTION("""COMPUTED_VALUE"""),2.0)</f>
        <v>2</v>
      </c>
      <c r="E191" s="210" t="str">
        <f>IFERROR(__xludf.DUMMYFUNCTION("""COMPUTED_VALUE"""),"BBL3")</f>
        <v>BBL3</v>
      </c>
      <c r="F191" s="212" t="str">
        <f>IFERROR(__xludf.DUMMYFUNCTION("""COMPUTED_VALUE"""),"Babylonia")</f>
        <v>Babylonia</v>
      </c>
      <c r="G191" s="216" t="str">
        <f>IFERROR(__xludf.DUMMYFUNCTION("""COMPUTED_VALUE"""),"Black Cedar Forest")</f>
        <v>Black Cedar Forest</v>
      </c>
      <c r="H191" s="218">
        <f>IFERROR(__xludf.DUMMYFUNCTION("""COMPUTED_VALUE"""),20.0)</f>
        <v>20</v>
      </c>
      <c r="I191" s="219">
        <f>IFERROR(__xludf.DUMMYFUNCTION("""COMPUTED_VALUE"""),46.6)</f>
        <v>46.6</v>
      </c>
      <c r="J191" s="220">
        <f>IFERROR(__xludf.DUMMYFUNCTION("""COMPUTED_VALUE"""),157.49601275917064)</f>
        <v>157.4960128</v>
      </c>
      <c r="K191" s="221" t="str">
        <f>IFERROR(__xludf.DUMMYFUNCTION("""COMPUTED_VALUE"""),"AP")</f>
        <v>AP</v>
      </c>
      <c r="L191" s="220">
        <f>IFERROR(__xludf.DUMMYFUNCTION("""COMPUTED_VALUE"""),12.69873417721519)</f>
        <v>12.69873418</v>
      </c>
      <c r="M191" s="221" t="str">
        <f>IFERROR(__xludf.DUMMYFUNCTION("""COMPUTED_VALUE"""),"％")</f>
        <v>％</v>
      </c>
      <c r="N191" s="218">
        <f>IFERROR(__xludf.DUMMYFUNCTION("""COMPUTED_VALUE"""),1027.0)</f>
        <v>1027</v>
      </c>
      <c r="O191" s="217"/>
      <c r="P191" s="371" t="str">
        <f>IFERROR(__xludf.DUMMYFUNCTION("""COMPUTED_VALUE"""),"")</f>
        <v/>
      </c>
      <c r="Q191" s="458" t="str">
        <f>IFERROR(__xludf.DUMMYFUNCTION("""COMPUTED_VALUE"""),"")</f>
        <v/>
      </c>
      <c r="R191" s="459" t="str">
        <f>IFERROR(__xludf.DUMMYFUNCTION("""COMPUTED_VALUE"""),"")</f>
        <v/>
      </c>
      <c r="S191" s="459" t="str">
        <f>IFERROR(__xludf.DUMMYFUNCTION("""COMPUTED_VALUE"""),"")</f>
        <v/>
      </c>
      <c r="T191" t="str">
        <f>IFERROR(__xludf.DUMMYFUNCTION("""COMPUTED_VALUE"""),"")</f>
        <v/>
      </c>
      <c r="U191" t="str">
        <f>IFERROR(__xludf.DUMMYFUNCTION("""COMPUTED_VALUE"""),"")</f>
        <v/>
      </c>
      <c r="V191" t="str">
        <f>IFERROR(__xludf.DUMMYFUNCTION("""COMPUTED_VALUE"""),"")</f>
        <v/>
      </c>
      <c r="W191" t="str">
        <f>IFERROR(__xludf.DUMMYFUNCTION("""COMPUTED_VALUE"""),"")</f>
        <v/>
      </c>
      <c r="X191" t="str">
        <f>IFERROR(__xludf.DUMMYFUNCTION("""COMPUTED_VALUE"""),"")</f>
        <v/>
      </c>
      <c r="Y191" t="str">
        <f>IFERROR(__xludf.DUMMYFUNCTION("""COMPUTED_VALUE"""),"")</f>
        <v/>
      </c>
      <c r="Z191" t="str">
        <f>IFERROR(__xludf.DUMMYFUNCTION("""COMPUTED_VALUE"""),"")</f>
        <v/>
      </c>
      <c r="AA191" t="str">
        <f>IFERROR(__xludf.DUMMYFUNCTION("""COMPUTED_VALUE"""),"")</f>
        <v/>
      </c>
      <c r="AB191" t="str">
        <f>IFERROR(__xludf.DUMMYFUNCTION("""COMPUTED_VALUE"""),"")</f>
        <v/>
      </c>
      <c r="AC191" t="str">
        <f>IFERROR(__xludf.DUMMYFUNCTION("""COMPUTED_VALUE"""),"")</f>
        <v/>
      </c>
      <c r="AD191" t="str">
        <f>IFERROR(__xludf.DUMMYFUNCTION("""COMPUTED_VALUE"""),"")</f>
        <v/>
      </c>
      <c r="AE191" s="460" t="str">
        <f>IFERROR(__xludf.DUMMYFUNCTION("""COMPUTED_VALUE"""),"")</f>
        <v/>
      </c>
      <c r="AF191" s="372" t="str">
        <f>IFERROR(__xludf.DUMMYFUNCTION("""COMPUTED_VALUE"""),"")</f>
        <v/>
      </c>
    </row>
    <row r="192" ht="16.5" customHeight="1">
      <c r="C192" s="204"/>
      <c r="D192" s="225">
        <f>IFERROR(__xludf.DUMMYFUNCTION("""COMPUTED_VALUE"""),3.0)</f>
        <v>3</v>
      </c>
      <c r="E192" s="227" t="str">
        <f>IFERROR(__xludf.DUMMYFUNCTION("""COMPUTED_VALUE"""),"BBL11")</f>
        <v>BBL11</v>
      </c>
      <c r="F192" s="229" t="str">
        <f>IFERROR(__xludf.DUMMYFUNCTION("""COMPUTED_VALUE"""),"Babylonia")</f>
        <v>Babylonia</v>
      </c>
      <c r="G192" s="233" t="str">
        <f>IFERROR(__xludf.DUMMYFUNCTION("""COMPUTED_VALUE"""),"Northern Wall")</f>
        <v>Northern Wall</v>
      </c>
      <c r="H192" s="234">
        <f>IFERROR(__xludf.DUMMYFUNCTION("""COMPUTED_VALUE"""),21.0)</f>
        <v>21</v>
      </c>
      <c r="I192" s="235">
        <f>IFERROR(__xludf.DUMMYFUNCTION("""COMPUTED_VALUE"""),47.80952380952381)</f>
        <v>47.80952381</v>
      </c>
      <c r="J192" s="236">
        <f>IFERROR(__xludf.DUMMYFUNCTION("""COMPUTED_VALUE"""),167.65390573868953)</f>
        <v>167.6539057</v>
      </c>
      <c r="K192" s="237" t="str">
        <f>IFERROR(__xludf.DUMMYFUNCTION("""COMPUTED_VALUE"""),"AP")</f>
        <v>AP</v>
      </c>
      <c r="L192" s="236">
        <f>IFERROR(__xludf.DUMMYFUNCTION("""COMPUTED_VALUE"""),12.525804219993084)</f>
        <v>12.52580422</v>
      </c>
      <c r="M192" s="237" t="str">
        <f>IFERROR(__xludf.DUMMYFUNCTION("""COMPUTED_VALUE"""),"％")</f>
        <v>％</v>
      </c>
      <c r="N192" s="234">
        <f>IFERROR(__xludf.DUMMYFUNCTION("""COMPUTED_VALUE"""),2891.0)</f>
        <v>2891</v>
      </c>
      <c r="O192" s="217"/>
      <c r="P192" s="371" t="str">
        <f>IFERROR(__xludf.DUMMYFUNCTION("""COMPUTED_VALUE"""),"")</f>
        <v/>
      </c>
      <c r="Q192" s="458" t="str">
        <f>IFERROR(__xludf.DUMMYFUNCTION("""COMPUTED_VALUE"""),"")</f>
        <v/>
      </c>
      <c r="R192" s="459" t="str">
        <f>IFERROR(__xludf.DUMMYFUNCTION("""COMPUTED_VALUE"""),"")</f>
        <v/>
      </c>
      <c r="S192" s="459" t="str">
        <f>IFERROR(__xludf.DUMMYFUNCTION("""COMPUTED_VALUE"""),"")</f>
        <v/>
      </c>
      <c r="T192" t="str">
        <f>IFERROR(__xludf.DUMMYFUNCTION("""COMPUTED_VALUE"""),"")</f>
        <v/>
      </c>
      <c r="U192" t="str">
        <f>IFERROR(__xludf.DUMMYFUNCTION("""COMPUTED_VALUE"""),"")</f>
        <v/>
      </c>
      <c r="V192" t="str">
        <f>IFERROR(__xludf.DUMMYFUNCTION("""COMPUTED_VALUE"""),"")</f>
        <v/>
      </c>
      <c r="W192" t="str">
        <f>IFERROR(__xludf.DUMMYFUNCTION("""COMPUTED_VALUE"""),"")</f>
        <v/>
      </c>
      <c r="X192" t="str">
        <f>IFERROR(__xludf.DUMMYFUNCTION("""COMPUTED_VALUE"""),"")</f>
        <v/>
      </c>
      <c r="Y192" t="str">
        <f>IFERROR(__xludf.DUMMYFUNCTION("""COMPUTED_VALUE"""),"")</f>
        <v/>
      </c>
      <c r="Z192" t="str">
        <f>IFERROR(__xludf.DUMMYFUNCTION("""COMPUTED_VALUE"""),"")</f>
        <v/>
      </c>
      <c r="AA192" t="str">
        <f>IFERROR(__xludf.DUMMYFUNCTION("""COMPUTED_VALUE"""),"")</f>
        <v/>
      </c>
      <c r="AB192" t="str">
        <f>IFERROR(__xludf.DUMMYFUNCTION("""COMPUTED_VALUE"""),"")</f>
        <v/>
      </c>
      <c r="AC192" t="str">
        <f>IFERROR(__xludf.DUMMYFUNCTION("""COMPUTED_VALUE"""),"")</f>
        <v/>
      </c>
      <c r="AD192" t="str">
        <f>IFERROR(__xludf.DUMMYFUNCTION("""COMPUTED_VALUE"""),"")</f>
        <v/>
      </c>
      <c r="AE192" s="460" t="str">
        <f>IFERROR(__xludf.DUMMYFUNCTION("""COMPUTED_VALUE"""),"")</f>
        <v/>
      </c>
      <c r="AF192" s="372" t="str">
        <f>IFERROR(__xludf.DUMMYFUNCTION("""COMPUTED_VALUE"""),"")</f>
        <v/>
      </c>
    </row>
    <row r="193" ht="16.5" customHeight="1">
      <c r="C193" s="204"/>
      <c r="D193" s="239">
        <f>IFERROR(__xludf.DUMMYFUNCTION("""COMPUTED_VALUE"""),4.0)</f>
        <v>4</v>
      </c>
      <c r="E193" s="241" t="str">
        <f>IFERROR(__xludf.DUMMYFUNCTION("""COMPUTED_VALUE"""),"")</f>
        <v/>
      </c>
      <c r="F193" s="243" t="str">
        <f>IFERROR(__xludf.DUMMYFUNCTION("""COMPUTED_VALUE"""),"")</f>
        <v/>
      </c>
      <c r="G193" s="243" t="str">
        <f>IFERROR(__xludf.DUMMYFUNCTION("""COMPUTED_VALUE"""),"")</f>
        <v/>
      </c>
      <c r="H193" s="247" t="str">
        <f>IFERROR(__xludf.DUMMYFUNCTION("""COMPUTED_VALUE"""),"")</f>
        <v/>
      </c>
      <c r="I193" s="249" t="str">
        <f>IFERROR(__xludf.DUMMYFUNCTION("""COMPUTED_VALUE"""),"")</f>
        <v/>
      </c>
      <c r="J193" s="251" t="str">
        <f>IFERROR(__xludf.DUMMYFUNCTION("""COMPUTED_VALUE"""),"")</f>
        <v/>
      </c>
      <c r="K193" s="253" t="str">
        <f>IFERROR(__xludf.DUMMYFUNCTION("""COMPUTED_VALUE"""),"AP")</f>
        <v>AP</v>
      </c>
      <c r="L193" s="251" t="str">
        <f>IFERROR(__xludf.DUMMYFUNCTION("""COMPUTED_VALUE"""),"")</f>
        <v/>
      </c>
      <c r="M193" s="253" t="str">
        <f>IFERROR(__xludf.DUMMYFUNCTION("""COMPUTED_VALUE"""),"％")</f>
        <v>％</v>
      </c>
      <c r="N193" s="247" t="str">
        <f>IFERROR(__xludf.DUMMYFUNCTION("""COMPUTED_VALUE"""),"")</f>
        <v/>
      </c>
      <c r="O193" s="217"/>
      <c r="P193" s="371" t="str">
        <f>IFERROR(__xludf.DUMMYFUNCTION("""COMPUTED_VALUE"""),"")</f>
        <v/>
      </c>
      <c r="Q193" s="458" t="str">
        <f>IFERROR(__xludf.DUMMYFUNCTION("""COMPUTED_VALUE"""),"")</f>
        <v/>
      </c>
      <c r="R193" s="459" t="str">
        <f>IFERROR(__xludf.DUMMYFUNCTION("""COMPUTED_VALUE"""),"")</f>
        <v/>
      </c>
      <c r="S193" s="459" t="str">
        <f>IFERROR(__xludf.DUMMYFUNCTION("""COMPUTED_VALUE"""),"")</f>
        <v/>
      </c>
      <c r="T193" t="str">
        <f>IFERROR(__xludf.DUMMYFUNCTION("""COMPUTED_VALUE"""),"")</f>
        <v/>
      </c>
      <c r="U193" t="str">
        <f>IFERROR(__xludf.DUMMYFUNCTION("""COMPUTED_VALUE"""),"")</f>
        <v/>
      </c>
      <c r="V193" t="str">
        <f>IFERROR(__xludf.DUMMYFUNCTION("""COMPUTED_VALUE"""),"")</f>
        <v/>
      </c>
      <c r="W193" t="str">
        <f>IFERROR(__xludf.DUMMYFUNCTION("""COMPUTED_VALUE"""),"")</f>
        <v/>
      </c>
      <c r="X193" t="str">
        <f>IFERROR(__xludf.DUMMYFUNCTION("""COMPUTED_VALUE"""),"")</f>
        <v/>
      </c>
      <c r="Y193" t="str">
        <f>IFERROR(__xludf.DUMMYFUNCTION("""COMPUTED_VALUE"""),"")</f>
        <v/>
      </c>
      <c r="Z193" t="str">
        <f>IFERROR(__xludf.DUMMYFUNCTION("""COMPUTED_VALUE"""),"")</f>
        <v/>
      </c>
      <c r="AA193" t="str">
        <f>IFERROR(__xludf.DUMMYFUNCTION("""COMPUTED_VALUE"""),"")</f>
        <v/>
      </c>
      <c r="AB193" t="str">
        <f>IFERROR(__xludf.DUMMYFUNCTION("""COMPUTED_VALUE"""),"")</f>
        <v/>
      </c>
      <c r="AC193" t="str">
        <f>IFERROR(__xludf.DUMMYFUNCTION("""COMPUTED_VALUE"""),"")</f>
        <v/>
      </c>
      <c r="AD193" t="str">
        <f>IFERROR(__xludf.DUMMYFUNCTION("""COMPUTED_VALUE"""),"")</f>
        <v/>
      </c>
      <c r="AE193" s="460" t="str">
        <f>IFERROR(__xludf.DUMMYFUNCTION("""COMPUTED_VALUE"""),"")</f>
        <v/>
      </c>
      <c r="AF193" s="372" t="str">
        <f>IFERROR(__xludf.DUMMYFUNCTION("""COMPUTED_VALUE"""),"")</f>
        <v/>
      </c>
    </row>
    <row r="194" ht="16.5" customHeight="1">
      <c r="A194" s="166"/>
      <c r="C194" s="255"/>
      <c r="D194" s="256">
        <f>IFERROR(__xludf.DUMMYFUNCTION("""COMPUTED_VALUE"""),5.0)</f>
        <v>5</v>
      </c>
      <c r="E194" s="257" t="str">
        <f>IFERROR(__xludf.DUMMYFUNCTION("""COMPUTED_VALUE"""),"")</f>
        <v/>
      </c>
      <c r="F194" s="42" t="str">
        <f>IFERROR(__xludf.DUMMYFUNCTION("""COMPUTED_VALUE"""),"")</f>
        <v/>
      </c>
      <c r="G194" s="42" t="str">
        <f>IFERROR(__xludf.DUMMYFUNCTION("""COMPUTED_VALUE"""),"")</f>
        <v/>
      </c>
      <c r="H194" s="259" t="str">
        <f>IFERROR(__xludf.DUMMYFUNCTION("""COMPUTED_VALUE"""),"")</f>
        <v/>
      </c>
      <c r="I194" s="260" t="str">
        <f>IFERROR(__xludf.DUMMYFUNCTION("""COMPUTED_VALUE"""),"")</f>
        <v/>
      </c>
      <c r="J194" s="261" t="str">
        <f>IFERROR(__xludf.DUMMYFUNCTION("""COMPUTED_VALUE"""),"")</f>
        <v/>
      </c>
      <c r="K194" s="262" t="str">
        <f>IFERROR(__xludf.DUMMYFUNCTION("""COMPUTED_VALUE"""),"AP")</f>
        <v>AP</v>
      </c>
      <c r="L194" s="261" t="str">
        <f>IFERROR(__xludf.DUMMYFUNCTION("""COMPUTED_VALUE"""),"")</f>
        <v/>
      </c>
      <c r="M194" s="262" t="str">
        <f>IFERROR(__xludf.DUMMYFUNCTION("""COMPUTED_VALUE"""),"％")</f>
        <v>％</v>
      </c>
      <c r="N194" s="259" t="str">
        <f>IFERROR(__xludf.DUMMYFUNCTION("""COMPUTED_VALUE"""),"")</f>
        <v/>
      </c>
      <c r="O194" s="263"/>
      <c r="P194" s="371" t="str">
        <f>IFERROR(__xludf.DUMMYFUNCTION("""COMPUTED_VALUE"""),"")</f>
        <v/>
      </c>
      <c r="Q194" s="458" t="str">
        <f>IFERROR(__xludf.DUMMYFUNCTION("""COMPUTED_VALUE"""),"")</f>
        <v/>
      </c>
      <c r="R194" s="459" t="str">
        <f>IFERROR(__xludf.DUMMYFUNCTION("""COMPUTED_VALUE"""),"")</f>
        <v/>
      </c>
      <c r="S194" s="459" t="str">
        <f>IFERROR(__xludf.DUMMYFUNCTION("""COMPUTED_VALUE"""),"")</f>
        <v/>
      </c>
      <c r="T194" t="str">
        <f>IFERROR(__xludf.DUMMYFUNCTION("""COMPUTED_VALUE"""),"")</f>
        <v/>
      </c>
      <c r="U194" t="str">
        <f>IFERROR(__xludf.DUMMYFUNCTION("""COMPUTED_VALUE"""),"")</f>
        <v/>
      </c>
      <c r="V194" t="str">
        <f>IFERROR(__xludf.DUMMYFUNCTION("""COMPUTED_VALUE"""),"")</f>
        <v/>
      </c>
      <c r="W194" t="str">
        <f>IFERROR(__xludf.DUMMYFUNCTION("""COMPUTED_VALUE"""),"")</f>
        <v/>
      </c>
      <c r="X194" t="str">
        <f>IFERROR(__xludf.DUMMYFUNCTION("""COMPUTED_VALUE"""),"")</f>
        <v/>
      </c>
      <c r="Y194" t="str">
        <f>IFERROR(__xludf.DUMMYFUNCTION("""COMPUTED_VALUE"""),"")</f>
        <v/>
      </c>
      <c r="Z194" t="str">
        <f>IFERROR(__xludf.DUMMYFUNCTION("""COMPUTED_VALUE"""),"")</f>
        <v/>
      </c>
      <c r="AA194" t="str">
        <f>IFERROR(__xludf.DUMMYFUNCTION("""COMPUTED_VALUE"""),"")</f>
        <v/>
      </c>
      <c r="AB194" t="str">
        <f>IFERROR(__xludf.DUMMYFUNCTION("""COMPUTED_VALUE"""),"")</f>
        <v/>
      </c>
      <c r="AC194" t="str">
        <f>IFERROR(__xludf.DUMMYFUNCTION("""COMPUTED_VALUE"""),"")</f>
        <v/>
      </c>
      <c r="AD194" t="str">
        <f>IFERROR(__xludf.DUMMYFUNCTION("""COMPUTED_VALUE"""),"")</f>
        <v/>
      </c>
      <c r="AE194" s="460" t="str">
        <f>IFERROR(__xludf.DUMMYFUNCTION("""COMPUTED_VALUE"""),"")</f>
        <v/>
      </c>
      <c r="AF194" s="372" t="str">
        <f>IFERROR(__xludf.DUMMYFUNCTION("""COMPUTED_VALUE"""),"")</f>
        <v/>
      </c>
    </row>
    <row r="195" ht="16.5" customHeight="1">
      <c r="A195" s="61" t="str">
        <f>IFERROR(__xludf.DUMMYFUNCTION("""COMPUTED_VALUE"""),"")</f>
        <v/>
      </c>
      <c r="B195" s="367" t="str">
        <f>IFERROR(__xludf.DUMMYFUNCTION("""COMPUTED_VALUE"""),"A111")</f>
        <v>A111</v>
      </c>
      <c r="C195" s="65" t="str">
        <f>IFERROR(__xludf.DUMMYFUNCTION("""COMPUTED_VALUE"""),"Cursed Beast Gallstone")</f>
        <v>Cursed Beast Gallstone</v>
      </c>
      <c r="D195" s="70">
        <f>IFERROR(__xludf.DUMMYFUNCTION("""COMPUTED_VALUE"""),1.0)</f>
        <v>1</v>
      </c>
      <c r="E195" s="73" t="str">
        <f>IFERROR(__xludf.DUMMYFUNCTION("""COMPUTED_VALUE"""),"SMS8")</f>
        <v>SMS8</v>
      </c>
      <c r="F195" s="76" t="str">
        <f>IFERROR(__xludf.DUMMYFUNCTION("""COMPUTED_VALUE"""),"Shimosa")</f>
        <v>Shimosa</v>
      </c>
      <c r="G195" s="85" t="str">
        <f>IFERROR(__xludf.DUMMYFUNCTION("""COMPUTED_VALUE"""),"Arakawa Field")</f>
        <v>Arakawa Field</v>
      </c>
      <c r="H195" s="87">
        <f>IFERROR(__xludf.DUMMYFUNCTION("""COMPUTED_VALUE"""),21.0)</f>
        <v>21</v>
      </c>
      <c r="I195" s="90">
        <f>IFERROR(__xludf.DUMMYFUNCTION("""COMPUTED_VALUE"""),48.95238095238095)</f>
        <v>48.95238095</v>
      </c>
      <c r="J195" s="92">
        <f>IFERROR(__xludf.DUMMYFUNCTION("""COMPUTED_VALUE"""),170.74223848448437)</f>
        <v>170.7422385</v>
      </c>
      <c r="K195" s="94" t="str">
        <f>IFERROR(__xludf.DUMMYFUNCTION("""COMPUTED_VALUE"""),"AP")</f>
        <v>AP</v>
      </c>
      <c r="L195" s="96">
        <f>IFERROR(__xludf.DUMMYFUNCTION("""COMPUTED_VALUE"""),12.299241351406028)</f>
        <v>12.29924135</v>
      </c>
      <c r="M195" s="94" t="str">
        <f>IFERROR(__xludf.DUMMYFUNCTION("""COMPUTED_VALUE"""),"％")</f>
        <v>％</v>
      </c>
      <c r="N195" s="87">
        <f>IFERROR(__xludf.DUMMYFUNCTION("""COMPUTED_VALUE"""),9886.0)</f>
        <v>9886</v>
      </c>
      <c r="O195" s="97" t="str">
        <f>IFERROR(__xludf.DUMMYFUNCTION("""COMPUTED_VALUE"""),"Cursed Beast Gallstone")</f>
        <v>Cursed Beast Gallstone</v>
      </c>
      <c r="P195" s="371" t="str">
        <f>IFERROR(__xludf.DUMMYFUNCTION("""COMPUTED_VALUE"""),"")</f>
        <v/>
      </c>
      <c r="Q195" s="458" t="str">
        <f>IFERROR(__xludf.DUMMYFUNCTION("""COMPUTED_VALUE"""),"")</f>
        <v/>
      </c>
      <c r="R195" s="459" t="str">
        <f>IFERROR(__xludf.DUMMYFUNCTION("""COMPUTED_VALUE"""),"")</f>
        <v/>
      </c>
      <c r="S195" s="459" t="str">
        <f>IFERROR(__xludf.DUMMYFUNCTION("""COMPUTED_VALUE"""),"")</f>
        <v/>
      </c>
      <c r="T195" t="str">
        <f>IFERROR(__xludf.DUMMYFUNCTION("""COMPUTED_VALUE"""),"")</f>
        <v/>
      </c>
      <c r="U195" t="str">
        <f>IFERROR(__xludf.DUMMYFUNCTION("""COMPUTED_VALUE"""),"")</f>
        <v/>
      </c>
      <c r="V195" t="str">
        <f>IFERROR(__xludf.DUMMYFUNCTION("""COMPUTED_VALUE"""),"")</f>
        <v/>
      </c>
      <c r="W195" t="str">
        <f>IFERROR(__xludf.DUMMYFUNCTION("""COMPUTED_VALUE"""),"")</f>
        <v/>
      </c>
      <c r="X195" t="str">
        <f>IFERROR(__xludf.DUMMYFUNCTION("""COMPUTED_VALUE"""),"")</f>
        <v/>
      </c>
      <c r="Y195" t="str">
        <f>IFERROR(__xludf.DUMMYFUNCTION("""COMPUTED_VALUE"""),"")</f>
        <v/>
      </c>
      <c r="Z195" t="str">
        <f>IFERROR(__xludf.DUMMYFUNCTION("""COMPUTED_VALUE"""),"")</f>
        <v/>
      </c>
      <c r="AA195" t="str">
        <f>IFERROR(__xludf.DUMMYFUNCTION("""COMPUTED_VALUE"""),"")</f>
        <v/>
      </c>
      <c r="AB195" t="str">
        <f>IFERROR(__xludf.DUMMYFUNCTION("""COMPUTED_VALUE"""),"")</f>
        <v/>
      </c>
      <c r="AC195" t="str">
        <f>IFERROR(__xludf.DUMMYFUNCTION("""COMPUTED_VALUE"""),"")</f>
        <v/>
      </c>
      <c r="AD195" t="str">
        <f>IFERROR(__xludf.DUMMYFUNCTION("""COMPUTED_VALUE"""),"")</f>
        <v/>
      </c>
      <c r="AE195" s="460" t="str">
        <f>IFERROR(__xludf.DUMMYFUNCTION("""COMPUTED_VALUE"""),"")</f>
        <v/>
      </c>
      <c r="AF195" s="372" t="str">
        <f>IFERROR(__xludf.DUMMYFUNCTION("""COMPUTED_VALUE"""),"")</f>
        <v/>
      </c>
    </row>
    <row r="196" ht="16.5" customHeight="1">
      <c r="C196" s="100"/>
      <c r="D196" s="105">
        <f>IFERROR(__xludf.DUMMYFUNCTION("""COMPUTED_VALUE"""),2.0)</f>
        <v>2</v>
      </c>
      <c r="E196" s="106" t="str">
        <f>IFERROR(__xludf.DUMMYFUNCTION("""COMPUTED_VALUE"""),"BBL13")</f>
        <v>BBL13</v>
      </c>
      <c r="F196" s="107" t="str">
        <f>IFERROR(__xludf.DUMMYFUNCTION("""COMPUTED_VALUE"""),"Babylonia")</f>
        <v>Babylonia</v>
      </c>
      <c r="G196" s="114" t="str">
        <f>IFERROR(__xludf.DUMMYFUNCTION("""COMPUTED_VALUE"""),"Mt. Ebih")</f>
        <v>Mt. Ebih</v>
      </c>
      <c r="H196" s="116">
        <f>IFERROR(__xludf.DUMMYFUNCTION("""COMPUTED_VALUE"""),21.0)</f>
        <v>21</v>
      </c>
      <c r="I196" s="118">
        <f>IFERROR(__xludf.DUMMYFUNCTION("""COMPUTED_VALUE"""),48.95238095238095)</f>
        <v>48.95238095</v>
      </c>
      <c r="J196" s="120">
        <f>IFERROR(__xludf.DUMMYFUNCTION("""COMPUTED_VALUE"""),173.77071004612165)</f>
        <v>173.77071</v>
      </c>
      <c r="K196" s="122" t="str">
        <f>IFERROR(__xludf.DUMMYFUNCTION("""COMPUTED_VALUE"""),"AP")</f>
        <v>AP</v>
      </c>
      <c r="L196" s="124">
        <f>IFERROR(__xludf.DUMMYFUNCTION("""COMPUTED_VALUE"""),12.084890482651678)</f>
        <v>12.08489048</v>
      </c>
      <c r="M196" s="122" t="str">
        <f>IFERROR(__xludf.DUMMYFUNCTION("""COMPUTED_VALUE"""),"％")</f>
        <v>％</v>
      </c>
      <c r="N196" s="116">
        <f>IFERROR(__xludf.DUMMYFUNCTION("""COMPUTED_VALUE"""),10318.0)</f>
        <v>10318</v>
      </c>
      <c r="O196" s="100"/>
      <c r="P196" s="371" t="str">
        <f>IFERROR(__xludf.DUMMYFUNCTION("""COMPUTED_VALUE"""),"")</f>
        <v/>
      </c>
      <c r="Q196" s="458" t="str">
        <f>IFERROR(__xludf.DUMMYFUNCTION("""COMPUTED_VALUE"""),"")</f>
        <v/>
      </c>
      <c r="R196" s="459" t="str">
        <f>IFERROR(__xludf.DUMMYFUNCTION("""COMPUTED_VALUE"""),"")</f>
        <v/>
      </c>
      <c r="S196" s="459" t="str">
        <f>IFERROR(__xludf.DUMMYFUNCTION("""COMPUTED_VALUE"""),"")</f>
        <v/>
      </c>
      <c r="T196" t="str">
        <f>IFERROR(__xludf.DUMMYFUNCTION("""COMPUTED_VALUE"""),"")</f>
        <v/>
      </c>
      <c r="U196" t="str">
        <f>IFERROR(__xludf.DUMMYFUNCTION("""COMPUTED_VALUE"""),"")</f>
        <v/>
      </c>
      <c r="V196" t="str">
        <f>IFERROR(__xludf.DUMMYFUNCTION("""COMPUTED_VALUE"""),"")</f>
        <v/>
      </c>
      <c r="W196" t="str">
        <f>IFERROR(__xludf.DUMMYFUNCTION("""COMPUTED_VALUE"""),"")</f>
        <v/>
      </c>
      <c r="X196" t="str">
        <f>IFERROR(__xludf.DUMMYFUNCTION("""COMPUTED_VALUE"""),"")</f>
        <v/>
      </c>
      <c r="Y196" t="str">
        <f>IFERROR(__xludf.DUMMYFUNCTION("""COMPUTED_VALUE"""),"")</f>
        <v/>
      </c>
      <c r="Z196" t="str">
        <f>IFERROR(__xludf.DUMMYFUNCTION("""COMPUTED_VALUE"""),"")</f>
        <v/>
      </c>
      <c r="AA196" t="str">
        <f>IFERROR(__xludf.DUMMYFUNCTION("""COMPUTED_VALUE"""),"")</f>
        <v/>
      </c>
      <c r="AB196" t="str">
        <f>IFERROR(__xludf.DUMMYFUNCTION("""COMPUTED_VALUE"""),"")</f>
        <v/>
      </c>
      <c r="AC196" t="str">
        <f>IFERROR(__xludf.DUMMYFUNCTION("""COMPUTED_VALUE"""),"")</f>
        <v/>
      </c>
      <c r="AD196" t="str">
        <f>IFERROR(__xludf.DUMMYFUNCTION("""COMPUTED_VALUE"""),"")</f>
        <v/>
      </c>
      <c r="AE196" s="460" t="str">
        <f>IFERROR(__xludf.DUMMYFUNCTION("""COMPUTED_VALUE"""),"")</f>
        <v/>
      </c>
      <c r="AF196" s="372" t="str">
        <f>IFERROR(__xludf.DUMMYFUNCTION("""COMPUTED_VALUE"""),"")</f>
        <v/>
      </c>
    </row>
    <row r="197" ht="16.5" customHeight="1">
      <c r="C197" s="100"/>
      <c r="D197" s="128">
        <f>IFERROR(__xludf.DUMMYFUNCTION("""COMPUTED_VALUE"""),3.0)</f>
        <v>3</v>
      </c>
      <c r="E197" s="129" t="str">
        <f>IFERROR(__xludf.DUMMYFUNCTION("""COMPUTED_VALUE"""),"")</f>
        <v/>
      </c>
      <c r="F197" s="131" t="str">
        <f>IFERROR(__xludf.DUMMYFUNCTION("""COMPUTED_VALUE"""),"")</f>
        <v/>
      </c>
      <c r="G197" s="131" t="str">
        <f>IFERROR(__xludf.DUMMYFUNCTION("""COMPUTED_VALUE"""),"")</f>
        <v/>
      </c>
      <c r="H197" s="136" t="str">
        <f>IFERROR(__xludf.DUMMYFUNCTION("""COMPUTED_VALUE"""),"")</f>
        <v/>
      </c>
      <c r="I197" s="138" t="str">
        <f>IFERROR(__xludf.DUMMYFUNCTION("""COMPUTED_VALUE"""),"")</f>
        <v/>
      </c>
      <c r="J197" s="140" t="str">
        <f>IFERROR(__xludf.DUMMYFUNCTION("""COMPUTED_VALUE"""),"")</f>
        <v/>
      </c>
      <c r="K197" s="142" t="str">
        <f>IFERROR(__xludf.DUMMYFUNCTION("""COMPUTED_VALUE"""),"AP")</f>
        <v>AP</v>
      </c>
      <c r="L197" s="144" t="str">
        <f>IFERROR(__xludf.DUMMYFUNCTION("""COMPUTED_VALUE"""),"")</f>
        <v/>
      </c>
      <c r="M197" s="142" t="str">
        <f>IFERROR(__xludf.DUMMYFUNCTION("""COMPUTED_VALUE"""),"％")</f>
        <v>％</v>
      </c>
      <c r="N197" s="136" t="str">
        <f>IFERROR(__xludf.DUMMYFUNCTION("""COMPUTED_VALUE"""),"")</f>
        <v/>
      </c>
      <c r="O197" s="100"/>
      <c r="P197" s="371" t="str">
        <f>IFERROR(__xludf.DUMMYFUNCTION("""COMPUTED_VALUE"""),"")</f>
        <v/>
      </c>
      <c r="Q197" s="458" t="str">
        <f>IFERROR(__xludf.DUMMYFUNCTION("""COMPUTED_VALUE"""),"")</f>
        <v/>
      </c>
      <c r="R197" s="459" t="str">
        <f>IFERROR(__xludf.DUMMYFUNCTION("""COMPUTED_VALUE"""),"")</f>
        <v/>
      </c>
      <c r="S197" s="459" t="str">
        <f>IFERROR(__xludf.DUMMYFUNCTION("""COMPUTED_VALUE"""),"")</f>
        <v/>
      </c>
      <c r="T197" t="str">
        <f>IFERROR(__xludf.DUMMYFUNCTION("""COMPUTED_VALUE"""),"")</f>
        <v/>
      </c>
      <c r="U197" t="str">
        <f>IFERROR(__xludf.DUMMYFUNCTION("""COMPUTED_VALUE"""),"")</f>
        <v/>
      </c>
      <c r="V197" t="str">
        <f>IFERROR(__xludf.DUMMYFUNCTION("""COMPUTED_VALUE"""),"")</f>
        <v/>
      </c>
      <c r="W197" t="str">
        <f>IFERROR(__xludf.DUMMYFUNCTION("""COMPUTED_VALUE"""),"")</f>
        <v/>
      </c>
      <c r="X197" t="str">
        <f>IFERROR(__xludf.DUMMYFUNCTION("""COMPUTED_VALUE"""),"")</f>
        <v/>
      </c>
      <c r="Y197" t="str">
        <f>IFERROR(__xludf.DUMMYFUNCTION("""COMPUTED_VALUE"""),"")</f>
        <v/>
      </c>
      <c r="Z197" t="str">
        <f>IFERROR(__xludf.DUMMYFUNCTION("""COMPUTED_VALUE"""),"")</f>
        <v/>
      </c>
      <c r="AA197" t="str">
        <f>IFERROR(__xludf.DUMMYFUNCTION("""COMPUTED_VALUE"""),"")</f>
        <v/>
      </c>
      <c r="AB197" t="str">
        <f>IFERROR(__xludf.DUMMYFUNCTION("""COMPUTED_VALUE"""),"")</f>
        <v/>
      </c>
      <c r="AC197" t="str">
        <f>IFERROR(__xludf.DUMMYFUNCTION("""COMPUTED_VALUE"""),"")</f>
        <v/>
      </c>
      <c r="AD197" t="str">
        <f>IFERROR(__xludf.DUMMYFUNCTION("""COMPUTED_VALUE"""),"")</f>
        <v/>
      </c>
      <c r="AE197" s="460" t="str">
        <f>IFERROR(__xludf.DUMMYFUNCTION("""COMPUTED_VALUE"""),"")</f>
        <v/>
      </c>
      <c r="AF197" s="372" t="str">
        <f>IFERROR(__xludf.DUMMYFUNCTION("""COMPUTED_VALUE"""),"")</f>
        <v/>
      </c>
    </row>
    <row r="198" ht="16.5" customHeight="1">
      <c r="C198" s="100"/>
      <c r="D198" s="147">
        <f>IFERROR(__xludf.DUMMYFUNCTION("""COMPUTED_VALUE"""),4.0)</f>
        <v>4</v>
      </c>
      <c r="E198" s="149" t="str">
        <f>IFERROR(__xludf.DUMMYFUNCTION("""COMPUTED_VALUE"""),"")</f>
        <v/>
      </c>
      <c r="F198" s="151" t="str">
        <f>IFERROR(__xludf.DUMMYFUNCTION("""COMPUTED_VALUE"""),"")</f>
        <v/>
      </c>
      <c r="G198" s="151" t="str">
        <f>IFERROR(__xludf.DUMMYFUNCTION("""COMPUTED_VALUE"""),"")</f>
        <v/>
      </c>
      <c r="H198" s="155" t="str">
        <f>IFERROR(__xludf.DUMMYFUNCTION("""COMPUTED_VALUE"""),"")</f>
        <v/>
      </c>
      <c r="I198" s="157" t="str">
        <f>IFERROR(__xludf.DUMMYFUNCTION("""COMPUTED_VALUE"""),"")</f>
        <v/>
      </c>
      <c r="J198" s="159" t="str">
        <f>IFERROR(__xludf.DUMMYFUNCTION("""COMPUTED_VALUE"""),"")</f>
        <v/>
      </c>
      <c r="K198" s="161" t="str">
        <f>IFERROR(__xludf.DUMMYFUNCTION("""COMPUTED_VALUE"""),"AP")</f>
        <v>AP</v>
      </c>
      <c r="L198" s="163" t="str">
        <f>IFERROR(__xludf.DUMMYFUNCTION("""COMPUTED_VALUE"""),"")</f>
        <v/>
      </c>
      <c r="M198" s="161" t="str">
        <f>IFERROR(__xludf.DUMMYFUNCTION("""COMPUTED_VALUE"""),"％")</f>
        <v>％</v>
      </c>
      <c r="N198" s="155" t="str">
        <f>IFERROR(__xludf.DUMMYFUNCTION("""COMPUTED_VALUE"""),"")</f>
        <v/>
      </c>
      <c r="O198" s="100"/>
      <c r="P198" s="371" t="str">
        <f>IFERROR(__xludf.DUMMYFUNCTION("""COMPUTED_VALUE"""),"")</f>
        <v/>
      </c>
      <c r="Q198" s="458" t="str">
        <f>IFERROR(__xludf.DUMMYFUNCTION("""COMPUTED_VALUE"""),"")</f>
        <v/>
      </c>
      <c r="R198" s="459" t="str">
        <f>IFERROR(__xludf.DUMMYFUNCTION("""COMPUTED_VALUE"""),"")</f>
        <v/>
      </c>
      <c r="S198" s="459" t="str">
        <f>IFERROR(__xludf.DUMMYFUNCTION("""COMPUTED_VALUE"""),"")</f>
        <v/>
      </c>
      <c r="T198" t="str">
        <f>IFERROR(__xludf.DUMMYFUNCTION("""COMPUTED_VALUE"""),"")</f>
        <v/>
      </c>
      <c r="U198" t="str">
        <f>IFERROR(__xludf.DUMMYFUNCTION("""COMPUTED_VALUE"""),"")</f>
        <v/>
      </c>
      <c r="V198" t="str">
        <f>IFERROR(__xludf.DUMMYFUNCTION("""COMPUTED_VALUE"""),"")</f>
        <v/>
      </c>
      <c r="W198" t="str">
        <f>IFERROR(__xludf.DUMMYFUNCTION("""COMPUTED_VALUE"""),"")</f>
        <v/>
      </c>
      <c r="X198" t="str">
        <f>IFERROR(__xludf.DUMMYFUNCTION("""COMPUTED_VALUE"""),"")</f>
        <v/>
      </c>
      <c r="Y198" t="str">
        <f>IFERROR(__xludf.DUMMYFUNCTION("""COMPUTED_VALUE"""),"")</f>
        <v/>
      </c>
      <c r="Z198" t="str">
        <f>IFERROR(__xludf.DUMMYFUNCTION("""COMPUTED_VALUE"""),"")</f>
        <v/>
      </c>
      <c r="AA198" t="str">
        <f>IFERROR(__xludf.DUMMYFUNCTION("""COMPUTED_VALUE"""),"")</f>
        <v/>
      </c>
      <c r="AB198" t="str">
        <f>IFERROR(__xludf.DUMMYFUNCTION("""COMPUTED_VALUE"""),"")</f>
        <v/>
      </c>
      <c r="AC198" t="str">
        <f>IFERROR(__xludf.DUMMYFUNCTION("""COMPUTED_VALUE"""),"")</f>
        <v/>
      </c>
      <c r="AD198" t="str">
        <f>IFERROR(__xludf.DUMMYFUNCTION("""COMPUTED_VALUE"""),"")</f>
        <v/>
      </c>
      <c r="AE198" s="460" t="str">
        <f>IFERROR(__xludf.DUMMYFUNCTION("""COMPUTED_VALUE"""),"")</f>
        <v/>
      </c>
      <c r="AF198" s="372" t="str">
        <f>IFERROR(__xludf.DUMMYFUNCTION("""COMPUTED_VALUE"""),"")</f>
        <v/>
      </c>
    </row>
    <row r="199" ht="16.5" customHeight="1">
      <c r="A199" s="166"/>
      <c r="C199" s="168"/>
      <c r="D199" s="169">
        <f>IFERROR(__xludf.DUMMYFUNCTION("""COMPUTED_VALUE"""),5.0)</f>
        <v>5</v>
      </c>
      <c r="E199" s="170" t="str">
        <f>IFERROR(__xludf.DUMMYFUNCTION("""COMPUTED_VALUE"""),"")</f>
        <v/>
      </c>
      <c r="F199" s="51" t="str">
        <f>IFERROR(__xludf.DUMMYFUNCTION("""COMPUTED_VALUE"""),"")</f>
        <v/>
      </c>
      <c r="G199" s="51" t="str">
        <f>IFERROR(__xludf.DUMMYFUNCTION("""COMPUTED_VALUE"""),"")</f>
        <v/>
      </c>
      <c r="H199" s="172" t="str">
        <f>IFERROR(__xludf.DUMMYFUNCTION("""COMPUTED_VALUE"""),"")</f>
        <v/>
      </c>
      <c r="I199" s="173" t="str">
        <f>IFERROR(__xludf.DUMMYFUNCTION("""COMPUTED_VALUE"""),"")</f>
        <v/>
      </c>
      <c r="J199" s="174" t="str">
        <f>IFERROR(__xludf.DUMMYFUNCTION("""COMPUTED_VALUE"""),"")</f>
        <v/>
      </c>
      <c r="K199" s="175" t="str">
        <f>IFERROR(__xludf.DUMMYFUNCTION("""COMPUTED_VALUE"""),"AP")</f>
        <v>AP</v>
      </c>
      <c r="L199" s="176" t="str">
        <f>IFERROR(__xludf.DUMMYFUNCTION("""COMPUTED_VALUE"""),"")</f>
        <v/>
      </c>
      <c r="M199" s="175" t="str">
        <f>IFERROR(__xludf.DUMMYFUNCTION("""COMPUTED_VALUE"""),"％")</f>
        <v>％</v>
      </c>
      <c r="N199" s="172" t="str">
        <f>IFERROR(__xludf.DUMMYFUNCTION("""COMPUTED_VALUE"""),"")</f>
        <v/>
      </c>
      <c r="O199" s="168"/>
      <c r="P199" s="371" t="str">
        <f>IFERROR(__xludf.DUMMYFUNCTION("""COMPUTED_VALUE"""),"")</f>
        <v/>
      </c>
      <c r="Q199" s="458" t="str">
        <f>IFERROR(__xludf.DUMMYFUNCTION("""COMPUTED_VALUE"""),"")</f>
        <v/>
      </c>
      <c r="R199" s="459" t="str">
        <f>IFERROR(__xludf.DUMMYFUNCTION("""COMPUTED_VALUE"""),"")</f>
        <v/>
      </c>
      <c r="S199" s="459" t="str">
        <f>IFERROR(__xludf.DUMMYFUNCTION("""COMPUTED_VALUE"""),"")</f>
        <v/>
      </c>
      <c r="T199" t="str">
        <f>IFERROR(__xludf.DUMMYFUNCTION("""COMPUTED_VALUE"""),"")</f>
        <v/>
      </c>
      <c r="U199" t="str">
        <f>IFERROR(__xludf.DUMMYFUNCTION("""COMPUTED_VALUE"""),"")</f>
        <v/>
      </c>
      <c r="V199" t="str">
        <f>IFERROR(__xludf.DUMMYFUNCTION("""COMPUTED_VALUE"""),"")</f>
        <v/>
      </c>
      <c r="W199" t="str">
        <f>IFERROR(__xludf.DUMMYFUNCTION("""COMPUTED_VALUE"""),"")</f>
        <v/>
      </c>
      <c r="X199" t="str">
        <f>IFERROR(__xludf.DUMMYFUNCTION("""COMPUTED_VALUE"""),"")</f>
        <v/>
      </c>
      <c r="Y199" t="str">
        <f>IFERROR(__xludf.DUMMYFUNCTION("""COMPUTED_VALUE"""),"")</f>
        <v/>
      </c>
      <c r="Z199" t="str">
        <f>IFERROR(__xludf.DUMMYFUNCTION("""COMPUTED_VALUE"""),"")</f>
        <v/>
      </c>
      <c r="AA199" t="str">
        <f>IFERROR(__xludf.DUMMYFUNCTION("""COMPUTED_VALUE"""),"")</f>
        <v/>
      </c>
      <c r="AB199" t="str">
        <f>IFERROR(__xludf.DUMMYFUNCTION("""COMPUTED_VALUE"""),"")</f>
        <v/>
      </c>
      <c r="AC199" t="str">
        <f>IFERROR(__xludf.DUMMYFUNCTION("""COMPUTED_VALUE"""),"")</f>
        <v/>
      </c>
      <c r="AD199" t="str">
        <f>IFERROR(__xludf.DUMMYFUNCTION("""COMPUTED_VALUE"""),"")</f>
        <v/>
      </c>
      <c r="AE199" s="460" t="str">
        <f>IFERROR(__xludf.DUMMYFUNCTION("""COMPUTED_VALUE"""),"")</f>
        <v/>
      </c>
      <c r="AF199" s="372" t="str">
        <f>IFERROR(__xludf.DUMMYFUNCTION("""COMPUTED_VALUE"""),"")</f>
        <v/>
      </c>
    </row>
    <row r="200" ht="16.5" customHeight="1">
      <c r="A200" s="61" t="str">
        <f>IFERROR(__xludf.DUMMYFUNCTION("""COMPUTED_VALUE"""),"")</f>
        <v/>
      </c>
      <c r="B200" s="366" t="str">
        <f>IFERROR(__xludf.DUMMYFUNCTION("""COMPUTED_VALUE"""),"A112")</f>
        <v>A112</v>
      </c>
      <c r="C200" s="180" t="str">
        <f>IFERROR(__xludf.DUMMYFUNCTION("""COMPUTED_VALUE"""),"Mysterious Divine Wine")</f>
        <v>Mysterious Divine Wine</v>
      </c>
      <c r="D200" s="185">
        <f>IFERROR(__xludf.DUMMYFUNCTION("""COMPUTED_VALUE"""),1.0)</f>
        <v>1</v>
      </c>
      <c r="E200" s="187" t="str">
        <f>IFERROR(__xludf.DUMMYFUNCTION("""COMPUTED_VALUE"""),"AGT9")</f>
        <v>AGT9</v>
      </c>
      <c r="F200" s="188" t="str">
        <f>IFERROR(__xludf.DUMMYFUNCTION("""COMPUTED_VALUE"""),"Agartha")</f>
        <v>Agartha</v>
      </c>
      <c r="G200" s="193" t="str">
        <f>IFERROR(__xludf.DUMMYFUNCTION("""COMPUTED_VALUE"""),"Palace of Dragon King")</f>
        <v>Palace of Dragon King</v>
      </c>
      <c r="H200" s="195">
        <f>IFERROR(__xludf.DUMMYFUNCTION("""COMPUTED_VALUE"""),21.0)</f>
        <v>21</v>
      </c>
      <c r="I200" s="196">
        <f>IFERROR(__xludf.DUMMYFUNCTION("""COMPUTED_VALUE"""),47.80952380952381)</f>
        <v>47.80952381</v>
      </c>
      <c r="J200" s="198">
        <f>IFERROR(__xludf.DUMMYFUNCTION("""COMPUTED_VALUE"""),160.85366947783962)</f>
        <v>160.8536695</v>
      </c>
      <c r="K200" s="200" t="str">
        <f>IFERROR(__xludf.DUMMYFUNCTION("""COMPUTED_VALUE"""),"AP")</f>
        <v>AP</v>
      </c>
      <c r="L200" s="198">
        <f>IFERROR(__xludf.DUMMYFUNCTION("""COMPUTED_VALUE"""),13.055344070278183)</f>
        <v>13.05534407</v>
      </c>
      <c r="M200" s="201" t="str">
        <f>IFERROR(__xludf.DUMMYFUNCTION("""COMPUTED_VALUE"""),"％")</f>
        <v>％</v>
      </c>
      <c r="N200" s="195">
        <f>IFERROR(__xludf.DUMMYFUNCTION("""COMPUTED_VALUE"""),2732.0)</f>
        <v>2732</v>
      </c>
      <c r="O200" s="197" t="str">
        <f>IFERROR(__xludf.DUMMYFUNCTION("""COMPUTED_VALUE"""),"Mysterious Divine Wine")</f>
        <v>Mysterious Divine Wine</v>
      </c>
      <c r="P200" s="371" t="str">
        <f>IFERROR(__xludf.DUMMYFUNCTION("""COMPUTED_VALUE"""),"")</f>
        <v/>
      </c>
      <c r="Q200" s="458" t="str">
        <f>IFERROR(__xludf.DUMMYFUNCTION("""COMPUTED_VALUE"""),"")</f>
        <v/>
      </c>
      <c r="R200" s="459" t="str">
        <f>IFERROR(__xludf.DUMMYFUNCTION("""COMPUTED_VALUE"""),"")</f>
        <v/>
      </c>
      <c r="S200" s="459" t="str">
        <f>IFERROR(__xludf.DUMMYFUNCTION("""COMPUTED_VALUE"""),"")</f>
        <v/>
      </c>
      <c r="T200" t="str">
        <f>IFERROR(__xludf.DUMMYFUNCTION("""COMPUTED_VALUE"""),"")</f>
        <v/>
      </c>
      <c r="U200" t="str">
        <f>IFERROR(__xludf.DUMMYFUNCTION("""COMPUTED_VALUE"""),"")</f>
        <v/>
      </c>
      <c r="V200" t="str">
        <f>IFERROR(__xludf.DUMMYFUNCTION("""COMPUTED_VALUE"""),"")</f>
        <v/>
      </c>
      <c r="W200" t="str">
        <f>IFERROR(__xludf.DUMMYFUNCTION("""COMPUTED_VALUE"""),"")</f>
        <v/>
      </c>
      <c r="X200" t="str">
        <f>IFERROR(__xludf.DUMMYFUNCTION("""COMPUTED_VALUE"""),"")</f>
        <v/>
      </c>
      <c r="Y200" t="str">
        <f>IFERROR(__xludf.DUMMYFUNCTION("""COMPUTED_VALUE"""),"")</f>
        <v/>
      </c>
      <c r="Z200" t="str">
        <f>IFERROR(__xludf.DUMMYFUNCTION("""COMPUTED_VALUE"""),"")</f>
        <v/>
      </c>
      <c r="AA200" t="str">
        <f>IFERROR(__xludf.DUMMYFUNCTION("""COMPUTED_VALUE"""),"")</f>
        <v/>
      </c>
      <c r="AB200" t="str">
        <f>IFERROR(__xludf.DUMMYFUNCTION("""COMPUTED_VALUE"""),"")</f>
        <v/>
      </c>
      <c r="AC200" t="str">
        <f>IFERROR(__xludf.DUMMYFUNCTION("""COMPUTED_VALUE"""),"")</f>
        <v/>
      </c>
      <c r="AD200" t="str">
        <f>IFERROR(__xludf.DUMMYFUNCTION("""COMPUTED_VALUE"""),"")</f>
        <v/>
      </c>
      <c r="AE200" s="460" t="str">
        <f>IFERROR(__xludf.DUMMYFUNCTION("""COMPUTED_VALUE"""),"")</f>
        <v/>
      </c>
      <c r="AF200" s="372" t="str">
        <f>IFERROR(__xludf.DUMMYFUNCTION("""COMPUTED_VALUE"""),"")</f>
        <v/>
      </c>
    </row>
    <row r="201" ht="16.5" customHeight="1">
      <c r="C201" s="204"/>
      <c r="D201" s="208">
        <f>IFERROR(__xludf.DUMMYFUNCTION("""COMPUTED_VALUE"""),2.0)</f>
        <v>2</v>
      </c>
      <c r="E201" s="210" t="str">
        <f>IFERROR(__xludf.DUMMYFUNCTION("""COMPUTED_VALUE"""),"SMS6")</f>
        <v>SMS6</v>
      </c>
      <c r="F201" s="212" t="str">
        <f>IFERROR(__xludf.DUMMYFUNCTION("""COMPUTED_VALUE"""),"Shimosa")</f>
        <v>Shimosa</v>
      </c>
      <c r="G201" s="216" t="str">
        <f>IFERROR(__xludf.DUMMYFUNCTION("""COMPUTED_VALUE"""),"Toke Castle")</f>
        <v>Toke Castle</v>
      </c>
      <c r="H201" s="218">
        <f>IFERROR(__xludf.DUMMYFUNCTION("""COMPUTED_VALUE"""),21.0)</f>
        <v>21</v>
      </c>
      <c r="I201" s="219">
        <f>IFERROR(__xludf.DUMMYFUNCTION("""COMPUTED_VALUE"""),47.80952380952381)</f>
        <v>47.80952381</v>
      </c>
      <c r="J201" s="220">
        <f>IFERROR(__xludf.DUMMYFUNCTION("""COMPUTED_VALUE"""),224.7775569933732)</f>
        <v>224.777557</v>
      </c>
      <c r="K201" s="221" t="str">
        <f>IFERROR(__xludf.DUMMYFUNCTION("""COMPUTED_VALUE"""),"AP")</f>
        <v>AP</v>
      </c>
      <c r="L201" s="220">
        <f>IFERROR(__xludf.DUMMYFUNCTION("""COMPUTED_VALUE"""),9.342569730224051)</f>
        <v>9.34256973</v>
      </c>
      <c r="M201" s="221" t="str">
        <f>IFERROR(__xludf.DUMMYFUNCTION("""COMPUTED_VALUE"""),"％")</f>
        <v>％</v>
      </c>
      <c r="N201" s="218">
        <f>IFERROR(__xludf.DUMMYFUNCTION("""COMPUTED_VALUE"""),2187.0)</f>
        <v>2187</v>
      </c>
      <c r="O201" s="217"/>
      <c r="P201" s="371" t="str">
        <f>IFERROR(__xludf.DUMMYFUNCTION("""COMPUTED_VALUE"""),"")</f>
        <v/>
      </c>
      <c r="Q201" s="458" t="str">
        <f>IFERROR(__xludf.DUMMYFUNCTION("""COMPUTED_VALUE"""),"")</f>
        <v/>
      </c>
      <c r="R201" s="459" t="str">
        <f>IFERROR(__xludf.DUMMYFUNCTION("""COMPUTED_VALUE"""),"")</f>
        <v/>
      </c>
      <c r="S201" s="459" t="str">
        <f>IFERROR(__xludf.DUMMYFUNCTION("""COMPUTED_VALUE"""),"")</f>
        <v/>
      </c>
      <c r="T201" t="str">
        <f>IFERROR(__xludf.DUMMYFUNCTION("""COMPUTED_VALUE"""),"")</f>
        <v/>
      </c>
      <c r="U201" t="str">
        <f>IFERROR(__xludf.DUMMYFUNCTION("""COMPUTED_VALUE"""),"")</f>
        <v/>
      </c>
      <c r="V201" t="str">
        <f>IFERROR(__xludf.DUMMYFUNCTION("""COMPUTED_VALUE"""),"")</f>
        <v/>
      </c>
      <c r="W201" t="str">
        <f>IFERROR(__xludf.DUMMYFUNCTION("""COMPUTED_VALUE"""),"")</f>
        <v/>
      </c>
      <c r="X201" t="str">
        <f>IFERROR(__xludf.DUMMYFUNCTION("""COMPUTED_VALUE"""),"")</f>
        <v/>
      </c>
      <c r="Y201" t="str">
        <f>IFERROR(__xludf.DUMMYFUNCTION("""COMPUTED_VALUE"""),"")</f>
        <v/>
      </c>
      <c r="Z201" t="str">
        <f>IFERROR(__xludf.DUMMYFUNCTION("""COMPUTED_VALUE"""),"")</f>
        <v/>
      </c>
      <c r="AA201" t="str">
        <f>IFERROR(__xludf.DUMMYFUNCTION("""COMPUTED_VALUE"""),"")</f>
        <v/>
      </c>
      <c r="AB201" t="str">
        <f>IFERROR(__xludf.DUMMYFUNCTION("""COMPUTED_VALUE"""),"")</f>
        <v/>
      </c>
      <c r="AC201" t="str">
        <f>IFERROR(__xludf.DUMMYFUNCTION("""COMPUTED_VALUE"""),"")</f>
        <v/>
      </c>
      <c r="AD201" t="str">
        <f>IFERROR(__xludf.DUMMYFUNCTION("""COMPUTED_VALUE"""),"")</f>
        <v/>
      </c>
      <c r="AE201" s="460" t="str">
        <f>IFERROR(__xludf.DUMMYFUNCTION("""COMPUTED_VALUE"""),"")</f>
        <v/>
      </c>
      <c r="AF201" s="372" t="str">
        <f>IFERROR(__xludf.DUMMYFUNCTION("""COMPUTED_VALUE"""),"")</f>
        <v/>
      </c>
    </row>
    <row r="202" ht="16.5" customHeight="1">
      <c r="C202" s="204"/>
      <c r="D202" s="225">
        <f>IFERROR(__xludf.DUMMYFUNCTION("""COMPUTED_VALUE"""),3.0)</f>
        <v>3</v>
      </c>
      <c r="E202" s="227" t="str">
        <f>IFERROR(__xludf.DUMMYFUNCTION("""COMPUTED_VALUE"""),"")</f>
        <v/>
      </c>
      <c r="F202" s="229" t="str">
        <f>IFERROR(__xludf.DUMMYFUNCTION("""COMPUTED_VALUE"""),"")</f>
        <v/>
      </c>
      <c r="G202" s="229" t="str">
        <f>IFERROR(__xludf.DUMMYFUNCTION("""COMPUTED_VALUE"""),"")</f>
        <v/>
      </c>
      <c r="H202" s="234" t="str">
        <f>IFERROR(__xludf.DUMMYFUNCTION("""COMPUTED_VALUE"""),"")</f>
        <v/>
      </c>
      <c r="I202" s="235" t="str">
        <f>IFERROR(__xludf.DUMMYFUNCTION("""COMPUTED_VALUE"""),"")</f>
        <v/>
      </c>
      <c r="J202" s="236" t="str">
        <f>IFERROR(__xludf.DUMMYFUNCTION("""COMPUTED_VALUE"""),"")</f>
        <v/>
      </c>
      <c r="K202" s="237" t="str">
        <f>IFERROR(__xludf.DUMMYFUNCTION("""COMPUTED_VALUE"""),"AP")</f>
        <v>AP</v>
      </c>
      <c r="L202" s="236" t="str">
        <f>IFERROR(__xludf.DUMMYFUNCTION("""COMPUTED_VALUE"""),"")</f>
        <v/>
      </c>
      <c r="M202" s="237" t="str">
        <f>IFERROR(__xludf.DUMMYFUNCTION("""COMPUTED_VALUE"""),"％")</f>
        <v>％</v>
      </c>
      <c r="N202" s="234" t="str">
        <f>IFERROR(__xludf.DUMMYFUNCTION("""COMPUTED_VALUE"""),"")</f>
        <v/>
      </c>
      <c r="O202" s="217"/>
      <c r="P202" s="371" t="str">
        <f>IFERROR(__xludf.DUMMYFUNCTION("""COMPUTED_VALUE"""),"")</f>
        <v/>
      </c>
      <c r="Q202" s="458" t="str">
        <f>IFERROR(__xludf.DUMMYFUNCTION("""COMPUTED_VALUE"""),"")</f>
        <v/>
      </c>
      <c r="R202" s="459" t="str">
        <f>IFERROR(__xludf.DUMMYFUNCTION("""COMPUTED_VALUE"""),"")</f>
        <v/>
      </c>
      <c r="S202" s="459" t="str">
        <f>IFERROR(__xludf.DUMMYFUNCTION("""COMPUTED_VALUE"""),"")</f>
        <v/>
      </c>
      <c r="T202" t="str">
        <f>IFERROR(__xludf.DUMMYFUNCTION("""COMPUTED_VALUE"""),"")</f>
        <v/>
      </c>
      <c r="U202" t="str">
        <f>IFERROR(__xludf.DUMMYFUNCTION("""COMPUTED_VALUE"""),"")</f>
        <v/>
      </c>
      <c r="V202" t="str">
        <f>IFERROR(__xludf.DUMMYFUNCTION("""COMPUTED_VALUE"""),"")</f>
        <v/>
      </c>
      <c r="W202" t="str">
        <f>IFERROR(__xludf.DUMMYFUNCTION("""COMPUTED_VALUE"""),"")</f>
        <v/>
      </c>
      <c r="X202" t="str">
        <f>IFERROR(__xludf.DUMMYFUNCTION("""COMPUTED_VALUE"""),"")</f>
        <v/>
      </c>
      <c r="Y202" t="str">
        <f>IFERROR(__xludf.DUMMYFUNCTION("""COMPUTED_VALUE"""),"")</f>
        <v/>
      </c>
      <c r="Z202" t="str">
        <f>IFERROR(__xludf.DUMMYFUNCTION("""COMPUTED_VALUE"""),"")</f>
        <v/>
      </c>
      <c r="AA202" t="str">
        <f>IFERROR(__xludf.DUMMYFUNCTION("""COMPUTED_VALUE"""),"")</f>
        <v/>
      </c>
      <c r="AB202" t="str">
        <f>IFERROR(__xludf.DUMMYFUNCTION("""COMPUTED_VALUE"""),"")</f>
        <v/>
      </c>
      <c r="AC202" t="str">
        <f>IFERROR(__xludf.DUMMYFUNCTION("""COMPUTED_VALUE"""),"")</f>
        <v/>
      </c>
      <c r="AD202" t="str">
        <f>IFERROR(__xludf.DUMMYFUNCTION("""COMPUTED_VALUE"""),"")</f>
        <v/>
      </c>
      <c r="AE202" s="460" t="str">
        <f>IFERROR(__xludf.DUMMYFUNCTION("""COMPUTED_VALUE"""),"")</f>
        <v/>
      </c>
      <c r="AF202" s="372" t="str">
        <f>IFERROR(__xludf.DUMMYFUNCTION("""COMPUTED_VALUE"""),"")</f>
        <v/>
      </c>
    </row>
    <row r="203" ht="16.5" customHeight="1">
      <c r="C203" s="204"/>
      <c r="D203" s="239">
        <f>IFERROR(__xludf.DUMMYFUNCTION("""COMPUTED_VALUE"""),4.0)</f>
        <v>4</v>
      </c>
      <c r="E203" s="241" t="str">
        <f>IFERROR(__xludf.DUMMYFUNCTION("""COMPUTED_VALUE"""),"")</f>
        <v/>
      </c>
      <c r="F203" s="243" t="str">
        <f>IFERROR(__xludf.DUMMYFUNCTION("""COMPUTED_VALUE"""),"")</f>
        <v/>
      </c>
      <c r="G203" s="243" t="str">
        <f>IFERROR(__xludf.DUMMYFUNCTION("""COMPUTED_VALUE"""),"")</f>
        <v/>
      </c>
      <c r="H203" s="247" t="str">
        <f>IFERROR(__xludf.DUMMYFUNCTION("""COMPUTED_VALUE"""),"")</f>
        <v/>
      </c>
      <c r="I203" s="249" t="str">
        <f>IFERROR(__xludf.DUMMYFUNCTION("""COMPUTED_VALUE"""),"")</f>
        <v/>
      </c>
      <c r="J203" s="251" t="str">
        <f>IFERROR(__xludf.DUMMYFUNCTION("""COMPUTED_VALUE"""),"")</f>
        <v/>
      </c>
      <c r="K203" s="253" t="str">
        <f>IFERROR(__xludf.DUMMYFUNCTION("""COMPUTED_VALUE"""),"AP")</f>
        <v>AP</v>
      </c>
      <c r="L203" s="251" t="str">
        <f>IFERROR(__xludf.DUMMYFUNCTION("""COMPUTED_VALUE"""),"")</f>
        <v/>
      </c>
      <c r="M203" s="253" t="str">
        <f>IFERROR(__xludf.DUMMYFUNCTION("""COMPUTED_VALUE"""),"％")</f>
        <v>％</v>
      </c>
      <c r="N203" s="247" t="str">
        <f>IFERROR(__xludf.DUMMYFUNCTION("""COMPUTED_VALUE"""),"")</f>
        <v/>
      </c>
      <c r="O203" s="217"/>
      <c r="P203" s="371" t="str">
        <f>IFERROR(__xludf.DUMMYFUNCTION("""COMPUTED_VALUE"""),"")</f>
        <v/>
      </c>
      <c r="Q203" s="458" t="str">
        <f>IFERROR(__xludf.DUMMYFUNCTION("""COMPUTED_VALUE"""),"")</f>
        <v/>
      </c>
      <c r="R203" s="459" t="str">
        <f>IFERROR(__xludf.DUMMYFUNCTION("""COMPUTED_VALUE"""),"")</f>
        <v/>
      </c>
      <c r="S203" s="459" t="str">
        <f>IFERROR(__xludf.DUMMYFUNCTION("""COMPUTED_VALUE"""),"")</f>
        <v/>
      </c>
      <c r="T203" t="str">
        <f>IFERROR(__xludf.DUMMYFUNCTION("""COMPUTED_VALUE"""),"")</f>
        <v/>
      </c>
      <c r="U203" t="str">
        <f>IFERROR(__xludf.DUMMYFUNCTION("""COMPUTED_VALUE"""),"")</f>
        <v/>
      </c>
      <c r="V203" t="str">
        <f>IFERROR(__xludf.DUMMYFUNCTION("""COMPUTED_VALUE"""),"")</f>
        <v/>
      </c>
      <c r="W203" t="str">
        <f>IFERROR(__xludf.DUMMYFUNCTION("""COMPUTED_VALUE"""),"")</f>
        <v/>
      </c>
      <c r="X203" t="str">
        <f>IFERROR(__xludf.DUMMYFUNCTION("""COMPUTED_VALUE"""),"")</f>
        <v/>
      </c>
      <c r="Y203" t="str">
        <f>IFERROR(__xludf.DUMMYFUNCTION("""COMPUTED_VALUE"""),"")</f>
        <v/>
      </c>
      <c r="Z203" t="str">
        <f>IFERROR(__xludf.DUMMYFUNCTION("""COMPUTED_VALUE"""),"")</f>
        <v/>
      </c>
      <c r="AA203" t="str">
        <f>IFERROR(__xludf.DUMMYFUNCTION("""COMPUTED_VALUE"""),"")</f>
        <v/>
      </c>
      <c r="AB203" t="str">
        <f>IFERROR(__xludf.DUMMYFUNCTION("""COMPUTED_VALUE"""),"")</f>
        <v/>
      </c>
      <c r="AC203" t="str">
        <f>IFERROR(__xludf.DUMMYFUNCTION("""COMPUTED_VALUE"""),"")</f>
        <v/>
      </c>
      <c r="AD203" t="str">
        <f>IFERROR(__xludf.DUMMYFUNCTION("""COMPUTED_VALUE"""),"")</f>
        <v/>
      </c>
      <c r="AE203" s="460" t="str">
        <f>IFERROR(__xludf.DUMMYFUNCTION("""COMPUTED_VALUE"""),"")</f>
        <v/>
      </c>
      <c r="AF203" s="372" t="str">
        <f>IFERROR(__xludf.DUMMYFUNCTION("""COMPUTED_VALUE"""),"")</f>
        <v/>
      </c>
    </row>
    <row r="204" ht="16.5" customHeight="1">
      <c r="A204" s="166"/>
      <c r="C204" s="255"/>
      <c r="D204" s="256">
        <f>IFERROR(__xludf.DUMMYFUNCTION("""COMPUTED_VALUE"""),5.0)</f>
        <v>5</v>
      </c>
      <c r="E204" s="257" t="str">
        <f>IFERROR(__xludf.DUMMYFUNCTION("""COMPUTED_VALUE"""),"")</f>
        <v/>
      </c>
      <c r="F204" s="42" t="str">
        <f>IFERROR(__xludf.DUMMYFUNCTION("""COMPUTED_VALUE"""),"")</f>
        <v/>
      </c>
      <c r="G204" s="42" t="str">
        <f>IFERROR(__xludf.DUMMYFUNCTION("""COMPUTED_VALUE"""),"")</f>
        <v/>
      </c>
      <c r="H204" s="259" t="str">
        <f>IFERROR(__xludf.DUMMYFUNCTION("""COMPUTED_VALUE"""),"")</f>
        <v/>
      </c>
      <c r="I204" s="260" t="str">
        <f>IFERROR(__xludf.DUMMYFUNCTION("""COMPUTED_VALUE"""),"")</f>
        <v/>
      </c>
      <c r="J204" s="261" t="str">
        <f>IFERROR(__xludf.DUMMYFUNCTION("""COMPUTED_VALUE"""),"")</f>
        <v/>
      </c>
      <c r="K204" s="262" t="str">
        <f>IFERROR(__xludf.DUMMYFUNCTION("""COMPUTED_VALUE"""),"AP")</f>
        <v>AP</v>
      </c>
      <c r="L204" s="261" t="str">
        <f>IFERROR(__xludf.DUMMYFUNCTION("""COMPUTED_VALUE"""),"")</f>
        <v/>
      </c>
      <c r="M204" s="262" t="str">
        <f>IFERROR(__xludf.DUMMYFUNCTION("""COMPUTED_VALUE"""),"％")</f>
        <v>％</v>
      </c>
      <c r="N204" s="259" t="str">
        <f>IFERROR(__xludf.DUMMYFUNCTION("""COMPUTED_VALUE"""),"")</f>
        <v/>
      </c>
      <c r="O204" s="263"/>
      <c r="P204" s="371" t="str">
        <f>IFERROR(__xludf.DUMMYFUNCTION("""COMPUTED_VALUE"""),"")</f>
        <v/>
      </c>
      <c r="Q204" s="458" t="str">
        <f>IFERROR(__xludf.DUMMYFUNCTION("""COMPUTED_VALUE"""),"")</f>
        <v/>
      </c>
      <c r="R204" s="459" t="str">
        <f>IFERROR(__xludf.DUMMYFUNCTION("""COMPUTED_VALUE"""),"")</f>
        <v/>
      </c>
      <c r="S204" s="459" t="str">
        <f>IFERROR(__xludf.DUMMYFUNCTION("""COMPUTED_VALUE"""),"")</f>
        <v/>
      </c>
      <c r="T204" t="str">
        <f>IFERROR(__xludf.DUMMYFUNCTION("""COMPUTED_VALUE"""),"")</f>
        <v/>
      </c>
      <c r="U204" t="str">
        <f>IFERROR(__xludf.DUMMYFUNCTION("""COMPUTED_VALUE"""),"")</f>
        <v/>
      </c>
      <c r="V204" t="str">
        <f>IFERROR(__xludf.DUMMYFUNCTION("""COMPUTED_VALUE"""),"")</f>
        <v/>
      </c>
      <c r="W204" t="str">
        <f>IFERROR(__xludf.DUMMYFUNCTION("""COMPUTED_VALUE"""),"")</f>
        <v/>
      </c>
      <c r="X204" t="str">
        <f>IFERROR(__xludf.DUMMYFUNCTION("""COMPUTED_VALUE"""),"")</f>
        <v/>
      </c>
      <c r="Y204" t="str">
        <f>IFERROR(__xludf.DUMMYFUNCTION("""COMPUTED_VALUE"""),"")</f>
        <v/>
      </c>
      <c r="Z204" t="str">
        <f>IFERROR(__xludf.DUMMYFUNCTION("""COMPUTED_VALUE"""),"")</f>
        <v/>
      </c>
      <c r="AA204" t="str">
        <f>IFERROR(__xludf.DUMMYFUNCTION("""COMPUTED_VALUE"""),"")</f>
        <v/>
      </c>
      <c r="AB204" t="str">
        <f>IFERROR(__xludf.DUMMYFUNCTION("""COMPUTED_VALUE"""),"")</f>
        <v/>
      </c>
      <c r="AC204" t="str">
        <f>IFERROR(__xludf.DUMMYFUNCTION("""COMPUTED_VALUE"""),"")</f>
        <v/>
      </c>
      <c r="AD204" t="str">
        <f>IFERROR(__xludf.DUMMYFUNCTION("""COMPUTED_VALUE"""),"")</f>
        <v/>
      </c>
      <c r="AE204" s="460" t="str">
        <f>IFERROR(__xludf.DUMMYFUNCTION("""COMPUTED_VALUE"""),"")</f>
        <v/>
      </c>
      <c r="AF204" s="372" t="str">
        <f>IFERROR(__xludf.DUMMYFUNCTION("""COMPUTED_VALUE"""),"")</f>
        <v/>
      </c>
    </row>
    <row r="205" ht="16.5" customHeight="1">
      <c r="A205" s="61" t="str">
        <f>IFERROR(__xludf.DUMMYFUNCTION("""COMPUTED_VALUE"""),"")</f>
        <v/>
      </c>
      <c r="B205" s="367" t="str">
        <f>IFERROR(__xludf.DUMMYFUNCTION("""COMPUTED_VALUE"""),"A113")</f>
        <v>A113</v>
      </c>
      <c r="C205" s="65" t="str">
        <f>IFERROR(__xludf.DUMMYFUNCTION("""COMPUTED_VALUE"""),"Dawnlight Reactor Core")</f>
        <v>Dawnlight Reactor Core</v>
      </c>
      <c r="D205" s="70">
        <f>IFERROR(__xludf.DUMMYFUNCTION("""COMPUTED_VALUE"""),1.0)</f>
        <v>1</v>
      </c>
      <c r="E205" s="73" t="str">
        <f>IFERROR(__xludf.DUMMYFUNCTION("""COMPUTED_VALUE"""),"")</f>
        <v/>
      </c>
      <c r="F205" s="76" t="str">
        <f>IFERROR(__xludf.DUMMYFUNCTION("""COMPUTED_VALUE"""),"")</f>
        <v/>
      </c>
      <c r="G205" s="76" t="str">
        <f>IFERROR(__xludf.DUMMYFUNCTION("""COMPUTED_VALUE"""),"")</f>
        <v/>
      </c>
      <c r="H205" s="87" t="str">
        <f>IFERROR(__xludf.DUMMYFUNCTION("""COMPUTED_VALUE"""),"")</f>
        <v/>
      </c>
      <c r="I205" s="90" t="str">
        <f>IFERROR(__xludf.DUMMYFUNCTION("""COMPUTED_VALUE"""),"")</f>
        <v/>
      </c>
      <c r="J205" s="92" t="str">
        <f>IFERROR(__xludf.DUMMYFUNCTION("""COMPUTED_VALUE"""),"")</f>
        <v/>
      </c>
      <c r="K205" s="94" t="str">
        <f>IFERROR(__xludf.DUMMYFUNCTION("""COMPUTED_VALUE"""),"AP")</f>
        <v>AP</v>
      </c>
      <c r="L205" s="96" t="str">
        <f>IFERROR(__xludf.DUMMYFUNCTION("""COMPUTED_VALUE"""),"")</f>
        <v/>
      </c>
      <c r="M205" s="94" t="str">
        <f>IFERROR(__xludf.DUMMYFUNCTION("""COMPUTED_VALUE"""),"％")</f>
        <v>％</v>
      </c>
      <c r="N205" s="87" t="str">
        <f>IFERROR(__xludf.DUMMYFUNCTION("""COMPUTED_VALUE"""),"")</f>
        <v/>
      </c>
      <c r="O205" s="97" t="str">
        <f>IFERROR(__xludf.DUMMYFUNCTION("""COMPUTED_VALUE"""),"Dawnlight Reactor Core")</f>
        <v>Dawnlight Reactor Core</v>
      </c>
      <c r="P205" s="371" t="str">
        <f>IFERROR(__xludf.DUMMYFUNCTION("""COMPUTED_VALUE"""),"")</f>
        <v/>
      </c>
      <c r="Q205" s="458" t="str">
        <f>IFERROR(__xludf.DUMMYFUNCTION("""COMPUTED_VALUE"""),"")</f>
        <v/>
      </c>
      <c r="R205" s="459" t="str">
        <f>IFERROR(__xludf.DUMMYFUNCTION("""COMPUTED_VALUE"""),"")</f>
        <v/>
      </c>
      <c r="S205" s="459" t="str">
        <f>IFERROR(__xludf.DUMMYFUNCTION("""COMPUTED_VALUE"""),"")</f>
        <v/>
      </c>
      <c r="T205" t="str">
        <f>IFERROR(__xludf.DUMMYFUNCTION("""COMPUTED_VALUE"""),"")</f>
        <v/>
      </c>
      <c r="U205" t="str">
        <f>IFERROR(__xludf.DUMMYFUNCTION("""COMPUTED_VALUE"""),"")</f>
        <v/>
      </c>
      <c r="V205" t="str">
        <f>IFERROR(__xludf.DUMMYFUNCTION("""COMPUTED_VALUE"""),"")</f>
        <v/>
      </c>
      <c r="W205" t="str">
        <f>IFERROR(__xludf.DUMMYFUNCTION("""COMPUTED_VALUE"""),"")</f>
        <v/>
      </c>
      <c r="X205" t="str">
        <f>IFERROR(__xludf.DUMMYFUNCTION("""COMPUTED_VALUE"""),"")</f>
        <v/>
      </c>
      <c r="Y205" t="str">
        <f>IFERROR(__xludf.DUMMYFUNCTION("""COMPUTED_VALUE"""),"")</f>
        <v/>
      </c>
      <c r="Z205" t="str">
        <f>IFERROR(__xludf.DUMMYFUNCTION("""COMPUTED_VALUE"""),"")</f>
        <v/>
      </c>
      <c r="AA205" t="str">
        <f>IFERROR(__xludf.DUMMYFUNCTION("""COMPUTED_VALUE"""),"")</f>
        <v/>
      </c>
      <c r="AB205" t="str">
        <f>IFERROR(__xludf.DUMMYFUNCTION("""COMPUTED_VALUE"""),"")</f>
        <v/>
      </c>
      <c r="AC205" t="str">
        <f>IFERROR(__xludf.DUMMYFUNCTION("""COMPUTED_VALUE"""),"")</f>
        <v/>
      </c>
      <c r="AD205" t="str">
        <f>IFERROR(__xludf.DUMMYFUNCTION("""COMPUTED_VALUE"""),"")</f>
        <v/>
      </c>
      <c r="AE205" s="460" t="str">
        <f>IFERROR(__xludf.DUMMYFUNCTION("""COMPUTED_VALUE"""),"")</f>
        <v/>
      </c>
      <c r="AF205" s="372" t="str">
        <f>IFERROR(__xludf.DUMMYFUNCTION("""COMPUTED_VALUE"""),"")</f>
        <v/>
      </c>
    </row>
    <row r="206" ht="16.5" customHeight="1">
      <c r="C206" s="100"/>
      <c r="D206" s="105">
        <f>IFERROR(__xludf.DUMMYFUNCTION("""COMPUTED_VALUE"""),2.0)</f>
        <v>2</v>
      </c>
      <c r="E206" s="106" t="str">
        <f>IFERROR(__xludf.DUMMYFUNCTION("""COMPUTED_VALUE"""),"")</f>
        <v/>
      </c>
      <c r="F206" s="107" t="str">
        <f>IFERROR(__xludf.DUMMYFUNCTION("""COMPUTED_VALUE"""),"")</f>
        <v/>
      </c>
      <c r="G206" s="107" t="str">
        <f>IFERROR(__xludf.DUMMYFUNCTION("""COMPUTED_VALUE"""),"")</f>
        <v/>
      </c>
      <c r="H206" s="116" t="str">
        <f>IFERROR(__xludf.DUMMYFUNCTION("""COMPUTED_VALUE"""),"")</f>
        <v/>
      </c>
      <c r="I206" s="118" t="str">
        <f>IFERROR(__xludf.DUMMYFUNCTION("""COMPUTED_VALUE"""),"")</f>
        <v/>
      </c>
      <c r="J206" s="120" t="str">
        <f>IFERROR(__xludf.DUMMYFUNCTION("""COMPUTED_VALUE"""),"")</f>
        <v/>
      </c>
      <c r="K206" s="122" t="str">
        <f>IFERROR(__xludf.DUMMYFUNCTION("""COMPUTED_VALUE"""),"AP")</f>
        <v>AP</v>
      </c>
      <c r="L206" s="124" t="str">
        <f>IFERROR(__xludf.DUMMYFUNCTION("""COMPUTED_VALUE"""),"")</f>
        <v/>
      </c>
      <c r="M206" s="122" t="str">
        <f>IFERROR(__xludf.DUMMYFUNCTION("""COMPUTED_VALUE"""),"％")</f>
        <v>％</v>
      </c>
      <c r="N206" s="116" t="str">
        <f>IFERROR(__xludf.DUMMYFUNCTION("""COMPUTED_VALUE"""),"")</f>
        <v/>
      </c>
      <c r="O206" s="100"/>
      <c r="P206" s="371" t="str">
        <f>IFERROR(__xludf.DUMMYFUNCTION("""COMPUTED_VALUE"""),"")</f>
        <v/>
      </c>
      <c r="Q206" s="458" t="str">
        <f>IFERROR(__xludf.DUMMYFUNCTION("""COMPUTED_VALUE"""),"")</f>
        <v/>
      </c>
      <c r="R206" s="459" t="str">
        <f>IFERROR(__xludf.DUMMYFUNCTION("""COMPUTED_VALUE"""),"")</f>
        <v/>
      </c>
      <c r="S206" s="459" t="str">
        <f>IFERROR(__xludf.DUMMYFUNCTION("""COMPUTED_VALUE"""),"")</f>
        <v/>
      </c>
      <c r="T206" t="str">
        <f>IFERROR(__xludf.DUMMYFUNCTION("""COMPUTED_VALUE"""),"")</f>
        <v/>
      </c>
      <c r="U206" t="str">
        <f>IFERROR(__xludf.DUMMYFUNCTION("""COMPUTED_VALUE"""),"")</f>
        <v/>
      </c>
      <c r="V206" t="str">
        <f>IFERROR(__xludf.DUMMYFUNCTION("""COMPUTED_VALUE"""),"")</f>
        <v/>
      </c>
      <c r="W206" t="str">
        <f>IFERROR(__xludf.DUMMYFUNCTION("""COMPUTED_VALUE"""),"")</f>
        <v/>
      </c>
      <c r="X206" t="str">
        <f>IFERROR(__xludf.DUMMYFUNCTION("""COMPUTED_VALUE"""),"")</f>
        <v/>
      </c>
      <c r="Y206" t="str">
        <f>IFERROR(__xludf.DUMMYFUNCTION("""COMPUTED_VALUE"""),"")</f>
        <v/>
      </c>
      <c r="Z206" t="str">
        <f>IFERROR(__xludf.DUMMYFUNCTION("""COMPUTED_VALUE"""),"")</f>
        <v/>
      </c>
      <c r="AA206" t="str">
        <f>IFERROR(__xludf.DUMMYFUNCTION("""COMPUTED_VALUE"""),"")</f>
        <v/>
      </c>
      <c r="AB206" t="str">
        <f>IFERROR(__xludf.DUMMYFUNCTION("""COMPUTED_VALUE"""),"")</f>
        <v/>
      </c>
      <c r="AC206" t="str">
        <f>IFERROR(__xludf.DUMMYFUNCTION("""COMPUTED_VALUE"""),"")</f>
        <v/>
      </c>
      <c r="AD206" t="str">
        <f>IFERROR(__xludf.DUMMYFUNCTION("""COMPUTED_VALUE"""),"")</f>
        <v/>
      </c>
      <c r="AE206" s="460" t="str">
        <f>IFERROR(__xludf.DUMMYFUNCTION("""COMPUTED_VALUE"""),"")</f>
        <v/>
      </c>
      <c r="AF206" s="372" t="str">
        <f>IFERROR(__xludf.DUMMYFUNCTION("""COMPUTED_VALUE"""),"")</f>
        <v/>
      </c>
    </row>
    <row r="207" ht="16.5" customHeight="1">
      <c r="C207" s="100"/>
      <c r="D207" s="128">
        <f>IFERROR(__xludf.DUMMYFUNCTION("""COMPUTED_VALUE"""),3.0)</f>
        <v>3</v>
      </c>
      <c r="E207" s="129" t="str">
        <f>IFERROR(__xludf.DUMMYFUNCTION("""COMPUTED_VALUE"""),"")</f>
        <v/>
      </c>
      <c r="F207" s="131" t="str">
        <f>IFERROR(__xludf.DUMMYFUNCTION("""COMPUTED_VALUE"""),"")</f>
        <v/>
      </c>
      <c r="G207" s="131" t="str">
        <f>IFERROR(__xludf.DUMMYFUNCTION("""COMPUTED_VALUE"""),"")</f>
        <v/>
      </c>
      <c r="H207" s="136" t="str">
        <f>IFERROR(__xludf.DUMMYFUNCTION("""COMPUTED_VALUE"""),"")</f>
        <v/>
      </c>
      <c r="I207" s="138" t="str">
        <f>IFERROR(__xludf.DUMMYFUNCTION("""COMPUTED_VALUE"""),"")</f>
        <v/>
      </c>
      <c r="J207" s="140" t="str">
        <f>IFERROR(__xludf.DUMMYFUNCTION("""COMPUTED_VALUE"""),"")</f>
        <v/>
      </c>
      <c r="K207" s="142" t="str">
        <f>IFERROR(__xludf.DUMMYFUNCTION("""COMPUTED_VALUE"""),"AP")</f>
        <v>AP</v>
      </c>
      <c r="L207" s="144" t="str">
        <f>IFERROR(__xludf.DUMMYFUNCTION("""COMPUTED_VALUE"""),"")</f>
        <v/>
      </c>
      <c r="M207" s="142" t="str">
        <f>IFERROR(__xludf.DUMMYFUNCTION("""COMPUTED_VALUE"""),"％")</f>
        <v>％</v>
      </c>
      <c r="N207" s="136" t="str">
        <f>IFERROR(__xludf.DUMMYFUNCTION("""COMPUTED_VALUE"""),"")</f>
        <v/>
      </c>
      <c r="O207" s="100"/>
      <c r="P207" s="371" t="str">
        <f>IFERROR(__xludf.DUMMYFUNCTION("""COMPUTED_VALUE"""),"")</f>
        <v/>
      </c>
      <c r="Q207" s="458" t="str">
        <f>IFERROR(__xludf.DUMMYFUNCTION("""COMPUTED_VALUE"""),"")</f>
        <v/>
      </c>
      <c r="R207" s="459" t="str">
        <f>IFERROR(__xludf.DUMMYFUNCTION("""COMPUTED_VALUE"""),"")</f>
        <v/>
      </c>
      <c r="S207" s="459" t="str">
        <f>IFERROR(__xludf.DUMMYFUNCTION("""COMPUTED_VALUE"""),"")</f>
        <v/>
      </c>
      <c r="T207" t="str">
        <f>IFERROR(__xludf.DUMMYFUNCTION("""COMPUTED_VALUE"""),"")</f>
        <v/>
      </c>
      <c r="U207" t="str">
        <f>IFERROR(__xludf.DUMMYFUNCTION("""COMPUTED_VALUE"""),"")</f>
        <v/>
      </c>
      <c r="V207" t="str">
        <f>IFERROR(__xludf.DUMMYFUNCTION("""COMPUTED_VALUE"""),"")</f>
        <v/>
      </c>
      <c r="W207" t="str">
        <f>IFERROR(__xludf.DUMMYFUNCTION("""COMPUTED_VALUE"""),"")</f>
        <v/>
      </c>
      <c r="X207" t="str">
        <f>IFERROR(__xludf.DUMMYFUNCTION("""COMPUTED_VALUE"""),"")</f>
        <v/>
      </c>
      <c r="Y207" t="str">
        <f>IFERROR(__xludf.DUMMYFUNCTION("""COMPUTED_VALUE"""),"")</f>
        <v/>
      </c>
      <c r="Z207" t="str">
        <f>IFERROR(__xludf.DUMMYFUNCTION("""COMPUTED_VALUE"""),"")</f>
        <v/>
      </c>
      <c r="AA207" t="str">
        <f>IFERROR(__xludf.DUMMYFUNCTION("""COMPUTED_VALUE"""),"")</f>
        <v/>
      </c>
      <c r="AB207" t="str">
        <f>IFERROR(__xludf.DUMMYFUNCTION("""COMPUTED_VALUE"""),"")</f>
        <v/>
      </c>
      <c r="AC207" t="str">
        <f>IFERROR(__xludf.DUMMYFUNCTION("""COMPUTED_VALUE"""),"")</f>
        <v/>
      </c>
      <c r="AD207" t="str">
        <f>IFERROR(__xludf.DUMMYFUNCTION("""COMPUTED_VALUE"""),"")</f>
        <v/>
      </c>
      <c r="AE207" s="460" t="str">
        <f>IFERROR(__xludf.DUMMYFUNCTION("""COMPUTED_VALUE"""),"")</f>
        <v/>
      </c>
      <c r="AF207" s="372" t="str">
        <f>IFERROR(__xludf.DUMMYFUNCTION("""COMPUTED_VALUE"""),"")</f>
        <v/>
      </c>
    </row>
    <row r="208" ht="16.5" customHeight="1">
      <c r="C208" s="100"/>
      <c r="D208" s="147">
        <f>IFERROR(__xludf.DUMMYFUNCTION("""COMPUTED_VALUE"""),4.0)</f>
        <v>4</v>
      </c>
      <c r="E208" s="149" t="str">
        <f>IFERROR(__xludf.DUMMYFUNCTION("""COMPUTED_VALUE"""),"")</f>
        <v/>
      </c>
      <c r="F208" s="151" t="str">
        <f>IFERROR(__xludf.DUMMYFUNCTION("""COMPUTED_VALUE"""),"")</f>
        <v/>
      </c>
      <c r="G208" s="151" t="str">
        <f>IFERROR(__xludf.DUMMYFUNCTION("""COMPUTED_VALUE"""),"")</f>
        <v/>
      </c>
      <c r="H208" s="155" t="str">
        <f>IFERROR(__xludf.DUMMYFUNCTION("""COMPUTED_VALUE"""),"")</f>
        <v/>
      </c>
      <c r="I208" s="157" t="str">
        <f>IFERROR(__xludf.DUMMYFUNCTION("""COMPUTED_VALUE"""),"")</f>
        <v/>
      </c>
      <c r="J208" s="159" t="str">
        <f>IFERROR(__xludf.DUMMYFUNCTION("""COMPUTED_VALUE"""),"")</f>
        <v/>
      </c>
      <c r="K208" s="161" t="str">
        <f>IFERROR(__xludf.DUMMYFUNCTION("""COMPUTED_VALUE"""),"AP")</f>
        <v>AP</v>
      </c>
      <c r="L208" s="163" t="str">
        <f>IFERROR(__xludf.DUMMYFUNCTION("""COMPUTED_VALUE"""),"")</f>
        <v/>
      </c>
      <c r="M208" s="161" t="str">
        <f>IFERROR(__xludf.DUMMYFUNCTION("""COMPUTED_VALUE"""),"％")</f>
        <v>％</v>
      </c>
      <c r="N208" s="155" t="str">
        <f>IFERROR(__xludf.DUMMYFUNCTION("""COMPUTED_VALUE"""),"")</f>
        <v/>
      </c>
      <c r="O208" s="100"/>
      <c r="P208" s="371" t="str">
        <f>IFERROR(__xludf.DUMMYFUNCTION("""COMPUTED_VALUE"""),"")</f>
        <v/>
      </c>
      <c r="Q208" s="458" t="str">
        <f>IFERROR(__xludf.DUMMYFUNCTION("""COMPUTED_VALUE"""),"")</f>
        <v/>
      </c>
      <c r="R208" s="459" t="str">
        <f>IFERROR(__xludf.DUMMYFUNCTION("""COMPUTED_VALUE"""),"")</f>
        <v/>
      </c>
      <c r="S208" s="459" t="str">
        <f>IFERROR(__xludf.DUMMYFUNCTION("""COMPUTED_VALUE"""),"")</f>
        <v/>
      </c>
      <c r="T208" t="str">
        <f>IFERROR(__xludf.DUMMYFUNCTION("""COMPUTED_VALUE"""),"")</f>
        <v/>
      </c>
      <c r="U208" t="str">
        <f>IFERROR(__xludf.DUMMYFUNCTION("""COMPUTED_VALUE"""),"")</f>
        <v/>
      </c>
      <c r="V208" t="str">
        <f>IFERROR(__xludf.DUMMYFUNCTION("""COMPUTED_VALUE"""),"")</f>
        <v/>
      </c>
      <c r="W208" t="str">
        <f>IFERROR(__xludf.DUMMYFUNCTION("""COMPUTED_VALUE"""),"")</f>
        <v/>
      </c>
      <c r="X208" t="str">
        <f>IFERROR(__xludf.DUMMYFUNCTION("""COMPUTED_VALUE"""),"")</f>
        <v/>
      </c>
      <c r="Y208" t="str">
        <f>IFERROR(__xludf.DUMMYFUNCTION("""COMPUTED_VALUE"""),"")</f>
        <v/>
      </c>
      <c r="Z208" t="str">
        <f>IFERROR(__xludf.DUMMYFUNCTION("""COMPUTED_VALUE"""),"")</f>
        <v/>
      </c>
      <c r="AA208" t="str">
        <f>IFERROR(__xludf.DUMMYFUNCTION("""COMPUTED_VALUE"""),"")</f>
        <v/>
      </c>
      <c r="AB208" t="str">
        <f>IFERROR(__xludf.DUMMYFUNCTION("""COMPUTED_VALUE"""),"")</f>
        <v/>
      </c>
      <c r="AC208" t="str">
        <f>IFERROR(__xludf.DUMMYFUNCTION("""COMPUTED_VALUE"""),"")</f>
        <v/>
      </c>
      <c r="AD208" t="str">
        <f>IFERROR(__xludf.DUMMYFUNCTION("""COMPUTED_VALUE"""),"")</f>
        <v/>
      </c>
      <c r="AE208" s="460" t="str">
        <f>IFERROR(__xludf.DUMMYFUNCTION("""COMPUTED_VALUE"""),"")</f>
        <v/>
      </c>
      <c r="AF208" s="372" t="str">
        <f>IFERROR(__xludf.DUMMYFUNCTION("""COMPUTED_VALUE"""),"")</f>
        <v/>
      </c>
    </row>
    <row r="209" ht="16.5" customHeight="1">
      <c r="A209" s="166"/>
      <c r="C209" s="168"/>
      <c r="D209" s="169">
        <f>IFERROR(__xludf.DUMMYFUNCTION("""COMPUTED_VALUE"""),5.0)</f>
        <v>5</v>
      </c>
      <c r="E209" s="170" t="str">
        <f>IFERROR(__xludf.DUMMYFUNCTION("""COMPUTED_VALUE"""),"")</f>
        <v/>
      </c>
      <c r="F209" s="51" t="str">
        <f>IFERROR(__xludf.DUMMYFUNCTION("""COMPUTED_VALUE"""),"")</f>
        <v/>
      </c>
      <c r="G209" s="51" t="str">
        <f>IFERROR(__xludf.DUMMYFUNCTION("""COMPUTED_VALUE"""),"")</f>
        <v/>
      </c>
      <c r="H209" s="172" t="str">
        <f>IFERROR(__xludf.DUMMYFUNCTION("""COMPUTED_VALUE"""),"")</f>
        <v/>
      </c>
      <c r="I209" s="173" t="str">
        <f>IFERROR(__xludf.DUMMYFUNCTION("""COMPUTED_VALUE"""),"")</f>
        <v/>
      </c>
      <c r="J209" s="174" t="str">
        <f>IFERROR(__xludf.DUMMYFUNCTION("""COMPUTED_VALUE"""),"")</f>
        <v/>
      </c>
      <c r="K209" s="175" t="str">
        <f>IFERROR(__xludf.DUMMYFUNCTION("""COMPUTED_VALUE"""),"AP")</f>
        <v>AP</v>
      </c>
      <c r="L209" s="176" t="str">
        <f>IFERROR(__xludf.DUMMYFUNCTION("""COMPUTED_VALUE"""),"")</f>
        <v/>
      </c>
      <c r="M209" s="175" t="str">
        <f>IFERROR(__xludf.DUMMYFUNCTION("""COMPUTED_VALUE"""),"％")</f>
        <v>％</v>
      </c>
      <c r="N209" s="172" t="str">
        <f>IFERROR(__xludf.DUMMYFUNCTION("""COMPUTED_VALUE"""),"")</f>
        <v/>
      </c>
      <c r="O209" s="168"/>
      <c r="P209" s="371" t="str">
        <f>IFERROR(__xludf.DUMMYFUNCTION("""COMPUTED_VALUE"""),"")</f>
        <v/>
      </c>
      <c r="Q209" s="458" t="str">
        <f>IFERROR(__xludf.DUMMYFUNCTION("""COMPUTED_VALUE"""),"")</f>
        <v/>
      </c>
      <c r="R209" s="459" t="str">
        <f>IFERROR(__xludf.DUMMYFUNCTION("""COMPUTED_VALUE"""),"")</f>
        <v/>
      </c>
      <c r="S209" s="459" t="str">
        <f>IFERROR(__xludf.DUMMYFUNCTION("""COMPUTED_VALUE"""),"")</f>
        <v/>
      </c>
      <c r="T209" t="str">
        <f>IFERROR(__xludf.DUMMYFUNCTION("""COMPUTED_VALUE"""),"")</f>
        <v/>
      </c>
      <c r="U209" t="str">
        <f>IFERROR(__xludf.DUMMYFUNCTION("""COMPUTED_VALUE"""),"")</f>
        <v/>
      </c>
      <c r="V209" t="str">
        <f>IFERROR(__xludf.DUMMYFUNCTION("""COMPUTED_VALUE"""),"")</f>
        <v/>
      </c>
      <c r="W209" t="str">
        <f>IFERROR(__xludf.DUMMYFUNCTION("""COMPUTED_VALUE"""),"")</f>
        <v/>
      </c>
      <c r="X209" t="str">
        <f>IFERROR(__xludf.DUMMYFUNCTION("""COMPUTED_VALUE"""),"")</f>
        <v/>
      </c>
      <c r="Y209" t="str">
        <f>IFERROR(__xludf.DUMMYFUNCTION("""COMPUTED_VALUE"""),"")</f>
        <v/>
      </c>
      <c r="Z209" t="str">
        <f>IFERROR(__xludf.DUMMYFUNCTION("""COMPUTED_VALUE"""),"")</f>
        <v/>
      </c>
      <c r="AA209" t="str">
        <f>IFERROR(__xludf.DUMMYFUNCTION("""COMPUTED_VALUE"""),"")</f>
        <v/>
      </c>
      <c r="AB209" t="str">
        <f>IFERROR(__xludf.DUMMYFUNCTION("""COMPUTED_VALUE"""),"")</f>
        <v/>
      </c>
      <c r="AC209" t="str">
        <f>IFERROR(__xludf.DUMMYFUNCTION("""COMPUTED_VALUE"""),"")</f>
        <v/>
      </c>
      <c r="AD209" t="str">
        <f>IFERROR(__xludf.DUMMYFUNCTION("""COMPUTED_VALUE"""),"")</f>
        <v/>
      </c>
      <c r="AE209" s="460" t="str">
        <f>IFERROR(__xludf.DUMMYFUNCTION("""COMPUTED_VALUE"""),"")</f>
        <v/>
      </c>
      <c r="AF209" s="372" t="str">
        <f>IFERROR(__xludf.DUMMYFUNCTION("""COMPUTED_VALUE"""),"")</f>
        <v/>
      </c>
    </row>
    <row r="210" ht="16.5" customHeight="1">
      <c r="A210" s="61" t="str">
        <f>IFERROR(__xludf.DUMMYFUNCTION("""COMPUTED_VALUE"""),"")</f>
        <v/>
      </c>
      <c r="B210" s="366" t="str">
        <f>IFERROR(__xludf.DUMMYFUNCTION("""COMPUTED_VALUE"""),"A114")</f>
        <v>A114</v>
      </c>
      <c r="C210" s="180" t="str">
        <f>IFERROR(__xludf.DUMMYFUNCTION("""COMPUTED_VALUE"""),"Tsukumo Mirror")</f>
        <v>Tsukumo Mirror</v>
      </c>
      <c r="D210" s="185">
        <f>IFERROR(__xludf.DUMMYFUNCTION("""COMPUTED_VALUE"""),1.0)</f>
        <v>1</v>
      </c>
      <c r="E210" s="187" t="str">
        <f>IFERROR(__xludf.DUMMYFUNCTION("""COMPUTED_VALUE"""),"")</f>
        <v/>
      </c>
      <c r="F210" s="188" t="str">
        <f>IFERROR(__xludf.DUMMYFUNCTION("""COMPUTED_VALUE"""),"")</f>
        <v/>
      </c>
      <c r="G210" s="188" t="str">
        <f>IFERROR(__xludf.DUMMYFUNCTION("""COMPUTED_VALUE"""),"")</f>
        <v/>
      </c>
      <c r="H210" s="195" t="str">
        <f>IFERROR(__xludf.DUMMYFUNCTION("""COMPUTED_VALUE"""),"")</f>
        <v/>
      </c>
      <c r="I210" s="196" t="str">
        <f>IFERROR(__xludf.DUMMYFUNCTION("""COMPUTED_VALUE"""),"")</f>
        <v/>
      </c>
      <c r="J210" s="198" t="str">
        <f>IFERROR(__xludf.DUMMYFUNCTION("""COMPUTED_VALUE"""),"")</f>
        <v/>
      </c>
      <c r="K210" s="200" t="str">
        <f>IFERROR(__xludf.DUMMYFUNCTION("""COMPUTED_VALUE"""),"AP")</f>
        <v>AP</v>
      </c>
      <c r="L210" s="198" t="str">
        <f>IFERROR(__xludf.DUMMYFUNCTION("""COMPUTED_VALUE"""),"")</f>
        <v/>
      </c>
      <c r="M210" s="201" t="str">
        <f>IFERROR(__xludf.DUMMYFUNCTION("""COMPUTED_VALUE"""),"％")</f>
        <v>％</v>
      </c>
      <c r="N210" s="195" t="str">
        <f>IFERROR(__xludf.DUMMYFUNCTION("""COMPUTED_VALUE"""),"")</f>
        <v/>
      </c>
      <c r="O210" s="197" t="str">
        <f>IFERROR(__xludf.DUMMYFUNCTION("""COMPUTED_VALUE"""),"Tsukumo Mirror")</f>
        <v>Tsukumo Mirror</v>
      </c>
      <c r="P210" s="371" t="str">
        <f>IFERROR(__xludf.DUMMYFUNCTION("""COMPUTED_VALUE"""),"")</f>
        <v/>
      </c>
      <c r="Q210" s="458" t="str">
        <f>IFERROR(__xludf.DUMMYFUNCTION("""COMPUTED_VALUE"""),"")</f>
        <v/>
      </c>
      <c r="R210" s="459" t="str">
        <f>IFERROR(__xludf.DUMMYFUNCTION("""COMPUTED_VALUE"""),"")</f>
        <v/>
      </c>
      <c r="S210" s="459" t="str">
        <f>IFERROR(__xludf.DUMMYFUNCTION("""COMPUTED_VALUE"""),"")</f>
        <v/>
      </c>
      <c r="T210" t="str">
        <f>IFERROR(__xludf.DUMMYFUNCTION("""COMPUTED_VALUE"""),"")</f>
        <v/>
      </c>
      <c r="U210" t="str">
        <f>IFERROR(__xludf.DUMMYFUNCTION("""COMPUTED_VALUE"""),"")</f>
        <v/>
      </c>
      <c r="V210" t="str">
        <f>IFERROR(__xludf.DUMMYFUNCTION("""COMPUTED_VALUE"""),"")</f>
        <v/>
      </c>
      <c r="W210" t="str">
        <f>IFERROR(__xludf.DUMMYFUNCTION("""COMPUTED_VALUE"""),"")</f>
        <v/>
      </c>
      <c r="X210" t="str">
        <f>IFERROR(__xludf.DUMMYFUNCTION("""COMPUTED_VALUE"""),"")</f>
        <v/>
      </c>
      <c r="Y210" t="str">
        <f>IFERROR(__xludf.DUMMYFUNCTION("""COMPUTED_VALUE"""),"")</f>
        <v/>
      </c>
      <c r="Z210" t="str">
        <f>IFERROR(__xludf.DUMMYFUNCTION("""COMPUTED_VALUE"""),"")</f>
        <v/>
      </c>
      <c r="AA210" t="str">
        <f>IFERROR(__xludf.DUMMYFUNCTION("""COMPUTED_VALUE"""),"")</f>
        <v/>
      </c>
      <c r="AB210" t="str">
        <f>IFERROR(__xludf.DUMMYFUNCTION("""COMPUTED_VALUE"""),"")</f>
        <v/>
      </c>
      <c r="AC210" t="str">
        <f>IFERROR(__xludf.DUMMYFUNCTION("""COMPUTED_VALUE"""),"")</f>
        <v/>
      </c>
      <c r="AD210" t="str">
        <f>IFERROR(__xludf.DUMMYFUNCTION("""COMPUTED_VALUE"""),"")</f>
        <v/>
      </c>
      <c r="AE210" s="460" t="str">
        <f>IFERROR(__xludf.DUMMYFUNCTION("""COMPUTED_VALUE"""),"")</f>
        <v/>
      </c>
      <c r="AF210" s="372" t="str">
        <f>IFERROR(__xludf.DUMMYFUNCTION("""COMPUTED_VALUE"""),"")</f>
        <v/>
      </c>
    </row>
    <row r="211" ht="16.5" customHeight="1">
      <c r="C211" s="204"/>
      <c r="D211" s="208">
        <f>IFERROR(__xludf.DUMMYFUNCTION("""COMPUTED_VALUE"""),2.0)</f>
        <v>2</v>
      </c>
      <c r="E211" s="210" t="str">
        <f>IFERROR(__xludf.DUMMYFUNCTION("""COMPUTED_VALUE"""),"")</f>
        <v/>
      </c>
      <c r="F211" s="212" t="str">
        <f>IFERROR(__xludf.DUMMYFUNCTION("""COMPUTED_VALUE"""),"")</f>
        <v/>
      </c>
      <c r="G211" s="212" t="str">
        <f>IFERROR(__xludf.DUMMYFUNCTION("""COMPUTED_VALUE"""),"")</f>
        <v/>
      </c>
      <c r="H211" s="218" t="str">
        <f>IFERROR(__xludf.DUMMYFUNCTION("""COMPUTED_VALUE"""),"")</f>
        <v/>
      </c>
      <c r="I211" s="219" t="str">
        <f>IFERROR(__xludf.DUMMYFUNCTION("""COMPUTED_VALUE"""),"")</f>
        <v/>
      </c>
      <c r="J211" s="220" t="str">
        <f>IFERROR(__xludf.DUMMYFUNCTION("""COMPUTED_VALUE"""),"")</f>
        <v/>
      </c>
      <c r="K211" s="221" t="str">
        <f>IFERROR(__xludf.DUMMYFUNCTION("""COMPUTED_VALUE"""),"AP")</f>
        <v>AP</v>
      </c>
      <c r="L211" s="220" t="str">
        <f>IFERROR(__xludf.DUMMYFUNCTION("""COMPUTED_VALUE"""),"")</f>
        <v/>
      </c>
      <c r="M211" s="221" t="str">
        <f>IFERROR(__xludf.DUMMYFUNCTION("""COMPUTED_VALUE"""),"％")</f>
        <v>％</v>
      </c>
      <c r="N211" s="218" t="str">
        <f>IFERROR(__xludf.DUMMYFUNCTION("""COMPUTED_VALUE"""),"")</f>
        <v/>
      </c>
      <c r="O211" s="217"/>
      <c r="P211" s="371" t="str">
        <f>IFERROR(__xludf.DUMMYFUNCTION("""COMPUTED_VALUE"""),"")</f>
        <v/>
      </c>
      <c r="Q211" s="458" t="str">
        <f>IFERROR(__xludf.DUMMYFUNCTION("""COMPUTED_VALUE"""),"")</f>
        <v/>
      </c>
      <c r="R211" s="459" t="str">
        <f>IFERROR(__xludf.DUMMYFUNCTION("""COMPUTED_VALUE"""),"")</f>
        <v/>
      </c>
      <c r="S211" s="459" t="str">
        <f>IFERROR(__xludf.DUMMYFUNCTION("""COMPUTED_VALUE"""),"")</f>
        <v/>
      </c>
      <c r="T211" t="str">
        <f>IFERROR(__xludf.DUMMYFUNCTION("""COMPUTED_VALUE"""),"")</f>
        <v/>
      </c>
      <c r="U211" t="str">
        <f>IFERROR(__xludf.DUMMYFUNCTION("""COMPUTED_VALUE"""),"")</f>
        <v/>
      </c>
      <c r="V211" t="str">
        <f>IFERROR(__xludf.DUMMYFUNCTION("""COMPUTED_VALUE"""),"")</f>
        <v/>
      </c>
      <c r="W211" t="str">
        <f>IFERROR(__xludf.DUMMYFUNCTION("""COMPUTED_VALUE"""),"")</f>
        <v/>
      </c>
      <c r="X211" t="str">
        <f>IFERROR(__xludf.DUMMYFUNCTION("""COMPUTED_VALUE"""),"")</f>
        <v/>
      </c>
      <c r="Y211" t="str">
        <f>IFERROR(__xludf.DUMMYFUNCTION("""COMPUTED_VALUE"""),"")</f>
        <v/>
      </c>
      <c r="Z211" t="str">
        <f>IFERROR(__xludf.DUMMYFUNCTION("""COMPUTED_VALUE"""),"")</f>
        <v/>
      </c>
      <c r="AA211" t="str">
        <f>IFERROR(__xludf.DUMMYFUNCTION("""COMPUTED_VALUE"""),"")</f>
        <v/>
      </c>
      <c r="AB211" t="str">
        <f>IFERROR(__xludf.DUMMYFUNCTION("""COMPUTED_VALUE"""),"")</f>
        <v/>
      </c>
      <c r="AC211" t="str">
        <f>IFERROR(__xludf.DUMMYFUNCTION("""COMPUTED_VALUE"""),"")</f>
        <v/>
      </c>
      <c r="AD211" t="str">
        <f>IFERROR(__xludf.DUMMYFUNCTION("""COMPUTED_VALUE"""),"")</f>
        <v/>
      </c>
      <c r="AE211" s="460" t="str">
        <f>IFERROR(__xludf.DUMMYFUNCTION("""COMPUTED_VALUE"""),"")</f>
        <v/>
      </c>
      <c r="AF211" s="372" t="str">
        <f>IFERROR(__xludf.DUMMYFUNCTION("""COMPUTED_VALUE"""),"")</f>
        <v/>
      </c>
    </row>
    <row r="212" ht="16.5" customHeight="1">
      <c r="C212" s="204"/>
      <c r="D212" s="225">
        <f>IFERROR(__xludf.DUMMYFUNCTION("""COMPUTED_VALUE"""),3.0)</f>
        <v>3</v>
      </c>
      <c r="E212" s="227" t="str">
        <f>IFERROR(__xludf.DUMMYFUNCTION("""COMPUTED_VALUE"""),"")</f>
        <v/>
      </c>
      <c r="F212" s="229" t="str">
        <f>IFERROR(__xludf.DUMMYFUNCTION("""COMPUTED_VALUE"""),"")</f>
        <v/>
      </c>
      <c r="G212" s="229" t="str">
        <f>IFERROR(__xludf.DUMMYFUNCTION("""COMPUTED_VALUE"""),"")</f>
        <v/>
      </c>
      <c r="H212" s="234" t="str">
        <f>IFERROR(__xludf.DUMMYFUNCTION("""COMPUTED_VALUE"""),"")</f>
        <v/>
      </c>
      <c r="I212" s="235" t="str">
        <f>IFERROR(__xludf.DUMMYFUNCTION("""COMPUTED_VALUE"""),"")</f>
        <v/>
      </c>
      <c r="J212" s="236" t="str">
        <f>IFERROR(__xludf.DUMMYFUNCTION("""COMPUTED_VALUE"""),"")</f>
        <v/>
      </c>
      <c r="K212" s="237" t="str">
        <f>IFERROR(__xludf.DUMMYFUNCTION("""COMPUTED_VALUE"""),"AP")</f>
        <v>AP</v>
      </c>
      <c r="L212" s="236" t="str">
        <f>IFERROR(__xludf.DUMMYFUNCTION("""COMPUTED_VALUE"""),"")</f>
        <v/>
      </c>
      <c r="M212" s="237" t="str">
        <f>IFERROR(__xludf.DUMMYFUNCTION("""COMPUTED_VALUE"""),"％")</f>
        <v>％</v>
      </c>
      <c r="N212" s="234" t="str">
        <f>IFERROR(__xludf.DUMMYFUNCTION("""COMPUTED_VALUE"""),"")</f>
        <v/>
      </c>
      <c r="O212" s="217"/>
      <c r="P212" s="371" t="str">
        <f>IFERROR(__xludf.DUMMYFUNCTION("""COMPUTED_VALUE"""),"")</f>
        <v/>
      </c>
      <c r="Q212" s="458" t="str">
        <f>IFERROR(__xludf.DUMMYFUNCTION("""COMPUTED_VALUE"""),"")</f>
        <v/>
      </c>
      <c r="R212" s="459" t="str">
        <f>IFERROR(__xludf.DUMMYFUNCTION("""COMPUTED_VALUE"""),"")</f>
        <v/>
      </c>
      <c r="S212" s="459" t="str">
        <f>IFERROR(__xludf.DUMMYFUNCTION("""COMPUTED_VALUE"""),"")</f>
        <v/>
      </c>
      <c r="T212" t="str">
        <f>IFERROR(__xludf.DUMMYFUNCTION("""COMPUTED_VALUE"""),"")</f>
        <v/>
      </c>
      <c r="U212" t="str">
        <f>IFERROR(__xludf.DUMMYFUNCTION("""COMPUTED_VALUE"""),"")</f>
        <v/>
      </c>
      <c r="V212" t="str">
        <f>IFERROR(__xludf.DUMMYFUNCTION("""COMPUTED_VALUE"""),"")</f>
        <v/>
      </c>
      <c r="W212" t="str">
        <f>IFERROR(__xludf.DUMMYFUNCTION("""COMPUTED_VALUE"""),"")</f>
        <v/>
      </c>
      <c r="X212" t="str">
        <f>IFERROR(__xludf.DUMMYFUNCTION("""COMPUTED_VALUE"""),"")</f>
        <v/>
      </c>
      <c r="Y212" t="str">
        <f>IFERROR(__xludf.DUMMYFUNCTION("""COMPUTED_VALUE"""),"")</f>
        <v/>
      </c>
      <c r="Z212" t="str">
        <f>IFERROR(__xludf.DUMMYFUNCTION("""COMPUTED_VALUE"""),"")</f>
        <v/>
      </c>
      <c r="AA212" t="str">
        <f>IFERROR(__xludf.DUMMYFUNCTION("""COMPUTED_VALUE"""),"")</f>
        <v/>
      </c>
      <c r="AB212" t="str">
        <f>IFERROR(__xludf.DUMMYFUNCTION("""COMPUTED_VALUE"""),"")</f>
        <v/>
      </c>
      <c r="AC212" t="str">
        <f>IFERROR(__xludf.DUMMYFUNCTION("""COMPUTED_VALUE"""),"")</f>
        <v/>
      </c>
      <c r="AD212" t="str">
        <f>IFERROR(__xludf.DUMMYFUNCTION("""COMPUTED_VALUE"""),"")</f>
        <v/>
      </c>
      <c r="AE212" s="460" t="str">
        <f>IFERROR(__xludf.DUMMYFUNCTION("""COMPUTED_VALUE"""),"")</f>
        <v/>
      </c>
      <c r="AF212" s="372" t="str">
        <f>IFERROR(__xludf.DUMMYFUNCTION("""COMPUTED_VALUE"""),"")</f>
        <v/>
      </c>
    </row>
    <row r="213" ht="16.5" customHeight="1">
      <c r="C213" s="204"/>
      <c r="D213" s="239">
        <f>IFERROR(__xludf.DUMMYFUNCTION("""COMPUTED_VALUE"""),4.0)</f>
        <v>4</v>
      </c>
      <c r="E213" s="241" t="str">
        <f>IFERROR(__xludf.DUMMYFUNCTION("""COMPUTED_VALUE"""),"")</f>
        <v/>
      </c>
      <c r="F213" s="243" t="str">
        <f>IFERROR(__xludf.DUMMYFUNCTION("""COMPUTED_VALUE"""),"")</f>
        <v/>
      </c>
      <c r="G213" s="243" t="str">
        <f>IFERROR(__xludf.DUMMYFUNCTION("""COMPUTED_VALUE"""),"")</f>
        <v/>
      </c>
      <c r="H213" s="247" t="str">
        <f>IFERROR(__xludf.DUMMYFUNCTION("""COMPUTED_VALUE"""),"")</f>
        <v/>
      </c>
      <c r="I213" s="249" t="str">
        <f>IFERROR(__xludf.DUMMYFUNCTION("""COMPUTED_VALUE"""),"")</f>
        <v/>
      </c>
      <c r="J213" s="251" t="str">
        <f>IFERROR(__xludf.DUMMYFUNCTION("""COMPUTED_VALUE"""),"")</f>
        <v/>
      </c>
      <c r="K213" s="253" t="str">
        <f>IFERROR(__xludf.DUMMYFUNCTION("""COMPUTED_VALUE"""),"AP")</f>
        <v>AP</v>
      </c>
      <c r="L213" s="251" t="str">
        <f>IFERROR(__xludf.DUMMYFUNCTION("""COMPUTED_VALUE"""),"")</f>
        <v/>
      </c>
      <c r="M213" s="253" t="str">
        <f>IFERROR(__xludf.DUMMYFUNCTION("""COMPUTED_VALUE"""),"％")</f>
        <v>％</v>
      </c>
      <c r="N213" s="247" t="str">
        <f>IFERROR(__xludf.DUMMYFUNCTION("""COMPUTED_VALUE"""),"")</f>
        <v/>
      </c>
      <c r="O213" s="217"/>
      <c r="P213" s="371" t="str">
        <f>IFERROR(__xludf.DUMMYFUNCTION("""COMPUTED_VALUE"""),"")</f>
        <v/>
      </c>
      <c r="Q213" s="458" t="str">
        <f>IFERROR(__xludf.DUMMYFUNCTION("""COMPUTED_VALUE"""),"")</f>
        <v/>
      </c>
      <c r="R213" s="459" t="str">
        <f>IFERROR(__xludf.DUMMYFUNCTION("""COMPUTED_VALUE"""),"")</f>
        <v/>
      </c>
      <c r="S213" s="459" t="str">
        <f>IFERROR(__xludf.DUMMYFUNCTION("""COMPUTED_VALUE"""),"")</f>
        <v/>
      </c>
      <c r="T213" t="str">
        <f>IFERROR(__xludf.DUMMYFUNCTION("""COMPUTED_VALUE"""),"")</f>
        <v/>
      </c>
      <c r="U213" t="str">
        <f>IFERROR(__xludf.DUMMYFUNCTION("""COMPUTED_VALUE"""),"")</f>
        <v/>
      </c>
      <c r="V213" t="str">
        <f>IFERROR(__xludf.DUMMYFUNCTION("""COMPUTED_VALUE"""),"")</f>
        <v/>
      </c>
      <c r="W213" t="str">
        <f>IFERROR(__xludf.DUMMYFUNCTION("""COMPUTED_VALUE"""),"")</f>
        <v/>
      </c>
      <c r="X213" t="str">
        <f>IFERROR(__xludf.DUMMYFUNCTION("""COMPUTED_VALUE"""),"")</f>
        <v/>
      </c>
      <c r="Y213" t="str">
        <f>IFERROR(__xludf.DUMMYFUNCTION("""COMPUTED_VALUE"""),"")</f>
        <v/>
      </c>
      <c r="Z213" t="str">
        <f>IFERROR(__xludf.DUMMYFUNCTION("""COMPUTED_VALUE"""),"")</f>
        <v/>
      </c>
      <c r="AA213" t="str">
        <f>IFERROR(__xludf.DUMMYFUNCTION("""COMPUTED_VALUE"""),"")</f>
        <v/>
      </c>
      <c r="AB213" t="str">
        <f>IFERROR(__xludf.DUMMYFUNCTION("""COMPUTED_VALUE"""),"")</f>
        <v/>
      </c>
      <c r="AC213" t="str">
        <f>IFERROR(__xludf.DUMMYFUNCTION("""COMPUTED_VALUE"""),"")</f>
        <v/>
      </c>
      <c r="AD213" t="str">
        <f>IFERROR(__xludf.DUMMYFUNCTION("""COMPUTED_VALUE"""),"")</f>
        <v/>
      </c>
      <c r="AE213" s="460" t="str">
        <f>IFERROR(__xludf.DUMMYFUNCTION("""COMPUTED_VALUE"""),"")</f>
        <v/>
      </c>
      <c r="AF213" s="372" t="str">
        <f>IFERROR(__xludf.DUMMYFUNCTION("""COMPUTED_VALUE"""),"")</f>
        <v/>
      </c>
    </row>
    <row r="214" ht="16.5" customHeight="1">
      <c r="A214" s="166"/>
      <c r="C214" s="255"/>
      <c r="D214" s="256">
        <f>IFERROR(__xludf.DUMMYFUNCTION("""COMPUTED_VALUE"""),5.0)</f>
        <v>5</v>
      </c>
      <c r="E214" s="257" t="str">
        <f>IFERROR(__xludf.DUMMYFUNCTION("""COMPUTED_VALUE"""),"")</f>
        <v/>
      </c>
      <c r="F214" s="42" t="str">
        <f>IFERROR(__xludf.DUMMYFUNCTION("""COMPUTED_VALUE"""),"")</f>
        <v/>
      </c>
      <c r="G214" s="42" t="str">
        <f>IFERROR(__xludf.DUMMYFUNCTION("""COMPUTED_VALUE"""),"")</f>
        <v/>
      </c>
      <c r="H214" s="259" t="str">
        <f>IFERROR(__xludf.DUMMYFUNCTION("""COMPUTED_VALUE"""),"")</f>
        <v/>
      </c>
      <c r="I214" s="260" t="str">
        <f>IFERROR(__xludf.DUMMYFUNCTION("""COMPUTED_VALUE"""),"")</f>
        <v/>
      </c>
      <c r="J214" s="261" t="str">
        <f>IFERROR(__xludf.DUMMYFUNCTION("""COMPUTED_VALUE"""),"")</f>
        <v/>
      </c>
      <c r="K214" s="262" t="str">
        <f>IFERROR(__xludf.DUMMYFUNCTION("""COMPUTED_VALUE"""),"AP")</f>
        <v>AP</v>
      </c>
      <c r="L214" s="261" t="str">
        <f>IFERROR(__xludf.DUMMYFUNCTION("""COMPUTED_VALUE"""),"")</f>
        <v/>
      </c>
      <c r="M214" s="262" t="str">
        <f>IFERROR(__xludf.DUMMYFUNCTION("""COMPUTED_VALUE"""),"％")</f>
        <v>％</v>
      </c>
      <c r="N214" s="259" t="str">
        <f>IFERROR(__xludf.DUMMYFUNCTION("""COMPUTED_VALUE"""),"")</f>
        <v/>
      </c>
      <c r="O214" s="263"/>
      <c r="P214" s="371" t="str">
        <f>IFERROR(__xludf.DUMMYFUNCTION("""COMPUTED_VALUE"""),"")</f>
        <v/>
      </c>
      <c r="Q214" s="458" t="str">
        <f>IFERROR(__xludf.DUMMYFUNCTION("""COMPUTED_VALUE"""),"")</f>
        <v/>
      </c>
      <c r="R214" s="459" t="str">
        <f>IFERROR(__xludf.DUMMYFUNCTION("""COMPUTED_VALUE"""),"")</f>
        <v/>
      </c>
      <c r="S214" s="459" t="str">
        <f>IFERROR(__xludf.DUMMYFUNCTION("""COMPUTED_VALUE"""),"")</f>
        <v/>
      </c>
      <c r="T214" t="str">
        <f>IFERROR(__xludf.DUMMYFUNCTION("""COMPUTED_VALUE"""),"")</f>
        <v/>
      </c>
      <c r="U214" t="str">
        <f>IFERROR(__xludf.DUMMYFUNCTION("""COMPUTED_VALUE"""),"")</f>
        <v/>
      </c>
      <c r="V214" t="str">
        <f>IFERROR(__xludf.DUMMYFUNCTION("""COMPUTED_VALUE"""),"")</f>
        <v/>
      </c>
      <c r="W214" t="str">
        <f>IFERROR(__xludf.DUMMYFUNCTION("""COMPUTED_VALUE"""),"")</f>
        <v/>
      </c>
      <c r="X214" t="str">
        <f>IFERROR(__xludf.DUMMYFUNCTION("""COMPUTED_VALUE"""),"")</f>
        <v/>
      </c>
      <c r="Y214" t="str">
        <f>IFERROR(__xludf.DUMMYFUNCTION("""COMPUTED_VALUE"""),"")</f>
        <v/>
      </c>
      <c r="Z214" t="str">
        <f>IFERROR(__xludf.DUMMYFUNCTION("""COMPUTED_VALUE"""),"")</f>
        <v/>
      </c>
      <c r="AA214" t="str">
        <f>IFERROR(__xludf.DUMMYFUNCTION("""COMPUTED_VALUE"""),"")</f>
        <v/>
      </c>
      <c r="AB214" t="str">
        <f>IFERROR(__xludf.DUMMYFUNCTION("""COMPUTED_VALUE"""),"")</f>
        <v/>
      </c>
      <c r="AC214" t="str">
        <f>IFERROR(__xludf.DUMMYFUNCTION("""COMPUTED_VALUE"""),"")</f>
        <v/>
      </c>
      <c r="AD214" t="str">
        <f>IFERROR(__xludf.DUMMYFUNCTION("""COMPUTED_VALUE"""),"")</f>
        <v/>
      </c>
      <c r="AE214" s="460" t="str">
        <f>IFERROR(__xludf.DUMMYFUNCTION("""COMPUTED_VALUE"""),"")</f>
        <v/>
      </c>
      <c r="AF214" s="372" t="str">
        <f>IFERROR(__xludf.DUMMYFUNCTION("""COMPUTED_VALUE"""),"")</f>
        <v/>
      </c>
    </row>
    <row r="215" ht="16.5" customHeight="1">
      <c r="A215" s="61" t="str">
        <f>IFERROR(__xludf.DUMMYFUNCTION("""COMPUTED_VALUE"""),"")</f>
        <v/>
      </c>
      <c r="B215" s="367" t="str">
        <f>IFERROR(__xludf.DUMMYFUNCTION("""COMPUTED_VALUE"""),"A115")</f>
        <v>A115</v>
      </c>
      <c r="C215" s="65" t="str">
        <f>IFERROR(__xludf.DUMMYFUNCTION("""COMPUTED_VALUE"""),"Egg of Truth")</f>
        <v>Egg of Truth</v>
      </c>
      <c r="D215" s="70">
        <f>IFERROR(__xludf.DUMMYFUNCTION("""COMPUTED_VALUE"""),1.0)</f>
        <v>1</v>
      </c>
      <c r="E215" s="73" t="str">
        <f>IFERROR(__xludf.DUMMYFUNCTION("""COMPUTED_VALUE"""),"")</f>
        <v/>
      </c>
      <c r="F215" s="76" t="str">
        <f>IFERROR(__xludf.DUMMYFUNCTION("""COMPUTED_VALUE"""),"")</f>
        <v/>
      </c>
      <c r="G215" s="76" t="str">
        <f>IFERROR(__xludf.DUMMYFUNCTION("""COMPUTED_VALUE"""),"")</f>
        <v/>
      </c>
      <c r="H215" s="87" t="str">
        <f>IFERROR(__xludf.DUMMYFUNCTION("""COMPUTED_VALUE"""),"")</f>
        <v/>
      </c>
      <c r="I215" s="90" t="str">
        <f>IFERROR(__xludf.DUMMYFUNCTION("""COMPUTED_VALUE"""),"")</f>
        <v/>
      </c>
      <c r="J215" s="92" t="str">
        <f>IFERROR(__xludf.DUMMYFUNCTION("""COMPUTED_VALUE"""),"")</f>
        <v/>
      </c>
      <c r="K215" s="94" t="str">
        <f>IFERROR(__xludf.DUMMYFUNCTION("""COMPUTED_VALUE"""),"AP")</f>
        <v>AP</v>
      </c>
      <c r="L215" s="96" t="str">
        <f>IFERROR(__xludf.DUMMYFUNCTION("""COMPUTED_VALUE"""),"")</f>
        <v/>
      </c>
      <c r="M215" s="94" t="str">
        <f>IFERROR(__xludf.DUMMYFUNCTION("""COMPUTED_VALUE"""),"％")</f>
        <v>％</v>
      </c>
      <c r="N215" s="87" t="str">
        <f>IFERROR(__xludf.DUMMYFUNCTION("""COMPUTED_VALUE"""),"")</f>
        <v/>
      </c>
      <c r="O215" s="97" t="str">
        <f>IFERROR(__xludf.DUMMYFUNCTION("""COMPUTED_VALUE"""),"Egg of Truth")</f>
        <v>Egg of Truth</v>
      </c>
      <c r="P215" s="371" t="str">
        <f>IFERROR(__xludf.DUMMYFUNCTION("""COMPUTED_VALUE"""),"")</f>
        <v/>
      </c>
      <c r="Q215" s="458" t="str">
        <f>IFERROR(__xludf.DUMMYFUNCTION("""COMPUTED_VALUE"""),"")</f>
        <v/>
      </c>
      <c r="R215" s="459" t="str">
        <f>IFERROR(__xludf.DUMMYFUNCTION("""COMPUTED_VALUE"""),"")</f>
        <v/>
      </c>
      <c r="S215" s="459" t="str">
        <f>IFERROR(__xludf.DUMMYFUNCTION("""COMPUTED_VALUE"""),"")</f>
        <v/>
      </c>
      <c r="T215" t="str">
        <f>IFERROR(__xludf.DUMMYFUNCTION("""COMPUTED_VALUE"""),"")</f>
        <v/>
      </c>
      <c r="U215" t="str">
        <f>IFERROR(__xludf.DUMMYFUNCTION("""COMPUTED_VALUE"""),"")</f>
        <v/>
      </c>
      <c r="V215" t="str">
        <f>IFERROR(__xludf.DUMMYFUNCTION("""COMPUTED_VALUE"""),"")</f>
        <v/>
      </c>
      <c r="W215" t="str">
        <f>IFERROR(__xludf.DUMMYFUNCTION("""COMPUTED_VALUE"""),"")</f>
        <v/>
      </c>
      <c r="X215" t="str">
        <f>IFERROR(__xludf.DUMMYFUNCTION("""COMPUTED_VALUE"""),"")</f>
        <v/>
      </c>
      <c r="Y215" t="str">
        <f>IFERROR(__xludf.DUMMYFUNCTION("""COMPUTED_VALUE"""),"")</f>
        <v/>
      </c>
      <c r="Z215" t="str">
        <f>IFERROR(__xludf.DUMMYFUNCTION("""COMPUTED_VALUE"""),"")</f>
        <v/>
      </c>
      <c r="AA215" t="str">
        <f>IFERROR(__xludf.DUMMYFUNCTION("""COMPUTED_VALUE"""),"")</f>
        <v/>
      </c>
      <c r="AB215" t="str">
        <f>IFERROR(__xludf.DUMMYFUNCTION("""COMPUTED_VALUE"""),"")</f>
        <v/>
      </c>
      <c r="AC215" t="str">
        <f>IFERROR(__xludf.DUMMYFUNCTION("""COMPUTED_VALUE"""),"")</f>
        <v/>
      </c>
      <c r="AD215" t="str">
        <f>IFERROR(__xludf.DUMMYFUNCTION("""COMPUTED_VALUE"""),"")</f>
        <v/>
      </c>
      <c r="AE215" s="460" t="str">
        <f>IFERROR(__xludf.DUMMYFUNCTION("""COMPUTED_VALUE"""),"")</f>
        <v/>
      </c>
      <c r="AF215" s="372" t="str">
        <f>IFERROR(__xludf.DUMMYFUNCTION("""COMPUTED_VALUE"""),"")</f>
        <v/>
      </c>
    </row>
    <row r="216" ht="16.5" customHeight="1">
      <c r="C216" s="100"/>
      <c r="D216" s="105">
        <f>IFERROR(__xludf.DUMMYFUNCTION("""COMPUTED_VALUE"""),2.0)</f>
        <v>2</v>
      </c>
      <c r="E216" s="106" t="str">
        <f>IFERROR(__xludf.DUMMYFUNCTION("""COMPUTED_VALUE"""),"")</f>
        <v/>
      </c>
      <c r="F216" s="107" t="str">
        <f>IFERROR(__xludf.DUMMYFUNCTION("""COMPUTED_VALUE"""),"")</f>
        <v/>
      </c>
      <c r="G216" s="107" t="str">
        <f>IFERROR(__xludf.DUMMYFUNCTION("""COMPUTED_VALUE"""),"")</f>
        <v/>
      </c>
      <c r="H216" s="116" t="str">
        <f>IFERROR(__xludf.DUMMYFUNCTION("""COMPUTED_VALUE"""),"")</f>
        <v/>
      </c>
      <c r="I216" s="118" t="str">
        <f>IFERROR(__xludf.DUMMYFUNCTION("""COMPUTED_VALUE"""),"")</f>
        <v/>
      </c>
      <c r="J216" s="120" t="str">
        <f>IFERROR(__xludf.DUMMYFUNCTION("""COMPUTED_VALUE"""),"")</f>
        <v/>
      </c>
      <c r="K216" s="122" t="str">
        <f>IFERROR(__xludf.DUMMYFUNCTION("""COMPUTED_VALUE"""),"AP")</f>
        <v>AP</v>
      </c>
      <c r="L216" s="124" t="str">
        <f>IFERROR(__xludf.DUMMYFUNCTION("""COMPUTED_VALUE"""),"")</f>
        <v/>
      </c>
      <c r="M216" s="122" t="str">
        <f>IFERROR(__xludf.DUMMYFUNCTION("""COMPUTED_VALUE"""),"％")</f>
        <v>％</v>
      </c>
      <c r="N216" s="116" t="str">
        <f>IFERROR(__xludf.DUMMYFUNCTION("""COMPUTED_VALUE"""),"")</f>
        <v/>
      </c>
      <c r="O216" s="100"/>
      <c r="P216" s="371" t="str">
        <f>IFERROR(__xludf.DUMMYFUNCTION("""COMPUTED_VALUE"""),"")</f>
        <v/>
      </c>
      <c r="Q216" s="458" t="str">
        <f>IFERROR(__xludf.DUMMYFUNCTION("""COMPUTED_VALUE"""),"")</f>
        <v/>
      </c>
      <c r="R216" s="459" t="str">
        <f>IFERROR(__xludf.DUMMYFUNCTION("""COMPUTED_VALUE"""),"")</f>
        <v/>
      </c>
      <c r="S216" s="459" t="str">
        <f>IFERROR(__xludf.DUMMYFUNCTION("""COMPUTED_VALUE"""),"")</f>
        <v/>
      </c>
      <c r="T216" t="str">
        <f>IFERROR(__xludf.DUMMYFUNCTION("""COMPUTED_VALUE"""),"")</f>
        <v/>
      </c>
      <c r="U216" t="str">
        <f>IFERROR(__xludf.DUMMYFUNCTION("""COMPUTED_VALUE"""),"")</f>
        <v/>
      </c>
      <c r="V216" t="str">
        <f>IFERROR(__xludf.DUMMYFUNCTION("""COMPUTED_VALUE"""),"")</f>
        <v/>
      </c>
      <c r="W216" t="str">
        <f>IFERROR(__xludf.DUMMYFUNCTION("""COMPUTED_VALUE"""),"")</f>
        <v/>
      </c>
      <c r="X216" t="str">
        <f>IFERROR(__xludf.DUMMYFUNCTION("""COMPUTED_VALUE"""),"")</f>
        <v/>
      </c>
      <c r="Y216" t="str">
        <f>IFERROR(__xludf.DUMMYFUNCTION("""COMPUTED_VALUE"""),"")</f>
        <v/>
      </c>
      <c r="Z216" t="str">
        <f>IFERROR(__xludf.DUMMYFUNCTION("""COMPUTED_VALUE"""),"")</f>
        <v/>
      </c>
      <c r="AA216" t="str">
        <f>IFERROR(__xludf.DUMMYFUNCTION("""COMPUTED_VALUE"""),"")</f>
        <v/>
      </c>
      <c r="AB216" t="str">
        <f>IFERROR(__xludf.DUMMYFUNCTION("""COMPUTED_VALUE"""),"")</f>
        <v/>
      </c>
      <c r="AC216" t="str">
        <f>IFERROR(__xludf.DUMMYFUNCTION("""COMPUTED_VALUE"""),"")</f>
        <v/>
      </c>
      <c r="AD216" t="str">
        <f>IFERROR(__xludf.DUMMYFUNCTION("""COMPUTED_VALUE"""),"")</f>
        <v/>
      </c>
      <c r="AE216" s="460" t="str">
        <f>IFERROR(__xludf.DUMMYFUNCTION("""COMPUTED_VALUE"""),"")</f>
        <v/>
      </c>
      <c r="AF216" s="372" t="str">
        <f>IFERROR(__xludf.DUMMYFUNCTION("""COMPUTED_VALUE"""),"")</f>
        <v/>
      </c>
    </row>
    <row r="217" ht="16.5" customHeight="1">
      <c r="C217" s="100"/>
      <c r="D217" s="128">
        <f>IFERROR(__xludf.DUMMYFUNCTION("""COMPUTED_VALUE"""),3.0)</f>
        <v>3</v>
      </c>
      <c r="E217" s="129" t="str">
        <f>IFERROR(__xludf.DUMMYFUNCTION("""COMPUTED_VALUE"""),"")</f>
        <v/>
      </c>
      <c r="F217" s="131" t="str">
        <f>IFERROR(__xludf.DUMMYFUNCTION("""COMPUTED_VALUE"""),"")</f>
        <v/>
      </c>
      <c r="G217" s="131" t="str">
        <f>IFERROR(__xludf.DUMMYFUNCTION("""COMPUTED_VALUE"""),"")</f>
        <v/>
      </c>
      <c r="H217" s="136" t="str">
        <f>IFERROR(__xludf.DUMMYFUNCTION("""COMPUTED_VALUE"""),"")</f>
        <v/>
      </c>
      <c r="I217" s="138" t="str">
        <f>IFERROR(__xludf.DUMMYFUNCTION("""COMPUTED_VALUE"""),"")</f>
        <v/>
      </c>
      <c r="J217" s="140" t="str">
        <f>IFERROR(__xludf.DUMMYFUNCTION("""COMPUTED_VALUE"""),"")</f>
        <v/>
      </c>
      <c r="K217" s="142" t="str">
        <f>IFERROR(__xludf.DUMMYFUNCTION("""COMPUTED_VALUE"""),"AP")</f>
        <v>AP</v>
      </c>
      <c r="L217" s="144" t="str">
        <f>IFERROR(__xludf.DUMMYFUNCTION("""COMPUTED_VALUE"""),"")</f>
        <v/>
      </c>
      <c r="M217" s="142" t="str">
        <f>IFERROR(__xludf.DUMMYFUNCTION("""COMPUTED_VALUE"""),"％")</f>
        <v>％</v>
      </c>
      <c r="N217" s="136" t="str">
        <f>IFERROR(__xludf.DUMMYFUNCTION("""COMPUTED_VALUE"""),"")</f>
        <v/>
      </c>
      <c r="O217" s="100"/>
      <c r="P217" s="371" t="str">
        <f>IFERROR(__xludf.DUMMYFUNCTION("""COMPUTED_VALUE"""),"")</f>
        <v/>
      </c>
      <c r="Q217" s="458" t="str">
        <f>IFERROR(__xludf.DUMMYFUNCTION("""COMPUTED_VALUE"""),"")</f>
        <v/>
      </c>
      <c r="R217" s="459" t="str">
        <f>IFERROR(__xludf.DUMMYFUNCTION("""COMPUTED_VALUE"""),"")</f>
        <v/>
      </c>
      <c r="S217" s="459" t="str">
        <f>IFERROR(__xludf.DUMMYFUNCTION("""COMPUTED_VALUE"""),"")</f>
        <v/>
      </c>
      <c r="T217" t="str">
        <f>IFERROR(__xludf.DUMMYFUNCTION("""COMPUTED_VALUE"""),"")</f>
        <v/>
      </c>
      <c r="U217" t="str">
        <f>IFERROR(__xludf.DUMMYFUNCTION("""COMPUTED_VALUE"""),"")</f>
        <v/>
      </c>
      <c r="V217" t="str">
        <f>IFERROR(__xludf.DUMMYFUNCTION("""COMPUTED_VALUE"""),"")</f>
        <v/>
      </c>
      <c r="W217" t="str">
        <f>IFERROR(__xludf.DUMMYFUNCTION("""COMPUTED_VALUE"""),"")</f>
        <v/>
      </c>
      <c r="X217" t="str">
        <f>IFERROR(__xludf.DUMMYFUNCTION("""COMPUTED_VALUE"""),"")</f>
        <v/>
      </c>
      <c r="Y217" t="str">
        <f>IFERROR(__xludf.DUMMYFUNCTION("""COMPUTED_VALUE"""),"")</f>
        <v/>
      </c>
      <c r="Z217" t="str">
        <f>IFERROR(__xludf.DUMMYFUNCTION("""COMPUTED_VALUE"""),"")</f>
        <v/>
      </c>
      <c r="AA217" t="str">
        <f>IFERROR(__xludf.DUMMYFUNCTION("""COMPUTED_VALUE"""),"")</f>
        <v/>
      </c>
      <c r="AB217" t="str">
        <f>IFERROR(__xludf.DUMMYFUNCTION("""COMPUTED_VALUE"""),"")</f>
        <v/>
      </c>
      <c r="AC217" t="str">
        <f>IFERROR(__xludf.DUMMYFUNCTION("""COMPUTED_VALUE"""),"")</f>
        <v/>
      </c>
      <c r="AD217" t="str">
        <f>IFERROR(__xludf.DUMMYFUNCTION("""COMPUTED_VALUE"""),"")</f>
        <v/>
      </c>
      <c r="AE217" s="460" t="str">
        <f>IFERROR(__xludf.DUMMYFUNCTION("""COMPUTED_VALUE"""),"")</f>
        <v/>
      </c>
      <c r="AF217" s="372" t="str">
        <f>IFERROR(__xludf.DUMMYFUNCTION("""COMPUTED_VALUE"""),"")</f>
        <v/>
      </c>
    </row>
    <row r="218" ht="16.5" customHeight="1">
      <c r="C218" s="100"/>
      <c r="D218" s="147">
        <f>IFERROR(__xludf.DUMMYFUNCTION("""COMPUTED_VALUE"""),4.0)</f>
        <v>4</v>
      </c>
      <c r="E218" s="149" t="str">
        <f>IFERROR(__xludf.DUMMYFUNCTION("""COMPUTED_VALUE"""),"")</f>
        <v/>
      </c>
      <c r="F218" s="151" t="str">
        <f>IFERROR(__xludf.DUMMYFUNCTION("""COMPUTED_VALUE"""),"")</f>
        <v/>
      </c>
      <c r="G218" s="151" t="str">
        <f>IFERROR(__xludf.DUMMYFUNCTION("""COMPUTED_VALUE"""),"")</f>
        <v/>
      </c>
      <c r="H218" s="155" t="str">
        <f>IFERROR(__xludf.DUMMYFUNCTION("""COMPUTED_VALUE"""),"")</f>
        <v/>
      </c>
      <c r="I218" s="157" t="str">
        <f>IFERROR(__xludf.DUMMYFUNCTION("""COMPUTED_VALUE"""),"")</f>
        <v/>
      </c>
      <c r="J218" s="159" t="str">
        <f>IFERROR(__xludf.DUMMYFUNCTION("""COMPUTED_VALUE"""),"")</f>
        <v/>
      </c>
      <c r="K218" s="161" t="str">
        <f>IFERROR(__xludf.DUMMYFUNCTION("""COMPUTED_VALUE"""),"AP")</f>
        <v>AP</v>
      </c>
      <c r="L218" s="163" t="str">
        <f>IFERROR(__xludf.DUMMYFUNCTION("""COMPUTED_VALUE"""),"")</f>
        <v/>
      </c>
      <c r="M218" s="161" t="str">
        <f>IFERROR(__xludf.DUMMYFUNCTION("""COMPUTED_VALUE"""),"％")</f>
        <v>％</v>
      </c>
      <c r="N218" s="155" t="str">
        <f>IFERROR(__xludf.DUMMYFUNCTION("""COMPUTED_VALUE"""),"")</f>
        <v/>
      </c>
      <c r="O218" s="100"/>
      <c r="P218" s="371" t="str">
        <f>IFERROR(__xludf.DUMMYFUNCTION("""COMPUTED_VALUE"""),"")</f>
        <v/>
      </c>
      <c r="Q218" s="458" t="str">
        <f>IFERROR(__xludf.DUMMYFUNCTION("""COMPUTED_VALUE"""),"")</f>
        <v/>
      </c>
      <c r="R218" s="459" t="str">
        <f>IFERROR(__xludf.DUMMYFUNCTION("""COMPUTED_VALUE"""),"")</f>
        <v/>
      </c>
      <c r="S218" s="459" t="str">
        <f>IFERROR(__xludf.DUMMYFUNCTION("""COMPUTED_VALUE"""),"")</f>
        <v/>
      </c>
      <c r="T218" t="str">
        <f>IFERROR(__xludf.DUMMYFUNCTION("""COMPUTED_VALUE"""),"")</f>
        <v/>
      </c>
      <c r="U218" t="str">
        <f>IFERROR(__xludf.DUMMYFUNCTION("""COMPUTED_VALUE"""),"")</f>
        <v/>
      </c>
      <c r="V218" t="str">
        <f>IFERROR(__xludf.DUMMYFUNCTION("""COMPUTED_VALUE"""),"")</f>
        <v/>
      </c>
      <c r="W218" t="str">
        <f>IFERROR(__xludf.DUMMYFUNCTION("""COMPUTED_VALUE"""),"")</f>
        <v/>
      </c>
      <c r="X218" t="str">
        <f>IFERROR(__xludf.DUMMYFUNCTION("""COMPUTED_VALUE"""),"")</f>
        <v/>
      </c>
      <c r="Y218" t="str">
        <f>IFERROR(__xludf.DUMMYFUNCTION("""COMPUTED_VALUE"""),"")</f>
        <v/>
      </c>
      <c r="Z218" t="str">
        <f>IFERROR(__xludf.DUMMYFUNCTION("""COMPUTED_VALUE"""),"")</f>
        <v/>
      </c>
      <c r="AA218" t="str">
        <f>IFERROR(__xludf.DUMMYFUNCTION("""COMPUTED_VALUE"""),"")</f>
        <v/>
      </c>
      <c r="AB218" t="str">
        <f>IFERROR(__xludf.DUMMYFUNCTION("""COMPUTED_VALUE"""),"")</f>
        <v/>
      </c>
      <c r="AC218" t="str">
        <f>IFERROR(__xludf.DUMMYFUNCTION("""COMPUTED_VALUE"""),"")</f>
        <v/>
      </c>
      <c r="AD218" t="str">
        <f>IFERROR(__xludf.DUMMYFUNCTION("""COMPUTED_VALUE"""),"")</f>
        <v/>
      </c>
      <c r="AE218" s="460" t="str">
        <f>IFERROR(__xludf.DUMMYFUNCTION("""COMPUTED_VALUE"""),"")</f>
        <v/>
      </c>
      <c r="AF218" s="372" t="str">
        <f>IFERROR(__xludf.DUMMYFUNCTION("""COMPUTED_VALUE"""),"")</f>
        <v/>
      </c>
    </row>
    <row r="219" ht="16.5" customHeight="1">
      <c r="A219" s="166"/>
      <c r="C219" s="168"/>
      <c r="D219" s="169">
        <f>IFERROR(__xludf.DUMMYFUNCTION("""COMPUTED_VALUE"""),5.0)</f>
        <v>5</v>
      </c>
      <c r="E219" s="170" t="str">
        <f>IFERROR(__xludf.DUMMYFUNCTION("""COMPUTED_VALUE"""),"")</f>
        <v/>
      </c>
      <c r="F219" s="51" t="str">
        <f>IFERROR(__xludf.DUMMYFUNCTION("""COMPUTED_VALUE"""),"")</f>
        <v/>
      </c>
      <c r="G219" s="51" t="str">
        <f>IFERROR(__xludf.DUMMYFUNCTION("""COMPUTED_VALUE"""),"")</f>
        <v/>
      </c>
      <c r="H219" s="172" t="str">
        <f>IFERROR(__xludf.DUMMYFUNCTION("""COMPUTED_VALUE"""),"")</f>
        <v/>
      </c>
      <c r="I219" s="173" t="str">
        <f>IFERROR(__xludf.DUMMYFUNCTION("""COMPUTED_VALUE"""),"")</f>
        <v/>
      </c>
      <c r="J219" s="174" t="str">
        <f>IFERROR(__xludf.DUMMYFUNCTION("""COMPUTED_VALUE"""),"")</f>
        <v/>
      </c>
      <c r="K219" s="175" t="str">
        <f>IFERROR(__xludf.DUMMYFUNCTION("""COMPUTED_VALUE"""),"AP")</f>
        <v>AP</v>
      </c>
      <c r="L219" s="176" t="str">
        <f>IFERROR(__xludf.DUMMYFUNCTION("""COMPUTED_VALUE"""),"")</f>
        <v/>
      </c>
      <c r="M219" s="175" t="str">
        <f>IFERROR(__xludf.DUMMYFUNCTION("""COMPUTED_VALUE"""),"％")</f>
        <v>％</v>
      </c>
      <c r="N219" s="172" t="str">
        <f>IFERROR(__xludf.DUMMYFUNCTION("""COMPUTED_VALUE"""),"")</f>
        <v/>
      </c>
      <c r="O219" s="168"/>
      <c r="P219" s="371" t="str">
        <f>IFERROR(__xludf.DUMMYFUNCTION("""COMPUTED_VALUE"""),"")</f>
        <v/>
      </c>
      <c r="Q219" s="458" t="str">
        <f>IFERROR(__xludf.DUMMYFUNCTION("""COMPUTED_VALUE"""),"")</f>
        <v/>
      </c>
      <c r="R219" s="459" t="str">
        <f>IFERROR(__xludf.DUMMYFUNCTION("""COMPUTED_VALUE"""),"")</f>
        <v/>
      </c>
      <c r="S219" s="459" t="str">
        <f>IFERROR(__xludf.DUMMYFUNCTION("""COMPUTED_VALUE"""),"")</f>
        <v/>
      </c>
      <c r="T219" t="str">
        <f>IFERROR(__xludf.DUMMYFUNCTION("""COMPUTED_VALUE"""),"")</f>
        <v/>
      </c>
      <c r="U219" t="str">
        <f>IFERROR(__xludf.DUMMYFUNCTION("""COMPUTED_VALUE"""),"")</f>
        <v/>
      </c>
      <c r="V219" t="str">
        <f>IFERROR(__xludf.DUMMYFUNCTION("""COMPUTED_VALUE"""),"")</f>
        <v/>
      </c>
      <c r="W219" t="str">
        <f>IFERROR(__xludf.DUMMYFUNCTION("""COMPUTED_VALUE"""),"")</f>
        <v/>
      </c>
      <c r="X219" t="str">
        <f>IFERROR(__xludf.DUMMYFUNCTION("""COMPUTED_VALUE"""),"")</f>
        <v/>
      </c>
      <c r="Y219" t="str">
        <f>IFERROR(__xludf.DUMMYFUNCTION("""COMPUTED_VALUE"""),"")</f>
        <v/>
      </c>
      <c r="Z219" t="str">
        <f>IFERROR(__xludf.DUMMYFUNCTION("""COMPUTED_VALUE"""),"")</f>
        <v/>
      </c>
      <c r="AA219" t="str">
        <f>IFERROR(__xludf.DUMMYFUNCTION("""COMPUTED_VALUE"""),"")</f>
        <v/>
      </c>
      <c r="AB219" t="str">
        <f>IFERROR(__xludf.DUMMYFUNCTION("""COMPUTED_VALUE"""),"")</f>
        <v/>
      </c>
      <c r="AC219" t="str">
        <f>IFERROR(__xludf.DUMMYFUNCTION("""COMPUTED_VALUE"""),"")</f>
        <v/>
      </c>
      <c r="AD219" t="str">
        <f>IFERROR(__xludf.DUMMYFUNCTION("""COMPUTED_VALUE"""),"")</f>
        <v/>
      </c>
      <c r="AE219" s="460" t="str">
        <f>IFERROR(__xludf.DUMMYFUNCTION("""COMPUTED_VALUE"""),"")</f>
        <v/>
      </c>
      <c r="AF219" s="372" t="str">
        <f>IFERROR(__xludf.DUMMYFUNCTION("""COMPUTED_VALUE"""),"")</f>
        <v/>
      </c>
    </row>
    <row r="220" ht="16.5" hidden="1" customHeight="1">
      <c r="A220" s="61" t="str">
        <f>IFERROR(__xludf.DUMMYFUNCTION("""COMPUTED_VALUE"""),"")</f>
        <v/>
      </c>
      <c r="B220" s="366" t="str">
        <f>IFERROR(__xludf.DUMMYFUNCTION("""COMPUTED_VALUE"""),"A116")</f>
        <v>A116</v>
      </c>
      <c r="C220" s="197" t="str">
        <f>IFERROR(__xludf.DUMMYFUNCTION("""COMPUTED_VALUE"""),"")</f>
        <v/>
      </c>
      <c r="D220" s="185">
        <f>IFERROR(__xludf.DUMMYFUNCTION("""COMPUTED_VALUE"""),1.0)</f>
        <v>1</v>
      </c>
      <c r="E220" s="187" t="str">
        <f>IFERROR(__xludf.DUMMYFUNCTION("""COMPUTED_VALUE"""),"")</f>
        <v/>
      </c>
      <c r="F220" s="188" t="str">
        <f>IFERROR(__xludf.DUMMYFUNCTION("""COMPUTED_VALUE"""),"")</f>
        <v/>
      </c>
      <c r="G220" s="188" t="str">
        <f>IFERROR(__xludf.DUMMYFUNCTION("""COMPUTED_VALUE"""),"")</f>
        <v/>
      </c>
      <c r="H220" s="195" t="str">
        <f>IFERROR(__xludf.DUMMYFUNCTION("""COMPUTED_VALUE"""),"")</f>
        <v/>
      </c>
      <c r="I220" s="196" t="str">
        <f>IFERROR(__xludf.DUMMYFUNCTION("""COMPUTED_VALUE"""),"")</f>
        <v/>
      </c>
      <c r="J220" s="198" t="str">
        <f>IFERROR(__xludf.DUMMYFUNCTION("""COMPUTED_VALUE"""),"")</f>
        <v/>
      </c>
      <c r="K220" s="200" t="str">
        <f>IFERROR(__xludf.DUMMYFUNCTION("""COMPUTED_VALUE"""),"AP")</f>
        <v>AP</v>
      </c>
      <c r="L220" s="198" t="str">
        <f>IFERROR(__xludf.DUMMYFUNCTION("""COMPUTED_VALUE"""),"")</f>
        <v/>
      </c>
      <c r="M220" s="201" t="str">
        <f>IFERROR(__xludf.DUMMYFUNCTION("""COMPUTED_VALUE"""),"％")</f>
        <v>％</v>
      </c>
      <c r="N220" s="195" t="str">
        <f>IFERROR(__xludf.DUMMYFUNCTION("""COMPUTED_VALUE"""),"")</f>
        <v/>
      </c>
      <c r="O220" s="197" t="str">
        <f>IFERROR(__xludf.DUMMYFUNCTION("""COMPUTED_VALUE"""),"")</f>
        <v/>
      </c>
      <c r="P220" s="371" t="str">
        <f>IFERROR(__xludf.DUMMYFUNCTION("""COMPUTED_VALUE"""),"")</f>
        <v/>
      </c>
      <c r="Q220" s="458" t="str">
        <f>IFERROR(__xludf.DUMMYFUNCTION("""COMPUTED_VALUE"""),"")</f>
        <v/>
      </c>
      <c r="R220" s="459" t="str">
        <f>IFERROR(__xludf.DUMMYFUNCTION("""COMPUTED_VALUE"""),"")</f>
        <v/>
      </c>
      <c r="S220" s="459" t="str">
        <f>IFERROR(__xludf.DUMMYFUNCTION("""COMPUTED_VALUE"""),"")</f>
        <v/>
      </c>
      <c r="T220" t="str">
        <f>IFERROR(__xludf.DUMMYFUNCTION("""COMPUTED_VALUE"""),"")</f>
        <v/>
      </c>
      <c r="U220" t="str">
        <f>IFERROR(__xludf.DUMMYFUNCTION("""COMPUTED_VALUE"""),"")</f>
        <v/>
      </c>
      <c r="V220" t="str">
        <f>IFERROR(__xludf.DUMMYFUNCTION("""COMPUTED_VALUE"""),"")</f>
        <v/>
      </c>
      <c r="W220" t="str">
        <f>IFERROR(__xludf.DUMMYFUNCTION("""COMPUTED_VALUE"""),"")</f>
        <v/>
      </c>
      <c r="X220" t="str">
        <f>IFERROR(__xludf.DUMMYFUNCTION("""COMPUTED_VALUE"""),"")</f>
        <v/>
      </c>
      <c r="Y220" t="str">
        <f>IFERROR(__xludf.DUMMYFUNCTION("""COMPUTED_VALUE"""),"")</f>
        <v/>
      </c>
      <c r="Z220" t="str">
        <f>IFERROR(__xludf.DUMMYFUNCTION("""COMPUTED_VALUE"""),"")</f>
        <v/>
      </c>
      <c r="AA220" t="str">
        <f>IFERROR(__xludf.DUMMYFUNCTION("""COMPUTED_VALUE"""),"")</f>
        <v/>
      </c>
      <c r="AB220" t="str">
        <f>IFERROR(__xludf.DUMMYFUNCTION("""COMPUTED_VALUE"""),"")</f>
        <v/>
      </c>
      <c r="AC220" t="str">
        <f>IFERROR(__xludf.DUMMYFUNCTION("""COMPUTED_VALUE"""),"")</f>
        <v/>
      </c>
      <c r="AD220" t="str">
        <f>IFERROR(__xludf.DUMMYFUNCTION("""COMPUTED_VALUE"""),"")</f>
        <v/>
      </c>
      <c r="AE220" s="460" t="str">
        <f>IFERROR(__xludf.DUMMYFUNCTION("""COMPUTED_VALUE"""),"")</f>
        <v/>
      </c>
      <c r="AF220" s="372" t="str">
        <f>IFERROR(__xludf.DUMMYFUNCTION("""COMPUTED_VALUE"""),"")</f>
        <v/>
      </c>
    </row>
    <row r="221" ht="16.5" hidden="1" customHeight="1">
      <c r="C221" s="217"/>
      <c r="D221" s="208">
        <f>IFERROR(__xludf.DUMMYFUNCTION("""COMPUTED_VALUE"""),2.0)</f>
        <v>2</v>
      </c>
      <c r="E221" s="210" t="str">
        <f>IFERROR(__xludf.DUMMYFUNCTION("""COMPUTED_VALUE"""),"")</f>
        <v/>
      </c>
      <c r="F221" s="212" t="str">
        <f>IFERROR(__xludf.DUMMYFUNCTION("""COMPUTED_VALUE"""),"")</f>
        <v/>
      </c>
      <c r="G221" s="212" t="str">
        <f>IFERROR(__xludf.DUMMYFUNCTION("""COMPUTED_VALUE"""),"")</f>
        <v/>
      </c>
      <c r="H221" s="218" t="str">
        <f>IFERROR(__xludf.DUMMYFUNCTION("""COMPUTED_VALUE"""),"")</f>
        <v/>
      </c>
      <c r="I221" s="219" t="str">
        <f>IFERROR(__xludf.DUMMYFUNCTION("""COMPUTED_VALUE"""),"")</f>
        <v/>
      </c>
      <c r="J221" s="220" t="str">
        <f>IFERROR(__xludf.DUMMYFUNCTION("""COMPUTED_VALUE"""),"")</f>
        <v/>
      </c>
      <c r="K221" s="221" t="str">
        <f>IFERROR(__xludf.DUMMYFUNCTION("""COMPUTED_VALUE"""),"AP")</f>
        <v>AP</v>
      </c>
      <c r="L221" s="220" t="str">
        <f>IFERROR(__xludf.DUMMYFUNCTION("""COMPUTED_VALUE"""),"")</f>
        <v/>
      </c>
      <c r="M221" s="221" t="str">
        <f>IFERROR(__xludf.DUMMYFUNCTION("""COMPUTED_VALUE"""),"％")</f>
        <v>％</v>
      </c>
      <c r="N221" s="218" t="str">
        <f>IFERROR(__xludf.DUMMYFUNCTION("""COMPUTED_VALUE"""),"")</f>
        <v/>
      </c>
      <c r="O221" s="217"/>
      <c r="P221" s="371" t="str">
        <f>IFERROR(__xludf.DUMMYFUNCTION("""COMPUTED_VALUE"""),"")</f>
        <v/>
      </c>
      <c r="Q221" s="458" t="str">
        <f>IFERROR(__xludf.DUMMYFUNCTION("""COMPUTED_VALUE"""),"")</f>
        <v/>
      </c>
      <c r="R221" s="459" t="str">
        <f>IFERROR(__xludf.DUMMYFUNCTION("""COMPUTED_VALUE"""),"")</f>
        <v/>
      </c>
      <c r="S221" s="459" t="str">
        <f>IFERROR(__xludf.DUMMYFUNCTION("""COMPUTED_VALUE"""),"")</f>
        <v/>
      </c>
      <c r="T221" t="str">
        <f>IFERROR(__xludf.DUMMYFUNCTION("""COMPUTED_VALUE"""),"")</f>
        <v/>
      </c>
      <c r="U221" t="str">
        <f>IFERROR(__xludf.DUMMYFUNCTION("""COMPUTED_VALUE"""),"")</f>
        <v/>
      </c>
      <c r="V221" t="str">
        <f>IFERROR(__xludf.DUMMYFUNCTION("""COMPUTED_VALUE"""),"")</f>
        <v/>
      </c>
      <c r="W221" t="str">
        <f>IFERROR(__xludf.DUMMYFUNCTION("""COMPUTED_VALUE"""),"")</f>
        <v/>
      </c>
      <c r="X221" t="str">
        <f>IFERROR(__xludf.DUMMYFUNCTION("""COMPUTED_VALUE"""),"")</f>
        <v/>
      </c>
      <c r="Y221" t="str">
        <f>IFERROR(__xludf.DUMMYFUNCTION("""COMPUTED_VALUE"""),"")</f>
        <v/>
      </c>
      <c r="Z221" t="str">
        <f>IFERROR(__xludf.DUMMYFUNCTION("""COMPUTED_VALUE"""),"")</f>
        <v/>
      </c>
      <c r="AA221" t="str">
        <f>IFERROR(__xludf.DUMMYFUNCTION("""COMPUTED_VALUE"""),"")</f>
        <v/>
      </c>
      <c r="AB221" t="str">
        <f>IFERROR(__xludf.DUMMYFUNCTION("""COMPUTED_VALUE"""),"")</f>
        <v/>
      </c>
      <c r="AC221" t="str">
        <f>IFERROR(__xludf.DUMMYFUNCTION("""COMPUTED_VALUE"""),"")</f>
        <v/>
      </c>
      <c r="AD221" t="str">
        <f>IFERROR(__xludf.DUMMYFUNCTION("""COMPUTED_VALUE"""),"")</f>
        <v/>
      </c>
      <c r="AE221" s="460" t="str">
        <f>IFERROR(__xludf.DUMMYFUNCTION("""COMPUTED_VALUE"""),"")</f>
        <v/>
      </c>
      <c r="AF221" s="372" t="str">
        <f>IFERROR(__xludf.DUMMYFUNCTION("""COMPUTED_VALUE"""),"")</f>
        <v/>
      </c>
    </row>
    <row r="222" ht="16.5" hidden="1" customHeight="1">
      <c r="C222" s="217"/>
      <c r="D222" s="225">
        <f>IFERROR(__xludf.DUMMYFUNCTION("""COMPUTED_VALUE"""),3.0)</f>
        <v>3</v>
      </c>
      <c r="E222" s="227" t="str">
        <f>IFERROR(__xludf.DUMMYFUNCTION("""COMPUTED_VALUE"""),"")</f>
        <v/>
      </c>
      <c r="F222" s="229" t="str">
        <f>IFERROR(__xludf.DUMMYFUNCTION("""COMPUTED_VALUE"""),"")</f>
        <v/>
      </c>
      <c r="G222" s="229" t="str">
        <f>IFERROR(__xludf.DUMMYFUNCTION("""COMPUTED_VALUE"""),"")</f>
        <v/>
      </c>
      <c r="H222" s="234" t="str">
        <f>IFERROR(__xludf.DUMMYFUNCTION("""COMPUTED_VALUE"""),"")</f>
        <v/>
      </c>
      <c r="I222" s="235" t="str">
        <f>IFERROR(__xludf.DUMMYFUNCTION("""COMPUTED_VALUE"""),"")</f>
        <v/>
      </c>
      <c r="J222" s="236" t="str">
        <f>IFERROR(__xludf.DUMMYFUNCTION("""COMPUTED_VALUE"""),"")</f>
        <v/>
      </c>
      <c r="K222" s="237" t="str">
        <f>IFERROR(__xludf.DUMMYFUNCTION("""COMPUTED_VALUE"""),"AP")</f>
        <v>AP</v>
      </c>
      <c r="L222" s="236" t="str">
        <f>IFERROR(__xludf.DUMMYFUNCTION("""COMPUTED_VALUE"""),"")</f>
        <v/>
      </c>
      <c r="M222" s="237" t="str">
        <f>IFERROR(__xludf.DUMMYFUNCTION("""COMPUTED_VALUE"""),"％")</f>
        <v>％</v>
      </c>
      <c r="N222" s="234" t="str">
        <f>IFERROR(__xludf.DUMMYFUNCTION("""COMPUTED_VALUE"""),"")</f>
        <v/>
      </c>
      <c r="O222" s="217"/>
      <c r="P222" s="371" t="str">
        <f>IFERROR(__xludf.DUMMYFUNCTION("""COMPUTED_VALUE"""),"")</f>
        <v/>
      </c>
      <c r="Q222" s="458" t="str">
        <f>IFERROR(__xludf.DUMMYFUNCTION("""COMPUTED_VALUE"""),"")</f>
        <v/>
      </c>
      <c r="R222" s="459" t="str">
        <f>IFERROR(__xludf.DUMMYFUNCTION("""COMPUTED_VALUE"""),"")</f>
        <v/>
      </c>
      <c r="S222" s="459" t="str">
        <f>IFERROR(__xludf.DUMMYFUNCTION("""COMPUTED_VALUE"""),"")</f>
        <v/>
      </c>
      <c r="T222" t="str">
        <f>IFERROR(__xludf.DUMMYFUNCTION("""COMPUTED_VALUE"""),"")</f>
        <v/>
      </c>
      <c r="U222" t="str">
        <f>IFERROR(__xludf.DUMMYFUNCTION("""COMPUTED_VALUE"""),"")</f>
        <v/>
      </c>
      <c r="V222" t="str">
        <f>IFERROR(__xludf.DUMMYFUNCTION("""COMPUTED_VALUE"""),"")</f>
        <v/>
      </c>
      <c r="W222" t="str">
        <f>IFERROR(__xludf.DUMMYFUNCTION("""COMPUTED_VALUE"""),"")</f>
        <v/>
      </c>
      <c r="X222" t="str">
        <f>IFERROR(__xludf.DUMMYFUNCTION("""COMPUTED_VALUE"""),"")</f>
        <v/>
      </c>
      <c r="Y222" t="str">
        <f>IFERROR(__xludf.DUMMYFUNCTION("""COMPUTED_VALUE"""),"")</f>
        <v/>
      </c>
      <c r="Z222" t="str">
        <f>IFERROR(__xludf.DUMMYFUNCTION("""COMPUTED_VALUE"""),"")</f>
        <v/>
      </c>
      <c r="AA222" t="str">
        <f>IFERROR(__xludf.DUMMYFUNCTION("""COMPUTED_VALUE"""),"")</f>
        <v/>
      </c>
      <c r="AB222" t="str">
        <f>IFERROR(__xludf.DUMMYFUNCTION("""COMPUTED_VALUE"""),"")</f>
        <v/>
      </c>
      <c r="AC222" t="str">
        <f>IFERROR(__xludf.DUMMYFUNCTION("""COMPUTED_VALUE"""),"")</f>
        <v/>
      </c>
      <c r="AD222" t="str">
        <f>IFERROR(__xludf.DUMMYFUNCTION("""COMPUTED_VALUE"""),"")</f>
        <v/>
      </c>
      <c r="AE222" s="460" t="str">
        <f>IFERROR(__xludf.DUMMYFUNCTION("""COMPUTED_VALUE"""),"")</f>
        <v/>
      </c>
      <c r="AF222" s="372" t="str">
        <f>IFERROR(__xludf.DUMMYFUNCTION("""COMPUTED_VALUE"""),"")</f>
        <v/>
      </c>
    </row>
    <row r="223" ht="16.5" hidden="1" customHeight="1">
      <c r="C223" s="217"/>
      <c r="D223" s="239">
        <f>IFERROR(__xludf.DUMMYFUNCTION("""COMPUTED_VALUE"""),4.0)</f>
        <v>4</v>
      </c>
      <c r="E223" s="241" t="str">
        <f>IFERROR(__xludf.DUMMYFUNCTION("""COMPUTED_VALUE"""),"")</f>
        <v/>
      </c>
      <c r="F223" s="243" t="str">
        <f>IFERROR(__xludf.DUMMYFUNCTION("""COMPUTED_VALUE"""),"")</f>
        <v/>
      </c>
      <c r="G223" s="243" t="str">
        <f>IFERROR(__xludf.DUMMYFUNCTION("""COMPUTED_VALUE"""),"")</f>
        <v/>
      </c>
      <c r="H223" s="247" t="str">
        <f>IFERROR(__xludf.DUMMYFUNCTION("""COMPUTED_VALUE"""),"")</f>
        <v/>
      </c>
      <c r="I223" s="249" t="str">
        <f>IFERROR(__xludf.DUMMYFUNCTION("""COMPUTED_VALUE"""),"")</f>
        <v/>
      </c>
      <c r="J223" s="251" t="str">
        <f>IFERROR(__xludf.DUMMYFUNCTION("""COMPUTED_VALUE"""),"")</f>
        <v/>
      </c>
      <c r="K223" s="253" t="str">
        <f>IFERROR(__xludf.DUMMYFUNCTION("""COMPUTED_VALUE"""),"AP")</f>
        <v>AP</v>
      </c>
      <c r="L223" s="251" t="str">
        <f>IFERROR(__xludf.DUMMYFUNCTION("""COMPUTED_VALUE"""),"")</f>
        <v/>
      </c>
      <c r="M223" s="253" t="str">
        <f>IFERROR(__xludf.DUMMYFUNCTION("""COMPUTED_VALUE"""),"％")</f>
        <v>％</v>
      </c>
      <c r="N223" s="247" t="str">
        <f>IFERROR(__xludf.DUMMYFUNCTION("""COMPUTED_VALUE"""),"")</f>
        <v/>
      </c>
      <c r="O223" s="217"/>
      <c r="P223" s="371" t="str">
        <f>IFERROR(__xludf.DUMMYFUNCTION("""COMPUTED_VALUE"""),"")</f>
        <v/>
      </c>
      <c r="Q223" s="458" t="str">
        <f>IFERROR(__xludf.DUMMYFUNCTION("""COMPUTED_VALUE"""),"")</f>
        <v/>
      </c>
      <c r="R223" s="459" t="str">
        <f>IFERROR(__xludf.DUMMYFUNCTION("""COMPUTED_VALUE"""),"")</f>
        <v/>
      </c>
      <c r="S223" s="459" t="str">
        <f>IFERROR(__xludf.DUMMYFUNCTION("""COMPUTED_VALUE"""),"")</f>
        <v/>
      </c>
      <c r="T223" t="str">
        <f>IFERROR(__xludf.DUMMYFUNCTION("""COMPUTED_VALUE"""),"")</f>
        <v/>
      </c>
      <c r="U223" t="str">
        <f>IFERROR(__xludf.DUMMYFUNCTION("""COMPUTED_VALUE"""),"")</f>
        <v/>
      </c>
      <c r="V223" t="str">
        <f>IFERROR(__xludf.DUMMYFUNCTION("""COMPUTED_VALUE"""),"")</f>
        <v/>
      </c>
      <c r="W223" t="str">
        <f>IFERROR(__xludf.DUMMYFUNCTION("""COMPUTED_VALUE"""),"")</f>
        <v/>
      </c>
      <c r="X223" t="str">
        <f>IFERROR(__xludf.DUMMYFUNCTION("""COMPUTED_VALUE"""),"")</f>
        <v/>
      </c>
      <c r="Y223" t="str">
        <f>IFERROR(__xludf.DUMMYFUNCTION("""COMPUTED_VALUE"""),"")</f>
        <v/>
      </c>
      <c r="Z223" t="str">
        <f>IFERROR(__xludf.DUMMYFUNCTION("""COMPUTED_VALUE"""),"")</f>
        <v/>
      </c>
      <c r="AA223" t="str">
        <f>IFERROR(__xludf.DUMMYFUNCTION("""COMPUTED_VALUE"""),"")</f>
        <v/>
      </c>
      <c r="AB223" t="str">
        <f>IFERROR(__xludf.DUMMYFUNCTION("""COMPUTED_VALUE"""),"")</f>
        <v/>
      </c>
      <c r="AC223" t="str">
        <f>IFERROR(__xludf.DUMMYFUNCTION("""COMPUTED_VALUE"""),"")</f>
        <v/>
      </c>
      <c r="AD223" t="str">
        <f>IFERROR(__xludf.DUMMYFUNCTION("""COMPUTED_VALUE"""),"")</f>
        <v/>
      </c>
      <c r="AE223" s="460" t="str">
        <f>IFERROR(__xludf.DUMMYFUNCTION("""COMPUTED_VALUE"""),"")</f>
        <v/>
      </c>
      <c r="AF223" s="372" t="str">
        <f>IFERROR(__xludf.DUMMYFUNCTION("""COMPUTED_VALUE"""),"")</f>
        <v/>
      </c>
    </row>
    <row r="224" ht="16.5" hidden="1" customHeight="1">
      <c r="A224" s="166"/>
      <c r="C224" s="263"/>
      <c r="D224" s="256">
        <f>IFERROR(__xludf.DUMMYFUNCTION("""COMPUTED_VALUE"""),5.0)</f>
        <v>5</v>
      </c>
      <c r="E224" s="257" t="str">
        <f>IFERROR(__xludf.DUMMYFUNCTION("""COMPUTED_VALUE"""),"")</f>
        <v/>
      </c>
      <c r="F224" s="42" t="str">
        <f>IFERROR(__xludf.DUMMYFUNCTION("""COMPUTED_VALUE"""),"")</f>
        <v/>
      </c>
      <c r="G224" s="42" t="str">
        <f>IFERROR(__xludf.DUMMYFUNCTION("""COMPUTED_VALUE"""),"")</f>
        <v/>
      </c>
      <c r="H224" s="259" t="str">
        <f>IFERROR(__xludf.DUMMYFUNCTION("""COMPUTED_VALUE"""),"")</f>
        <v/>
      </c>
      <c r="I224" s="260" t="str">
        <f>IFERROR(__xludf.DUMMYFUNCTION("""COMPUTED_VALUE"""),"")</f>
        <v/>
      </c>
      <c r="J224" s="261" t="str">
        <f>IFERROR(__xludf.DUMMYFUNCTION("""COMPUTED_VALUE"""),"")</f>
        <v/>
      </c>
      <c r="K224" s="262" t="str">
        <f>IFERROR(__xludf.DUMMYFUNCTION("""COMPUTED_VALUE"""),"AP")</f>
        <v>AP</v>
      </c>
      <c r="L224" s="261" t="str">
        <f>IFERROR(__xludf.DUMMYFUNCTION("""COMPUTED_VALUE"""),"")</f>
        <v/>
      </c>
      <c r="M224" s="262" t="str">
        <f>IFERROR(__xludf.DUMMYFUNCTION("""COMPUTED_VALUE"""),"％")</f>
        <v>％</v>
      </c>
      <c r="N224" s="259" t="str">
        <f>IFERROR(__xludf.DUMMYFUNCTION("""COMPUTED_VALUE"""),"")</f>
        <v/>
      </c>
      <c r="O224" s="263"/>
      <c r="P224" s="371" t="str">
        <f>IFERROR(__xludf.DUMMYFUNCTION("""COMPUTED_VALUE"""),"")</f>
        <v/>
      </c>
      <c r="Q224" s="458" t="str">
        <f>IFERROR(__xludf.DUMMYFUNCTION("""COMPUTED_VALUE"""),"")</f>
        <v/>
      </c>
      <c r="R224" s="459" t="str">
        <f>IFERROR(__xludf.DUMMYFUNCTION("""COMPUTED_VALUE"""),"")</f>
        <v/>
      </c>
      <c r="S224" s="459" t="str">
        <f>IFERROR(__xludf.DUMMYFUNCTION("""COMPUTED_VALUE"""),"")</f>
        <v/>
      </c>
      <c r="T224" t="str">
        <f>IFERROR(__xludf.DUMMYFUNCTION("""COMPUTED_VALUE"""),"")</f>
        <v/>
      </c>
      <c r="U224" t="str">
        <f>IFERROR(__xludf.DUMMYFUNCTION("""COMPUTED_VALUE"""),"")</f>
        <v/>
      </c>
      <c r="V224" t="str">
        <f>IFERROR(__xludf.DUMMYFUNCTION("""COMPUTED_VALUE"""),"")</f>
        <v/>
      </c>
      <c r="W224" t="str">
        <f>IFERROR(__xludf.DUMMYFUNCTION("""COMPUTED_VALUE"""),"")</f>
        <v/>
      </c>
      <c r="X224" t="str">
        <f>IFERROR(__xludf.DUMMYFUNCTION("""COMPUTED_VALUE"""),"")</f>
        <v/>
      </c>
      <c r="Y224" t="str">
        <f>IFERROR(__xludf.DUMMYFUNCTION("""COMPUTED_VALUE"""),"")</f>
        <v/>
      </c>
      <c r="Z224" t="str">
        <f>IFERROR(__xludf.DUMMYFUNCTION("""COMPUTED_VALUE"""),"")</f>
        <v/>
      </c>
      <c r="AA224" t="str">
        <f>IFERROR(__xludf.DUMMYFUNCTION("""COMPUTED_VALUE"""),"")</f>
        <v/>
      </c>
      <c r="AB224" t="str">
        <f>IFERROR(__xludf.DUMMYFUNCTION("""COMPUTED_VALUE"""),"")</f>
        <v/>
      </c>
      <c r="AC224" t="str">
        <f>IFERROR(__xludf.DUMMYFUNCTION("""COMPUTED_VALUE"""),"")</f>
        <v/>
      </c>
      <c r="AD224" t="str">
        <f>IFERROR(__xludf.DUMMYFUNCTION("""COMPUTED_VALUE"""),"")</f>
        <v/>
      </c>
      <c r="AE224" s="460" t="str">
        <f>IFERROR(__xludf.DUMMYFUNCTION("""COMPUTED_VALUE"""),"")</f>
        <v/>
      </c>
      <c r="AF224" s="372" t="str">
        <f>IFERROR(__xludf.DUMMYFUNCTION("""COMPUTED_VALUE"""),"")</f>
        <v/>
      </c>
    </row>
    <row r="225" ht="16.5" customHeight="1">
      <c r="A225" s="352" t="str">
        <f>IFERROR(__xludf.DUMMYFUNCTION("""COMPUTED_VALUE"""),"Item")</f>
        <v>Item</v>
      </c>
      <c r="C225" s="353"/>
      <c r="D225" s="30" t="str">
        <f>IFERROR(__xludf.DUMMYFUNCTION("""COMPUTED_VALUE"""),"No.")</f>
        <v>No.</v>
      </c>
      <c r="E225" s="31" t="str">
        <f>IFERROR(__xludf.DUMMYFUNCTION("""COMPUTED_VALUE"""),"Node Code")</f>
        <v>Node Code</v>
      </c>
      <c r="F225" s="31" t="str">
        <f>IFERROR(__xludf.DUMMYFUNCTION("""COMPUTED_VALUE"""),"Area")</f>
        <v>Area</v>
      </c>
      <c r="G225" s="31" t="str">
        <f>IFERROR(__xludf.DUMMYFUNCTION("""COMPUTED_VALUE"""),"Quest")</f>
        <v>Quest</v>
      </c>
      <c r="H225" s="30" t="str">
        <f>IFERROR(__xludf.DUMMYFUNCTION("""COMPUTED_VALUE"""),"AP")</f>
        <v>AP</v>
      </c>
      <c r="I225" s="365" t="str">
        <f>IFERROR(__xludf.DUMMYFUNCTION("""COMPUTED_VALUE"""),"BP/AP")</f>
        <v>BP/AP</v>
      </c>
      <c r="J225" s="36" t="str">
        <f>IFERROR(__xludf.DUMMYFUNCTION("""COMPUTED_VALUE"""),"AP/Drop")</f>
        <v>AP/Drop</v>
      </c>
      <c r="K225" s="28"/>
      <c r="L225" s="36" t="str">
        <f>IFERROR(__xludf.DUMMYFUNCTION("""COMPUTED_VALUE"""),"Drop Chance")</f>
        <v>Drop Chance</v>
      </c>
      <c r="M225" s="28"/>
      <c r="N225" s="642" t="str">
        <f>IFERROR(__xludf.DUMMYFUNCTION("""COMPUTED_VALUE"""),"Runs")</f>
        <v>Runs</v>
      </c>
      <c r="O225" s="355" t="str">
        <f>IFERROR(__xludf.DUMMYFUNCTION("""COMPUTED_VALUE"""),"")</f>
        <v/>
      </c>
      <c r="P225" s="371" t="str">
        <f>IFERROR(__xludf.DUMMYFUNCTION("""COMPUTED_VALUE"""),"")</f>
        <v/>
      </c>
      <c r="Q225" s="458" t="str">
        <f>IFERROR(__xludf.DUMMYFUNCTION("""COMPUTED_VALUE"""),"")</f>
        <v/>
      </c>
      <c r="R225" s="459" t="str">
        <f>IFERROR(__xludf.DUMMYFUNCTION("""COMPUTED_VALUE"""),"")</f>
        <v/>
      </c>
      <c r="S225" s="459" t="str">
        <f>IFERROR(__xludf.DUMMYFUNCTION("""COMPUTED_VALUE"""),"")</f>
        <v/>
      </c>
      <c r="T225" t="str">
        <f>IFERROR(__xludf.DUMMYFUNCTION("""COMPUTED_VALUE"""),"")</f>
        <v/>
      </c>
      <c r="U225" t="str">
        <f>IFERROR(__xludf.DUMMYFUNCTION("""COMPUTED_VALUE"""),"")</f>
        <v/>
      </c>
      <c r="V225" t="str">
        <f>IFERROR(__xludf.DUMMYFUNCTION("""COMPUTED_VALUE"""),"")</f>
        <v/>
      </c>
      <c r="W225" t="str">
        <f>IFERROR(__xludf.DUMMYFUNCTION("""COMPUTED_VALUE"""),"")</f>
        <v/>
      </c>
      <c r="X225" t="str">
        <f>IFERROR(__xludf.DUMMYFUNCTION("""COMPUTED_VALUE"""),"")</f>
        <v/>
      </c>
      <c r="Y225" t="str">
        <f>IFERROR(__xludf.DUMMYFUNCTION("""COMPUTED_VALUE"""),"")</f>
        <v/>
      </c>
      <c r="Z225" t="str">
        <f>IFERROR(__xludf.DUMMYFUNCTION("""COMPUTED_VALUE"""),"")</f>
        <v/>
      </c>
      <c r="AA225" t="str">
        <f>IFERROR(__xludf.DUMMYFUNCTION("""COMPUTED_VALUE"""),"")</f>
        <v/>
      </c>
      <c r="AB225" t="str">
        <f>IFERROR(__xludf.DUMMYFUNCTION("""COMPUTED_VALUE"""),"")</f>
        <v/>
      </c>
      <c r="AC225" t="str">
        <f>IFERROR(__xludf.DUMMYFUNCTION("""COMPUTED_VALUE"""),"")</f>
        <v/>
      </c>
      <c r="AD225" t="str">
        <f>IFERROR(__xludf.DUMMYFUNCTION("""COMPUTED_VALUE"""),"")</f>
        <v/>
      </c>
      <c r="AE225" s="460" t="str">
        <f>IFERROR(__xludf.DUMMYFUNCTION("""COMPUTED_VALUE"""),"")</f>
        <v/>
      </c>
      <c r="AF225" s="372" t="str">
        <f>IFERROR(__xludf.DUMMYFUNCTION("""COMPUTED_VALUE"""),"")</f>
        <v/>
      </c>
    </row>
    <row r="226" ht="16.5" customHeight="1">
      <c r="A226" s="54"/>
      <c r="B226" s="55"/>
      <c r="C226" s="57"/>
      <c r="D226" s="57"/>
      <c r="E226" s="57"/>
      <c r="F226" s="57"/>
      <c r="G226" s="57"/>
      <c r="H226" s="57"/>
      <c r="I226" s="58" t="str">
        <f>IFERROR(__xludf.DUMMYFUNCTION("""COMPUTED_VALUE"""),"1P+2L")</f>
        <v>1P+2L</v>
      </c>
      <c r="J226" s="55"/>
      <c r="K226" s="57"/>
      <c r="L226" s="55"/>
      <c r="M226" s="57"/>
      <c r="N226" s="57"/>
      <c r="O226" s="57"/>
      <c r="P226" s="371" t="str">
        <f>IFERROR(__xludf.DUMMYFUNCTION("""COMPUTED_VALUE"""),"")</f>
        <v/>
      </c>
      <c r="Q226" s="458" t="str">
        <f>IFERROR(__xludf.DUMMYFUNCTION("""COMPUTED_VALUE"""),"")</f>
        <v/>
      </c>
      <c r="R226" s="459" t="str">
        <f>IFERROR(__xludf.DUMMYFUNCTION("""COMPUTED_VALUE"""),"")</f>
        <v/>
      </c>
      <c r="S226" s="459" t="str">
        <f>IFERROR(__xludf.DUMMYFUNCTION("""COMPUTED_VALUE"""),"")</f>
        <v/>
      </c>
      <c r="T226" t="str">
        <f>IFERROR(__xludf.DUMMYFUNCTION("""COMPUTED_VALUE"""),"")</f>
        <v/>
      </c>
      <c r="U226" t="str">
        <f>IFERROR(__xludf.DUMMYFUNCTION("""COMPUTED_VALUE"""),"")</f>
        <v/>
      </c>
      <c r="V226" t="str">
        <f>IFERROR(__xludf.DUMMYFUNCTION("""COMPUTED_VALUE"""),"")</f>
        <v/>
      </c>
      <c r="W226" t="str">
        <f>IFERROR(__xludf.DUMMYFUNCTION("""COMPUTED_VALUE"""),"")</f>
        <v/>
      </c>
      <c r="X226" t="str">
        <f>IFERROR(__xludf.DUMMYFUNCTION("""COMPUTED_VALUE"""),"")</f>
        <v/>
      </c>
      <c r="Y226" t="str">
        <f>IFERROR(__xludf.DUMMYFUNCTION("""COMPUTED_VALUE"""),"")</f>
        <v/>
      </c>
      <c r="Z226" t="str">
        <f>IFERROR(__xludf.DUMMYFUNCTION("""COMPUTED_VALUE"""),"")</f>
        <v/>
      </c>
      <c r="AA226" t="str">
        <f>IFERROR(__xludf.DUMMYFUNCTION("""COMPUTED_VALUE"""),"")</f>
        <v/>
      </c>
      <c r="AB226" t="str">
        <f>IFERROR(__xludf.DUMMYFUNCTION("""COMPUTED_VALUE"""),"")</f>
        <v/>
      </c>
      <c r="AC226" t="str">
        <f>IFERROR(__xludf.DUMMYFUNCTION("""COMPUTED_VALUE"""),"")</f>
        <v/>
      </c>
      <c r="AD226" t="str">
        <f>IFERROR(__xludf.DUMMYFUNCTION("""COMPUTED_VALUE"""),"")</f>
        <v/>
      </c>
      <c r="AE226" s="460" t="str">
        <f>IFERROR(__xludf.DUMMYFUNCTION("""COMPUTED_VALUE"""),"")</f>
        <v/>
      </c>
      <c r="AF226" s="372" t="str">
        <f>IFERROR(__xludf.DUMMYFUNCTION("""COMPUTED_VALUE"""),"")</f>
        <v/>
      </c>
    </row>
    <row r="227" ht="16.5" customHeight="1">
      <c r="A227" s="494" t="str">
        <f>IFERROR(__xludf.DUMMYFUNCTION("""COMPUTED_VALUE"""),"")</f>
        <v/>
      </c>
      <c r="B227" s="494" t="str">
        <f>IFERROR(__xludf.DUMMYFUNCTION("""COMPUTED_VALUE"""),"")</f>
        <v/>
      </c>
      <c r="C227" s="494" t="str">
        <f>IFERROR(__xludf.DUMMYFUNCTION("""COMPUTED_VALUE"""),"")</f>
        <v/>
      </c>
      <c r="D227" s="494" t="str">
        <f>IFERROR(__xludf.DUMMYFUNCTION("""COMPUTED_VALUE"""),"")</f>
        <v/>
      </c>
      <c r="E227" s="494" t="str">
        <f>IFERROR(__xludf.DUMMYFUNCTION("""COMPUTED_VALUE"""),"")</f>
        <v/>
      </c>
      <c r="F227" s="494" t="str">
        <f>IFERROR(__xludf.DUMMYFUNCTION("""COMPUTED_VALUE"""),"")</f>
        <v/>
      </c>
      <c r="G227" s="494" t="str">
        <f>IFERROR(__xludf.DUMMYFUNCTION("""COMPUTED_VALUE"""),"")</f>
        <v/>
      </c>
      <c r="H227" s="494" t="str">
        <f>IFERROR(__xludf.DUMMYFUNCTION("""COMPUTED_VALUE"""),"")</f>
        <v/>
      </c>
      <c r="I227" s="494" t="str">
        <f>IFERROR(__xludf.DUMMYFUNCTION("""COMPUTED_VALUE"""),"")</f>
        <v/>
      </c>
      <c r="J227" t="str">
        <f>IFERROR(__xludf.DUMMYFUNCTION("""COMPUTED_VALUE"""),"")</f>
        <v/>
      </c>
      <c r="K227" t="str">
        <f>IFERROR(__xludf.DUMMYFUNCTION("""COMPUTED_VALUE"""),"")</f>
        <v/>
      </c>
      <c r="L227" t="str">
        <f>IFERROR(__xludf.DUMMYFUNCTION("""COMPUTED_VALUE"""),"")</f>
        <v/>
      </c>
      <c r="M227" t="str">
        <f>IFERROR(__xludf.DUMMYFUNCTION("""COMPUTED_VALUE"""),"")</f>
        <v/>
      </c>
      <c r="N227" t="str">
        <f>IFERROR(__xludf.DUMMYFUNCTION("""COMPUTED_VALUE"""),"")</f>
        <v/>
      </c>
      <c r="O227" t="str">
        <f>IFERROR(__xludf.DUMMYFUNCTION("""COMPUTED_VALUE"""),"")</f>
        <v/>
      </c>
      <c r="P227" s="371" t="str">
        <f>IFERROR(__xludf.DUMMYFUNCTION("""COMPUTED_VALUE"""),"")</f>
        <v/>
      </c>
      <c r="Q227" s="458" t="str">
        <f>IFERROR(__xludf.DUMMYFUNCTION("""COMPUTED_VALUE"""),"")</f>
        <v/>
      </c>
      <c r="R227" s="459" t="str">
        <f>IFERROR(__xludf.DUMMYFUNCTION("""COMPUTED_VALUE"""),"")</f>
        <v/>
      </c>
      <c r="S227" s="459" t="str">
        <f>IFERROR(__xludf.DUMMYFUNCTION("""COMPUTED_VALUE"""),"")</f>
        <v/>
      </c>
      <c r="T227" t="str">
        <f>IFERROR(__xludf.DUMMYFUNCTION("""COMPUTED_VALUE"""),"")</f>
        <v/>
      </c>
      <c r="U227" t="str">
        <f>IFERROR(__xludf.DUMMYFUNCTION("""COMPUTED_VALUE"""),"")</f>
        <v/>
      </c>
      <c r="V227" t="str">
        <f>IFERROR(__xludf.DUMMYFUNCTION("""COMPUTED_VALUE"""),"")</f>
        <v/>
      </c>
      <c r="W227" t="str">
        <f>IFERROR(__xludf.DUMMYFUNCTION("""COMPUTED_VALUE"""),"")</f>
        <v/>
      </c>
      <c r="X227" t="str">
        <f>IFERROR(__xludf.DUMMYFUNCTION("""COMPUTED_VALUE"""),"")</f>
        <v/>
      </c>
      <c r="Y227" t="str">
        <f>IFERROR(__xludf.DUMMYFUNCTION("""COMPUTED_VALUE"""),"")</f>
        <v/>
      </c>
      <c r="Z227" t="str">
        <f>IFERROR(__xludf.DUMMYFUNCTION("""COMPUTED_VALUE"""),"")</f>
        <v/>
      </c>
      <c r="AA227" t="str">
        <f>IFERROR(__xludf.DUMMYFUNCTION("""COMPUTED_VALUE"""),"")</f>
        <v/>
      </c>
      <c r="AB227" t="str">
        <f>IFERROR(__xludf.DUMMYFUNCTION("""COMPUTED_VALUE"""),"")</f>
        <v/>
      </c>
      <c r="AC227" t="str">
        <f>IFERROR(__xludf.DUMMYFUNCTION("""COMPUTED_VALUE"""),"")</f>
        <v/>
      </c>
      <c r="AD227" t="str">
        <f>IFERROR(__xludf.DUMMYFUNCTION("""COMPUTED_VALUE"""),"")</f>
        <v/>
      </c>
      <c r="AE227" s="460" t="str">
        <f>IFERROR(__xludf.DUMMYFUNCTION("""COMPUTED_VALUE"""),"")</f>
        <v/>
      </c>
      <c r="AF227" s="372" t="str">
        <f>IFERROR(__xludf.DUMMYFUNCTION("""COMPUTED_VALUE"""),"")</f>
        <v/>
      </c>
    </row>
    <row r="228" ht="16.5" customHeight="1">
      <c r="A228" s="494" t="str">
        <f>IFERROR(__xludf.DUMMYFUNCTION("""COMPUTED_VALUE"""),"")</f>
        <v/>
      </c>
      <c r="B228" s="494" t="str">
        <f>IFERROR(__xludf.DUMMYFUNCTION("""COMPUTED_VALUE"""),"")</f>
        <v/>
      </c>
      <c r="C228" s="494" t="str">
        <f>IFERROR(__xludf.DUMMYFUNCTION("""COMPUTED_VALUE"""),"")</f>
        <v/>
      </c>
      <c r="D228" s="494" t="str">
        <f>IFERROR(__xludf.DUMMYFUNCTION("""COMPUTED_VALUE"""),"")</f>
        <v/>
      </c>
      <c r="E228" s="494" t="str">
        <f>IFERROR(__xludf.DUMMYFUNCTION("""COMPUTED_VALUE"""),"")</f>
        <v/>
      </c>
      <c r="F228" s="494" t="str">
        <f>IFERROR(__xludf.DUMMYFUNCTION("""COMPUTED_VALUE"""),"")</f>
        <v/>
      </c>
      <c r="G228" s="494" t="str">
        <f>IFERROR(__xludf.DUMMYFUNCTION("""COMPUTED_VALUE"""),"")</f>
        <v/>
      </c>
      <c r="H228" s="494" t="str">
        <f>IFERROR(__xludf.DUMMYFUNCTION("""COMPUTED_VALUE"""),"")</f>
        <v/>
      </c>
      <c r="I228" s="494" t="str">
        <f>IFERROR(__xludf.DUMMYFUNCTION("""COMPUTED_VALUE"""),"")</f>
        <v/>
      </c>
      <c r="J228" t="str">
        <f>IFERROR(__xludf.DUMMYFUNCTION("""COMPUTED_VALUE"""),"")</f>
        <v/>
      </c>
      <c r="K228" t="str">
        <f>IFERROR(__xludf.DUMMYFUNCTION("""COMPUTED_VALUE"""),"")</f>
        <v/>
      </c>
      <c r="L228" t="str">
        <f>IFERROR(__xludf.DUMMYFUNCTION("""COMPUTED_VALUE"""),"")</f>
        <v/>
      </c>
      <c r="M228" t="str">
        <f>IFERROR(__xludf.DUMMYFUNCTION("""COMPUTED_VALUE"""),"")</f>
        <v/>
      </c>
      <c r="N228" t="str">
        <f>IFERROR(__xludf.DUMMYFUNCTION("""COMPUTED_VALUE"""),"")</f>
        <v/>
      </c>
      <c r="O228" t="str">
        <f>IFERROR(__xludf.DUMMYFUNCTION("""COMPUTED_VALUE"""),"")</f>
        <v/>
      </c>
      <c r="P228" s="371" t="str">
        <f>IFERROR(__xludf.DUMMYFUNCTION("""COMPUTED_VALUE"""),"")</f>
        <v/>
      </c>
      <c r="Q228" s="458" t="str">
        <f>IFERROR(__xludf.DUMMYFUNCTION("""COMPUTED_VALUE"""),"")</f>
        <v/>
      </c>
      <c r="R228" s="459" t="str">
        <f>IFERROR(__xludf.DUMMYFUNCTION("""COMPUTED_VALUE"""),"")</f>
        <v/>
      </c>
      <c r="S228" s="459" t="str">
        <f>IFERROR(__xludf.DUMMYFUNCTION("""COMPUTED_VALUE"""),"")</f>
        <v/>
      </c>
      <c r="T228" t="str">
        <f>IFERROR(__xludf.DUMMYFUNCTION("""COMPUTED_VALUE"""),"")</f>
        <v/>
      </c>
      <c r="U228" t="str">
        <f>IFERROR(__xludf.DUMMYFUNCTION("""COMPUTED_VALUE"""),"")</f>
        <v/>
      </c>
      <c r="V228" t="str">
        <f>IFERROR(__xludf.DUMMYFUNCTION("""COMPUTED_VALUE"""),"")</f>
        <v/>
      </c>
      <c r="W228" t="str">
        <f>IFERROR(__xludf.DUMMYFUNCTION("""COMPUTED_VALUE"""),"")</f>
        <v/>
      </c>
      <c r="X228" t="str">
        <f>IFERROR(__xludf.DUMMYFUNCTION("""COMPUTED_VALUE"""),"")</f>
        <v/>
      </c>
      <c r="Y228" t="str">
        <f>IFERROR(__xludf.DUMMYFUNCTION("""COMPUTED_VALUE"""),"")</f>
        <v/>
      </c>
      <c r="Z228" t="str">
        <f>IFERROR(__xludf.DUMMYFUNCTION("""COMPUTED_VALUE"""),"")</f>
        <v/>
      </c>
      <c r="AA228" t="str">
        <f>IFERROR(__xludf.DUMMYFUNCTION("""COMPUTED_VALUE"""),"")</f>
        <v/>
      </c>
      <c r="AB228" t="str">
        <f>IFERROR(__xludf.DUMMYFUNCTION("""COMPUTED_VALUE"""),"")</f>
        <v/>
      </c>
      <c r="AC228" t="str">
        <f>IFERROR(__xludf.DUMMYFUNCTION("""COMPUTED_VALUE"""),"")</f>
        <v/>
      </c>
      <c r="AD228" t="str">
        <f>IFERROR(__xludf.DUMMYFUNCTION("""COMPUTED_VALUE"""),"")</f>
        <v/>
      </c>
      <c r="AE228" s="460" t="str">
        <f>IFERROR(__xludf.DUMMYFUNCTION("""COMPUTED_VALUE"""),"")</f>
        <v/>
      </c>
      <c r="AF228" s="372" t="str">
        <f>IFERROR(__xludf.DUMMYFUNCTION("""COMPUTED_VALUE"""),"")</f>
        <v/>
      </c>
    </row>
    <row r="229" ht="16.5" customHeight="1">
      <c r="A229" s="494" t="str">
        <f>IFERROR(__xludf.DUMMYFUNCTION("""COMPUTED_VALUE"""),"")</f>
        <v/>
      </c>
      <c r="B229" s="494" t="str">
        <f>IFERROR(__xludf.DUMMYFUNCTION("""COMPUTED_VALUE"""),"")</f>
        <v/>
      </c>
      <c r="C229" s="494" t="str">
        <f>IFERROR(__xludf.DUMMYFUNCTION("""COMPUTED_VALUE"""),"")</f>
        <v/>
      </c>
      <c r="D229" s="494" t="str">
        <f>IFERROR(__xludf.DUMMYFUNCTION("""COMPUTED_VALUE"""),"")</f>
        <v/>
      </c>
      <c r="E229" s="494" t="str">
        <f>IFERROR(__xludf.DUMMYFUNCTION("""COMPUTED_VALUE"""),"")</f>
        <v/>
      </c>
      <c r="F229" s="494" t="str">
        <f>IFERROR(__xludf.DUMMYFUNCTION("""COMPUTED_VALUE"""),"")</f>
        <v/>
      </c>
      <c r="G229" s="494" t="str">
        <f>IFERROR(__xludf.DUMMYFUNCTION("""COMPUTED_VALUE"""),"")</f>
        <v/>
      </c>
      <c r="H229" s="494" t="str">
        <f>IFERROR(__xludf.DUMMYFUNCTION("""COMPUTED_VALUE"""),"")</f>
        <v/>
      </c>
      <c r="I229" s="494" t="str">
        <f>IFERROR(__xludf.DUMMYFUNCTION("""COMPUTED_VALUE"""),"")</f>
        <v/>
      </c>
      <c r="J229" t="str">
        <f>IFERROR(__xludf.DUMMYFUNCTION("""COMPUTED_VALUE"""),"")</f>
        <v/>
      </c>
      <c r="K229" t="str">
        <f>IFERROR(__xludf.DUMMYFUNCTION("""COMPUTED_VALUE"""),"")</f>
        <v/>
      </c>
      <c r="L229" t="str">
        <f>IFERROR(__xludf.DUMMYFUNCTION("""COMPUTED_VALUE"""),"")</f>
        <v/>
      </c>
      <c r="M229" t="str">
        <f>IFERROR(__xludf.DUMMYFUNCTION("""COMPUTED_VALUE"""),"")</f>
        <v/>
      </c>
      <c r="N229" t="str">
        <f>IFERROR(__xludf.DUMMYFUNCTION("""COMPUTED_VALUE"""),"")</f>
        <v/>
      </c>
      <c r="O229" t="str">
        <f>IFERROR(__xludf.DUMMYFUNCTION("""COMPUTED_VALUE"""),"")</f>
        <v/>
      </c>
      <c r="P229" s="371" t="str">
        <f>IFERROR(__xludf.DUMMYFUNCTION("""COMPUTED_VALUE"""),"")</f>
        <v/>
      </c>
      <c r="Q229" s="458" t="str">
        <f>IFERROR(__xludf.DUMMYFUNCTION("""COMPUTED_VALUE"""),"")</f>
        <v/>
      </c>
      <c r="R229" s="459" t="str">
        <f>IFERROR(__xludf.DUMMYFUNCTION("""COMPUTED_VALUE"""),"")</f>
        <v/>
      </c>
      <c r="S229" s="459" t="str">
        <f>IFERROR(__xludf.DUMMYFUNCTION("""COMPUTED_VALUE"""),"")</f>
        <v/>
      </c>
      <c r="T229" t="str">
        <f>IFERROR(__xludf.DUMMYFUNCTION("""COMPUTED_VALUE"""),"")</f>
        <v/>
      </c>
      <c r="U229" t="str">
        <f>IFERROR(__xludf.DUMMYFUNCTION("""COMPUTED_VALUE"""),"")</f>
        <v/>
      </c>
      <c r="V229" t="str">
        <f>IFERROR(__xludf.DUMMYFUNCTION("""COMPUTED_VALUE"""),"")</f>
        <v/>
      </c>
      <c r="W229" t="str">
        <f>IFERROR(__xludf.DUMMYFUNCTION("""COMPUTED_VALUE"""),"")</f>
        <v/>
      </c>
      <c r="X229" t="str">
        <f>IFERROR(__xludf.DUMMYFUNCTION("""COMPUTED_VALUE"""),"")</f>
        <v/>
      </c>
      <c r="Y229" t="str">
        <f>IFERROR(__xludf.DUMMYFUNCTION("""COMPUTED_VALUE"""),"")</f>
        <v/>
      </c>
      <c r="Z229" t="str">
        <f>IFERROR(__xludf.DUMMYFUNCTION("""COMPUTED_VALUE"""),"")</f>
        <v/>
      </c>
      <c r="AA229" t="str">
        <f>IFERROR(__xludf.DUMMYFUNCTION("""COMPUTED_VALUE"""),"")</f>
        <v/>
      </c>
      <c r="AB229" t="str">
        <f>IFERROR(__xludf.DUMMYFUNCTION("""COMPUTED_VALUE"""),"")</f>
        <v/>
      </c>
      <c r="AC229" t="str">
        <f>IFERROR(__xludf.DUMMYFUNCTION("""COMPUTED_VALUE"""),"")</f>
        <v/>
      </c>
      <c r="AD229" t="str">
        <f>IFERROR(__xludf.DUMMYFUNCTION("""COMPUTED_VALUE"""),"")</f>
        <v/>
      </c>
      <c r="AE229" s="460" t="str">
        <f>IFERROR(__xludf.DUMMYFUNCTION("""COMPUTED_VALUE"""),"")</f>
        <v/>
      </c>
      <c r="AF229" s="372" t="str">
        <f>IFERROR(__xludf.DUMMYFUNCTION("""COMPUTED_VALUE"""),"")</f>
        <v/>
      </c>
    </row>
    <row r="230" ht="16.5" customHeight="1">
      <c r="A230" s="494" t="str">
        <f>IFERROR(__xludf.DUMMYFUNCTION("""COMPUTED_VALUE"""),"")</f>
        <v/>
      </c>
      <c r="B230" s="494" t="str">
        <f>IFERROR(__xludf.DUMMYFUNCTION("""COMPUTED_VALUE"""),"")</f>
        <v/>
      </c>
      <c r="C230" s="494" t="str">
        <f>IFERROR(__xludf.DUMMYFUNCTION("""COMPUTED_VALUE"""),"")</f>
        <v/>
      </c>
      <c r="D230" s="494" t="str">
        <f>IFERROR(__xludf.DUMMYFUNCTION("""COMPUTED_VALUE"""),"")</f>
        <v/>
      </c>
      <c r="E230" s="494" t="str">
        <f>IFERROR(__xludf.DUMMYFUNCTION("""COMPUTED_VALUE"""),"")</f>
        <v/>
      </c>
      <c r="F230" s="494" t="str">
        <f>IFERROR(__xludf.DUMMYFUNCTION("""COMPUTED_VALUE"""),"")</f>
        <v/>
      </c>
      <c r="G230" s="494" t="str">
        <f>IFERROR(__xludf.DUMMYFUNCTION("""COMPUTED_VALUE"""),"")</f>
        <v/>
      </c>
      <c r="H230" s="494" t="str">
        <f>IFERROR(__xludf.DUMMYFUNCTION("""COMPUTED_VALUE"""),"")</f>
        <v/>
      </c>
      <c r="I230" s="494" t="str">
        <f>IFERROR(__xludf.DUMMYFUNCTION("""COMPUTED_VALUE"""),"")</f>
        <v/>
      </c>
      <c r="J230" t="str">
        <f>IFERROR(__xludf.DUMMYFUNCTION("""COMPUTED_VALUE"""),"")</f>
        <v/>
      </c>
      <c r="K230" t="str">
        <f>IFERROR(__xludf.DUMMYFUNCTION("""COMPUTED_VALUE"""),"")</f>
        <v/>
      </c>
      <c r="L230" t="str">
        <f>IFERROR(__xludf.DUMMYFUNCTION("""COMPUTED_VALUE"""),"")</f>
        <v/>
      </c>
      <c r="M230" t="str">
        <f>IFERROR(__xludf.DUMMYFUNCTION("""COMPUTED_VALUE"""),"")</f>
        <v/>
      </c>
      <c r="N230" t="str">
        <f>IFERROR(__xludf.DUMMYFUNCTION("""COMPUTED_VALUE"""),"")</f>
        <v/>
      </c>
      <c r="O230" t="str">
        <f>IFERROR(__xludf.DUMMYFUNCTION("""COMPUTED_VALUE"""),"")</f>
        <v/>
      </c>
      <c r="P230" s="371" t="str">
        <f>IFERROR(__xludf.DUMMYFUNCTION("""COMPUTED_VALUE"""),"")</f>
        <v/>
      </c>
      <c r="Q230" s="458" t="str">
        <f>IFERROR(__xludf.DUMMYFUNCTION("""COMPUTED_VALUE"""),"")</f>
        <v/>
      </c>
      <c r="R230" s="459" t="str">
        <f>IFERROR(__xludf.DUMMYFUNCTION("""COMPUTED_VALUE"""),"")</f>
        <v/>
      </c>
      <c r="S230" s="459" t="str">
        <f>IFERROR(__xludf.DUMMYFUNCTION("""COMPUTED_VALUE"""),"")</f>
        <v/>
      </c>
      <c r="T230" t="str">
        <f>IFERROR(__xludf.DUMMYFUNCTION("""COMPUTED_VALUE"""),"")</f>
        <v/>
      </c>
      <c r="U230" t="str">
        <f>IFERROR(__xludf.DUMMYFUNCTION("""COMPUTED_VALUE"""),"")</f>
        <v/>
      </c>
      <c r="V230" t="str">
        <f>IFERROR(__xludf.DUMMYFUNCTION("""COMPUTED_VALUE"""),"")</f>
        <v/>
      </c>
      <c r="W230" t="str">
        <f>IFERROR(__xludf.DUMMYFUNCTION("""COMPUTED_VALUE"""),"")</f>
        <v/>
      </c>
      <c r="X230" t="str">
        <f>IFERROR(__xludf.DUMMYFUNCTION("""COMPUTED_VALUE"""),"")</f>
        <v/>
      </c>
      <c r="Y230" t="str">
        <f>IFERROR(__xludf.DUMMYFUNCTION("""COMPUTED_VALUE"""),"")</f>
        <v/>
      </c>
      <c r="Z230" t="str">
        <f>IFERROR(__xludf.DUMMYFUNCTION("""COMPUTED_VALUE"""),"")</f>
        <v/>
      </c>
      <c r="AA230" t="str">
        <f>IFERROR(__xludf.DUMMYFUNCTION("""COMPUTED_VALUE"""),"")</f>
        <v/>
      </c>
      <c r="AB230" t="str">
        <f>IFERROR(__xludf.DUMMYFUNCTION("""COMPUTED_VALUE"""),"")</f>
        <v/>
      </c>
      <c r="AC230" t="str">
        <f>IFERROR(__xludf.DUMMYFUNCTION("""COMPUTED_VALUE"""),"")</f>
        <v/>
      </c>
      <c r="AD230" t="str">
        <f>IFERROR(__xludf.DUMMYFUNCTION("""COMPUTED_VALUE"""),"")</f>
        <v/>
      </c>
      <c r="AE230" s="460" t="str">
        <f>IFERROR(__xludf.DUMMYFUNCTION("""COMPUTED_VALUE"""),"")</f>
        <v/>
      </c>
      <c r="AF230" s="372" t="str">
        <f>IFERROR(__xludf.DUMMYFUNCTION("""COMPUTED_VALUE"""),"")</f>
        <v/>
      </c>
    </row>
    <row r="231" ht="16.5" customHeight="1">
      <c r="A231" s="494" t="str">
        <f>IFERROR(__xludf.DUMMYFUNCTION("""COMPUTED_VALUE"""),"")</f>
        <v/>
      </c>
      <c r="B231" s="494" t="str">
        <f>IFERROR(__xludf.DUMMYFUNCTION("""COMPUTED_VALUE"""),"")</f>
        <v/>
      </c>
      <c r="C231" s="494" t="str">
        <f>IFERROR(__xludf.DUMMYFUNCTION("""COMPUTED_VALUE"""),"")</f>
        <v/>
      </c>
      <c r="D231" s="494" t="str">
        <f>IFERROR(__xludf.DUMMYFUNCTION("""COMPUTED_VALUE"""),"")</f>
        <v/>
      </c>
      <c r="E231" s="494" t="str">
        <f>IFERROR(__xludf.DUMMYFUNCTION("""COMPUTED_VALUE"""),"")</f>
        <v/>
      </c>
      <c r="F231" s="494" t="str">
        <f>IFERROR(__xludf.DUMMYFUNCTION("""COMPUTED_VALUE"""),"")</f>
        <v/>
      </c>
      <c r="G231" s="494" t="str">
        <f>IFERROR(__xludf.DUMMYFUNCTION("""COMPUTED_VALUE"""),"")</f>
        <v/>
      </c>
      <c r="H231" s="494" t="str">
        <f>IFERROR(__xludf.DUMMYFUNCTION("""COMPUTED_VALUE"""),"")</f>
        <v/>
      </c>
      <c r="I231" s="494" t="str">
        <f>IFERROR(__xludf.DUMMYFUNCTION("""COMPUTED_VALUE"""),"")</f>
        <v/>
      </c>
      <c r="J231" t="str">
        <f>IFERROR(__xludf.DUMMYFUNCTION("""COMPUTED_VALUE"""),"")</f>
        <v/>
      </c>
      <c r="K231" t="str">
        <f>IFERROR(__xludf.DUMMYFUNCTION("""COMPUTED_VALUE"""),"")</f>
        <v/>
      </c>
      <c r="L231" t="str">
        <f>IFERROR(__xludf.DUMMYFUNCTION("""COMPUTED_VALUE"""),"")</f>
        <v/>
      </c>
      <c r="M231" t="str">
        <f>IFERROR(__xludf.DUMMYFUNCTION("""COMPUTED_VALUE"""),"")</f>
        <v/>
      </c>
      <c r="N231" t="str">
        <f>IFERROR(__xludf.DUMMYFUNCTION("""COMPUTED_VALUE"""),"")</f>
        <v/>
      </c>
      <c r="O231" t="str">
        <f>IFERROR(__xludf.DUMMYFUNCTION("""COMPUTED_VALUE"""),"")</f>
        <v/>
      </c>
      <c r="P231" s="371" t="str">
        <f>IFERROR(__xludf.DUMMYFUNCTION("""COMPUTED_VALUE"""),"")</f>
        <v/>
      </c>
      <c r="Q231" s="458" t="str">
        <f>IFERROR(__xludf.DUMMYFUNCTION("""COMPUTED_VALUE"""),"")</f>
        <v/>
      </c>
      <c r="R231" s="459" t="str">
        <f>IFERROR(__xludf.DUMMYFUNCTION("""COMPUTED_VALUE"""),"")</f>
        <v/>
      </c>
      <c r="S231" s="459" t="str">
        <f>IFERROR(__xludf.DUMMYFUNCTION("""COMPUTED_VALUE"""),"")</f>
        <v/>
      </c>
      <c r="T231" t="str">
        <f>IFERROR(__xludf.DUMMYFUNCTION("""COMPUTED_VALUE"""),"")</f>
        <v/>
      </c>
      <c r="U231" t="str">
        <f>IFERROR(__xludf.DUMMYFUNCTION("""COMPUTED_VALUE"""),"")</f>
        <v/>
      </c>
      <c r="V231" t="str">
        <f>IFERROR(__xludf.DUMMYFUNCTION("""COMPUTED_VALUE"""),"")</f>
        <v/>
      </c>
      <c r="W231" t="str">
        <f>IFERROR(__xludf.DUMMYFUNCTION("""COMPUTED_VALUE"""),"")</f>
        <v/>
      </c>
      <c r="X231" t="str">
        <f>IFERROR(__xludf.DUMMYFUNCTION("""COMPUTED_VALUE"""),"")</f>
        <v/>
      </c>
      <c r="Y231" t="str">
        <f>IFERROR(__xludf.DUMMYFUNCTION("""COMPUTED_VALUE"""),"")</f>
        <v/>
      </c>
      <c r="Z231" t="str">
        <f>IFERROR(__xludf.DUMMYFUNCTION("""COMPUTED_VALUE"""),"")</f>
        <v/>
      </c>
      <c r="AA231" t="str">
        <f>IFERROR(__xludf.DUMMYFUNCTION("""COMPUTED_VALUE"""),"")</f>
        <v/>
      </c>
      <c r="AB231" t="str">
        <f>IFERROR(__xludf.DUMMYFUNCTION("""COMPUTED_VALUE"""),"")</f>
        <v/>
      </c>
      <c r="AC231" t="str">
        <f>IFERROR(__xludf.DUMMYFUNCTION("""COMPUTED_VALUE"""),"")</f>
        <v/>
      </c>
      <c r="AD231" t="str">
        <f>IFERROR(__xludf.DUMMYFUNCTION("""COMPUTED_VALUE"""),"")</f>
        <v/>
      </c>
      <c r="AE231" s="460" t="str">
        <f>IFERROR(__xludf.DUMMYFUNCTION("""COMPUTED_VALUE"""),"")</f>
        <v/>
      </c>
      <c r="AF231" s="372" t="str">
        <f>IFERROR(__xludf.DUMMYFUNCTION("""COMPUTED_VALUE"""),"")</f>
        <v/>
      </c>
    </row>
    <row r="232" ht="16.5" customHeight="1">
      <c r="A232" s="494" t="str">
        <f>IFERROR(__xludf.DUMMYFUNCTION("""COMPUTED_VALUE"""),"")</f>
        <v/>
      </c>
      <c r="B232" s="494" t="str">
        <f>IFERROR(__xludf.DUMMYFUNCTION("""COMPUTED_VALUE"""),"")</f>
        <v/>
      </c>
      <c r="C232" s="494" t="str">
        <f>IFERROR(__xludf.DUMMYFUNCTION("""COMPUTED_VALUE"""),"")</f>
        <v/>
      </c>
      <c r="D232" s="494" t="str">
        <f>IFERROR(__xludf.DUMMYFUNCTION("""COMPUTED_VALUE"""),"")</f>
        <v/>
      </c>
      <c r="E232" s="494" t="str">
        <f>IFERROR(__xludf.DUMMYFUNCTION("""COMPUTED_VALUE"""),"")</f>
        <v/>
      </c>
      <c r="F232" s="494" t="str">
        <f>IFERROR(__xludf.DUMMYFUNCTION("""COMPUTED_VALUE"""),"")</f>
        <v/>
      </c>
      <c r="G232" s="494" t="str">
        <f>IFERROR(__xludf.DUMMYFUNCTION("""COMPUTED_VALUE"""),"")</f>
        <v/>
      </c>
      <c r="H232" s="494" t="str">
        <f>IFERROR(__xludf.DUMMYFUNCTION("""COMPUTED_VALUE"""),"")</f>
        <v/>
      </c>
      <c r="I232" s="494" t="str">
        <f>IFERROR(__xludf.DUMMYFUNCTION("""COMPUTED_VALUE"""),"")</f>
        <v/>
      </c>
      <c r="J232" t="str">
        <f>IFERROR(__xludf.DUMMYFUNCTION("""COMPUTED_VALUE"""),"")</f>
        <v/>
      </c>
      <c r="K232" t="str">
        <f>IFERROR(__xludf.DUMMYFUNCTION("""COMPUTED_VALUE"""),"")</f>
        <v/>
      </c>
      <c r="L232" t="str">
        <f>IFERROR(__xludf.DUMMYFUNCTION("""COMPUTED_VALUE"""),"")</f>
        <v/>
      </c>
      <c r="M232" t="str">
        <f>IFERROR(__xludf.DUMMYFUNCTION("""COMPUTED_VALUE"""),"")</f>
        <v/>
      </c>
      <c r="N232" t="str">
        <f>IFERROR(__xludf.DUMMYFUNCTION("""COMPUTED_VALUE"""),"")</f>
        <v/>
      </c>
      <c r="O232" t="str">
        <f>IFERROR(__xludf.DUMMYFUNCTION("""COMPUTED_VALUE"""),"")</f>
        <v/>
      </c>
      <c r="P232" s="371" t="str">
        <f>IFERROR(__xludf.DUMMYFUNCTION("""COMPUTED_VALUE"""),"")</f>
        <v/>
      </c>
      <c r="Q232" s="458" t="str">
        <f>IFERROR(__xludf.DUMMYFUNCTION("""COMPUTED_VALUE"""),"")</f>
        <v/>
      </c>
      <c r="R232" s="459" t="str">
        <f>IFERROR(__xludf.DUMMYFUNCTION("""COMPUTED_VALUE"""),"")</f>
        <v/>
      </c>
      <c r="S232" s="459" t="str">
        <f>IFERROR(__xludf.DUMMYFUNCTION("""COMPUTED_VALUE"""),"")</f>
        <v/>
      </c>
      <c r="T232" t="str">
        <f>IFERROR(__xludf.DUMMYFUNCTION("""COMPUTED_VALUE"""),"")</f>
        <v/>
      </c>
      <c r="U232" t="str">
        <f>IFERROR(__xludf.DUMMYFUNCTION("""COMPUTED_VALUE"""),"")</f>
        <v/>
      </c>
      <c r="V232" t="str">
        <f>IFERROR(__xludf.DUMMYFUNCTION("""COMPUTED_VALUE"""),"")</f>
        <v/>
      </c>
      <c r="W232" t="str">
        <f>IFERROR(__xludf.DUMMYFUNCTION("""COMPUTED_VALUE"""),"")</f>
        <v/>
      </c>
      <c r="X232" t="str">
        <f>IFERROR(__xludf.DUMMYFUNCTION("""COMPUTED_VALUE"""),"")</f>
        <v/>
      </c>
      <c r="Y232" t="str">
        <f>IFERROR(__xludf.DUMMYFUNCTION("""COMPUTED_VALUE"""),"")</f>
        <v/>
      </c>
      <c r="Z232" t="str">
        <f>IFERROR(__xludf.DUMMYFUNCTION("""COMPUTED_VALUE"""),"")</f>
        <v/>
      </c>
      <c r="AA232" t="str">
        <f>IFERROR(__xludf.DUMMYFUNCTION("""COMPUTED_VALUE"""),"")</f>
        <v/>
      </c>
      <c r="AB232" t="str">
        <f>IFERROR(__xludf.DUMMYFUNCTION("""COMPUTED_VALUE"""),"")</f>
        <v/>
      </c>
      <c r="AC232" t="str">
        <f>IFERROR(__xludf.DUMMYFUNCTION("""COMPUTED_VALUE"""),"")</f>
        <v/>
      </c>
      <c r="AD232" t="str">
        <f>IFERROR(__xludf.DUMMYFUNCTION("""COMPUTED_VALUE"""),"")</f>
        <v/>
      </c>
      <c r="AE232" s="460" t="str">
        <f>IFERROR(__xludf.DUMMYFUNCTION("""COMPUTED_VALUE"""),"")</f>
        <v/>
      </c>
      <c r="AF232" s="372" t="str">
        <f>IFERROR(__xludf.DUMMYFUNCTION("""COMPUTED_VALUE"""),"")</f>
        <v/>
      </c>
    </row>
    <row r="233" ht="16.5" customHeight="1">
      <c r="A233" s="494" t="str">
        <f>IFERROR(__xludf.DUMMYFUNCTION("""COMPUTED_VALUE"""),"")</f>
        <v/>
      </c>
      <c r="B233" s="494" t="str">
        <f>IFERROR(__xludf.DUMMYFUNCTION("""COMPUTED_VALUE"""),"")</f>
        <v/>
      </c>
      <c r="C233" s="494" t="str">
        <f>IFERROR(__xludf.DUMMYFUNCTION("""COMPUTED_VALUE"""),"")</f>
        <v/>
      </c>
      <c r="D233" s="494" t="str">
        <f>IFERROR(__xludf.DUMMYFUNCTION("""COMPUTED_VALUE"""),"")</f>
        <v/>
      </c>
      <c r="E233" s="494" t="str">
        <f>IFERROR(__xludf.DUMMYFUNCTION("""COMPUTED_VALUE"""),"")</f>
        <v/>
      </c>
      <c r="F233" s="494" t="str">
        <f>IFERROR(__xludf.DUMMYFUNCTION("""COMPUTED_VALUE"""),"")</f>
        <v/>
      </c>
      <c r="G233" s="494" t="str">
        <f>IFERROR(__xludf.DUMMYFUNCTION("""COMPUTED_VALUE"""),"")</f>
        <v/>
      </c>
      <c r="H233" s="494" t="str">
        <f>IFERROR(__xludf.DUMMYFUNCTION("""COMPUTED_VALUE"""),"")</f>
        <v/>
      </c>
      <c r="I233" s="494" t="str">
        <f>IFERROR(__xludf.DUMMYFUNCTION("""COMPUTED_VALUE"""),"")</f>
        <v/>
      </c>
      <c r="J233" t="str">
        <f>IFERROR(__xludf.DUMMYFUNCTION("""COMPUTED_VALUE"""),"")</f>
        <v/>
      </c>
      <c r="K233" t="str">
        <f>IFERROR(__xludf.DUMMYFUNCTION("""COMPUTED_VALUE"""),"")</f>
        <v/>
      </c>
      <c r="L233" t="str">
        <f>IFERROR(__xludf.DUMMYFUNCTION("""COMPUTED_VALUE"""),"")</f>
        <v/>
      </c>
      <c r="M233" t="str">
        <f>IFERROR(__xludf.DUMMYFUNCTION("""COMPUTED_VALUE"""),"")</f>
        <v/>
      </c>
      <c r="N233" t="str">
        <f>IFERROR(__xludf.DUMMYFUNCTION("""COMPUTED_VALUE"""),"")</f>
        <v/>
      </c>
      <c r="O233" t="str">
        <f>IFERROR(__xludf.DUMMYFUNCTION("""COMPUTED_VALUE"""),"")</f>
        <v/>
      </c>
      <c r="P233" s="371" t="str">
        <f>IFERROR(__xludf.DUMMYFUNCTION("""COMPUTED_VALUE"""),"")</f>
        <v/>
      </c>
      <c r="Q233" s="458" t="str">
        <f>IFERROR(__xludf.DUMMYFUNCTION("""COMPUTED_VALUE"""),"")</f>
        <v/>
      </c>
      <c r="R233" s="459" t="str">
        <f>IFERROR(__xludf.DUMMYFUNCTION("""COMPUTED_VALUE"""),"")</f>
        <v/>
      </c>
      <c r="S233" s="459" t="str">
        <f>IFERROR(__xludf.DUMMYFUNCTION("""COMPUTED_VALUE"""),"")</f>
        <v/>
      </c>
      <c r="T233" t="str">
        <f>IFERROR(__xludf.DUMMYFUNCTION("""COMPUTED_VALUE"""),"")</f>
        <v/>
      </c>
      <c r="U233" t="str">
        <f>IFERROR(__xludf.DUMMYFUNCTION("""COMPUTED_VALUE"""),"")</f>
        <v/>
      </c>
      <c r="V233" t="str">
        <f>IFERROR(__xludf.DUMMYFUNCTION("""COMPUTED_VALUE"""),"")</f>
        <v/>
      </c>
      <c r="W233" t="str">
        <f>IFERROR(__xludf.DUMMYFUNCTION("""COMPUTED_VALUE"""),"")</f>
        <v/>
      </c>
      <c r="X233" t="str">
        <f>IFERROR(__xludf.DUMMYFUNCTION("""COMPUTED_VALUE"""),"")</f>
        <v/>
      </c>
      <c r="Y233" t="str">
        <f>IFERROR(__xludf.DUMMYFUNCTION("""COMPUTED_VALUE"""),"")</f>
        <v/>
      </c>
      <c r="Z233" t="str">
        <f>IFERROR(__xludf.DUMMYFUNCTION("""COMPUTED_VALUE"""),"")</f>
        <v/>
      </c>
      <c r="AA233" t="str">
        <f>IFERROR(__xludf.DUMMYFUNCTION("""COMPUTED_VALUE"""),"")</f>
        <v/>
      </c>
      <c r="AB233" t="str">
        <f>IFERROR(__xludf.DUMMYFUNCTION("""COMPUTED_VALUE"""),"")</f>
        <v/>
      </c>
      <c r="AC233" t="str">
        <f>IFERROR(__xludf.DUMMYFUNCTION("""COMPUTED_VALUE"""),"")</f>
        <v/>
      </c>
      <c r="AD233" t="str">
        <f>IFERROR(__xludf.DUMMYFUNCTION("""COMPUTED_VALUE"""),"")</f>
        <v/>
      </c>
      <c r="AE233" s="460" t="str">
        <f>IFERROR(__xludf.DUMMYFUNCTION("""COMPUTED_VALUE"""),"")</f>
        <v/>
      </c>
      <c r="AF233" s="372" t="str">
        <f>IFERROR(__xludf.DUMMYFUNCTION("""COMPUTED_VALUE"""),"")</f>
        <v/>
      </c>
    </row>
    <row r="234" ht="16.5" customHeight="1">
      <c r="A234" s="494" t="str">
        <f>IFERROR(__xludf.DUMMYFUNCTION("""COMPUTED_VALUE"""),"")</f>
        <v/>
      </c>
      <c r="B234" s="494" t="str">
        <f>IFERROR(__xludf.DUMMYFUNCTION("""COMPUTED_VALUE"""),"")</f>
        <v/>
      </c>
      <c r="C234" s="494" t="str">
        <f>IFERROR(__xludf.DUMMYFUNCTION("""COMPUTED_VALUE"""),"")</f>
        <v/>
      </c>
      <c r="D234" s="494" t="str">
        <f>IFERROR(__xludf.DUMMYFUNCTION("""COMPUTED_VALUE"""),"")</f>
        <v/>
      </c>
      <c r="E234" s="494" t="str">
        <f>IFERROR(__xludf.DUMMYFUNCTION("""COMPUTED_VALUE"""),"")</f>
        <v/>
      </c>
      <c r="F234" s="494" t="str">
        <f>IFERROR(__xludf.DUMMYFUNCTION("""COMPUTED_VALUE"""),"")</f>
        <v/>
      </c>
      <c r="G234" s="494" t="str">
        <f>IFERROR(__xludf.DUMMYFUNCTION("""COMPUTED_VALUE"""),"")</f>
        <v/>
      </c>
      <c r="H234" s="494" t="str">
        <f>IFERROR(__xludf.DUMMYFUNCTION("""COMPUTED_VALUE"""),"")</f>
        <v/>
      </c>
      <c r="I234" s="494" t="str">
        <f>IFERROR(__xludf.DUMMYFUNCTION("""COMPUTED_VALUE"""),"")</f>
        <v/>
      </c>
      <c r="J234" t="str">
        <f>IFERROR(__xludf.DUMMYFUNCTION("""COMPUTED_VALUE"""),"")</f>
        <v/>
      </c>
      <c r="K234" t="str">
        <f>IFERROR(__xludf.DUMMYFUNCTION("""COMPUTED_VALUE"""),"")</f>
        <v/>
      </c>
      <c r="L234" t="str">
        <f>IFERROR(__xludf.DUMMYFUNCTION("""COMPUTED_VALUE"""),"")</f>
        <v/>
      </c>
      <c r="M234" t="str">
        <f>IFERROR(__xludf.DUMMYFUNCTION("""COMPUTED_VALUE"""),"")</f>
        <v/>
      </c>
      <c r="N234" t="str">
        <f>IFERROR(__xludf.DUMMYFUNCTION("""COMPUTED_VALUE"""),"")</f>
        <v/>
      </c>
      <c r="O234" t="str">
        <f>IFERROR(__xludf.DUMMYFUNCTION("""COMPUTED_VALUE"""),"")</f>
        <v/>
      </c>
      <c r="P234" s="371" t="str">
        <f>IFERROR(__xludf.DUMMYFUNCTION("""COMPUTED_VALUE"""),"")</f>
        <v/>
      </c>
      <c r="Q234" s="458" t="str">
        <f>IFERROR(__xludf.DUMMYFUNCTION("""COMPUTED_VALUE"""),"")</f>
        <v/>
      </c>
      <c r="R234" s="459" t="str">
        <f>IFERROR(__xludf.DUMMYFUNCTION("""COMPUTED_VALUE"""),"")</f>
        <v/>
      </c>
      <c r="S234" s="459" t="str">
        <f>IFERROR(__xludf.DUMMYFUNCTION("""COMPUTED_VALUE"""),"")</f>
        <v/>
      </c>
      <c r="T234" t="str">
        <f>IFERROR(__xludf.DUMMYFUNCTION("""COMPUTED_VALUE"""),"")</f>
        <v/>
      </c>
      <c r="U234" t="str">
        <f>IFERROR(__xludf.DUMMYFUNCTION("""COMPUTED_VALUE"""),"")</f>
        <v/>
      </c>
      <c r="V234" t="str">
        <f>IFERROR(__xludf.DUMMYFUNCTION("""COMPUTED_VALUE"""),"")</f>
        <v/>
      </c>
      <c r="W234" t="str">
        <f>IFERROR(__xludf.DUMMYFUNCTION("""COMPUTED_VALUE"""),"")</f>
        <v/>
      </c>
      <c r="X234" t="str">
        <f>IFERROR(__xludf.DUMMYFUNCTION("""COMPUTED_VALUE"""),"")</f>
        <v/>
      </c>
      <c r="Y234" t="str">
        <f>IFERROR(__xludf.DUMMYFUNCTION("""COMPUTED_VALUE"""),"")</f>
        <v/>
      </c>
      <c r="Z234" t="str">
        <f>IFERROR(__xludf.DUMMYFUNCTION("""COMPUTED_VALUE"""),"")</f>
        <v/>
      </c>
      <c r="AA234" t="str">
        <f>IFERROR(__xludf.DUMMYFUNCTION("""COMPUTED_VALUE"""),"")</f>
        <v/>
      </c>
      <c r="AB234" t="str">
        <f>IFERROR(__xludf.DUMMYFUNCTION("""COMPUTED_VALUE"""),"")</f>
        <v/>
      </c>
      <c r="AC234" t="str">
        <f>IFERROR(__xludf.DUMMYFUNCTION("""COMPUTED_VALUE"""),"")</f>
        <v/>
      </c>
      <c r="AD234" t="str">
        <f>IFERROR(__xludf.DUMMYFUNCTION("""COMPUTED_VALUE"""),"")</f>
        <v/>
      </c>
      <c r="AE234" s="460" t="str">
        <f>IFERROR(__xludf.DUMMYFUNCTION("""COMPUTED_VALUE"""),"")</f>
        <v/>
      </c>
      <c r="AF234" s="372" t="str">
        <f>IFERROR(__xludf.DUMMYFUNCTION("""COMPUTED_VALUE"""),"")</f>
        <v/>
      </c>
    </row>
  </sheetData>
  <mergeCells count="439">
    <mergeCell ref="Q79:Q83"/>
    <mergeCell ref="Q62:Q66"/>
    <mergeCell ref="Q72:Q76"/>
    <mergeCell ref="Q67:Q71"/>
    <mergeCell ref="H77:H78"/>
    <mergeCell ref="G77:G78"/>
    <mergeCell ref="O72:O76"/>
    <mergeCell ref="O67:O71"/>
    <mergeCell ref="B62:B66"/>
    <mergeCell ref="B79:B83"/>
    <mergeCell ref="S67:S71"/>
    <mergeCell ref="R72:R76"/>
    <mergeCell ref="S62:S66"/>
    <mergeCell ref="S72:S76"/>
    <mergeCell ref="D77:D78"/>
    <mergeCell ref="O62:O66"/>
    <mergeCell ref="N114:N115"/>
    <mergeCell ref="O114:O115"/>
    <mergeCell ref="O109:O113"/>
    <mergeCell ref="L114:M115"/>
    <mergeCell ref="J114:K115"/>
    <mergeCell ref="G114:G115"/>
    <mergeCell ref="F114:F115"/>
    <mergeCell ref="E114:E115"/>
    <mergeCell ref="H114:H115"/>
    <mergeCell ref="R141:R145"/>
    <mergeCell ref="R136:R140"/>
    <mergeCell ref="O141:O145"/>
    <mergeCell ref="O146:O150"/>
    <mergeCell ref="Q141:Q145"/>
    <mergeCell ref="Q146:Q150"/>
    <mergeCell ref="Q126:Q130"/>
    <mergeCell ref="R126:R130"/>
    <mergeCell ref="Q116:Q120"/>
    <mergeCell ref="Q121:Q125"/>
    <mergeCell ref="O94:O98"/>
    <mergeCell ref="Q131:Q135"/>
    <mergeCell ref="R131:R135"/>
    <mergeCell ref="Q136:Q140"/>
    <mergeCell ref="R146:R150"/>
    <mergeCell ref="O126:O130"/>
    <mergeCell ref="B141:B145"/>
    <mergeCell ref="B146:B150"/>
    <mergeCell ref="B84:B88"/>
    <mergeCell ref="B94:B98"/>
    <mergeCell ref="B89:B93"/>
    <mergeCell ref="C109:C113"/>
    <mergeCell ref="D114:D115"/>
    <mergeCell ref="R67:R71"/>
    <mergeCell ref="R62:R66"/>
    <mergeCell ref="AE62:AE66"/>
    <mergeCell ref="AE67:AE71"/>
    <mergeCell ref="W114:W115"/>
    <mergeCell ref="X114:X115"/>
    <mergeCell ref="U114:U115"/>
    <mergeCell ref="V114:V115"/>
    <mergeCell ref="AD114:AD115"/>
    <mergeCell ref="R116:R120"/>
    <mergeCell ref="S116:S120"/>
    <mergeCell ref="R121:R125"/>
    <mergeCell ref="T114:T115"/>
    <mergeCell ref="S121:S125"/>
    <mergeCell ref="O121:O125"/>
    <mergeCell ref="Q114:S115"/>
    <mergeCell ref="O116:O120"/>
    <mergeCell ref="O136:O140"/>
    <mergeCell ref="O131:O135"/>
    <mergeCell ref="S131:S135"/>
    <mergeCell ref="S136:S140"/>
    <mergeCell ref="S141:S145"/>
    <mergeCell ref="S146:S150"/>
    <mergeCell ref="S126:S130"/>
    <mergeCell ref="AE141:AE145"/>
    <mergeCell ref="AE146:AE150"/>
    <mergeCell ref="AE94:AE98"/>
    <mergeCell ref="AE99:AE103"/>
    <mergeCell ref="AE114:AE115"/>
    <mergeCell ref="AE121:AE125"/>
    <mergeCell ref="AE116:AE120"/>
    <mergeCell ref="AE136:AE140"/>
    <mergeCell ref="AE131:AE135"/>
    <mergeCell ref="AE126:AE130"/>
    <mergeCell ref="S35:S39"/>
    <mergeCell ref="S52:S56"/>
    <mergeCell ref="S47:S51"/>
    <mergeCell ref="S42:S46"/>
    <mergeCell ref="R47:R51"/>
    <mergeCell ref="R52:R56"/>
    <mergeCell ref="S89:S93"/>
    <mergeCell ref="R89:R93"/>
    <mergeCell ref="O47:O51"/>
    <mergeCell ref="Q35:Q39"/>
    <mergeCell ref="Q30:Q34"/>
    <mergeCell ref="R30:R34"/>
    <mergeCell ref="S57:S61"/>
    <mergeCell ref="R57:R61"/>
    <mergeCell ref="S25:S29"/>
    <mergeCell ref="S20:S24"/>
    <mergeCell ref="R20:R24"/>
    <mergeCell ref="R25:R29"/>
    <mergeCell ref="R10:R14"/>
    <mergeCell ref="R15:R19"/>
    <mergeCell ref="Q25:Q29"/>
    <mergeCell ref="S10:S14"/>
    <mergeCell ref="Q20:Q24"/>
    <mergeCell ref="S15:S19"/>
    <mergeCell ref="Q94:Q98"/>
    <mergeCell ref="R94:R98"/>
    <mergeCell ref="S99:S103"/>
    <mergeCell ref="S94:S98"/>
    <mergeCell ref="Q99:Q103"/>
    <mergeCell ref="Q104:Q108"/>
    <mergeCell ref="Q109:Q113"/>
    <mergeCell ref="R99:R103"/>
    <mergeCell ref="O42:O46"/>
    <mergeCell ref="O35:O39"/>
    <mergeCell ref="O25:O29"/>
    <mergeCell ref="O15:O19"/>
    <mergeCell ref="O10:O14"/>
    <mergeCell ref="O20:O24"/>
    <mergeCell ref="Q42:Q46"/>
    <mergeCell ref="Q47:Q51"/>
    <mergeCell ref="Q52:Q56"/>
    <mergeCell ref="Q57:Q61"/>
    <mergeCell ref="O57:O61"/>
    <mergeCell ref="O52:O56"/>
    <mergeCell ref="R35:R39"/>
    <mergeCell ref="R42:R46"/>
    <mergeCell ref="Q15:Q19"/>
    <mergeCell ref="Q10:Q14"/>
    <mergeCell ref="Q158:Q162"/>
    <mergeCell ref="S158:S162"/>
    <mergeCell ref="N151:N152"/>
    <mergeCell ref="Q151:S152"/>
    <mergeCell ref="Q163:Q167"/>
    <mergeCell ref="O153:O157"/>
    <mergeCell ref="O151:O152"/>
    <mergeCell ref="O158:O162"/>
    <mergeCell ref="O163:O167"/>
    <mergeCell ref="R153:R157"/>
    <mergeCell ref="R158:R162"/>
    <mergeCell ref="S153:S157"/>
    <mergeCell ref="Q153:Q157"/>
    <mergeCell ref="H151:H152"/>
    <mergeCell ref="J151:K152"/>
    <mergeCell ref="W151:W152"/>
    <mergeCell ref="T151:T152"/>
    <mergeCell ref="V151:V152"/>
    <mergeCell ref="U151:U152"/>
    <mergeCell ref="G151:G152"/>
    <mergeCell ref="F151:F152"/>
    <mergeCell ref="E151:E152"/>
    <mergeCell ref="AE158:AE162"/>
    <mergeCell ref="AE163:AE167"/>
    <mergeCell ref="AE153:AE157"/>
    <mergeCell ref="AE151:AE152"/>
    <mergeCell ref="AD151:AD152"/>
    <mergeCell ref="Q173:Q177"/>
    <mergeCell ref="Q168:Q172"/>
    <mergeCell ref="O168:O172"/>
    <mergeCell ref="O173:O177"/>
    <mergeCell ref="R163:R167"/>
    <mergeCell ref="S163:S167"/>
    <mergeCell ref="S168:S172"/>
    <mergeCell ref="S173:S177"/>
    <mergeCell ref="R173:R177"/>
    <mergeCell ref="AE173:AE177"/>
    <mergeCell ref="AE168:AE172"/>
    <mergeCell ref="R168:R172"/>
    <mergeCell ref="B116:B120"/>
    <mergeCell ref="B121:B125"/>
    <mergeCell ref="B52:B56"/>
    <mergeCell ref="B57:B61"/>
    <mergeCell ref="B104:B108"/>
    <mergeCell ref="B136:B140"/>
    <mergeCell ref="B126:B130"/>
    <mergeCell ref="B131:B135"/>
    <mergeCell ref="B99:B103"/>
    <mergeCell ref="C62:C66"/>
    <mergeCell ref="C52:C56"/>
    <mergeCell ref="C57:C61"/>
    <mergeCell ref="B25:B29"/>
    <mergeCell ref="C35:C39"/>
    <mergeCell ref="C30:C34"/>
    <mergeCell ref="C25:C29"/>
    <mergeCell ref="A40:C41"/>
    <mergeCell ref="B42:B46"/>
    <mergeCell ref="A42:A46"/>
    <mergeCell ref="C42:C46"/>
    <mergeCell ref="B47:B51"/>
    <mergeCell ref="A47:A51"/>
    <mergeCell ref="A52:A56"/>
    <mergeCell ref="C47:C51"/>
    <mergeCell ref="C10:C14"/>
    <mergeCell ref="C15:C19"/>
    <mergeCell ref="C72:C76"/>
    <mergeCell ref="B20:B24"/>
    <mergeCell ref="B15:B19"/>
    <mergeCell ref="B10:B14"/>
    <mergeCell ref="A5:A9"/>
    <mergeCell ref="A10:A14"/>
    <mergeCell ref="A25:A29"/>
    <mergeCell ref="C20:C24"/>
    <mergeCell ref="B5:B9"/>
    <mergeCell ref="C5:C9"/>
    <mergeCell ref="A57:A61"/>
    <mergeCell ref="A62:A66"/>
    <mergeCell ref="B30:B34"/>
    <mergeCell ref="B35:B39"/>
    <mergeCell ref="C116:C120"/>
    <mergeCell ref="C121:C125"/>
    <mergeCell ref="A35:A39"/>
    <mergeCell ref="A30:A34"/>
    <mergeCell ref="A20:A24"/>
    <mergeCell ref="A15:A19"/>
    <mergeCell ref="C173:C177"/>
    <mergeCell ref="B173:B177"/>
    <mergeCell ref="B178:B182"/>
    <mergeCell ref="C178:C182"/>
    <mergeCell ref="C136:C140"/>
    <mergeCell ref="C141:C145"/>
    <mergeCell ref="C126:C130"/>
    <mergeCell ref="C131:C135"/>
    <mergeCell ref="C146:C150"/>
    <mergeCell ref="C168:C172"/>
    <mergeCell ref="C183:C187"/>
    <mergeCell ref="D188:D189"/>
    <mergeCell ref="F188:F189"/>
    <mergeCell ref="E188:E189"/>
    <mergeCell ref="B195:B199"/>
    <mergeCell ref="B190:B194"/>
    <mergeCell ref="J188:K189"/>
    <mergeCell ref="H188:H189"/>
    <mergeCell ref="C210:C214"/>
    <mergeCell ref="B210:B214"/>
    <mergeCell ref="B220:B224"/>
    <mergeCell ref="B215:B219"/>
    <mergeCell ref="B168:B172"/>
    <mergeCell ref="B183:B187"/>
    <mergeCell ref="B163:B167"/>
    <mergeCell ref="C195:C199"/>
    <mergeCell ref="C190:C194"/>
    <mergeCell ref="H225:H226"/>
    <mergeCell ref="J225:K226"/>
    <mergeCell ref="G188:G189"/>
    <mergeCell ref="B205:B209"/>
    <mergeCell ref="C205:C209"/>
    <mergeCell ref="C163:C167"/>
    <mergeCell ref="D151:D152"/>
    <mergeCell ref="C153:C157"/>
    <mergeCell ref="A151:C152"/>
    <mergeCell ref="B153:B157"/>
    <mergeCell ref="C158:C162"/>
    <mergeCell ref="B158:B162"/>
    <mergeCell ref="G225:G226"/>
    <mergeCell ref="F225:F226"/>
    <mergeCell ref="L225:M226"/>
    <mergeCell ref="N225:N226"/>
    <mergeCell ref="E225:E226"/>
    <mergeCell ref="D225:D226"/>
    <mergeCell ref="A225:C226"/>
    <mergeCell ref="O200:O204"/>
    <mergeCell ref="O205:O209"/>
    <mergeCell ref="O210:O214"/>
    <mergeCell ref="O220:O224"/>
    <mergeCell ref="O215:O219"/>
    <mergeCell ref="O225:O226"/>
    <mergeCell ref="Q178:Q182"/>
    <mergeCell ref="S178:S182"/>
    <mergeCell ref="R178:R182"/>
    <mergeCell ref="S183:S187"/>
    <mergeCell ref="R183:R187"/>
    <mergeCell ref="O190:O194"/>
    <mergeCell ref="O195:O199"/>
    <mergeCell ref="B200:B204"/>
    <mergeCell ref="C200:C204"/>
    <mergeCell ref="A188:C189"/>
    <mergeCell ref="C220:C224"/>
    <mergeCell ref="C215:C219"/>
    <mergeCell ref="S84:S88"/>
    <mergeCell ref="S79:S83"/>
    <mergeCell ref="O79:O83"/>
    <mergeCell ref="O84:O88"/>
    <mergeCell ref="Q84:Q88"/>
    <mergeCell ref="R84:R88"/>
    <mergeCell ref="R79:R83"/>
    <mergeCell ref="Q77:S78"/>
    <mergeCell ref="F77:F78"/>
    <mergeCell ref="J77:K78"/>
    <mergeCell ref="N77:N78"/>
    <mergeCell ref="O77:O78"/>
    <mergeCell ref="E77:E78"/>
    <mergeCell ref="L77:M78"/>
    <mergeCell ref="C89:C93"/>
    <mergeCell ref="C94:C98"/>
    <mergeCell ref="C99:C103"/>
    <mergeCell ref="C104:C108"/>
    <mergeCell ref="C79:C83"/>
    <mergeCell ref="C84:C88"/>
    <mergeCell ref="B109:B113"/>
    <mergeCell ref="A114:C115"/>
    <mergeCell ref="A109:A113"/>
    <mergeCell ref="A104:A108"/>
    <mergeCell ref="A89:A93"/>
    <mergeCell ref="A79:A83"/>
    <mergeCell ref="A77:C78"/>
    <mergeCell ref="B67:B71"/>
    <mergeCell ref="B72:B76"/>
    <mergeCell ref="A67:A71"/>
    <mergeCell ref="A72:A76"/>
    <mergeCell ref="A84:A88"/>
    <mergeCell ref="D3:D4"/>
    <mergeCell ref="E3:E4"/>
    <mergeCell ref="A2:F2"/>
    <mergeCell ref="F3:F4"/>
    <mergeCell ref="A3:C4"/>
    <mergeCell ref="G40:G41"/>
    <mergeCell ref="F40:F41"/>
    <mergeCell ref="H3:H4"/>
    <mergeCell ref="L3:M4"/>
    <mergeCell ref="J3:K4"/>
    <mergeCell ref="C67:C71"/>
    <mergeCell ref="H40:H41"/>
    <mergeCell ref="J40:K41"/>
    <mergeCell ref="L40:M41"/>
    <mergeCell ref="G3:G4"/>
    <mergeCell ref="D40:D41"/>
    <mergeCell ref="E40:E41"/>
    <mergeCell ref="AB40:AC41"/>
    <mergeCell ref="Z40:AA41"/>
    <mergeCell ref="AD40:AD41"/>
    <mergeCell ref="U40:U41"/>
    <mergeCell ref="V40:V41"/>
    <mergeCell ref="N40:N41"/>
    <mergeCell ref="W40:W41"/>
    <mergeCell ref="X40:X41"/>
    <mergeCell ref="Q40:S41"/>
    <mergeCell ref="T40:T41"/>
    <mergeCell ref="O104:O108"/>
    <mergeCell ref="AE104:AE108"/>
    <mergeCell ref="R104:R108"/>
    <mergeCell ref="S104:S108"/>
    <mergeCell ref="S109:S113"/>
    <mergeCell ref="R109:R113"/>
    <mergeCell ref="O99:O103"/>
    <mergeCell ref="X151:X152"/>
    <mergeCell ref="X188:X189"/>
    <mergeCell ref="Z188:AA189"/>
    <mergeCell ref="AD188:AD189"/>
    <mergeCell ref="AE188:AE189"/>
    <mergeCell ref="W188:W189"/>
    <mergeCell ref="AE183:AE187"/>
    <mergeCell ref="AB188:AC189"/>
    <mergeCell ref="AE109:AE113"/>
    <mergeCell ref="Z114:AA115"/>
    <mergeCell ref="AB114:AC115"/>
    <mergeCell ref="Z151:AA152"/>
    <mergeCell ref="L151:M152"/>
    <mergeCell ref="AB151:AC152"/>
    <mergeCell ref="AE178:AE182"/>
    <mergeCell ref="O178:O182"/>
    <mergeCell ref="N188:N189"/>
    <mergeCell ref="L188:M189"/>
    <mergeCell ref="Q188:S189"/>
    <mergeCell ref="Q183:Q187"/>
    <mergeCell ref="U188:U189"/>
    <mergeCell ref="V188:V189"/>
    <mergeCell ref="T188:T189"/>
    <mergeCell ref="O188:O189"/>
    <mergeCell ref="O183:O187"/>
    <mergeCell ref="A168:A172"/>
    <mergeCell ref="A173:A177"/>
    <mergeCell ref="A205:A209"/>
    <mergeCell ref="A195:A199"/>
    <mergeCell ref="A200:A204"/>
    <mergeCell ref="A183:A187"/>
    <mergeCell ref="A190:A194"/>
    <mergeCell ref="A146:A150"/>
    <mergeCell ref="A141:A145"/>
    <mergeCell ref="A116:A120"/>
    <mergeCell ref="A126:A130"/>
    <mergeCell ref="A121:A125"/>
    <mergeCell ref="A131:A135"/>
    <mergeCell ref="A136:A140"/>
    <mergeCell ref="A153:A157"/>
    <mergeCell ref="A158:A162"/>
    <mergeCell ref="A99:A103"/>
    <mergeCell ref="A94:A98"/>
    <mergeCell ref="A215:A219"/>
    <mergeCell ref="A220:A224"/>
    <mergeCell ref="A210:A214"/>
    <mergeCell ref="A163:A167"/>
    <mergeCell ref="A178:A182"/>
    <mergeCell ref="Q5:Q9"/>
    <mergeCell ref="R5:R9"/>
    <mergeCell ref="S5:S9"/>
    <mergeCell ref="V3:V4"/>
    <mergeCell ref="U3:U4"/>
    <mergeCell ref="T3:T4"/>
    <mergeCell ref="Q3:S4"/>
    <mergeCell ref="AB3:AC4"/>
    <mergeCell ref="AD3:AD4"/>
    <mergeCell ref="AE3:AE4"/>
    <mergeCell ref="AE5:AE9"/>
    <mergeCell ref="X3:X4"/>
    <mergeCell ref="Z3:AA4"/>
    <mergeCell ref="W3:W4"/>
    <mergeCell ref="U77:U78"/>
    <mergeCell ref="T77:T78"/>
    <mergeCell ref="S30:S34"/>
    <mergeCell ref="W77:W78"/>
    <mergeCell ref="V77:V78"/>
    <mergeCell ref="Q89:Q93"/>
    <mergeCell ref="AE84:AE88"/>
    <mergeCell ref="AE89:AE93"/>
    <mergeCell ref="AE79:AE83"/>
    <mergeCell ref="AE72:AE76"/>
    <mergeCell ref="O89:O93"/>
    <mergeCell ref="X77:X78"/>
    <mergeCell ref="AE25:AE29"/>
    <mergeCell ref="AE47:AE51"/>
    <mergeCell ref="AE42:AE46"/>
    <mergeCell ref="AE30:AE34"/>
    <mergeCell ref="AE35:AE39"/>
    <mergeCell ref="AE40:AE41"/>
    <mergeCell ref="AE52:AE56"/>
    <mergeCell ref="AE57:AE61"/>
    <mergeCell ref="O40:O41"/>
    <mergeCell ref="O30:O34"/>
    <mergeCell ref="O3:O4"/>
    <mergeCell ref="N3:N4"/>
    <mergeCell ref="O5:O9"/>
    <mergeCell ref="AE77:AE78"/>
    <mergeCell ref="Z77:AA78"/>
    <mergeCell ref="AB77:AC78"/>
    <mergeCell ref="AD77:AD78"/>
    <mergeCell ref="AE20:AE24"/>
    <mergeCell ref="AE15:AE19"/>
    <mergeCell ref="AE10:AE14"/>
  </mergeCells>
  <hyperlinks>
    <hyperlink r:id="rId1" ref="G2"/>
    <hyperlink r:id="rId2" ref="Q2"/>
    <hyperlink r:id="rId3" location="Dallas" ref="G5"/>
    <hyperlink r:id="rId4" location="Montgomery" ref="G6"/>
    <hyperlink r:id="rId5" location="Pirate_Ship" ref="G7"/>
    <hyperlink r:id="rId6" location="Tower.27s_Top_Floor" ref="W7"/>
    <hyperlink r:id="rId7" location="Lubbock" ref="G8"/>
    <hyperlink r:id="rId8" location="Riverside_Town" ref="W8"/>
    <hyperlink r:id="rId9" location="Alcatraz" ref="G9"/>
    <hyperlink r:id="rId10" location="Holy_City_Districts" ref="W9"/>
    <hyperlink r:id="rId11" location="Unknown_Coordinates_X-G" ref="G10"/>
    <hyperlink r:id="rId12" location="Desert_Sandstorm" ref="G11"/>
    <hyperlink r:id="rId13" location="Germania" ref="G12"/>
    <hyperlink r:id="rId14" location="Palace_of_the_Dragon_King" ref="W12"/>
    <hyperlink r:id="rId15" location="Battlefield" ref="G13"/>
    <hyperlink r:id="rId16" location="Chicago" ref="W13"/>
    <hyperlink r:id="rId17" location="Hyde_Park" ref="G14"/>
    <hyperlink r:id="rId18" location="Vast_Land_of_Nothingness" ref="W14"/>
    <hyperlink r:id="rId19" location="Eridu" ref="G15"/>
    <hyperlink r:id="rId20" location="Deming" ref="G16"/>
    <hyperlink r:id="rId21" location="Island_of_Wyverns" ref="G17"/>
    <hyperlink r:id="rId22" location="Tokejou" ref="W17"/>
    <hyperlink r:id="rId23" location="Jungle_at_the_Foothills" ref="G18"/>
    <hyperlink r:id="rId24" location="Subterranean_Large_River" ref="W18"/>
    <hyperlink r:id="rId25" location="Charlotte" ref="G20"/>
    <hyperlink r:id="rId26" location="Remnants_of_Western_Village" ref="G21"/>
    <hyperlink r:id="rId27" location="Riverton" ref="G22"/>
    <hyperlink r:id="rId28" location="Vast_Land_of_Nothingness" ref="W22"/>
    <hyperlink r:id="rId29" location="Ys" ref="G23"/>
    <hyperlink r:id="rId30" location="Nippur" ref="W23"/>
    <hyperlink r:id="rId31" location="Japan_National_Route_20" ref="G24"/>
    <hyperlink r:id="rId32" location="Wilderness_of_Death" ref="G25"/>
    <hyperlink r:id="rId33" location="Great_Temple" ref="G26"/>
    <hyperlink r:id="rId34" location="Nightless_City_.2F_The_City_That_Never_Sleeps" ref="G27"/>
    <hyperlink r:id="rId35" location="Great_Temple" ref="W27"/>
    <hyperlink r:id="rId36" location="Northern_Palisade" ref="G28"/>
    <hyperlink r:id="rId37" location="Shinjuku_Imperial_Garden" ref="W28"/>
    <hyperlink r:id="rId38" location="Concealed_Village" ref="G29"/>
    <hyperlink r:id="rId39" location="Chasm_on_The_Ground" ref="W29"/>
    <hyperlink r:id="rId40" location="Phragmites_Prairie_.2F_Field_of_Reeds" ref="G30"/>
    <hyperlink r:id="rId41" location="Plateau" ref="G31"/>
    <hyperlink r:id="rId42" location="Northern_Wall" ref="G32"/>
    <hyperlink r:id="rId43" location="Clerkenwell" ref="W32"/>
    <hyperlink r:id="rId44" location="Marshland.2FBog" ref="G33"/>
    <hyperlink r:id="rId45" location="Nippur" ref="G34"/>
    <hyperlink r:id="rId46" location="Shinjuku_Station" ref="G35"/>
    <hyperlink r:id="rId47" location="Shinjuku_4-chome" ref="G36"/>
    <hyperlink r:id="rId48" location="Yoyogi_2-chome" ref="G37"/>
    <hyperlink r:id="rId49" location="Holy_City_Districts" ref="W37"/>
    <hyperlink r:id="rId50" location="Japan_National_Route_20" ref="G38"/>
    <hyperlink r:id="rId51" location="Subterranean_Moor" ref="W38"/>
    <hyperlink r:id="rId52" location="Shinjuku_Imperial_Garden" ref="G39"/>
    <hyperlink r:id="rId53" location="Shinjuku_4-chome" ref="W39"/>
    <hyperlink r:id="rId54" location="Castle_Town" ref="W45"/>
    <hyperlink r:id="rId55" location="Hill_Behind_The_Hermitage" ref="W46"/>
    <hyperlink r:id="rId56" location="Shinjuku_Station" ref="W50"/>
    <hyperlink r:id="rId57" location="Chicago" ref="W51"/>
    <hyperlink r:id="rId58" location="Abolished_Metropolis_Babylon" ref="G52"/>
    <hyperlink r:id="rId59" location="Riverside_Town" ref="G53"/>
    <hyperlink r:id="rId60" location="Paddy_Fields" ref="G54"/>
    <hyperlink r:id="rId61" location="El_Dorado" ref="G55"/>
    <hyperlink r:id="rId62" location="Campsite" ref="W55"/>
    <hyperlink r:id="rId63" location="Hamlet" ref="G56"/>
    <hyperlink r:id="rId64" location="Subterranean_Large_River" ref="W56"/>
    <hyperlink r:id="rId65" location="Cuthah" ref="G57"/>
    <hyperlink r:id="rId66" location="Evening_Bell_Mausoleum" ref="G58"/>
    <hyperlink r:id="rId67" location="Paddy_Fields" ref="G59"/>
    <hyperlink r:id="rId68" location="Hermitage" ref="G60"/>
    <hyperlink r:id="rId69" location="Eridu" ref="W60"/>
    <hyperlink r:id="rId70" location="Stormy_Seas" ref="G61"/>
    <hyperlink r:id="rId71" location="Blood_Fort_Andromeda" ref="W61"/>
    <hyperlink r:id="rId72" location="Peach_Blossom_Spring" ref="G62"/>
    <hyperlink r:id="rId73" location="Holy_City_Districts" ref="G63"/>
    <hyperlink r:id="rId74" location="Hill_Behind_The_Hermitage" ref="G64"/>
    <hyperlink r:id="rId75" location="Chasm_on_The_Ground" ref="W65"/>
    <hyperlink r:id="rId76" location="Dunes_of_Daybreak" ref="W66"/>
    <hyperlink r:id="rId77" location="Chasm_on_The_Ground" ref="G67"/>
    <hyperlink r:id="rId78" location="Marshland.2FBog" ref="G68"/>
    <hyperlink r:id="rId79" location="Barrel_Tower" ref="W70"/>
    <hyperlink r:id="rId80" location="Sunken_Rock_Seas" ref="G71"/>
    <hyperlink r:id="rId81" location="Kabukich.C5.8D" ref="W71"/>
    <hyperlink r:id="rId82" location="Subterranean_Large_River" ref="G72"/>
    <hyperlink r:id="rId83" location="Riverside_Town" ref="G73"/>
    <hyperlink r:id="rId84" location="Mount_Ahv.C4.81z" ref="W75"/>
    <hyperlink r:id="rId85" location="Jungle_at_the_Foothills" ref="G76"/>
    <hyperlink r:id="rId86" location="Ur" ref="W76"/>
    <hyperlink r:id="rId87" location="Barrel_Tower" ref="G79"/>
    <hyperlink r:id="rId88" location="Chicago" ref="G80"/>
    <hyperlink r:id="rId89" location="Kabukich.C5.8D" ref="G81"/>
    <hyperlink r:id="rId90" location="El_Dorado" ref="W81"/>
    <hyperlink r:id="rId91" location="Clerkenwell" ref="G82"/>
    <hyperlink r:id="rId92" location="Archipelago" ref="W82"/>
    <hyperlink r:id="rId93" location="Tower.27s_Top_Floor" ref="G83"/>
    <hyperlink r:id="rId94" location="Riverside_Town" ref="W83"/>
    <hyperlink r:id="rId95" location="Shinjuku_2-chome" ref="G84"/>
    <hyperlink r:id="rId96" location="Hyde_Park" ref="G85"/>
    <hyperlink r:id="rId97" location="Black_Hills" ref="W86"/>
    <hyperlink r:id="rId98" location="Subterranean_Large_River" ref="W87"/>
    <hyperlink r:id="rId99" location="Montgomery" ref="W88"/>
    <hyperlink r:id="rId100" location="Southwark_.2F_Borough_of_Southwark" ref="G89"/>
    <hyperlink r:id="rId101" location="City_Of_London" ref="W91"/>
    <hyperlink r:id="rId102" location="Westminster_.2F_City_of_Westminster" ref="G92"/>
    <hyperlink r:id="rId103" location="Phragmites_Prairie_.2F_Field_of_Reeds" ref="W92"/>
    <hyperlink r:id="rId104" location="City_Of_London" ref="G93"/>
    <hyperlink r:id="rId105" location="Campsite" ref="W93"/>
    <hyperlink r:id="rId106" location="Vast_Land_of_Nothingness" ref="G94"/>
    <hyperlink r:id="rId107" location="Abolished_Metropolis_Babylon" ref="W96"/>
    <hyperlink r:id="rId108" location="Island_of_Wyverns" ref="W97"/>
    <hyperlink r:id="rId109" location="Ys" ref="W98"/>
    <hyperlink r:id="rId110" location="Sovereign_Castle" ref="G99"/>
    <hyperlink r:id="rId111" location="Holy_City_Main_Entrance" ref="G100"/>
    <hyperlink r:id="rId112" location="Round_Table_Fortress" ref="G101"/>
    <hyperlink r:id="rId113" location="Shinjuku_Imperial_Garden" ref="W101"/>
    <hyperlink r:id="rId114" location="Yoyogi_2-chome" ref="W102"/>
    <hyperlink r:id="rId115" location="Shinjuku_4-chome" ref="W103"/>
    <hyperlink r:id="rId116" location="Observatory" ref="G104"/>
    <hyperlink r:id="rId117" location="Archipelago" ref="G105"/>
    <hyperlink r:id="rId118" location="Old_Street" ref="W106"/>
    <hyperlink r:id="rId119" location="Stormy_Seas" ref="W107"/>
    <hyperlink r:id="rId120" location="Evening_Bell_Mausoleum" ref="W108"/>
    <hyperlink r:id="rId121" location="Castle_Town" ref="G109"/>
    <hyperlink r:id="rId122" location="Tokejou" ref="G110"/>
    <hyperlink r:id="rId123" location="Hamlet" ref="G111"/>
    <hyperlink r:id="rId124" location="Peach_Blossom_Spring" ref="W111"/>
    <hyperlink r:id="rId125" location="Battlefield" ref="G112"/>
    <hyperlink r:id="rId126" location="Two-Current_Sea" ref="W112"/>
    <hyperlink r:id="rId127" location="Hermitage" ref="G113"/>
    <hyperlink r:id="rId128" location="Sovereign_Castle" ref="W119"/>
    <hyperlink r:id="rId129" location="Montgomery" ref="W124"/>
    <hyperlink r:id="rId130" location="Riverton" ref="W129"/>
    <hyperlink r:id="rId131" location="Des_Moines" ref="W130"/>
    <hyperlink r:id="rId132" location="Pirate_Island" ref="W134"/>
    <hyperlink r:id="rId133" location="Westminster_.2F_City_of_Westminster" ref="W139"/>
    <hyperlink r:id="rId134" location="SOHO" ref="W140"/>
    <hyperlink r:id="rId135" location="Subterranean_Moor" ref="G141"/>
    <hyperlink r:id="rId136" location="Des_Moines" ref="G142"/>
    <hyperlink r:id="rId137" location="Shinjuku_4-chome" ref="G143"/>
    <hyperlink r:id="rId138" location="Ur" ref="G144"/>
    <hyperlink r:id="rId139" location="Remnants_of_Western_Village" ref="W144"/>
    <hyperlink r:id="rId140" location="Shinjuku_Imperial_Garden" ref="G146"/>
    <hyperlink r:id="rId141" location="Charlotte" ref="W148"/>
    <hyperlink r:id="rId142" location="Archipelago" ref="W150"/>
    <hyperlink r:id="rId143" location="Nippur" ref="G153"/>
    <hyperlink r:id="rId144" location="Gaul" ref="W157"/>
    <hyperlink r:id="rId145" location="Holy_City_Districts" ref="G158"/>
    <hyperlink r:id="rId146" location="Tower.27s_Top_Floor" ref="G159"/>
    <hyperlink r:id="rId147" location="Washington" ref="G161"/>
    <hyperlink r:id="rId148" location="Montgomery" ref="W162"/>
    <hyperlink r:id="rId149" location="Campsite" ref="G163"/>
    <hyperlink r:id="rId150" location="Eastern_Village" ref="G164"/>
    <hyperlink r:id="rId151" location="Kearney" ref="G166"/>
    <hyperlink r:id="rId152" location="Riverton" ref="W167"/>
    <hyperlink r:id="rId153" location="Shinjuku_2-chome" ref="G168"/>
    <hyperlink r:id="rId154" location="Alexandria" ref="G170"/>
    <hyperlink r:id="rId155" location="Jura" ref="W172"/>
    <hyperlink r:id="rId156" location="Northern_Palisade" ref="G173"/>
    <hyperlink r:id="rId157" location="Northern_Hill" ref="G174"/>
    <hyperlink r:id="rId158" location="Lubbock" ref="G176"/>
    <hyperlink r:id="rId159" location="Westminster_.2F_City_of_Westminster" ref="W177"/>
    <hyperlink r:id="rId160" location="Concealed_Village" ref="G178"/>
    <hyperlink r:id="rId161" location="Dunes_of_Daybreak" ref="G179"/>
    <hyperlink r:id="rId162" location="Lyon" ref="W182"/>
    <hyperlink r:id="rId163" location="Great_Temple" ref="G183"/>
    <hyperlink r:id="rId164" location="Desert_Sandstorm" ref="G184"/>
    <hyperlink r:id="rId165" location="Charlotte" ref="W186"/>
    <hyperlink r:id="rId166" location="Blood_Fort_Andromeda" ref="G190"/>
    <hyperlink r:id="rId167" location="Black_Cedar_Forest" ref="G191"/>
    <hyperlink r:id="rId168" location="Northern_Wall" ref="G192"/>
    <hyperlink r:id="rId169" location="Arakawa_Prairie" ref="G195"/>
    <hyperlink r:id="rId170" location="Mount_Ahv.C4.81z" ref="G196"/>
    <hyperlink r:id="rId171" location="Palace_of_the_Dragon_King" ref="G200"/>
    <hyperlink r:id="rId172" location="Tokejou" ref="G201"/>
  </hyperlinks>
  <drawing r:id="rId17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12.0"/>
    <col customWidth="1" min="3" max="3" width="3.71"/>
    <col customWidth="1" min="4" max="4" width="9.43"/>
    <col customWidth="1" min="5" max="7" width="11.57"/>
    <col customWidth="1" min="8" max="8" width="7.14"/>
    <col customWidth="1" min="9" max="9" width="3.29"/>
    <col customWidth="1" min="10" max="29" width="11.57"/>
  </cols>
  <sheetData>
    <row r="1">
      <c r="A1" s="533" t="str">
        <f>IFERROR(__xludf.DUMMYFUNCTION("IMPORTRANGE(Setup!C5,Setup!C8&amp;""!""&amp;Setup!F8)"),"Item")</f>
        <v>Item</v>
      </c>
      <c r="B1" s="534"/>
      <c r="C1" s="535" t="str">
        <f>IFERROR(__xludf.DUMMYFUNCTION("""COMPUTED_VALUE"""),"No.")</f>
        <v>No.</v>
      </c>
      <c r="D1" s="536" t="str">
        <f>IFERROR(__xludf.DUMMYFUNCTION("""COMPUTED_VALUE"""),"Quest")</f>
        <v>Quest</v>
      </c>
      <c r="E1" s="534"/>
      <c r="F1" s="536" t="str">
        <f>IFERROR(__xludf.DUMMYFUNCTION("""COMPUTED_VALUE"""),"")</f>
        <v/>
      </c>
      <c r="G1" s="536" t="str">
        <f>IFERROR(__xludf.DUMMYFUNCTION("""COMPUTED_VALUE"""),"")</f>
        <v/>
      </c>
      <c r="H1" s="537" t="str">
        <f>IFERROR(__xludf.DUMMYFUNCTION("""COMPUTED_VALUE"""),"Runs")</f>
        <v>Runs</v>
      </c>
      <c r="I1" s="536" t="str">
        <f>IFERROR(__xludf.DUMMYFUNCTION("""COMPUTED_VALUE"""),"AP")</f>
        <v>AP</v>
      </c>
      <c r="J1" s="538" t="str">
        <f>IFERROR(__xludf.DUMMYFUNCTION("""COMPUTED_VALUE"""),"No Mona Lisa")</f>
        <v>No Mona Lisa</v>
      </c>
      <c r="K1" s="19"/>
      <c r="L1" s="539" t="str">
        <f>IFERROR(__xludf.DUMMYFUNCTION("""COMPUTED_VALUE"""),"1 MLB Mona Lisa")</f>
        <v>1 MLB Mona Lisa</v>
      </c>
      <c r="M1" s="540"/>
      <c r="N1" s="539" t="str">
        <f>IFERROR(__xludf.DUMMYFUNCTION("""COMPUTED_VALUE"""),"1 Support Bella Lisa")</f>
        <v>1 Support Bella Lisa</v>
      </c>
      <c r="O1" s="540"/>
      <c r="P1" s="539" t="str">
        <f>IFERROR(__xludf.DUMMYFUNCTION("""COMPUTED_VALUE"""),"2 MLB Mona Lisa")</f>
        <v>2 MLB Mona Lisa</v>
      </c>
      <c r="Q1" s="540"/>
      <c r="R1" s="539" t="str">
        <f>IFERROR(__xludf.DUMMYFUNCTION("""COMPUTED_VALUE"""),"1 Support BL+1 MLB ML")</f>
        <v>1 Support BL+1 MLB ML</v>
      </c>
      <c r="S1" s="540"/>
      <c r="T1" s="24" t="str">
        <f>IFERROR(__xludf.DUMMYFUNCTION("""COMPUTED_VALUE"""),"")</f>
        <v/>
      </c>
      <c r="U1" s="24" t="str">
        <f>IFERROR(__xludf.DUMMYFUNCTION("""COMPUTED_VALUE"""),"")</f>
        <v/>
      </c>
      <c r="V1" s="24" t="str">
        <f>IFERROR(__xludf.DUMMYFUNCTION("""COMPUTED_VALUE"""),"")</f>
        <v/>
      </c>
      <c r="W1" s="24" t="str">
        <f>IFERROR(__xludf.DUMMYFUNCTION("""COMPUTED_VALUE"""),"")</f>
        <v/>
      </c>
      <c r="X1" s="24" t="str">
        <f>IFERROR(__xludf.DUMMYFUNCTION("""COMPUTED_VALUE"""),"")</f>
        <v/>
      </c>
      <c r="Y1" s="24" t="str">
        <f>IFERROR(__xludf.DUMMYFUNCTION("""COMPUTED_VALUE"""),"")</f>
        <v/>
      </c>
      <c r="Z1" s="24" t="str">
        <f>IFERROR(__xludf.DUMMYFUNCTION("""COMPUTED_VALUE"""),"")</f>
        <v/>
      </c>
      <c r="AA1" s="24" t="str">
        <f>IFERROR(__xludf.DUMMYFUNCTION("""COMPUTED_VALUE"""),"")</f>
        <v/>
      </c>
      <c r="AB1" s="24" t="str">
        <f>IFERROR(__xludf.DUMMYFUNCTION("""COMPUTED_VALUE"""),"")</f>
        <v/>
      </c>
      <c r="AC1" s="380" t="str">
        <f>IFERROR(__xludf.DUMMYFUNCTION("""COMPUTED_VALUE"""),"")</f>
        <v/>
      </c>
    </row>
    <row r="2">
      <c r="B2" s="534"/>
      <c r="C2" s="541"/>
      <c r="D2" s="542"/>
      <c r="E2" s="534"/>
      <c r="F2" s="536" t="str">
        <f>IFERROR(__xludf.DUMMYFUNCTION("""COMPUTED_VALUE"""),"")</f>
        <v/>
      </c>
      <c r="G2" s="536" t="str">
        <f>IFERROR(__xludf.DUMMYFUNCTION("""COMPUTED_VALUE"""),"")</f>
        <v/>
      </c>
      <c r="H2" s="542"/>
      <c r="I2" s="542"/>
      <c r="J2" s="543" t="str">
        <f>IFERROR(__xludf.DUMMYFUNCTION("""COMPUTED_VALUE"""),"QP/AP")</f>
        <v>QP/AP</v>
      </c>
      <c r="K2" s="544" t="str">
        <f>IFERROR(__xludf.DUMMYFUNCTION("""COMPUTED_VALUE"""),"Average/Run")</f>
        <v>Average/Run</v>
      </c>
      <c r="L2" s="544" t="str">
        <f>IFERROR(__xludf.DUMMYFUNCTION("""COMPUTED_VALUE"""),"QP/AP")</f>
        <v>QP/AP</v>
      </c>
      <c r="M2" s="545" t="str">
        <f>IFERROR(__xludf.DUMMYFUNCTION("""COMPUTED_VALUE"""),"Average/Run")</f>
        <v>Average/Run</v>
      </c>
      <c r="N2" s="544" t="str">
        <f>IFERROR(__xludf.DUMMYFUNCTION("""COMPUTED_VALUE"""),"QP/AP")</f>
        <v>QP/AP</v>
      </c>
      <c r="O2" s="545" t="str">
        <f>IFERROR(__xludf.DUMMYFUNCTION("""COMPUTED_VALUE"""),"Average/Run")</f>
        <v>Average/Run</v>
      </c>
      <c r="P2" s="544" t="str">
        <f>IFERROR(__xludf.DUMMYFUNCTION("""COMPUTED_VALUE"""),"QP/AP")</f>
        <v>QP/AP</v>
      </c>
      <c r="Q2" s="545" t="str">
        <f>IFERROR(__xludf.DUMMYFUNCTION("""COMPUTED_VALUE"""),"Average/Run")</f>
        <v>Average/Run</v>
      </c>
      <c r="R2" s="544" t="str">
        <f>IFERROR(__xludf.DUMMYFUNCTION("""COMPUTED_VALUE"""),"QP/AP")</f>
        <v>QP/AP</v>
      </c>
      <c r="S2" s="545" t="str">
        <f>IFERROR(__xludf.DUMMYFUNCTION("""COMPUTED_VALUE"""),"Average/Run")</f>
        <v>Average/Run</v>
      </c>
      <c r="T2" s="389" t="str">
        <f>IFERROR(__xludf.DUMMYFUNCTION("""COMPUTED_VALUE"""),"")</f>
        <v/>
      </c>
      <c r="U2" s="389" t="str">
        <f>IFERROR(__xludf.DUMMYFUNCTION("""COMPUTED_VALUE"""),"")</f>
        <v/>
      </c>
      <c r="V2" s="389" t="str">
        <f>IFERROR(__xludf.DUMMYFUNCTION("""COMPUTED_VALUE"""),"")</f>
        <v/>
      </c>
      <c r="W2" s="389" t="str">
        <f>IFERROR(__xludf.DUMMYFUNCTION("""COMPUTED_VALUE"""),"")</f>
        <v/>
      </c>
      <c r="X2" s="389" t="str">
        <f>IFERROR(__xludf.DUMMYFUNCTION("""COMPUTED_VALUE"""),"")</f>
        <v/>
      </c>
      <c r="Y2" s="389" t="str">
        <f>IFERROR(__xludf.DUMMYFUNCTION("""COMPUTED_VALUE"""),"")</f>
        <v/>
      </c>
      <c r="Z2" s="389" t="str">
        <f>IFERROR(__xludf.DUMMYFUNCTION("""COMPUTED_VALUE"""),"")</f>
        <v/>
      </c>
      <c r="AA2" s="389" t="str">
        <f>IFERROR(__xludf.DUMMYFUNCTION("""COMPUTED_VALUE"""),"")</f>
        <v/>
      </c>
      <c r="AB2" s="389" t="str">
        <f>IFERROR(__xludf.DUMMYFUNCTION("""COMPUTED_VALUE"""),"")</f>
        <v/>
      </c>
      <c r="AC2" s="390" t="str">
        <f>IFERROR(__xludf.DUMMYFUNCTION("""COMPUTED_VALUE"""),"")</f>
        <v/>
      </c>
    </row>
    <row r="3">
      <c r="A3" s="546" t="str">
        <f>IFERROR(__xludf.DUMMYFUNCTION("""COMPUTED_VALUE"""),"")</f>
        <v/>
      </c>
      <c r="B3" s="547" t="str">
        <f>IFERROR(__xludf.DUMMYFUNCTION("""COMPUTED_VALUE"""),"QP")</f>
        <v>QP</v>
      </c>
      <c r="C3" s="548">
        <f>IFERROR(__xludf.DUMMYFUNCTION("""COMPUTED_VALUE"""),1.0)</f>
        <v>1</v>
      </c>
      <c r="D3" s="548" t="str">
        <f>IFERROR(__xludf.DUMMYFUNCTION("""COMPUTED_VALUE"""),"40AP Treasure Vault")</f>
        <v>40AP Treasure Vault</v>
      </c>
      <c r="F3" s="548" t="str">
        <f>IFERROR(__xludf.DUMMYFUNCTION("""COMPUTED_VALUE"""),"")</f>
        <v/>
      </c>
      <c r="G3" s="548" t="str">
        <f>IFERROR(__xludf.DUMMYFUNCTION("""COMPUTED_VALUE"""),"")</f>
        <v/>
      </c>
      <c r="H3" s="549">
        <f>IFERROR(__xludf.DUMMYFUNCTION("""COMPUTED_VALUE"""),2900.0)</f>
        <v>2900</v>
      </c>
      <c r="I3" s="550">
        <f>IFERROR(__xludf.DUMMYFUNCTION("""COMPUTED_VALUE"""),40.0)</f>
        <v>40</v>
      </c>
      <c r="J3" s="551">
        <f>IFERROR(__xludf.DUMMYFUNCTION("""COMPUTED_VALUE"""),30235.517241379304)</f>
        <v>30235.51724</v>
      </c>
      <c r="K3" s="552">
        <f>IFERROR(__xludf.DUMMYFUNCTION("""COMPUTED_VALUE"""),1209420.6896551722)</f>
        <v>1209420.69</v>
      </c>
      <c r="L3" s="551">
        <f>IFERROR(__xludf.DUMMYFUNCTION("""COMPUTED_VALUE"""),33243.06896551725)</f>
        <v>33243.06897</v>
      </c>
      <c r="M3" s="552">
        <f>IFERROR(__xludf.DUMMYFUNCTION("""COMPUTED_VALUE"""),1329722.7586206899)</f>
        <v>1329722.759</v>
      </c>
      <c r="N3" s="551">
        <f>IFERROR(__xludf.DUMMYFUNCTION("""COMPUTED_VALUE"""),34770.844827586196)</f>
        <v>34770.84483</v>
      </c>
      <c r="O3" s="552">
        <f>IFERROR(__xludf.DUMMYFUNCTION("""COMPUTED_VALUE"""),1390833.7931034479)</f>
        <v>1390833.793</v>
      </c>
      <c r="P3" s="551">
        <f>IFERROR(__xludf.DUMMYFUNCTION("""COMPUTED_VALUE"""),36250.620689655174)</f>
        <v>36250.62069</v>
      </c>
      <c r="Q3" s="552">
        <f>IFERROR(__xludf.DUMMYFUNCTION("""COMPUTED_VALUE"""),1450024.8275862068)</f>
        <v>1450024.828</v>
      </c>
      <c r="R3" s="551">
        <f>IFERROR(__xludf.DUMMYFUNCTION("""COMPUTED_VALUE"""),37794.39655172413)</f>
        <v>37794.39655</v>
      </c>
      <c r="S3" s="552">
        <f>IFERROR(__xludf.DUMMYFUNCTION("""COMPUTED_VALUE"""),1511775.8620689653)</f>
        <v>1511775.862</v>
      </c>
      <c r="T3" s="389" t="str">
        <f>IFERROR(__xludf.DUMMYFUNCTION("""COMPUTED_VALUE"""),"")</f>
        <v/>
      </c>
      <c r="U3" s="389" t="str">
        <f>IFERROR(__xludf.DUMMYFUNCTION("""COMPUTED_VALUE"""),"")</f>
        <v/>
      </c>
      <c r="V3" s="389" t="str">
        <f>IFERROR(__xludf.DUMMYFUNCTION("""COMPUTED_VALUE"""),"")</f>
        <v/>
      </c>
      <c r="W3" s="389" t="str">
        <f>IFERROR(__xludf.DUMMYFUNCTION("""COMPUTED_VALUE"""),"")</f>
        <v/>
      </c>
      <c r="X3" s="389" t="str">
        <f>IFERROR(__xludf.DUMMYFUNCTION("""COMPUTED_VALUE"""),"")</f>
        <v/>
      </c>
      <c r="Y3" s="389" t="str">
        <f>IFERROR(__xludf.DUMMYFUNCTION("""COMPUTED_VALUE"""),"")</f>
        <v/>
      </c>
      <c r="Z3" s="389" t="str">
        <f>IFERROR(__xludf.DUMMYFUNCTION("""COMPUTED_VALUE"""),"")</f>
        <v/>
      </c>
      <c r="AA3" s="389" t="str">
        <f>IFERROR(__xludf.DUMMYFUNCTION("""COMPUTED_VALUE"""),"")</f>
        <v/>
      </c>
      <c r="AB3" s="389" t="str">
        <f>IFERROR(__xludf.DUMMYFUNCTION("""COMPUTED_VALUE"""),"")</f>
        <v/>
      </c>
      <c r="AC3" s="390" t="str">
        <f>IFERROR(__xludf.DUMMYFUNCTION("""COMPUTED_VALUE"""),"")</f>
        <v/>
      </c>
    </row>
    <row r="4">
      <c r="C4" s="553">
        <f>IFERROR(__xludf.DUMMYFUNCTION("""COMPUTED_VALUE"""),2.0)</f>
        <v>2</v>
      </c>
      <c r="D4" s="553" t="str">
        <f>IFERROR(__xludf.DUMMYFUNCTION("""COMPUTED_VALUE"""),"30AP Treasure Vault")</f>
        <v>30AP Treasure Vault</v>
      </c>
      <c r="F4" s="553" t="str">
        <f>IFERROR(__xludf.DUMMYFUNCTION("""COMPUTED_VALUE"""),"")</f>
        <v/>
      </c>
      <c r="G4" s="553" t="str">
        <f>IFERROR(__xludf.DUMMYFUNCTION("""COMPUTED_VALUE"""),"")</f>
        <v/>
      </c>
      <c r="H4" s="554">
        <f>IFERROR(__xludf.DUMMYFUNCTION("""COMPUTED_VALUE"""),10.0)</f>
        <v>10</v>
      </c>
      <c r="I4" s="555">
        <f>IFERROR(__xludf.DUMMYFUNCTION("""COMPUTED_VALUE"""),30.0)</f>
        <v>30</v>
      </c>
      <c r="J4" s="556">
        <f>IFERROR(__xludf.DUMMYFUNCTION("""COMPUTED_VALUE"""),17946.666666666668)</f>
        <v>17946.66667</v>
      </c>
      <c r="K4" s="557">
        <f>IFERROR(__xludf.DUMMYFUNCTION("""COMPUTED_VALUE"""),538400.0)</f>
        <v>538400</v>
      </c>
      <c r="L4" s="556">
        <f>IFERROR(__xludf.DUMMYFUNCTION("""COMPUTED_VALUE"""),19726.666666666668)</f>
        <v>19726.66667</v>
      </c>
      <c r="M4" s="557">
        <f>IFERROR(__xludf.DUMMYFUNCTION("""COMPUTED_VALUE"""),591800.0)</f>
        <v>591800</v>
      </c>
      <c r="N4" s="556">
        <f>IFERROR(__xludf.DUMMYFUNCTION("""COMPUTED_VALUE"""),20638.666666666668)</f>
        <v>20638.66667</v>
      </c>
      <c r="O4" s="557">
        <f>IFERROR(__xludf.DUMMYFUNCTION("""COMPUTED_VALUE"""),619160.0)</f>
        <v>619160</v>
      </c>
      <c r="P4" s="556">
        <f>IFERROR(__xludf.DUMMYFUNCTION("""COMPUTED_VALUE"""),21506.666666666668)</f>
        <v>21506.66667</v>
      </c>
      <c r="Q4" s="557">
        <f>IFERROR(__xludf.DUMMYFUNCTION("""COMPUTED_VALUE"""),645200.0)</f>
        <v>645200</v>
      </c>
      <c r="R4" s="556">
        <f>IFERROR(__xludf.DUMMYFUNCTION("""COMPUTED_VALUE"""),22433.333333333332)</f>
        <v>22433.33333</v>
      </c>
      <c r="S4" s="557">
        <f>IFERROR(__xludf.DUMMYFUNCTION("""COMPUTED_VALUE"""),673000.0)</f>
        <v>673000</v>
      </c>
      <c r="T4" s="389" t="str">
        <f>IFERROR(__xludf.DUMMYFUNCTION("""COMPUTED_VALUE"""),"")</f>
        <v/>
      </c>
      <c r="U4" s="389" t="str">
        <f>IFERROR(__xludf.DUMMYFUNCTION("""COMPUTED_VALUE"""),"")</f>
        <v/>
      </c>
      <c r="V4" s="389" t="str">
        <f>IFERROR(__xludf.DUMMYFUNCTION("""COMPUTED_VALUE"""),"")</f>
        <v/>
      </c>
      <c r="W4" s="389" t="str">
        <f>IFERROR(__xludf.DUMMYFUNCTION("""COMPUTED_VALUE"""),"")</f>
        <v/>
      </c>
      <c r="X4" s="389" t="str">
        <f>IFERROR(__xludf.DUMMYFUNCTION("""COMPUTED_VALUE"""),"")</f>
        <v/>
      </c>
      <c r="Y4" s="389" t="str">
        <f>IFERROR(__xludf.DUMMYFUNCTION("""COMPUTED_VALUE"""),"")</f>
        <v/>
      </c>
      <c r="Z4" s="389" t="str">
        <f>IFERROR(__xludf.DUMMYFUNCTION("""COMPUTED_VALUE"""),"")</f>
        <v/>
      </c>
      <c r="AA4" s="389" t="str">
        <f>IFERROR(__xludf.DUMMYFUNCTION("""COMPUTED_VALUE"""),"")</f>
        <v/>
      </c>
      <c r="AB4" s="389" t="str">
        <f>IFERROR(__xludf.DUMMYFUNCTION("""COMPUTED_VALUE"""),"")</f>
        <v/>
      </c>
      <c r="AC4" s="390" t="str">
        <f>IFERROR(__xludf.DUMMYFUNCTION("""COMPUTED_VALUE"""),"")</f>
        <v/>
      </c>
    </row>
    <row r="5">
      <c r="C5" s="558">
        <f>IFERROR(__xludf.DUMMYFUNCTION("""COMPUTED_VALUE"""),3.0)</f>
        <v>3</v>
      </c>
      <c r="D5" s="558" t="str">
        <f>IFERROR(__xludf.DUMMYFUNCTION("""COMPUTED_VALUE"""),"20AP Treasure Vault")</f>
        <v>20AP Treasure Vault</v>
      </c>
      <c r="F5" s="558" t="str">
        <f>IFERROR(__xludf.DUMMYFUNCTION("""COMPUTED_VALUE"""),"")</f>
        <v/>
      </c>
      <c r="G5" s="558" t="str">
        <f>IFERROR(__xludf.DUMMYFUNCTION("""COMPUTED_VALUE"""),"")</f>
        <v/>
      </c>
      <c r="H5" s="559">
        <f>IFERROR(__xludf.DUMMYFUNCTION("""COMPUTED_VALUE"""),11.0)</f>
        <v>11</v>
      </c>
      <c r="I5" s="560">
        <f>IFERROR(__xludf.DUMMYFUNCTION("""COMPUTED_VALUE"""),20.0)</f>
        <v>20</v>
      </c>
      <c r="J5" s="561">
        <f>IFERROR(__xludf.DUMMYFUNCTION("""COMPUTED_VALUE"""),10258.636363636364)</f>
        <v>10258.63636</v>
      </c>
      <c r="K5" s="562">
        <f>IFERROR(__xludf.DUMMYFUNCTION("""COMPUTED_VALUE"""),205172.7272727273)</f>
        <v>205172.7273</v>
      </c>
      <c r="L5" s="561">
        <f>IFERROR(__xludf.DUMMYFUNCTION("""COMPUTED_VALUE"""),11270.0)</f>
        <v>11270</v>
      </c>
      <c r="M5" s="562">
        <f>IFERROR(__xludf.DUMMYFUNCTION("""COMPUTED_VALUE"""),225400.0)</f>
        <v>225400</v>
      </c>
      <c r="N5" s="561">
        <f>IFERROR(__xludf.DUMMYFUNCTION("""COMPUTED_VALUE"""),11797.43181818182)</f>
        <v>11797.43182</v>
      </c>
      <c r="O5" s="562">
        <f>IFERROR(__xludf.DUMMYFUNCTION("""COMPUTED_VALUE"""),235948.63636363638)</f>
        <v>235948.6364</v>
      </c>
      <c r="P5" s="561">
        <f>IFERROR(__xludf.DUMMYFUNCTION("""COMPUTED_VALUE"""),12281.363636363636)</f>
        <v>12281.36364</v>
      </c>
      <c r="Q5" s="562">
        <f>IFERROR(__xludf.DUMMYFUNCTION("""COMPUTED_VALUE"""),245627.27272727274)</f>
        <v>245627.2727</v>
      </c>
      <c r="R5" s="561">
        <f>IFERROR(__xludf.DUMMYFUNCTION("""COMPUTED_VALUE"""),12823.295454545456)</f>
        <v>12823.29545</v>
      </c>
      <c r="S5" s="562">
        <f>IFERROR(__xludf.DUMMYFUNCTION("""COMPUTED_VALUE"""),256465.90909090912)</f>
        <v>256465.9091</v>
      </c>
      <c r="T5" s="389" t="str">
        <f>IFERROR(__xludf.DUMMYFUNCTION("""COMPUTED_VALUE"""),"")</f>
        <v/>
      </c>
      <c r="U5" s="389" t="str">
        <f>IFERROR(__xludf.DUMMYFUNCTION("""COMPUTED_VALUE"""),"")</f>
        <v/>
      </c>
      <c r="V5" s="389" t="str">
        <f>IFERROR(__xludf.DUMMYFUNCTION("""COMPUTED_VALUE"""),"")</f>
        <v/>
      </c>
      <c r="W5" s="389" t="str">
        <f>IFERROR(__xludf.DUMMYFUNCTION("""COMPUTED_VALUE"""),"")</f>
        <v/>
      </c>
      <c r="X5" s="389" t="str">
        <f>IFERROR(__xludf.DUMMYFUNCTION("""COMPUTED_VALUE"""),"")</f>
        <v/>
      </c>
      <c r="Y5" s="389" t="str">
        <f>IFERROR(__xludf.DUMMYFUNCTION("""COMPUTED_VALUE"""),"")</f>
        <v/>
      </c>
      <c r="Z5" s="389" t="str">
        <f>IFERROR(__xludf.DUMMYFUNCTION("""COMPUTED_VALUE"""),"")</f>
        <v/>
      </c>
      <c r="AA5" s="389" t="str">
        <f>IFERROR(__xludf.DUMMYFUNCTION("""COMPUTED_VALUE"""),"")</f>
        <v/>
      </c>
      <c r="AB5" s="389" t="str">
        <f>IFERROR(__xludf.DUMMYFUNCTION("""COMPUTED_VALUE"""),"")</f>
        <v/>
      </c>
      <c r="AC5" s="390" t="str">
        <f>IFERROR(__xludf.DUMMYFUNCTION("""COMPUTED_VALUE"""),"")</f>
        <v/>
      </c>
    </row>
    <row r="6">
      <c r="C6" s="563">
        <f>IFERROR(__xludf.DUMMYFUNCTION("""COMPUTED_VALUE"""),4.0)</f>
        <v>4</v>
      </c>
      <c r="D6" s="563" t="str">
        <f>IFERROR(__xludf.DUMMYFUNCTION("""COMPUTED_VALUE"""),"10AP Treasure Vault")</f>
        <v>10AP Treasure Vault</v>
      </c>
      <c r="F6" s="563" t="str">
        <f>IFERROR(__xludf.DUMMYFUNCTION("""COMPUTED_VALUE"""),"")</f>
        <v/>
      </c>
      <c r="G6" s="563" t="str">
        <f>IFERROR(__xludf.DUMMYFUNCTION("""COMPUTED_VALUE"""),"")</f>
        <v/>
      </c>
      <c r="H6" s="564">
        <f>IFERROR(__xludf.DUMMYFUNCTION("""COMPUTED_VALUE"""),39.0)</f>
        <v>39</v>
      </c>
      <c r="I6" s="565">
        <f>IFERROR(__xludf.DUMMYFUNCTION("""COMPUTED_VALUE"""),10.0)</f>
        <v>10</v>
      </c>
      <c r="J6" s="566">
        <f>IFERROR(__xludf.DUMMYFUNCTION("""COMPUTED_VALUE"""),8089.23076923077)</f>
        <v>8089.230769</v>
      </c>
      <c r="K6" s="567">
        <f>IFERROR(__xludf.DUMMYFUNCTION("""COMPUTED_VALUE"""),80892.3076923077)</f>
        <v>80892.30769</v>
      </c>
      <c r="L6" s="566">
        <f>IFERROR(__xludf.DUMMYFUNCTION("""COMPUTED_VALUE"""),8886.666666666668)</f>
        <v>8886.666667</v>
      </c>
      <c r="M6" s="567">
        <f>IFERROR(__xludf.DUMMYFUNCTION("""COMPUTED_VALUE"""),88866.66666666667)</f>
        <v>88866.66667</v>
      </c>
      <c r="N6" s="566">
        <f>IFERROR(__xludf.DUMMYFUNCTION("""COMPUTED_VALUE"""),9302.615384615385)</f>
        <v>9302.615385</v>
      </c>
      <c r="O6" s="567">
        <f>IFERROR(__xludf.DUMMYFUNCTION("""COMPUTED_VALUE"""),93026.15384615384)</f>
        <v>93026.15385</v>
      </c>
      <c r="P6" s="566">
        <f>IFERROR(__xludf.DUMMYFUNCTION("""COMPUTED_VALUE"""),9684.102564102563)</f>
        <v>9684.102564</v>
      </c>
      <c r="Q6" s="567">
        <f>IFERROR(__xludf.DUMMYFUNCTION("""COMPUTED_VALUE"""),96841.02564102563)</f>
        <v>96841.02564</v>
      </c>
      <c r="R6" s="566">
        <f>IFERROR(__xludf.DUMMYFUNCTION("""COMPUTED_VALUE"""),10111.538461538463)</f>
        <v>10111.53846</v>
      </c>
      <c r="S6" s="567">
        <f>IFERROR(__xludf.DUMMYFUNCTION("""COMPUTED_VALUE"""),101115.38461538462)</f>
        <v>101115.3846</v>
      </c>
      <c r="T6" s="389" t="str">
        <f>IFERROR(__xludf.DUMMYFUNCTION("""COMPUTED_VALUE"""),"")</f>
        <v/>
      </c>
      <c r="U6" s="389" t="str">
        <f>IFERROR(__xludf.DUMMYFUNCTION("""COMPUTED_VALUE"""),"")</f>
        <v/>
      </c>
      <c r="V6" s="389" t="str">
        <f>IFERROR(__xludf.DUMMYFUNCTION("""COMPUTED_VALUE"""),"")</f>
        <v/>
      </c>
      <c r="W6" s="389" t="str">
        <f>IFERROR(__xludf.DUMMYFUNCTION("""COMPUTED_VALUE"""),"")</f>
        <v/>
      </c>
      <c r="X6" s="389" t="str">
        <f>IFERROR(__xludf.DUMMYFUNCTION("""COMPUTED_VALUE"""),"")</f>
        <v/>
      </c>
      <c r="Y6" s="389" t="str">
        <f>IFERROR(__xludf.DUMMYFUNCTION("""COMPUTED_VALUE"""),"")</f>
        <v/>
      </c>
      <c r="Z6" s="389" t="str">
        <f>IFERROR(__xludf.DUMMYFUNCTION("""COMPUTED_VALUE"""),"")</f>
        <v/>
      </c>
      <c r="AA6" s="389" t="str">
        <f>IFERROR(__xludf.DUMMYFUNCTION("""COMPUTED_VALUE"""),"")</f>
        <v/>
      </c>
      <c r="AB6" s="389" t="str">
        <f>IFERROR(__xludf.DUMMYFUNCTION("""COMPUTED_VALUE"""),"")</f>
        <v/>
      </c>
      <c r="AC6" s="390" t="str">
        <f>IFERROR(__xludf.DUMMYFUNCTION("""COMPUTED_VALUE"""),"")</f>
        <v/>
      </c>
    </row>
    <row r="7">
      <c r="A7" s="568"/>
      <c r="B7" s="568"/>
      <c r="C7" s="569" t="str">
        <f>IFERROR(__xludf.DUMMYFUNCTION("""COMPUTED_VALUE"""),"")</f>
        <v/>
      </c>
      <c r="D7" s="568"/>
      <c r="E7" s="568"/>
      <c r="F7" s="568"/>
      <c r="G7" s="568"/>
      <c r="H7" s="568"/>
      <c r="I7" s="570" t="str">
        <f>IFERROR(__xludf.DUMMYFUNCTION("""COMPUTED_VALUE"""),"")</f>
        <v/>
      </c>
      <c r="J7" s="568"/>
      <c r="K7" s="571"/>
      <c r="L7" s="572" t="str">
        <f>IFERROR(__xludf.DUMMYFUNCTION("""COMPUTED_VALUE"""),"")</f>
        <v/>
      </c>
      <c r="M7" s="571"/>
      <c r="N7" s="572" t="str">
        <f>IFERROR(__xludf.DUMMYFUNCTION("""COMPUTED_VALUE"""),"")</f>
        <v/>
      </c>
      <c r="O7" s="571"/>
      <c r="P7" s="572" t="str">
        <f>IFERROR(__xludf.DUMMYFUNCTION("""COMPUTED_VALUE"""),"")</f>
        <v/>
      </c>
      <c r="Q7" s="571"/>
      <c r="R7" s="572" t="str">
        <f>IFERROR(__xludf.DUMMYFUNCTION("""COMPUTED_VALUE"""),"")</f>
        <v/>
      </c>
      <c r="S7" s="571"/>
      <c r="T7" s="389" t="str">
        <f>IFERROR(__xludf.DUMMYFUNCTION("""COMPUTED_VALUE"""),"")</f>
        <v/>
      </c>
      <c r="U7" s="389" t="str">
        <f>IFERROR(__xludf.DUMMYFUNCTION("""COMPUTED_VALUE"""),"")</f>
        <v/>
      </c>
      <c r="V7" s="389" t="str">
        <f>IFERROR(__xludf.DUMMYFUNCTION("""COMPUTED_VALUE"""),"")</f>
        <v/>
      </c>
      <c r="W7" s="389" t="str">
        <f>IFERROR(__xludf.DUMMYFUNCTION("""COMPUTED_VALUE"""),"")</f>
        <v/>
      </c>
      <c r="X7" s="389" t="str">
        <f>IFERROR(__xludf.DUMMYFUNCTION("""COMPUTED_VALUE"""),"")</f>
        <v/>
      </c>
      <c r="Y7" s="389" t="str">
        <f>IFERROR(__xludf.DUMMYFUNCTION("""COMPUTED_VALUE"""),"")</f>
        <v/>
      </c>
      <c r="Z7" s="389" t="str">
        <f>IFERROR(__xludf.DUMMYFUNCTION("""COMPUTED_VALUE"""),"")</f>
        <v/>
      </c>
      <c r="AA7" s="389" t="str">
        <f>IFERROR(__xludf.DUMMYFUNCTION("""COMPUTED_VALUE"""),"")</f>
        <v/>
      </c>
      <c r="AB7" s="389" t="str">
        <f>IFERROR(__xludf.DUMMYFUNCTION("""COMPUTED_VALUE"""),"")</f>
        <v/>
      </c>
      <c r="AC7" s="390" t="str">
        <f>IFERROR(__xludf.DUMMYFUNCTION("""COMPUTED_VALUE"""),"")</f>
        <v/>
      </c>
    </row>
    <row r="8">
      <c r="A8" s="19" t="str">
        <f>IFERROR(__xludf.DUMMYFUNCTION("""COMPUTED_VALUE"""),"")</f>
        <v/>
      </c>
      <c r="B8" s="24" t="str">
        <f>IFERROR(__xludf.DUMMYFUNCTION("""COMPUTED_VALUE"""),"")</f>
        <v/>
      </c>
      <c r="C8" s="24" t="str">
        <f>IFERROR(__xludf.DUMMYFUNCTION("""COMPUTED_VALUE"""),"")</f>
        <v/>
      </c>
      <c r="D8" s="24" t="str">
        <f>IFERROR(__xludf.DUMMYFUNCTION("""COMPUTED_VALUE"""),"")</f>
        <v/>
      </c>
      <c r="E8" s="24" t="str">
        <f>IFERROR(__xludf.DUMMYFUNCTION("""COMPUTED_VALUE"""),"")</f>
        <v/>
      </c>
      <c r="F8" s="24" t="str">
        <f>IFERROR(__xludf.DUMMYFUNCTION("""COMPUTED_VALUE"""),"")</f>
        <v/>
      </c>
      <c r="G8" s="24" t="str">
        <f>IFERROR(__xludf.DUMMYFUNCTION("""COMPUTED_VALUE"""),"")</f>
        <v/>
      </c>
      <c r="H8" s="382" t="str">
        <f>IFERROR(__xludf.DUMMYFUNCTION("""COMPUTED_VALUE"""),"")</f>
        <v/>
      </c>
      <c r="I8" s="382" t="str">
        <f>IFERROR(__xludf.DUMMYFUNCTION("""COMPUTED_VALUE"""),"")</f>
        <v/>
      </c>
      <c r="J8" s="382" t="str">
        <f>IFERROR(__xludf.DUMMYFUNCTION("""COMPUTED_VALUE"""),"")</f>
        <v/>
      </c>
      <c r="K8" s="382" t="str">
        <f>IFERROR(__xludf.DUMMYFUNCTION("""COMPUTED_VALUE"""),"")</f>
        <v/>
      </c>
      <c r="L8" s="382" t="str">
        <f>IFERROR(__xludf.DUMMYFUNCTION("""COMPUTED_VALUE"""),"")</f>
        <v/>
      </c>
      <c r="M8" s="24" t="str">
        <f>IFERROR(__xludf.DUMMYFUNCTION("""COMPUTED_VALUE"""),"")</f>
        <v/>
      </c>
      <c r="N8" s="24" t="str">
        <f>IFERROR(__xludf.DUMMYFUNCTION("""COMPUTED_VALUE"""),"")</f>
        <v/>
      </c>
      <c r="O8" s="24" t="str">
        <f>IFERROR(__xludf.DUMMYFUNCTION("""COMPUTED_VALUE"""),"")</f>
        <v/>
      </c>
      <c r="P8" s="24" t="str">
        <f>IFERROR(__xludf.DUMMYFUNCTION("""COMPUTED_VALUE"""),"")</f>
        <v/>
      </c>
      <c r="Q8" s="24" t="str">
        <f>IFERROR(__xludf.DUMMYFUNCTION("""COMPUTED_VALUE"""),"")</f>
        <v/>
      </c>
      <c r="R8" s="389" t="str">
        <f>IFERROR(__xludf.DUMMYFUNCTION("""COMPUTED_VALUE"""),"")</f>
        <v/>
      </c>
      <c r="S8" s="389" t="str">
        <f>IFERROR(__xludf.DUMMYFUNCTION("""COMPUTED_VALUE"""),"")</f>
        <v/>
      </c>
      <c r="T8" s="389" t="str">
        <f>IFERROR(__xludf.DUMMYFUNCTION("""COMPUTED_VALUE"""),"")</f>
        <v/>
      </c>
      <c r="U8" s="389" t="str">
        <f>IFERROR(__xludf.DUMMYFUNCTION("""COMPUTED_VALUE"""),"")</f>
        <v/>
      </c>
      <c r="V8" s="389" t="str">
        <f>IFERROR(__xludf.DUMMYFUNCTION("""COMPUTED_VALUE"""),"")</f>
        <v/>
      </c>
      <c r="W8" s="389" t="str">
        <f>IFERROR(__xludf.DUMMYFUNCTION("""COMPUTED_VALUE"""),"")</f>
        <v/>
      </c>
      <c r="X8" s="389" t="str">
        <f>IFERROR(__xludf.DUMMYFUNCTION("""COMPUTED_VALUE"""),"")</f>
        <v/>
      </c>
      <c r="Y8" s="389" t="str">
        <f>IFERROR(__xludf.DUMMYFUNCTION("""COMPUTED_VALUE"""),"")</f>
        <v/>
      </c>
      <c r="Z8" s="389" t="str">
        <f>IFERROR(__xludf.DUMMYFUNCTION("""COMPUTED_VALUE"""),"")</f>
        <v/>
      </c>
      <c r="AA8" s="389" t="str">
        <f>IFERROR(__xludf.DUMMYFUNCTION("""COMPUTED_VALUE"""),"")</f>
        <v/>
      </c>
      <c r="AB8" s="389" t="str">
        <f>IFERROR(__xludf.DUMMYFUNCTION("""COMPUTED_VALUE"""),"")</f>
        <v/>
      </c>
      <c r="AC8" s="390" t="str">
        <f>IFERROR(__xludf.DUMMYFUNCTION("""COMPUTED_VALUE"""),"")</f>
        <v/>
      </c>
    </row>
    <row r="9">
      <c r="A9" s="19" t="str">
        <f>IFERROR(__xludf.DUMMYFUNCTION("""COMPUTED_VALUE"""),"")</f>
        <v/>
      </c>
      <c r="B9" s="24" t="str">
        <f>IFERROR(__xludf.DUMMYFUNCTION("""COMPUTED_VALUE"""),"")</f>
        <v/>
      </c>
      <c r="C9" s="24" t="str">
        <f>IFERROR(__xludf.DUMMYFUNCTION("""COMPUTED_VALUE"""),"")</f>
        <v/>
      </c>
      <c r="D9" s="24" t="str">
        <f>IFERROR(__xludf.DUMMYFUNCTION("""COMPUTED_VALUE"""),"")</f>
        <v/>
      </c>
      <c r="E9" s="24" t="str">
        <f>IFERROR(__xludf.DUMMYFUNCTION("""COMPUTED_VALUE"""),"")</f>
        <v/>
      </c>
      <c r="F9" s="24" t="str">
        <f>IFERROR(__xludf.DUMMYFUNCTION("""COMPUTED_VALUE"""),"")</f>
        <v/>
      </c>
      <c r="G9" s="380" t="str">
        <f>IFERROR(__xludf.DUMMYFUNCTION("""COMPUTED_VALUE"""),"")</f>
        <v/>
      </c>
      <c r="H9" s="573" t="str">
        <f>IFERROR(__xludf.DUMMYFUNCTION("""COMPUTED_VALUE"""),"Extra QP Values")</f>
        <v>Extra QP Values</v>
      </c>
      <c r="I9" s="305"/>
      <c r="J9" s="309"/>
      <c r="K9" s="574" t="str">
        <f>IFERROR(__xludf.DUMMYFUNCTION("""COMPUTED_VALUE"""),"Base")</f>
        <v>Base</v>
      </c>
      <c r="L9" s="574" t="str">
        <f>IFERROR(__xludf.DUMMYFUNCTION("""COMPUTED_VALUE"""),"MLB")</f>
        <v>MLB</v>
      </c>
      <c r="M9" s="19" t="str">
        <f>IFERROR(__xludf.DUMMYFUNCTION("""COMPUTED_VALUE"""),"")</f>
        <v/>
      </c>
      <c r="N9" s="24" t="str">
        <f>IFERROR(__xludf.DUMMYFUNCTION("""COMPUTED_VALUE"""),"")</f>
        <v/>
      </c>
      <c r="O9" s="24" t="str">
        <f>IFERROR(__xludf.DUMMYFUNCTION("""COMPUTED_VALUE"""),"")</f>
        <v/>
      </c>
      <c r="P9" s="389" t="str">
        <f>IFERROR(__xludf.DUMMYFUNCTION("""COMPUTED_VALUE"""),"")</f>
        <v/>
      </c>
      <c r="Q9" s="389" t="str">
        <f>IFERROR(__xludf.DUMMYFUNCTION("""COMPUTED_VALUE"""),"")</f>
        <v/>
      </c>
      <c r="R9" s="389" t="str">
        <f>IFERROR(__xludf.DUMMYFUNCTION("""COMPUTED_VALUE"""),"")</f>
        <v/>
      </c>
      <c r="S9" s="389" t="str">
        <f>IFERROR(__xludf.DUMMYFUNCTION("""COMPUTED_VALUE"""),"")</f>
        <v/>
      </c>
      <c r="T9" s="389" t="str">
        <f>IFERROR(__xludf.DUMMYFUNCTION("""COMPUTED_VALUE"""),"")</f>
        <v/>
      </c>
      <c r="U9" s="389" t="str">
        <f>IFERROR(__xludf.DUMMYFUNCTION("""COMPUTED_VALUE"""),"")</f>
        <v/>
      </c>
      <c r="V9" s="389" t="str">
        <f>IFERROR(__xludf.DUMMYFUNCTION("""COMPUTED_VALUE"""),"")</f>
        <v/>
      </c>
      <c r="W9" s="389" t="str">
        <f>IFERROR(__xludf.DUMMYFUNCTION("""COMPUTED_VALUE"""),"")</f>
        <v/>
      </c>
      <c r="X9" s="389" t="str">
        <f>IFERROR(__xludf.DUMMYFUNCTION("""COMPUTED_VALUE"""),"")</f>
        <v/>
      </c>
      <c r="Y9" s="389" t="str">
        <f>IFERROR(__xludf.DUMMYFUNCTION("""COMPUTED_VALUE"""),"")</f>
        <v/>
      </c>
      <c r="Z9" s="389" t="str">
        <f>IFERROR(__xludf.DUMMYFUNCTION("""COMPUTED_VALUE"""),"")</f>
        <v/>
      </c>
      <c r="AA9" s="389" t="str">
        <f>IFERROR(__xludf.DUMMYFUNCTION("""COMPUTED_VALUE"""),"")</f>
        <v/>
      </c>
      <c r="AB9" s="389" t="str">
        <f>IFERROR(__xludf.DUMMYFUNCTION("""COMPUTED_VALUE"""),"")</f>
        <v/>
      </c>
      <c r="AC9" s="390" t="str">
        <f>IFERROR(__xludf.DUMMYFUNCTION("""COMPUTED_VALUE"""),"")</f>
        <v/>
      </c>
    </row>
    <row r="10">
      <c r="A10" s="10" t="str">
        <f>IFERROR(__xludf.DUMMYFUNCTION("""COMPUTED_VALUE"""),"")</f>
        <v/>
      </c>
      <c r="B10" s="389" t="str">
        <f>IFERROR(__xludf.DUMMYFUNCTION("""COMPUTED_VALUE"""),"")</f>
        <v/>
      </c>
      <c r="C10" s="389" t="str">
        <f>IFERROR(__xludf.DUMMYFUNCTION("""COMPUTED_VALUE"""),"")</f>
        <v/>
      </c>
      <c r="D10" s="389" t="str">
        <f>IFERROR(__xludf.DUMMYFUNCTION("""COMPUTED_VALUE"""),"")</f>
        <v/>
      </c>
      <c r="E10" s="389" t="str">
        <f>IFERROR(__xludf.DUMMYFUNCTION("""COMPUTED_VALUE"""),"")</f>
        <v/>
      </c>
      <c r="F10" s="389" t="str">
        <f>IFERROR(__xludf.DUMMYFUNCTION("""COMPUTED_VALUE"""),"")</f>
        <v/>
      </c>
      <c r="G10" s="390" t="str">
        <f>IFERROR(__xludf.DUMMYFUNCTION("""COMPUTED_VALUE"""),"")</f>
        <v/>
      </c>
      <c r="H10" s="573" t="str">
        <f>IFERROR(__xludf.DUMMYFUNCTION("""COMPUTED_VALUE"""),"Mona Lisa")</f>
        <v>Mona Lisa</v>
      </c>
      <c r="I10" s="305"/>
      <c r="J10" s="309"/>
      <c r="K10" s="575">
        <f>IFERROR(__xludf.DUMMYFUNCTION("""COMPUTED_VALUE"""),0.02)</f>
        <v>0.02</v>
      </c>
      <c r="L10" s="575">
        <f>IFERROR(__xludf.DUMMYFUNCTION("""COMPUTED_VALUE"""),0.1)</f>
        <v>0.1</v>
      </c>
      <c r="M10" s="10" t="str">
        <f>IFERROR(__xludf.DUMMYFUNCTION("""COMPUTED_VALUE"""),"")</f>
        <v/>
      </c>
      <c r="N10" s="389" t="str">
        <f>IFERROR(__xludf.DUMMYFUNCTION("""COMPUTED_VALUE"""),"")</f>
        <v/>
      </c>
      <c r="O10" s="389" t="str">
        <f>IFERROR(__xludf.DUMMYFUNCTION("""COMPUTED_VALUE"""),"")</f>
        <v/>
      </c>
      <c r="P10" s="389" t="str">
        <f>IFERROR(__xludf.DUMMYFUNCTION("""COMPUTED_VALUE"""),"")</f>
        <v/>
      </c>
      <c r="Q10" s="389" t="str">
        <f>IFERROR(__xludf.DUMMYFUNCTION("""COMPUTED_VALUE"""),"")</f>
        <v/>
      </c>
      <c r="R10" s="389" t="str">
        <f>IFERROR(__xludf.DUMMYFUNCTION("""COMPUTED_VALUE"""),"")</f>
        <v/>
      </c>
      <c r="S10" s="389" t="str">
        <f>IFERROR(__xludf.DUMMYFUNCTION("""COMPUTED_VALUE"""),"")</f>
        <v/>
      </c>
      <c r="T10" s="389" t="str">
        <f>IFERROR(__xludf.DUMMYFUNCTION("""COMPUTED_VALUE"""),"")</f>
        <v/>
      </c>
      <c r="U10" s="389" t="str">
        <f>IFERROR(__xludf.DUMMYFUNCTION("""COMPUTED_VALUE"""),"")</f>
        <v/>
      </c>
      <c r="V10" s="389" t="str">
        <f>IFERROR(__xludf.DUMMYFUNCTION("""COMPUTED_VALUE"""),"")</f>
        <v/>
      </c>
      <c r="W10" s="389" t="str">
        <f>IFERROR(__xludf.DUMMYFUNCTION("""COMPUTED_VALUE"""),"")</f>
        <v/>
      </c>
      <c r="X10" s="389" t="str">
        <f>IFERROR(__xludf.DUMMYFUNCTION("""COMPUTED_VALUE"""),"")</f>
        <v/>
      </c>
      <c r="Y10" s="389" t="str">
        <f>IFERROR(__xludf.DUMMYFUNCTION("""COMPUTED_VALUE"""),"")</f>
        <v/>
      </c>
      <c r="Z10" s="389" t="str">
        <f>IFERROR(__xludf.DUMMYFUNCTION("""COMPUTED_VALUE"""),"")</f>
        <v/>
      </c>
      <c r="AA10" s="389" t="str">
        <f>IFERROR(__xludf.DUMMYFUNCTION("""COMPUTED_VALUE"""),"")</f>
        <v/>
      </c>
      <c r="AB10" s="389" t="str">
        <f>IFERROR(__xludf.DUMMYFUNCTION("""COMPUTED_VALUE"""),"")</f>
        <v/>
      </c>
      <c r="AC10" s="390" t="str">
        <f>IFERROR(__xludf.DUMMYFUNCTION("""COMPUTED_VALUE"""),"")</f>
        <v/>
      </c>
    </row>
    <row r="11">
      <c r="A11" s="10" t="str">
        <f>IFERROR(__xludf.DUMMYFUNCTION("""COMPUTED_VALUE"""),"")</f>
        <v/>
      </c>
      <c r="B11" s="576" t="str">
        <f>IFERROR(__xludf.DUMMYFUNCTION("""COMPUTED_VALUE"""),"Submissions")</f>
        <v>Submissions</v>
      </c>
      <c r="H11" s="573" t="str">
        <f>IFERROR(__xludf.DUMMYFUNCTION("""COMPUTED_VALUE"""),"Bella Lisa")</f>
        <v>Bella Lisa</v>
      </c>
      <c r="I11" s="305"/>
      <c r="J11" s="309"/>
      <c r="K11" s="575">
        <f>IFERROR(__xludf.DUMMYFUNCTION("""COMPUTED_VALUE"""),0.01)</f>
        <v>0.01</v>
      </c>
      <c r="L11" s="575">
        <f>IFERROR(__xludf.DUMMYFUNCTION("""COMPUTED_VALUE"""),0.05)</f>
        <v>0.05</v>
      </c>
      <c r="M11" s="10" t="str">
        <f>IFERROR(__xludf.DUMMYFUNCTION("""COMPUTED_VALUE"""),"")</f>
        <v/>
      </c>
      <c r="N11" s="389" t="str">
        <f>IFERROR(__xludf.DUMMYFUNCTION("""COMPUTED_VALUE"""),"")</f>
        <v/>
      </c>
      <c r="O11" s="389" t="str">
        <f>IFERROR(__xludf.DUMMYFUNCTION("""COMPUTED_VALUE"""),"")</f>
        <v/>
      </c>
      <c r="P11" s="389" t="str">
        <f>IFERROR(__xludf.DUMMYFUNCTION("""COMPUTED_VALUE"""),"")</f>
        <v/>
      </c>
      <c r="Q11" s="389" t="str">
        <f>IFERROR(__xludf.DUMMYFUNCTION("""COMPUTED_VALUE"""),"")</f>
        <v/>
      </c>
      <c r="R11" s="389" t="str">
        <f>IFERROR(__xludf.DUMMYFUNCTION("""COMPUTED_VALUE"""),"")</f>
        <v/>
      </c>
      <c r="S11" s="389" t="str">
        <f>IFERROR(__xludf.DUMMYFUNCTION("""COMPUTED_VALUE"""),"")</f>
        <v/>
      </c>
      <c r="T11" s="389" t="str">
        <f>IFERROR(__xludf.DUMMYFUNCTION("""COMPUTED_VALUE"""),"")</f>
        <v/>
      </c>
      <c r="U11" s="389" t="str">
        <f>IFERROR(__xludf.DUMMYFUNCTION("""COMPUTED_VALUE"""),"")</f>
        <v/>
      </c>
      <c r="V11" s="389" t="str">
        <f>IFERROR(__xludf.DUMMYFUNCTION("""COMPUTED_VALUE"""),"")</f>
        <v/>
      </c>
      <c r="W11" s="389" t="str">
        <f>IFERROR(__xludf.DUMMYFUNCTION("""COMPUTED_VALUE"""),"")</f>
        <v/>
      </c>
      <c r="X11" s="389" t="str">
        <f>IFERROR(__xludf.DUMMYFUNCTION("""COMPUTED_VALUE"""),"")</f>
        <v/>
      </c>
      <c r="Y11" s="389" t="str">
        <f>IFERROR(__xludf.DUMMYFUNCTION("""COMPUTED_VALUE"""),"")</f>
        <v/>
      </c>
      <c r="Z11" s="389" t="str">
        <f>IFERROR(__xludf.DUMMYFUNCTION("""COMPUTED_VALUE"""),"")</f>
        <v/>
      </c>
      <c r="AA11" s="389" t="str">
        <f>IFERROR(__xludf.DUMMYFUNCTION("""COMPUTED_VALUE"""),"")</f>
        <v/>
      </c>
      <c r="AB11" s="389" t="str">
        <f>IFERROR(__xludf.DUMMYFUNCTION("""COMPUTED_VALUE"""),"")</f>
        <v/>
      </c>
      <c r="AC11" s="390" t="str">
        <f>IFERROR(__xludf.DUMMYFUNCTION("""COMPUTED_VALUE"""),"")</f>
        <v/>
      </c>
    </row>
    <row r="12">
      <c r="A12" s="10" t="str">
        <f>IFERROR(__xludf.DUMMYFUNCTION("""COMPUTED_VALUE"""),"")</f>
        <v/>
      </c>
      <c r="B12" s="380"/>
      <c r="C12" s="18"/>
      <c r="D12" s="18"/>
      <c r="E12" s="18"/>
      <c r="F12" s="18"/>
      <c r="G12" s="18"/>
      <c r="H12" s="573" t="str">
        <f>IFERROR(__xludf.DUMMYFUNCTION("""COMPUTED_VALUE"""),"Support Bella Lisa")</f>
        <v>Support Bella Lisa</v>
      </c>
      <c r="I12" s="305"/>
      <c r="J12" s="309"/>
      <c r="K12" s="575">
        <f>IFERROR(__xludf.DUMMYFUNCTION("""COMPUTED_VALUE"""),0.03)</f>
        <v>0.03</v>
      </c>
      <c r="L12" s="575">
        <f>IFERROR(__xludf.DUMMYFUNCTION("""COMPUTED_VALUE"""),0.15)</f>
        <v>0.15</v>
      </c>
      <c r="M12" s="10" t="str">
        <f>IFERROR(__xludf.DUMMYFUNCTION("""COMPUTED_VALUE"""),"")</f>
        <v/>
      </c>
      <c r="N12" s="389" t="str">
        <f>IFERROR(__xludf.DUMMYFUNCTION("""COMPUTED_VALUE"""),"")</f>
        <v/>
      </c>
      <c r="O12" s="389" t="str">
        <f>IFERROR(__xludf.DUMMYFUNCTION("""COMPUTED_VALUE"""),"")</f>
        <v/>
      </c>
      <c r="P12" s="389" t="str">
        <f>IFERROR(__xludf.DUMMYFUNCTION("""COMPUTED_VALUE"""),"")</f>
        <v/>
      </c>
      <c r="Q12" s="389" t="str">
        <f>IFERROR(__xludf.DUMMYFUNCTION("""COMPUTED_VALUE"""),"")</f>
        <v/>
      </c>
      <c r="R12" s="389" t="str">
        <f>IFERROR(__xludf.DUMMYFUNCTION("""COMPUTED_VALUE"""),"")</f>
        <v/>
      </c>
      <c r="S12" s="389" t="str">
        <f>IFERROR(__xludf.DUMMYFUNCTION("""COMPUTED_VALUE"""),"")</f>
        <v/>
      </c>
      <c r="T12" s="389" t="str">
        <f>IFERROR(__xludf.DUMMYFUNCTION("""COMPUTED_VALUE"""),"")</f>
        <v/>
      </c>
      <c r="U12" s="389" t="str">
        <f>IFERROR(__xludf.DUMMYFUNCTION("""COMPUTED_VALUE"""),"")</f>
        <v/>
      </c>
      <c r="V12" s="389" t="str">
        <f>IFERROR(__xludf.DUMMYFUNCTION("""COMPUTED_VALUE"""),"")</f>
        <v/>
      </c>
      <c r="W12" s="389" t="str">
        <f>IFERROR(__xludf.DUMMYFUNCTION("""COMPUTED_VALUE"""),"")</f>
        <v/>
      </c>
      <c r="X12" s="389" t="str">
        <f>IFERROR(__xludf.DUMMYFUNCTION("""COMPUTED_VALUE"""),"")</f>
        <v/>
      </c>
      <c r="Y12" s="389" t="str">
        <f>IFERROR(__xludf.DUMMYFUNCTION("""COMPUTED_VALUE"""),"")</f>
        <v/>
      </c>
      <c r="Z12" s="389" t="str">
        <f>IFERROR(__xludf.DUMMYFUNCTION("""COMPUTED_VALUE"""),"")</f>
        <v/>
      </c>
      <c r="AA12" s="389" t="str">
        <f>IFERROR(__xludf.DUMMYFUNCTION("""COMPUTED_VALUE"""),"")</f>
        <v/>
      </c>
      <c r="AB12" s="389" t="str">
        <f>IFERROR(__xludf.DUMMYFUNCTION("""COMPUTED_VALUE"""),"")</f>
        <v/>
      </c>
      <c r="AC12" s="390" t="str">
        <f>IFERROR(__xludf.DUMMYFUNCTION("""COMPUTED_VALUE"""),"")</f>
        <v/>
      </c>
    </row>
    <row r="13">
      <c r="A13" s="10" t="str">
        <f>IFERROR(__xludf.DUMMYFUNCTION("""COMPUTED_VALUE"""),"")</f>
        <v/>
      </c>
      <c r="B13" s="384" t="str">
        <f>IFERROR(__xludf.DUMMYFUNCTION("""COMPUTED_VALUE"""),"")</f>
        <v/>
      </c>
      <c r="C13" s="384" t="str">
        <f>IFERROR(__xludf.DUMMYFUNCTION("""COMPUTED_VALUE"""),"")</f>
        <v/>
      </c>
      <c r="D13" s="384" t="str">
        <f>IFERROR(__xludf.DUMMYFUNCTION("""COMPUTED_VALUE"""),"")</f>
        <v/>
      </c>
      <c r="E13" s="384" t="str">
        <f>IFERROR(__xludf.DUMMYFUNCTION("""COMPUTED_VALUE"""),"")</f>
        <v/>
      </c>
      <c r="F13" s="384" t="str">
        <f>IFERROR(__xludf.DUMMYFUNCTION("""COMPUTED_VALUE"""),"")</f>
        <v/>
      </c>
      <c r="G13" s="384" t="str">
        <f>IFERROR(__xludf.DUMMYFUNCTION("""COMPUTED_VALUE"""),"")</f>
        <v/>
      </c>
      <c r="H13" s="382" t="str">
        <f>IFERROR(__xludf.DUMMYFUNCTION("""COMPUTED_VALUE"""),"")</f>
        <v/>
      </c>
      <c r="I13" s="382" t="str">
        <f>IFERROR(__xludf.DUMMYFUNCTION("""COMPUTED_VALUE"""),"")</f>
        <v/>
      </c>
      <c r="J13" s="24" t="str">
        <f>IFERROR(__xludf.DUMMYFUNCTION("""COMPUTED_VALUE"""),"")</f>
        <v/>
      </c>
      <c r="K13" s="24" t="str">
        <f>IFERROR(__xludf.DUMMYFUNCTION("""COMPUTED_VALUE"""),"")</f>
        <v/>
      </c>
      <c r="L13" s="382" t="str">
        <f>IFERROR(__xludf.DUMMYFUNCTION("""COMPUTED_VALUE"""),"")</f>
        <v/>
      </c>
      <c r="M13" s="384" t="str">
        <f>IFERROR(__xludf.DUMMYFUNCTION("""COMPUTED_VALUE"""),"")</f>
        <v/>
      </c>
      <c r="N13" s="384" t="str">
        <f>IFERROR(__xludf.DUMMYFUNCTION("""COMPUTED_VALUE"""),"")</f>
        <v/>
      </c>
      <c r="O13" s="384" t="str">
        <f>IFERROR(__xludf.DUMMYFUNCTION("""COMPUTED_VALUE"""),"")</f>
        <v/>
      </c>
      <c r="P13" s="389" t="str">
        <f>IFERROR(__xludf.DUMMYFUNCTION("""COMPUTED_VALUE"""),"")</f>
        <v/>
      </c>
      <c r="Q13" s="389" t="str">
        <f>IFERROR(__xludf.DUMMYFUNCTION("""COMPUTED_VALUE"""),"")</f>
        <v/>
      </c>
      <c r="R13" s="384" t="str">
        <f>IFERROR(__xludf.DUMMYFUNCTION("""COMPUTED_VALUE"""),"")</f>
        <v/>
      </c>
      <c r="S13" s="384" t="str">
        <f>IFERROR(__xludf.DUMMYFUNCTION("""COMPUTED_VALUE"""),"")</f>
        <v/>
      </c>
      <c r="T13" s="384" t="str">
        <f>IFERROR(__xludf.DUMMYFUNCTION("""COMPUTED_VALUE"""),"")</f>
        <v/>
      </c>
      <c r="U13" s="384" t="str">
        <f>IFERROR(__xludf.DUMMYFUNCTION("""COMPUTED_VALUE"""),"")</f>
        <v/>
      </c>
      <c r="V13" s="389" t="str">
        <f>IFERROR(__xludf.DUMMYFUNCTION("""COMPUTED_VALUE"""),"")</f>
        <v/>
      </c>
      <c r="W13" s="389" t="str">
        <f>IFERROR(__xludf.DUMMYFUNCTION("""COMPUTED_VALUE"""),"")</f>
        <v/>
      </c>
      <c r="X13" s="384" t="str">
        <f>IFERROR(__xludf.DUMMYFUNCTION("""COMPUTED_VALUE"""),"")</f>
        <v/>
      </c>
      <c r="Y13" s="384" t="str">
        <f>IFERROR(__xludf.DUMMYFUNCTION("""COMPUTED_VALUE"""),"")</f>
        <v/>
      </c>
      <c r="Z13" s="384" t="str">
        <f>IFERROR(__xludf.DUMMYFUNCTION("""COMPUTED_VALUE"""),"")</f>
        <v/>
      </c>
      <c r="AA13" s="384" t="str">
        <f>IFERROR(__xludf.DUMMYFUNCTION("""COMPUTED_VALUE"""),"")</f>
        <v/>
      </c>
      <c r="AB13" s="389" t="str">
        <f>IFERROR(__xludf.DUMMYFUNCTION("""COMPUTED_VALUE"""),"")</f>
        <v/>
      </c>
      <c r="AC13" s="390" t="str">
        <f>IFERROR(__xludf.DUMMYFUNCTION("""COMPUTED_VALUE"""),"")</f>
        <v/>
      </c>
    </row>
    <row r="14">
      <c r="A14" s="6" t="str">
        <f>IFERROR(__xludf.DUMMYFUNCTION("""COMPUTED_VALUE"""),"")</f>
        <v/>
      </c>
      <c r="B14" s="577" t="str">
        <f>IFERROR(__xludf.DUMMYFUNCTION("""COMPUTED_VALUE"""),"40AP Treasure Vault")</f>
        <v>40AP Treasure Vault</v>
      </c>
      <c r="C14" s="578"/>
      <c r="D14" s="578"/>
      <c r="E14" s="578"/>
      <c r="F14" s="578"/>
      <c r="G14" s="578"/>
      <c r="H14" s="578"/>
      <c r="I14" s="579"/>
      <c r="J14" s="10" t="str">
        <f>IFERROR(__xludf.DUMMYFUNCTION("""COMPUTED_VALUE"""),"")</f>
        <v/>
      </c>
      <c r="K14" s="390" t="str">
        <f>IFERROR(__xludf.DUMMYFUNCTION("""COMPUTED_VALUE"""),"")</f>
        <v/>
      </c>
      <c r="L14" s="577" t="str">
        <f>IFERROR(__xludf.DUMMYFUNCTION("""COMPUTED_VALUE"""),"30AP Treasure Vault")</f>
        <v>30AP Treasure Vault</v>
      </c>
      <c r="M14" s="578"/>
      <c r="N14" s="578"/>
      <c r="O14" s="579"/>
      <c r="P14" s="10" t="str">
        <f>IFERROR(__xludf.DUMMYFUNCTION("""COMPUTED_VALUE"""),"")</f>
        <v/>
      </c>
      <c r="Q14" s="390" t="str">
        <f>IFERROR(__xludf.DUMMYFUNCTION("""COMPUTED_VALUE"""),"")</f>
        <v/>
      </c>
      <c r="R14" s="577" t="str">
        <f>IFERROR(__xludf.DUMMYFUNCTION("""COMPUTED_VALUE"""),"20AP Treasure Vault")</f>
        <v>20AP Treasure Vault</v>
      </c>
      <c r="S14" s="578"/>
      <c r="T14" s="578"/>
      <c r="U14" s="579"/>
      <c r="V14" s="10" t="str">
        <f>IFERROR(__xludf.DUMMYFUNCTION("""COMPUTED_VALUE"""),"")</f>
        <v/>
      </c>
      <c r="W14" s="390" t="str">
        <f>IFERROR(__xludf.DUMMYFUNCTION("""COMPUTED_VALUE"""),"")</f>
        <v/>
      </c>
      <c r="X14" s="577" t="str">
        <f>IFERROR(__xludf.DUMMYFUNCTION("""COMPUTED_VALUE"""),"10AP Treasure Vault")</f>
        <v>10AP Treasure Vault</v>
      </c>
      <c r="Y14" s="578"/>
      <c r="Z14" s="578"/>
      <c r="AA14" s="579"/>
      <c r="AB14" s="10" t="str">
        <f>IFERROR(__xludf.DUMMYFUNCTION("""COMPUTED_VALUE"""),"")</f>
        <v/>
      </c>
      <c r="AC14" s="390" t="str">
        <f>IFERROR(__xludf.DUMMYFUNCTION("""COMPUTED_VALUE"""),"")</f>
        <v/>
      </c>
    </row>
    <row r="15">
      <c r="A15" s="580" t="str">
        <f>IFERROR(__xludf.DUMMYFUNCTION("""COMPUTED_VALUE"""),"")</f>
        <v/>
      </c>
      <c r="B15" s="581"/>
      <c r="C15" s="166"/>
      <c r="D15" s="166"/>
      <c r="E15" s="166"/>
      <c r="F15" s="166"/>
      <c r="G15" s="166"/>
      <c r="H15" s="166"/>
      <c r="I15" s="582"/>
      <c r="J15" s="388" t="str">
        <f>IFERROR(__xludf.DUMMYFUNCTION("""COMPUTED_VALUE"""),"")</f>
        <v/>
      </c>
      <c r="K15" s="390" t="str">
        <f>IFERROR(__xludf.DUMMYFUNCTION("""COMPUTED_VALUE"""),"")</f>
        <v/>
      </c>
      <c r="L15" s="581"/>
      <c r="M15" s="166"/>
      <c r="N15" s="166"/>
      <c r="O15" s="582"/>
      <c r="P15" s="388" t="str">
        <f>IFERROR(__xludf.DUMMYFUNCTION("""COMPUTED_VALUE"""),"")</f>
        <v/>
      </c>
      <c r="Q15" s="390" t="str">
        <f>IFERROR(__xludf.DUMMYFUNCTION("""COMPUTED_VALUE"""),"")</f>
        <v/>
      </c>
      <c r="R15" s="581"/>
      <c r="S15" s="166"/>
      <c r="T15" s="166"/>
      <c r="U15" s="582"/>
      <c r="V15" s="388" t="str">
        <f>IFERROR(__xludf.DUMMYFUNCTION("""COMPUTED_VALUE"""),"")</f>
        <v/>
      </c>
      <c r="W15" s="390" t="str">
        <f>IFERROR(__xludf.DUMMYFUNCTION("""COMPUTED_VALUE"""),"")</f>
        <v/>
      </c>
      <c r="X15" s="581"/>
      <c r="Y15" s="166"/>
      <c r="Z15" s="166"/>
      <c r="AA15" s="582"/>
      <c r="AB15" s="388" t="str">
        <f>IFERROR(__xludf.DUMMYFUNCTION("""COMPUTED_VALUE"""),"")</f>
        <v/>
      </c>
      <c r="AC15" s="390" t="str">
        <f>IFERROR(__xludf.DUMMYFUNCTION("""COMPUTED_VALUE"""),"")</f>
        <v/>
      </c>
    </row>
    <row r="16">
      <c r="A16" s="583" t="str">
        <f>IFERROR(__xludf.DUMMYFUNCTION("""COMPUTED_VALUE"""),"Bonus-&gt;")</f>
        <v>Bonus-&gt;</v>
      </c>
      <c r="B16" s="584">
        <f>IFERROR(__xludf.DUMMYFUNCTION("""COMPUTED_VALUE"""),0.0)</f>
        <v>0</v>
      </c>
      <c r="C16" s="585">
        <f>IFERROR(__xludf.DUMMYFUNCTION("""COMPUTED_VALUE"""),0.1)</f>
        <v>0.1</v>
      </c>
      <c r="D16" s="586"/>
      <c r="E16" s="584">
        <f>IFERROR(__xludf.DUMMYFUNCTION("""COMPUTED_VALUE"""),0.15)</f>
        <v>0.15</v>
      </c>
      <c r="F16" s="584">
        <f>IFERROR(__xludf.DUMMYFUNCTION("""COMPUTED_VALUE"""),0.2)</f>
        <v>0.2</v>
      </c>
      <c r="G16" s="584">
        <f>IFERROR(__xludf.DUMMYFUNCTION("""COMPUTED_VALUE"""),0.25)</f>
        <v>0.25</v>
      </c>
      <c r="H16" s="587" t="str">
        <f>IFERROR(__xludf.DUMMYFUNCTION("""COMPUTED_VALUE"""),"Runs")</f>
        <v>Runs</v>
      </c>
      <c r="I16" s="586"/>
      <c r="J16" s="588" t="str">
        <f>IFERROR(__xludf.DUMMYFUNCTION("""COMPUTED_VALUE"""),"Percentage")</f>
        <v>Percentage</v>
      </c>
      <c r="K16" s="6" t="str">
        <f>IFERROR(__xludf.DUMMYFUNCTION("""COMPUTED_VALUE"""),"")</f>
        <v/>
      </c>
      <c r="L16" s="584">
        <f>IFERROR(__xludf.DUMMYFUNCTION("""COMPUTED_VALUE"""),0.0)</f>
        <v>0</v>
      </c>
      <c r="M16" s="584">
        <f>IFERROR(__xludf.DUMMYFUNCTION("""COMPUTED_VALUE"""),0.1)</f>
        <v>0.1</v>
      </c>
      <c r="N16" s="584">
        <f>IFERROR(__xludf.DUMMYFUNCTION("""COMPUTED_VALUE"""),0.2)</f>
        <v>0.2</v>
      </c>
      <c r="O16" s="588" t="str">
        <f>IFERROR(__xludf.DUMMYFUNCTION("""COMPUTED_VALUE"""),"Runs")</f>
        <v>Runs</v>
      </c>
      <c r="P16" s="588" t="str">
        <f>IFERROR(__xludf.DUMMYFUNCTION("""COMPUTED_VALUE"""),"Percentage")</f>
        <v>Percentage</v>
      </c>
      <c r="Q16" s="6" t="str">
        <f>IFERROR(__xludf.DUMMYFUNCTION("""COMPUTED_VALUE"""),"")</f>
        <v/>
      </c>
      <c r="R16" s="584">
        <f>IFERROR(__xludf.DUMMYFUNCTION("""COMPUTED_VALUE"""),0.0)</f>
        <v>0</v>
      </c>
      <c r="S16" s="584">
        <f>IFERROR(__xludf.DUMMYFUNCTION("""COMPUTED_VALUE"""),0.1)</f>
        <v>0.1</v>
      </c>
      <c r="T16" s="584">
        <f>IFERROR(__xludf.DUMMYFUNCTION("""COMPUTED_VALUE"""),0.2)</f>
        <v>0.2</v>
      </c>
      <c r="U16" s="588" t="str">
        <f>IFERROR(__xludf.DUMMYFUNCTION("""COMPUTED_VALUE"""),"Runs")</f>
        <v>Runs</v>
      </c>
      <c r="V16" s="588" t="str">
        <f>IFERROR(__xludf.DUMMYFUNCTION("""COMPUTED_VALUE"""),"Percentage")</f>
        <v>Percentage</v>
      </c>
      <c r="W16" s="6" t="str">
        <f>IFERROR(__xludf.DUMMYFUNCTION("""COMPUTED_VALUE"""),"")</f>
        <v/>
      </c>
      <c r="X16" s="584">
        <f>IFERROR(__xludf.DUMMYFUNCTION("""COMPUTED_VALUE"""),0.0)</f>
        <v>0</v>
      </c>
      <c r="Y16" s="584">
        <f>IFERROR(__xludf.DUMMYFUNCTION("""COMPUTED_VALUE"""),0.1)</f>
        <v>0.1</v>
      </c>
      <c r="Z16" s="584">
        <f>IFERROR(__xludf.DUMMYFUNCTION("""COMPUTED_VALUE"""),0.2)</f>
        <v>0.2</v>
      </c>
      <c r="AA16" s="588" t="str">
        <f>IFERROR(__xludf.DUMMYFUNCTION("""COMPUTED_VALUE"""),"Runs")</f>
        <v>Runs</v>
      </c>
      <c r="AB16" s="588" t="str">
        <f>IFERROR(__xludf.DUMMYFUNCTION("""COMPUTED_VALUE"""),"Percentage")</f>
        <v>Percentage</v>
      </c>
      <c r="AC16" s="6" t="str">
        <f>IFERROR(__xludf.DUMMYFUNCTION("""COMPUTED_VALUE"""),"")</f>
        <v/>
      </c>
    </row>
    <row r="17">
      <c r="A17" s="18" t="str">
        <f>IFERROR(__xludf.DUMMYFUNCTION("""COMPUTED_VALUE"""),"")</f>
        <v/>
      </c>
      <c r="B17" s="589">
        <f>IFERROR(__xludf.DUMMYFUNCTION("""COMPUTED_VALUE"""),861.4)</f>
        <v>861.4</v>
      </c>
      <c r="C17" s="590">
        <f>IFERROR(__xludf.DUMMYFUNCTION("""COMPUTED_VALUE"""),946.9000000000001)</f>
        <v>946.9</v>
      </c>
      <c r="D17" s="591"/>
      <c r="E17" s="589">
        <f>IFERROR(__xludf.DUMMYFUNCTION("""COMPUTED_VALUE"""),990.6099999999999)</f>
        <v>990.61</v>
      </c>
      <c r="F17" s="589">
        <f>IFERROR(__xludf.DUMMYFUNCTION("""COMPUTED_VALUE"""),1032.4)</f>
        <v>1032.4</v>
      </c>
      <c r="G17" s="589">
        <f>IFERROR(__xludf.DUMMYFUNCTION("""COMPUTED_VALUE"""),1076.75)</f>
        <v>1076.75</v>
      </c>
      <c r="H17" s="592">
        <f>IFERROR(__xludf.DUMMYFUNCTION("""COMPUTED_VALUE"""),413.0)</f>
        <v>413</v>
      </c>
      <c r="I17" s="591"/>
      <c r="J17" s="593">
        <f>IFERROR(__xludf.DUMMYFUNCTION("""COMPUTED_VALUE"""),0.1424137931034483)</f>
        <v>0.1424137931</v>
      </c>
      <c r="K17" s="6" t="str">
        <f>IFERROR(__xludf.DUMMYFUNCTION("""COMPUTED_VALUE"""),"")</f>
        <v/>
      </c>
      <c r="L17" s="589">
        <f>IFERROR(__xludf.DUMMYFUNCTION("""COMPUTED_VALUE"""),319.4)</f>
        <v>319.4</v>
      </c>
      <c r="M17" s="589">
        <f>IFERROR(__xludf.DUMMYFUNCTION("""COMPUTED_VALUE"""),350.9)</f>
        <v>350.9</v>
      </c>
      <c r="N17" s="589">
        <f>IFERROR(__xludf.DUMMYFUNCTION("""COMPUTED_VALUE"""),382.4)</f>
        <v>382.4</v>
      </c>
      <c r="O17" s="594">
        <f>IFERROR(__xludf.DUMMYFUNCTION("""COMPUTED_VALUE"""),1.0)</f>
        <v>1</v>
      </c>
      <c r="P17" s="593">
        <f>IFERROR(__xludf.DUMMYFUNCTION("""COMPUTED_VALUE"""),0.1)</f>
        <v>0.1</v>
      </c>
      <c r="Q17" s="6" t="str">
        <f>IFERROR(__xludf.DUMMYFUNCTION("""COMPUTED_VALUE"""),"")</f>
        <v/>
      </c>
      <c r="R17" s="589">
        <f>IFERROR(__xludf.DUMMYFUNCTION("""COMPUTED_VALUE"""),147.9)</f>
        <v>147.9</v>
      </c>
      <c r="S17" s="589">
        <f>IFERROR(__xludf.DUMMYFUNCTION("""COMPUTED_VALUE"""),162.4)</f>
        <v>162.4</v>
      </c>
      <c r="T17" s="589">
        <f>IFERROR(__xludf.DUMMYFUNCTION("""COMPUTED_VALUE"""),176.9)</f>
        <v>176.9</v>
      </c>
      <c r="U17" s="594">
        <f>IFERROR(__xludf.DUMMYFUNCTION("""COMPUTED_VALUE"""),0.0)</f>
        <v>0</v>
      </c>
      <c r="V17" s="593">
        <f>IFERROR(__xludf.DUMMYFUNCTION("""COMPUTED_VALUE"""),0.0)</f>
        <v>0</v>
      </c>
      <c r="W17" s="6" t="str">
        <f>IFERROR(__xludf.DUMMYFUNCTION("""COMPUTED_VALUE"""),"")</f>
        <v/>
      </c>
      <c r="X17" s="589">
        <f>IFERROR(__xludf.DUMMYFUNCTION("""COMPUTED_VALUE"""),66.4)</f>
        <v>66.4</v>
      </c>
      <c r="Y17" s="589">
        <f>IFERROR(__xludf.DUMMYFUNCTION("""COMPUTED_VALUE"""),72.9)</f>
        <v>72.9</v>
      </c>
      <c r="Z17" s="589">
        <f>IFERROR(__xludf.DUMMYFUNCTION("""COMPUTED_VALUE"""),79.4)</f>
        <v>79.4</v>
      </c>
      <c r="AA17" s="594">
        <f>IFERROR(__xludf.DUMMYFUNCTION("""COMPUTED_VALUE"""),7.0)</f>
        <v>7</v>
      </c>
      <c r="AB17" s="593">
        <f>IFERROR(__xludf.DUMMYFUNCTION("""COMPUTED_VALUE"""),0.1794871794871795)</f>
        <v>0.1794871795</v>
      </c>
      <c r="AC17" s="6" t="str">
        <f>IFERROR(__xludf.DUMMYFUNCTION("""COMPUTED_VALUE"""),"")</f>
        <v/>
      </c>
    </row>
    <row r="18">
      <c r="A18" s="6" t="str">
        <f>IFERROR(__xludf.DUMMYFUNCTION("""COMPUTED_VALUE"""),"")</f>
        <v/>
      </c>
      <c r="B18" s="595">
        <f>IFERROR(__xludf.DUMMYFUNCTION("""COMPUTED_VALUE"""),951.4)</f>
        <v>951.4</v>
      </c>
      <c r="C18" s="596">
        <f>IFERROR(__xludf.DUMMYFUNCTION("""COMPUTED_VALUE"""),1045.9)</f>
        <v>1045.9</v>
      </c>
      <c r="D18" s="597"/>
      <c r="E18" s="595">
        <f>IFERROR(__xludf.DUMMYFUNCTION("""COMPUTED_VALUE"""),1094.11)</f>
        <v>1094.11</v>
      </c>
      <c r="F18" s="595">
        <f>IFERROR(__xludf.DUMMYFUNCTION("""COMPUTED_VALUE"""),1140.4)</f>
        <v>1140.4</v>
      </c>
      <c r="G18" s="595">
        <f>IFERROR(__xludf.DUMMYFUNCTION("""COMPUTED_VALUE"""),1189.25)</f>
        <v>1189.25</v>
      </c>
      <c r="H18" s="598">
        <f>IFERROR(__xludf.DUMMYFUNCTION("""COMPUTED_VALUE"""),337.0)</f>
        <v>337</v>
      </c>
      <c r="I18" s="597"/>
      <c r="J18" s="599">
        <f>IFERROR(__xludf.DUMMYFUNCTION("""COMPUTED_VALUE"""),0.11620689655172414)</f>
        <v>0.1162068966</v>
      </c>
      <c r="K18" s="6" t="str">
        <f>IFERROR(__xludf.DUMMYFUNCTION("""COMPUTED_VALUE"""),"")</f>
        <v/>
      </c>
      <c r="L18" s="595">
        <f>IFERROR(__xludf.DUMMYFUNCTION("""COMPUTED_VALUE"""),349.4)</f>
        <v>349.4</v>
      </c>
      <c r="M18" s="595">
        <f>IFERROR(__xludf.DUMMYFUNCTION("""COMPUTED_VALUE"""),383.90000000000003)</f>
        <v>383.9</v>
      </c>
      <c r="N18" s="595">
        <f>IFERROR(__xludf.DUMMYFUNCTION("""COMPUTED_VALUE"""),418.4)</f>
        <v>418.4</v>
      </c>
      <c r="O18" s="600">
        <f>IFERROR(__xludf.DUMMYFUNCTION("""COMPUTED_VALUE"""),0.0)</f>
        <v>0</v>
      </c>
      <c r="P18" s="599">
        <f>IFERROR(__xludf.DUMMYFUNCTION("""COMPUTED_VALUE"""),0.0)</f>
        <v>0</v>
      </c>
      <c r="Q18" s="6" t="str">
        <f>IFERROR(__xludf.DUMMYFUNCTION("""COMPUTED_VALUE"""),"")</f>
        <v/>
      </c>
      <c r="R18" s="595">
        <f>IFERROR(__xludf.DUMMYFUNCTION("""COMPUTED_VALUE"""),157.9)</f>
        <v>157.9</v>
      </c>
      <c r="S18" s="595">
        <f>IFERROR(__xludf.DUMMYFUNCTION("""COMPUTED_VALUE"""),173.4)</f>
        <v>173.4</v>
      </c>
      <c r="T18" s="595">
        <f>IFERROR(__xludf.DUMMYFUNCTION("""COMPUTED_VALUE"""),188.9)</f>
        <v>188.9</v>
      </c>
      <c r="U18" s="600">
        <f>IFERROR(__xludf.DUMMYFUNCTION("""COMPUTED_VALUE"""),1.0)</f>
        <v>1</v>
      </c>
      <c r="V18" s="599">
        <f>IFERROR(__xludf.DUMMYFUNCTION("""COMPUTED_VALUE"""),0.09090909090909091)</f>
        <v>0.09090909091</v>
      </c>
      <c r="W18" s="6" t="str">
        <f>IFERROR(__xludf.DUMMYFUNCTION("""COMPUTED_VALUE"""),"")</f>
        <v/>
      </c>
      <c r="X18" s="595">
        <f>IFERROR(__xludf.DUMMYFUNCTION("""COMPUTED_VALUE"""),76.4)</f>
        <v>76.4</v>
      </c>
      <c r="Y18" s="595">
        <f>IFERROR(__xludf.DUMMYFUNCTION("""COMPUTED_VALUE"""),83.9)</f>
        <v>83.9</v>
      </c>
      <c r="Z18" s="595">
        <f>IFERROR(__xludf.DUMMYFUNCTION("""COMPUTED_VALUE"""),91.4)</f>
        <v>91.4</v>
      </c>
      <c r="AA18" s="600">
        <f>IFERROR(__xludf.DUMMYFUNCTION("""COMPUTED_VALUE"""),8.0)</f>
        <v>8</v>
      </c>
      <c r="AB18" s="599">
        <f>IFERROR(__xludf.DUMMYFUNCTION("""COMPUTED_VALUE"""),0.20512820512820512)</f>
        <v>0.2051282051</v>
      </c>
      <c r="AC18" s="6" t="str">
        <f>IFERROR(__xludf.DUMMYFUNCTION("""COMPUTED_VALUE"""),"")</f>
        <v/>
      </c>
    </row>
    <row r="19">
      <c r="A19" s="6" t="str">
        <f>IFERROR(__xludf.DUMMYFUNCTION("""COMPUTED_VALUE"""),"")</f>
        <v/>
      </c>
      <c r="B19" s="589">
        <f>IFERROR(__xludf.DUMMYFUNCTION("""COMPUTED_VALUE"""),1041.4)</f>
        <v>1041.4</v>
      </c>
      <c r="C19" s="590">
        <f>IFERROR(__xludf.DUMMYFUNCTION("""COMPUTED_VALUE"""),1144.9)</f>
        <v>1144.9</v>
      </c>
      <c r="D19" s="591"/>
      <c r="E19" s="589">
        <f>IFERROR(__xludf.DUMMYFUNCTION("""COMPUTED_VALUE"""),1197.61)</f>
        <v>1197.61</v>
      </c>
      <c r="F19" s="589">
        <f>IFERROR(__xludf.DUMMYFUNCTION("""COMPUTED_VALUE"""),1248.4)</f>
        <v>1248.4</v>
      </c>
      <c r="G19" s="589">
        <f>IFERROR(__xludf.DUMMYFUNCTION("""COMPUTED_VALUE"""),1301.75)</f>
        <v>1301.75</v>
      </c>
      <c r="H19" s="592">
        <f>IFERROR(__xludf.DUMMYFUNCTION("""COMPUTED_VALUE"""),161.0)</f>
        <v>161</v>
      </c>
      <c r="I19" s="591"/>
      <c r="J19" s="593">
        <f>IFERROR(__xludf.DUMMYFUNCTION("""COMPUTED_VALUE"""),0.05551724137931034)</f>
        <v>0.05551724138</v>
      </c>
      <c r="K19" s="6" t="str">
        <f>IFERROR(__xludf.DUMMYFUNCTION("""COMPUTED_VALUE"""),"")</f>
        <v/>
      </c>
      <c r="L19" s="589">
        <f>IFERROR(__xludf.DUMMYFUNCTION("""COMPUTED_VALUE"""),379.4)</f>
        <v>379.4</v>
      </c>
      <c r="M19" s="589">
        <f>IFERROR(__xludf.DUMMYFUNCTION("""COMPUTED_VALUE"""),416.90000000000003)</f>
        <v>416.9</v>
      </c>
      <c r="N19" s="589">
        <f>IFERROR(__xludf.DUMMYFUNCTION("""COMPUTED_VALUE"""),454.4)</f>
        <v>454.4</v>
      </c>
      <c r="O19" s="594">
        <f>IFERROR(__xludf.DUMMYFUNCTION("""COMPUTED_VALUE"""),1.0)</f>
        <v>1</v>
      </c>
      <c r="P19" s="593">
        <f>IFERROR(__xludf.DUMMYFUNCTION("""COMPUTED_VALUE"""),0.1)</f>
        <v>0.1</v>
      </c>
      <c r="Q19" s="6" t="str">
        <f>IFERROR(__xludf.DUMMYFUNCTION("""COMPUTED_VALUE"""),"")</f>
        <v/>
      </c>
      <c r="R19" s="589">
        <f>IFERROR(__xludf.DUMMYFUNCTION("""COMPUTED_VALUE"""),167.9)</f>
        <v>167.9</v>
      </c>
      <c r="S19" s="589">
        <f>IFERROR(__xludf.DUMMYFUNCTION("""COMPUTED_VALUE"""),184.40000000000003)</f>
        <v>184.4</v>
      </c>
      <c r="T19" s="589">
        <f>IFERROR(__xludf.DUMMYFUNCTION("""COMPUTED_VALUE"""),200.9)</f>
        <v>200.9</v>
      </c>
      <c r="U19" s="594">
        <f>IFERROR(__xludf.DUMMYFUNCTION("""COMPUTED_VALUE"""),1.0)</f>
        <v>1</v>
      </c>
      <c r="V19" s="593">
        <f>IFERROR(__xludf.DUMMYFUNCTION("""COMPUTED_VALUE"""),0.09090909090909091)</f>
        <v>0.09090909091</v>
      </c>
      <c r="W19" s="6" t="str">
        <f>IFERROR(__xludf.DUMMYFUNCTION("""COMPUTED_VALUE"""),"")</f>
        <v/>
      </c>
      <c r="X19" s="589">
        <f>IFERROR(__xludf.DUMMYFUNCTION("""COMPUTED_VALUE"""),86.4)</f>
        <v>86.4</v>
      </c>
      <c r="Y19" s="589">
        <f>IFERROR(__xludf.DUMMYFUNCTION("""COMPUTED_VALUE"""),94.90000000000002)</f>
        <v>94.9</v>
      </c>
      <c r="Z19" s="589">
        <f>IFERROR(__xludf.DUMMYFUNCTION("""COMPUTED_VALUE"""),103.4)</f>
        <v>103.4</v>
      </c>
      <c r="AA19" s="594">
        <f>IFERROR(__xludf.DUMMYFUNCTION("""COMPUTED_VALUE"""),5.0)</f>
        <v>5</v>
      </c>
      <c r="AB19" s="593">
        <f>IFERROR(__xludf.DUMMYFUNCTION("""COMPUTED_VALUE"""),0.1282051282051282)</f>
        <v>0.1282051282</v>
      </c>
      <c r="AC19" s="6" t="str">
        <f>IFERROR(__xludf.DUMMYFUNCTION("""COMPUTED_VALUE"""),"")</f>
        <v/>
      </c>
    </row>
    <row r="20">
      <c r="A20" s="6" t="str">
        <f>IFERROR(__xludf.DUMMYFUNCTION("""COMPUTED_VALUE"""),"")</f>
        <v/>
      </c>
      <c r="B20" s="595">
        <f>IFERROR(__xludf.DUMMYFUNCTION("""COMPUTED_VALUE"""),1131.4)</f>
        <v>1131.4</v>
      </c>
      <c r="C20" s="596">
        <f>IFERROR(__xludf.DUMMYFUNCTION("""COMPUTED_VALUE"""),1243.9)</f>
        <v>1243.9</v>
      </c>
      <c r="D20" s="597"/>
      <c r="E20" s="595">
        <f>IFERROR(__xludf.DUMMYFUNCTION("""COMPUTED_VALUE"""),1301.11)</f>
        <v>1301.11</v>
      </c>
      <c r="F20" s="595">
        <f>IFERROR(__xludf.DUMMYFUNCTION("""COMPUTED_VALUE"""),1356.4)</f>
        <v>1356.4</v>
      </c>
      <c r="G20" s="595">
        <f>IFERROR(__xludf.DUMMYFUNCTION("""COMPUTED_VALUE"""),1414.25)</f>
        <v>1414.25</v>
      </c>
      <c r="H20" s="598">
        <f>IFERROR(__xludf.DUMMYFUNCTION("""COMPUTED_VALUE"""),509.0)</f>
        <v>509</v>
      </c>
      <c r="I20" s="597"/>
      <c r="J20" s="599">
        <f>IFERROR(__xludf.DUMMYFUNCTION("""COMPUTED_VALUE"""),0.17551724137931035)</f>
        <v>0.1755172414</v>
      </c>
      <c r="K20" s="6" t="str">
        <f>IFERROR(__xludf.DUMMYFUNCTION("""COMPUTED_VALUE"""),"")</f>
        <v/>
      </c>
      <c r="L20" s="595">
        <f>IFERROR(__xludf.DUMMYFUNCTION("""COMPUTED_VALUE"""),409.4)</f>
        <v>409.4</v>
      </c>
      <c r="M20" s="595">
        <f>IFERROR(__xludf.DUMMYFUNCTION("""COMPUTED_VALUE"""),449.90000000000003)</f>
        <v>449.9</v>
      </c>
      <c r="N20" s="595">
        <f>IFERROR(__xludf.DUMMYFUNCTION("""COMPUTED_VALUE"""),490.4)</f>
        <v>490.4</v>
      </c>
      <c r="O20" s="600">
        <f>IFERROR(__xludf.DUMMYFUNCTION("""COMPUTED_VALUE"""),1.0)</f>
        <v>1</v>
      </c>
      <c r="P20" s="599">
        <f>IFERROR(__xludf.DUMMYFUNCTION("""COMPUTED_VALUE"""),0.1)</f>
        <v>0.1</v>
      </c>
      <c r="Q20" s="6" t="str">
        <f>IFERROR(__xludf.DUMMYFUNCTION("""COMPUTED_VALUE"""),"")</f>
        <v/>
      </c>
      <c r="R20" s="595">
        <f>IFERROR(__xludf.DUMMYFUNCTION("""COMPUTED_VALUE"""),177.9)</f>
        <v>177.9</v>
      </c>
      <c r="S20" s="595">
        <f>IFERROR(__xludf.DUMMYFUNCTION("""COMPUTED_VALUE"""),195.40000000000003)</f>
        <v>195.4</v>
      </c>
      <c r="T20" s="595">
        <f>IFERROR(__xludf.DUMMYFUNCTION("""COMPUTED_VALUE"""),212.9)</f>
        <v>212.9</v>
      </c>
      <c r="U20" s="600">
        <f>IFERROR(__xludf.DUMMYFUNCTION("""COMPUTED_VALUE"""),3.0)</f>
        <v>3</v>
      </c>
      <c r="V20" s="599">
        <f>IFERROR(__xludf.DUMMYFUNCTION("""COMPUTED_VALUE"""),0.2727272727272727)</f>
        <v>0.2727272727</v>
      </c>
      <c r="W20" s="6" t="str">
        <f>IFERROR(__xludf.DUMMYFUNCTION("""COMPUTED_VALUE"""),"")</f>
        <v/>
      </c>
      <c r="X20" s="595">
        <f>IFERROR(__xludf.DUMMYFUNCTION("""COMPUTED_VALUE"""),96.4)</f>
        <v>96.4</v>
      </c>
      <c r="Y20" s="595">
        <f>IFERROR(__xludf.DUMMYFUNCTION("""COMPUTED_VALUE"""),105.90000000000002)</f>
        <v>105.9</v>
      </c>
      <c r="Z20" s="595">
        <f>IFERROR(__xludf.DUMMYFUNCTION("""COMPUTED_VALUE"""),115.4)</f>
        <v>115.4</v>
      </c>
      <c r="AA20" s="600">
        <f>IFERROR(__xludf.DUMMYFUNCTION("""COMPUTED_VALUE"""),5.0)</f>
        <v>5</v>
      </c>
      <c r="AB20" s="599">
        <f>IFERROR(__xludf.DUMMYFUNCTION("""COMPUTED_VALUE"""),0.1282051282051282)</f>
        <v>0.1282051282</v>
      </c>
      <c r="AC20" s="6" t="str">
        <f>IFERROR(__xludf.DUMMYFUNCTION("""COMPUTED_VALUE"""),"")</f>
        <v/>
      </c>
    </row>
    <row r="21">
      <c r="A21" s="6" t="str">
        <f>IFERROR(__xludf.DUMMYFUNCTION("""COMPUTED_VALUE"""),"")</f>
        <v/>
      </c>
      <c r="B21" s="589">
        <f>IFERROR(__xludf.DUMMYFUNCTION("""COMPUTED_VALUE"""),1221.4)</f>
        <v>1221.4</v>
      </c>
      <c r="C21" s="590">
        <f>IFERROR(__xludf.DUMMYFUNCTION("""COMPUTED_VALUE"""),1342.9)</f>
        <v>1342.9</v>
      </c>
      <c r="D21" s="591"/>
      <c r="E21" s="589">
        <f>IFERROR(__xludf.DUMMYFUNCTION("""COMPUTED_VALUE"""),1404.61)</f>
        <v>1404.61</v>
      </c>
      <c r="F21" s="589">
        <f>IFERROR(__xludf.DUMMYFUNCTION("""COMPUTED_VALUE"""),1464.4)</f>
        <v>1464.4</v>
      </c>
      <c r="G21" s="589">
        <f>IFERROR(__xludf.DUMMYFUNCTION("""COMPUTED_VALUE"""),1526.75)</f>
        <v>1526.75</v>
      </c>
      <c r="H21" s="592">
        <f>IFERROR(__xludf.DUMMYFUNCTION("""COMPUTED_VALUE"""),469.0)</f>
        <v>469</v>
      </c>
      <c r="I21" s="591"/>
      <c r="J21" s="593">
        <f>IFERROR(__xludf.DUMMYFUNCTION("""COMPUTED_VALUE"""),0.1617241379310345)</f>
        <v>0.1617241379</v>
      </c>
      <c r="K21" s="6" t="str">
        <f>IFERROR(__xludf.DUMMYFUNCTION("""COMPUTED_VALUE"""),"")</f>
        <v/>
      </c>
      <c r="L21" s="589">
        <f>IFERROR(__xludf.DUMMYFUNCTION("""COMPUTED_VALUE"""),439.4)</f>
        <v>439.4</v>
      </c>
      <c r="M21" s="589">
        <f>IFERROR(__xludf.DUMMYFUNCTION("""COMPUTED_VALUE"""),482.90000000000003)</f>
        <v>482.9</v>
      </c>
      <c r="N21" s="589">
        <f>IFERROR(__xludf.DUMMYFUNCTION("""COMPUTED_VALUE"""),526.4)</f>
        <v>526.4</v>
      </c>
      <c r="O21" s="594">
        <f>IFERROR(__xludf.DUMMYFUNCTION("""COMPUTED_VALUE"""),0.0)</f>
        <v>0</v>
      </c>
      <c r="P21" s="593">
        <f>IFERROR(__xludf.DUMMYFUNCTION("""COMPUTED_VALUE"""),0.0)</f>
        <v>0</v>
      </c>
      <c r="Q21" s="6" t="str">
        <f>IFERROR(__xludf.DUMMYFUNCTION("""COMPUTED_VALUE"""),"")</f>
        <v/>
      </c>
      <c r="R21" s="589">
        <f>IFERROR(__xludf.DUMMYFUNCTION("""COMPUTED_VALUE"""),187.9)</f>
        <v>187.9</v>
      </c>
      <c r="S21" s="589">
        <f>IFERROR(__xludf.DUMMYFUNCTION("""COMPUTED_VALUE"""),206.40000000000003)</f>
        <v>206.4</v>
      </c>
      <c r="T21" s="589">
        <f>IFERROR(__xludf.DUMMYFUNCTION("""COMPUTED_VALUE"""),224.9)</f>
        <v>224.9</v>
      </c>
      <c r="U21" s="594">
        <f>IFERROR(__xludf.DUMMYFUNCTION("""COMPUTED_VALUE"""),2.0)</f>
        <v>2</v>
      </c>
      <c r="V21" s="593">
        <f>IFERROR(__xludf.DUMMYFUNCTION("""COMPUTED_VALUE"""),0.18181818181818182)</f>
        <v>0.1818181818</v>
      </c>
      <c r="W21" s="6" t="str">
        <f>IFERROR(__xludf.DUMMYFUNCTION("""COMPUTED_VALUE"""),"")</f>
        <v/>
      </c>
      <c r="X21" s="589">
        <f>IFERROR(__xludf.DUMMYFUNCTION("""COMPUTED_VALUE"""),106.4)</f>
        <v>106.4</v>
      </c>
      <c r="Y21" s="589">
        <f>IFERROR(__xludf.DUMMYFUNCTION("""COMPUTED_VALUE"""),116.90000000000002)</f>
        <v>116.9</v>
      </c>
      <c r="Z21" s="589">
        <f>IFERROR(__xludf.DUMMYFUNCTION("""COMPUTED_VALUE"""),127.4)</f>
        <v>127.4</v>
      </c>
      <c r="AA21" s="594">
        <f>IFERROR(__xludf.DUMMYFUNCTION("""COMPUTED_VALUE"""),8.0)</f>
        <v>8</v>
      </c>
      <c r="AB21" s="593">
        <f>IFERROR(__xludf.DUMMYFUNCTION("""COMPUTED_VALUE"""),0.20512820512820512)</f>
        <v>0.2051282051</v>
      </c>
      <c r="AC21" s="6" t="str">
        <f>IFERROR(__xludf.DUMMYFUNCTION("""COMPUTED_VALUE"""),"")</f>
        <v/>
      </c>
    </row>
    <row r="22">
      <c r="A22" s="6" t="str">
        <f>IFERROR(__xludf.DUMMYFUNCTION("""COMPUTED_VALUE"""),"")</f>
        <v/>
      </c>
      <c r="B22" s="595">
        <f>IFERROR(__xludf.DUMMYFUNCTION("""COMPUTED_VALUE"""),1311.4)</f>
        <v>1311.4</v>
      </c>
      <c r="C22" s="596">
        <f>IFERROR(__xludf.DUMMYFUNCTION("""COMPUTED_VALUE"""),1441.9000000000003)</f>
        <v>1441.9</v>
      </c>
      <c r="D22" s="597"/>
      <c r="E22" s="595">
        <f>IFERROR(__xludf.DUMMYFUNCTION("""COMPUTED_VALUE"""),1508.11)</f>
        <v>1508.11</v>
      </c>
      <c r="F22" s="595">
        <f>IFERROR(__xludf.DUMMYFUNCTION("""COMPUTED_VALUE"""),1572.4)</f>
        <v>1572.4</v>
      </c>
      <c r="G22" s="595">
        <f>IFERROR(__xludf.DUMMYFUNCTION("""COMPUTED_VALUE"""),1639.25)</f>
        <v>1639.25</v>
      </c>
      <c r="H22" s="598">
        <f>IFERROR(__xludf.DUMMYFUNCTION("""COMPUTED_VALUE"""),182.0)</f>
        <v>182</v>
      </c>
      <c r="I22" s="597"/>
      <c r="J22" s="599">
        <f>IFERROR(__xludf.DUMMYFUNCTION("""COMPUTED_VALUE"""),0.06275862068965517)</f>
        <v>0.06275862069</v>
      </c>
      <c r="K22" s="6" t="str">
        <f>IFERROR(__xludf.DUMMYFUNCTION("""COMPUTED_VALUE"""),"")</f>
        <v/>
      </c>
      <c r="L22" s="595">
        <f>IFERROR(__xludf.DUMMYFUNCTION("""COMPUTED_VALUE"""),469.4)</f>
        <v>469.4</v>
      </c>
      <c r="M22" s="595">
        <f>IFERROR(__xludf.DUMMYFUNCTION("""COMPUTED_VALUE"""),515.9000000000001)</f>
        <v>515.9</v>
      </c>
      <c r="N22" s="595">
        <f>IFERROR(__xludf.DUMMYFUNCTION("""COMPUTED_VALUE"""),562.4)</f>
        <v>562.4</v>
      </c>
      <c r="O22" s="600">
        <f>IFERROR(__xludf.DUMMYFUNCTION("""COMPUTED_VALUE"""),1.0)</f>
        <v>1</v>
      </c>
      <c r="P22" s="599">
        <f>IFERROR(__xludf.DUMMYFUNCTION("""COMPUTED_VALUE"""),0.1)</f>
        <v>0.1</v>
      </c>
      <c r="Q22" s="6" t="str">
        <f>IFERROR(__xludf.DUMMYFUNCTION("""COMPUTED_VALUE"""),"")</f>
        <v/>
      </c>
      <c r="R22" s="595">
        <f>IFERROR(__xludf.DUMMYFUNCTION("""COMPUTED_VALUE"""),197.9)</f>
        <v>197.9</v>
      </c>
      <c r="S22" s="595">
        <f>IFERROR(__xludf.DUMMYFUNCTION("""COMPUTED_VALUE"""),217.40000000000003)</f>
        <v>217.4</v>
      </c>
      <c r="T22" s="595">
        <f>IFERROR(__xludf.DUMMYFUNCTION("""COMPUTED_VALUE"""),236.9)</f>
        <v>236.9</v>
      </c>
      <c r="U22" s="600">
        <f>IFERROR(__xludf.DUMMYFUNCTION("""COMPUTED_VALUE"""),0.0)</f>
        <v>0</v>
      </c>
      <c r="V22" s="599">
        <f>IFERROR(__xludf.DUMMYFUNCTION("""COMPUTED_VALUE"""),0.0)</f>
        <v>0</v>
      </c>
      <c r="W22" s="6" t="str">
        <f>IFERROR(__xludf.DUMMYFUNCTION("""COMPUTED_VALUE"""),"")</f>
        <v/>
      </c>
      <c r="X22" s="595">
        <f>IFERROR(__xludf.DUMMYFUNCTION("""COMPUTED_VALUE"""),116.4)</f>
        <v>116.4</v>
      </c>
      <c r="Y22" s="595">
        <f>IFERROR(__xludf.DUMMYFUNCTION("""COMPUTED_VALUE"""),127.90000000000002)</f>
        <v>127.9</v>
      </c>
      <c r="Z22" s="595">
        <f>IFERROR(__xludf.DUMMYFUNCTION("""COMPUTED_VALUE"""),139.4)</f>
        <v>139.4</v>
      </c>
      <c r="AA22" s="600">
        <f>IFERROR(__xludf.DUMMYFUNCTION("""COMPUTED_VALUE"""),2.0)</f>
        <v>2</v>
      </c>
      <c r="AB22" s="599">
        <f>IFERROR(__xludf.DUMMYFUNCTION("""COMPUTED_VALUE"""),0.05128205128205128)</f>
        <v>0.05128205128</v>
      </c>
      <c r="AC22" s="6" t="str">
        <f>IFERROR(__xludf.DUMMYFUNCTION("""COMPUTED_VALUE"""),"")</f>
        <v/>
      </c>
    </row>
    <row r="23">
      <c r="A23" s="6" t="str">
        <f>IFERROR(__xludf.DUMMYFUNCTION("""COMPUTED_VALUE"""),"")</f>
        <v/>
      </c>
      <c r="B23" s="589">
        <f>IFERROR(__xludf.DUMMYFUNCTION("""COMPUTED_VALUE"""),1401.4)</f>
        <v>1401.4</v>
      </c>
      <c r="C23" s="590">
        <f>IFERROR(__xludf.DUMMYFUNCTION("""COMPUTED_VALUE"""),1540.9000000000003)</f>
        <v>1540.9</v>
      </c>
      <c r="D23" s="591"/>
      <c r="E23" s="589">
        <f>IFERROR(__xludf.DUMMYFUNCTION("""COMPUTED_VALUE"""),1611.61)</f>
        <v>1611.61</v>
      </c>
      <c r="F23" s="589">
        <f>IFERROR(__xludf.DUMMYFUNCTION("""COMPUTED_VALUE"""),1680.4)</f>
        <v>1680.4</v>
      </c>
      <c r="G23" s="589">
        <f>IFERROR(__xludf.DUMMYFUNCTION("""COMPUTED_VALUE"""),1751.75)</f>
        <v>1751.75</v>
      </c>
      <c r="H23" s="592">
        <f>IFERROR(__xludf.DUMMYFUNCTION("""COMPUTED_VALUE"""),285.0)</f>
        <v>285</v>
      </c>
      <c r="I23" s="591"/>
      <c r="J23" s="593">
        <f>IFERROR(__xludf.DUMMYFUNCTION("""COMPUTED_VALUE"""),0.09827586206896552)</f>
        <v>0.09827586207</v>
      </c>
      <c r="K23" s="6" t="str">
        <f>IFERROR(__xludf.DUMMYFUNCTION("""COMPUTED_VALUE"""),"")</f>
        <v/>
      </c>
      <c r="L23" s="589">
        <f>IFERROR(__xludf.DUMMYFUNCTION("""COMPUTED_VALUE"""),499.4)</f>
        <v>499.4</v>
      </c>
      <c r="M23" s="589">
        <f>IFERROR(__xludf.DUMMYFUNCTION("""COMPUTED_VALUE"""),548.9)</f>
        <v>548.9</v>
      </c>
      <c r="N23" s="589">
        <f>IFERROR(__xludf.DUMMYFUNCTION("""COMPUTED_VALUE"""),598.4)</f>
        <v>598.4</v>
      </c>
      <c r="O23" s="594">
        <f>IFERROR(__xludf.DUMMYFUNCTION("""COMPUTED_VALUE"""),1.0)</f>
        <v>1</v>
      </c>
      <c r="P23" s="593">
        <f>IFERROR(__xludf.DUMMYFUNCTION("""COMPUTED_VALUE"""),0.1)</f>
        <v>0.1</v>
      </c>
      <c r="Q23" s="6" t="str">
        <f>IFERROR(__xludf.DUMMYFUNCTION("""COMPUTED_VALUE"""),"")</f>
        <v/>
      </c>
      <c r="R23" s="589">
        <f>IFERROR(__xludf.DUMMYFUNCTION("""COMPUTED_VALUE"""),207.9)</f>
        <v>207.9</v>
      </c>
      <c r="S23" s="589">
        <f>IFERROR(__xludf.DUMMYFUNCTION("""COMPUTED_VALUE"""),228.40000000000003)</f>
        <v>228.4</v>
      </c>
      <c r="T23" s="589">
        <f>IFERROR(__xludf.DUMMYFUNCTION("""COMPUTED_VALUE"""),248.9)</f>
        <v>248.9</v>
      </c>
      <c r="U23" s="594">
        <f>IFERROR(__xludf.DUMMYFUNCTION("""COMPUTED_VALUE"""),0.0)</f>
        <v>0</v>
      </c>
      <c r="V23" s="593">
        <f>IFERROR(__xludf.DUMMYFUNCTION("""COMPUTED_VALUE"""),0.0)</f>
        <v>0</v>
      </c>
      <c r="W23" s="6" t="str">
        <f>IFERROR(__xludf.DUMMYFUNCTION("""COMPUTED_VALUE"""),"")</f>
        <v/>
      </c>
      <c r="X23" s="589">
        <f>IFERROR(__xludf.DUMMYFUNCTION("""COMPUTED_VALUE"""),126.4)</f>
        <v>126.4</v>
      </c>
      <c r="Y23" s="589">
        <f>IFERROR(__xludf.DUMMYFUNCTION("""COMPUTED_VALUE"""),138.9)</f>
        <v>138.9</v>
      </c>
      <c r="Z23" s="589">
        <f>IFERROR(__xludf.DUMMYFUNCTION("""COMPUTED_VALUE"""),151.4)</f>
        <v>151.4</v>
      </c>
      <c r="AA23" s="594">
        <f>IFERROR(__xludf.DUMMYFUNCTION("""COMPUTED_VALUE"""),2.0)</f>
        <v>2</v>
      </c>
      <c r="AB23" s="593">
        <f>IFERROR(__xludf.DUMMYFUNCTION("""COMPUTED_VALUE"""),0.05128205128205128)</f>
        <v>0.05128205128</v>
      </c>
      <c r="AC23" s="6" t="str">
        <f>IFERROR(__xludf.DUMMYFUNCTION("""COMPUTED_VALUE"""),"")</f>
        <v/>
      </c>
    </row>
    <row r="24">
      <c r="A24" s="6" t="str">
        <f>IFERROR(__xludf.DUMMYFUNCTION("""COMPUTED_VALUE"""),"")</f>
        <v/>
      </c>
      <c r="B24" s="595">
        <f>IFERROR(__xludf.DUMMYFUNCTION("""COMPUTED_VALUE"""),1491.4)</f>
        <v>1491.4</v>
      </c>
      <c r="C24" s="596">
        <f>IFERROR(__xludf.DUMMYFUNCTION("""COMPUTED_VALUE"""),1639.9000000000003)</f>
        <v>1639.9</v>
      </c>
      <c r="D24" s="597"/>
      <c r="E24" s="595">
        <f>IFERROR(__xludf.DUMMYFUNCTION("""COMPUTED_VALUE"""),1715.11)</f>
        <v>1715.11</v>
      </c>
      <c r="F24" s="595">
        <f>IFERROR(__xludf.DUMMYFUNCTION("""COMPUTED_VALUE"""),1788.4)</f>
        <v>1788.4</v>
      </c>
      <c r="G24" s="595">
        <f>IFERROR(__xludf.DUMMYFUNCTION("""COMPUTED_VALUE"""),1864.25)</f>
        <v>1864.25</v>
      </c>
      <c r="H24" s="598">
        <f>IFERROR(__xludf.DUMMYFUNCTION("""COMPUTED_VALUE"""),245.0)</f>
        <v>245</v>
      </c>
      <c r="I24" s="597"/>
      <c r="J24" s="599">
        <f>IFERROR(__xludf.DUMMYFUNCTION("""COMPUTED_VALUE"""),0.08448275862068966)</f>
        <v>0.08448275862</v>
      </c>
      <c r="K24" s="6" t="str">
        <f>IFERROR(__xludf.DUMMYFUNCTION("""COMPUTED_VALUE"""),"")</f>
        <v/>
      </c>
      <c r="L24" s="595">
        <f>IFERROR(__xludf.DUMMYFUNCTION("""COMPUTED_VALUE"""),559.4)</f>
        <v>559.4</v>
      </c>
      <c r="M24" s="595">
        <f>IFERROR(__xludf.DUMMYFUNCTION("""COMPUTED_VALUE"""),614.9)</f>
        <v>614.9</v>
      </c>
      <c r="N24" s="595">
        <f>IFERROR(__xludf.DUMMYFUNCTION("""COMPUTED_VALUE"""),670.4)</f>
        <v>670.4</v>
      </c>
      <c r="O24" s="600">
        <f>IFERROR(__xludf.DUMMYFUNCTION("""COMPUTED_VALUE"""),1.0)</f>
        <v>1</v>
      </c>
      <c r="P24" s="599">
        <f>IFERROR(__xludf.DUMMYFUNCTION("""COMPUTED_VALUE"""),0.1)</f>
        <v>0.1</v>
      </c>
      <c r="Q24" s="6" t="str">
        <f>IFERROR(__xludf.DUMMYFUNCTION("""COMPUTED_VALUE"""),"")</f>
        <v/>
      </c>
      <c r="R24" s="595">
        <f>IFERROR(__xludf.DUMMYFUNCTION("""COMPUTED_VALUE"""),217.9)</f>
        <v>217.9</v>
      </c>
      <c r="S24" s="595">
        <f>IFERROR(__xludf.DUMMYFUNCTION("""COMPUTED_VALUE"""),239.40000000000003)</f>
        <v>239.4</v>
      </c>
      <c r="T24" s="595">
        <f>IFERROR(__xludf.DUMMYFUNCTION("""COMPUTED_VALUE"""),260.9)</f>
        <v>260.9</v>
      </c>
      <c r="U24" s="600">
        <f>IFERROR(__xludf.DUMMYFUNCTION("""COMPUTED_VALUE"""),1.0)</f>
        <v>1</v>
      </c>
      <c r="V24" s="599">
        <f>IFERROR(__xludf.DUMMYFUNCTION("""COMPUTED_VALUE"""),0.09090909090909091)</f>
        <v>0.09090909091</v>
      </c>
      <c r="W24" s="6" t="str">
        <f>IFERROR(__xludf.DUMMYFUNCTION("""COMPUTED_VALUE"""),"")</f>
        <v/>
      </c>
      <c r="X24" s="595">
        <f>IFERROR(__xludf.DUMMYFUNCTION("""COMPUTED_VALUE"""),136.4)</f>
        <v>136.4</v>
      </c>
      <c r="Y24" s="595">
        <f>IFERROR(__xludf.DUMMYFUNCTION("""COMPUTED_VALUE"""),149.9)</f>
        <v>149.9</v>
      </c>
      <c r="Z24" s="595">
        <f>IFERROR(__xludf.DUMMYFUNCTION("""COMPUTED_VALUE"""),163.4)</f>
        <v>163.4</v>
      </c>
      <c r="AA24" s="600">
        <f>IFERROR(__xludf.DUMMYFUNCTION("""COMPUTED_VALUE"""),1.0)</f>
        <v>1</v>
      </c>
      <c r="AB24" s="599">
        <f>IFERROR(__xludf.DUMMYFUNCTION("""COMPUTED_VALUE"""),0.02564102564102564)</f>
        <v>0.02564102564</v>
      </c>
      <c r="AC24" s="6" t="str">
        <f>IFERROR(__xludf.DUMMYFUNCTION("""COMPUTED_VALUE"""),"")</f>
        <v/>
      </c>
    </row>
    <row r="25">
      <c r="A25" s="6" t="str">
        <f>IFERROR(__xludf.DUMMYFUNCTION("""COMPUTED_VALUE"""),"")</f>
        <v/>
      </c>
      <c r="B25" s="589">
        <f>IFERROR(__xludf.DUMMYFUNCTION("""COMPUTED_VALUE"""),1581.4)</f>
        <v>1581.4</v>
      </c>
      <c r="C25" s="590">
        <f>IFERROR(__xludf.DUMMYFUNCTION("""COMPUTED_VALUE"""),1738.9000000000003)</f>
        <v>1738.9</v>
      </c>
      <c r="D25" s="591"/>
      <c r="E25" s="589">
        <f>IFERROR(__xludf.DUMMYFUNCTION("""COMPUTED_VALUE"""),1818.61)</f>
        <v>1818.61</v>
      </c>
      <c r="F25" s="589">
        <f>IFERROR(__xludf.DUMMYFUNCTION("""COMPUTED_VALUE"""),1896.4)</f>
        <v>1896.4</v>
      </c>
      <c r="G25" s="589">
        <f>IFERROR(__xludf.DUMMYFUNCTION("""COMPUTED_VALUE"""),1976.75)</f>
        <v>1976.75</v>
      </c>
      <c r="H25" s="592">
        <f>IFERROR(__xludf.DUMMYFUNCTION("""COMPUTED_VALUE"""),91.0)</f>
        <v>91</v>
      </c>
      <c r="I25" s="591"/>
      <c r="J25" s="593">
        <f>IFERROR(__xludf.DUMMYFUNCTION("""COMPUTED_VALUE"""),0.031379310344827584)</f>
        <v>0.03137931034</v>
      </c>
      <c r="K25" s="6" t="str">
        <f>IFERROR(__xludf.DUMMYFUNCTION("""COMPUTED_VALUE"""),"")</f>
        <v/>
      </c>
      <c r="L25" s="589">
        <f>IFERROR(__xludf.DUMMYFUNCTION("""COMPUTED_VALUE"""),589.4)</f>
        <v>589.4</v>
      </c>
      <c r="M25" s="589">
        <f>IFERROR(__xludf.DUMMYFUNCTION("""COMPUTED_VALUE"""),647.9)</f>
        <v>647.9</v>
      </c>
      <c r="N25" s="589">
        <f>IFERROR(__xludf.DUMMYFUNCTION("""COMPUTED_VALUE"""),706.4)</f>
        <v>706.4</v>
      </c>
      <c r="O25" s="594">
        <f>IFERROR(__xludf.DUMMYFUNCTION("""COMPUTED_VALUE"""),0.0)</f>
        <v>0</v>
      </c>
      <c r="P25" s="593">
        <f>IFERROR(__xludf.DUMMYFUNCTION("""COMPUTED_VALUE"""),0.0)</f>
        <v>0</v>
      </c>
      <c r="Q25" s="6" t="str">
        <f>IFERROR(__xludf.DUMMYFUNCTION("""COMPUTED_VALUE"""),"")</f>
        <v/>
      </c>
      <c r="R25" s="589">
        <f>IFERROR(__xludf.DUMMYFUNCTION("""COMPUTED_VALUE"""),227.9)</f>
        <v>227.9</v>
      </c>
      <c r="S25" s="589">
        <f>IFERROR(__xludf.DUMMYFUNCTION("""COMPUTED_VALUE"""),250.40000000000003)</f>
        <v>250.4</v>
      </c>
      <c r="T25" s="589">
        <f>IFERROR(__xludf.DUMMYFUNCTION("""COMPUTED_VALUE"""),272.9)</f>
        <v>272.9</v>
      </c>
      <c r="U25" s="594">
        <f>IFERROR(__xludf.DUMMYFUNCTION("""COMPUTED_VALUE"""),0.0)</f>
        <v>0</v>
      </c>
      <c r="V25" s="593">
        <f>IFERROR(__xludf.DUMMYFUNCTION("""COMPUTED_VALUE"""),0.0)</f>
        <v>0</v>
      </c>
      <c r="W25" s="6" t="str">
        <f>IFERROR(__xludf.DUMMYFUNCTION("""COMPUTED_VALUE"""),"")</f>
        <v/>
      </c>
      <c r="X25" s="589">
        <f>IFERROR(__xludf.DUMMYFUNCTION("""COMPUTED_VALUE"""),146.4)</f>
        <v>146.4</v>
      </c>
      <c r="Y25" s="589">
        <f>IFERROR(__xludf.DUMMYFUNCTION("""COMPUTED_VALUE"""),160.9)</f>
        <v>160.9</v>
      </c>
      <c r="Z25" s="589">
        <f>IFERROR(__xludf.DUMMYFUNCTION("""COMPUTED_VALUE"""),175.4)</f>
        <v>175.4</v>
      </c>
      <c r="AA25" s="594">
        <f>IFERROR(__xludf.DUMMYFUNCTION("""COMPUTED_VALUE"""),0.0)</f>
        <v>0</v>
      </c>
      <c r="AB25" s="593">
        <f>IFERROR(__xludf.DUMMYFUNCTION("""COMPUTED_VALUE"""),0.0)</f>
        <v>0</v>
      </c>
      <c r="AC25" s="6" t="str">
        <f>IFERROR(__xludf.DUMMYFUNCTION("""COMPUTED_VALUE"""),"")</f>
        <v/>
      </c>
    </row>
    <row r="26">
      <c r="A26" s="6" t="str">
        <f>IFERROR(__xludf.DUMMYFUNCTION("""COMPUTED_VALUE"""),"")</f>
        <v/>
      </c>
      <c r="B26" s="595">
        <f>IFERROR(__xludf.DUMMYFUNCTION("""COMPUTED_VALUE"""),1671.4)</f>
        <v>1671.4</v>
      </c>
      <c r="C26" s="596">
        <f>IFERROR(__xludf.DUMMYFUNCTION("""COMPUTED_VALUE"""),1837.9000000000003)</f>
        <v>1837.9</v>
      </c>
      <c r="D26" s="597"/>
      <c r="E26" s="595">
        <f>IFERROR(__xludf.DUMMYFUNCTION("""COMPUTED_VALUE"""),1922.11)</f>
        <v>1922.11</v>
      </c>
      <c r="F26" s="595">
        <f>IFERROR(__xludf.DUMMYFUNCTION("""COMPUTED_VALUE"""),2004.4)</f>
        <v>2004.4</v>
      </c>
      <c r="G26" s="595">
        <f>IFERROR(__xludf.DUMMYFUNCTION("""COMPUTED_VALUE"""),2089.25)</f>
        <v>2089.25</v>
      </c>
      <c r="H26" s="598">
        <f>IFERROR(__xludf.DUMMYFUNCTION("""COMPUTED_VALUE"""),83.0)</f>
        <v>83</v>
      </c>
      <c r="I26" s="597"/>
      <c r="J26" s="599">
        <f>IFERROR(__xludf.DUMMYFUNCTION("""COMPUTED_VALUE"""),0.028620689655172414)</f>
        <v>0.02862068966</v>
      </c>
      <c r="K26" s="6" t="str">
        <f>IFERROR(__xludf.DUMMYFUNCTION("""COMPUTED_VALUE"""),"")</f>
        <v/>
      </c>
      <c r="L26" s="595">
        <f>IFERROR(__xludf.DUMMYFUNCTION("""COMPUTED_VALUE"""),619.4)</f>
        <v>619.4</v>
      </c>
      <c r="M26" s="595">
        <f>IFERROR(__xludf.DUMMYFUNCTION("""COMPUTED_VALUE"""),680.9)</f>
        <v>680.9</v>
      </c>
      <c r="N26" s="595">
        <f>IFERROR(__xludf.DUMMYFUNCTION("""COMPUTED_VALUE"""),742.4)</f>
        <v>742.4</v>
      </c>
      <c r="O26" s="600">
        <f>IFERROR(__xludf.DUMMYFUNCTION("""COMPUTED_VALUE"""),0.0)</f>
        <v>0</v>
      </c>
      <c r="P26" s="599">
        <f>IFERROR(__xludf.DUMMYFUNCTION("""COMPUTED_VALUE"""),0.0)</f>
        <v>0</v>
      </c>
      <c r="Q26" s="6" t="str">
        <f>IFERROR(__xludf.DUMMYFUNCTION("""COMPUTED_VALUE"""),"")</f>
        <v/>
      </c>
      <c r="R26" s="595">
        <f>IFERROR(__xludf.DUMMYFUNCTION("""COMPUTED_VALUE"""),237.9)</f>
        <v>237.9</v>
      </c>
      <c r="S26" s="595">
        <f>IFERROR(__xludf.DUMMYFUNCTION("""COMPUTED_VALUE"""),261.4)</f>
        <v>261.4</v>
      </c>
      <c r="T26" s="595">
        <f>IFERROR(__xludf.DUMMYFUNCTION("""COMPUTED_VALUE"""),284.9)</f>
        <v>284.9</v>
      </c>
      <c r="U26" s="600">
        <f>IFERROR(__xludf.DUMMYFUNCTION("""COMPUTED_VALUE"""),1.0)</f>
        <v>1</v>
      </c>
      <c r="V26" s="599">
        <f>IFERROR(__xludf.DUMMYFUNCTION("""COMPUTED_VALUE"""),0.09090909090909091)</f>
        <v>0.09090909091</v>
      </c>
      <c r="W26" s="6" t="str">
        <f>IFERROR(__xludf.DUMMYFUNCTION("""COMPUTED_VALUE"""),"")</f>
        <v/>
      </c>
      <c r="X26" s="595">
        <f>IFERROR(__xludf.DUMMYFUNCTION("""COMPUTED_VALUE"""),156.4)</f>
        <v>156.4</v>
      </c>
      <c r="Y26" s="595">
        <f>IFERROR(__xludf.DUMMYFUNCTION("""COMPUTED_VALUE"""),171.9)</f>
        <v>171.9</v>
      </c>
      <c r="Z26" s="595">
        <f>IFERROR(__xludf.DUMMYFUNCTION("""COMPUTED_VALUE"""),187.4)</f>
        <v>187.4</v>
      </c>
      <c r="AA26" s="600">
        <f>IFERROR(__xludf.DUMMYFUNCTION("""COMPUTED_VALUE"""),1.0)</f>
        <v>1</v>
      </c>
      <c r="AB26" s="599">
        <f>IFERROR(__xludf.DUMMYFUNCTION("""COMPUTED_VALUE"""),0.02564102564102564)</f>
        <v>0.02564102564</v>
      </c>
      <c r="AC26" s="6" t="str">
        <f>IFERROR(__xludf.DUMMYFUNCTION("""COMPUTED_VALUE"""),"")</f>
        <v/>
      </c>
    </row>
    <row r="27">
      <c r="A27" s="6" t="str">
        <f>IFERROR(__xludf.DUMMYFUNCTION("""COMPUTED_VALUE"""),"")</f>
        <v/>
      </c>
      <c r="B27" s="589">
        <f>IFERROR(__xludf.DUMMYFUNCTION("""COMPUTED_VALUE"""),1761.4)</f>
        <v>1761.4</v>
      </c>
      <c r="C27" s="590">
        <f>IFERROR(__xludf.DUMMYFUNCTION("""COMPUTED_VALUE"""),1936.9000000000003)</f>
        <v>1936.9</v>
      </c>
      <c r="D27" s="591"/>
      <c r="E27" s="589">
        <f>IFERROR(__xludf.DUMMYFUNCTION("""COMPUTED_VALUE"""),2025.61)</f>
        <v>2025.61</v>
      </c>
      <c r="F27" s="589">
        <f>IFERROR(__xludf.DUMMYFUNCTION("""COMPUTED_VALUE"""),2112.4)</f>
        <v>2112.4</v>
      </c>
      <c r="G27" s="589">
        <f>IFERROR(__xludf.DUMMYFUNCTION("""COMPUTED_VALUE"""),2201.75)</f>
        <v>2201.75</v>
      </c>
      <c r="H27" s="592">
        <f>IFERROR(__xludf.DUMMYFUNCTION("""COMPUTED_VALUE"""),72.0)</f>
        <v>72</v>
      </c>
      <c r="I27" s="591"/>
      <c r="J27" s="593">
        <f>IFERROR(__xludf.DUMMYFUNCTION("""COMPUTED_VALUE"""),0.02482758620689655)</f>
        <v>0.02482758621</v>
      </c>
      <c r="K27" s="6" t="str">
        <f>IFERROR(__xludf.DUMMYFUNCTION("""COMPUTED_VALUE"""),"")</f>
        <v/>
      </c>
      <c r="L27" s="589">
        <f>IFERROR(__xludf.DUMMYFUNCTION("""COMPUTED_VALUE"""),649.4)</f>
        <v>649.4</v>
      </c>
      <c r="M27" s="589">
        <f>IFERROR(__xludf.DUMMYFUNCTION("""COMPUTED_VALUE"""),713.9000000000001)</f>
        <v>713.9</v>
      </c>
      <c r="N27" s="589">
        <f>IFERROR(__xludf.DUMMYFUNCTION("""COMPUTED_VALUE"""),778.4)</f>
        <v>778.4</v>
      </c>
      <c r="O27" s="594">
        <f>IFERROR(__xludf.DUMMYFUNCTION("""COMPUTED_VALUE"""),1.0)</f>
        <v>1</v>
      </c>
      <c r="P27" s="593">
        <f>IFERROR(__xludf.DUMMYFUNCTION("""COMPUTED_VALUE"""),0.1)</f>
        <v>0.1</v>
      </c>
      <c r="Q27" s="6" t="str">
        <f>IFERROR(__xludf.DUMMYFUNCTION("""COMPUTED_VALUE"""),"")</f>
        <v/>
      </c>
      <c r="R27" s="589">
        <f>IFERROR(__xludf.DUMMYFUNCTION("""COMPUTED_VALUE"""),247.9)</f>
        <v>247.9</v>
      </c>
      <c r="S27" s="589">
        <f>IFERROR(__xludf.DUMMYFUNCTION("""COMPUTED_VALUE"""),272.4)</f>
        <v>272.4</v>
      </c>
      <c r="T27" s="589">
        <f>IFERROR(__xludf.DUMMYFUNCTION("""COMPUTED_VALUE"""),296.9)</f>
        <v>296.9</v>
      </c>
      <c r="U27" s="594">
        <f>IFERROR(__xludf.DUMMYFUNCTION("""COMPUTED_VALUE"""),0.0)</f>
        <v>0</v>
      </c>
      <c r="V27" s="593">
        <f>IFERROR(__xludf.DUMMYFUNCTION("""COMPUTED_VALUE"""),0.0)</f>
        <v>0</v>
      </c>
      <c r="W27" s="6" t="str">
        <f>IFERROR(__xludf.DUMMYFUNCTION("""COMPUTED_VALUE"""),"")</f>
        <v/>
      </c>
      <c r="X27" s="589">
        <f>IFERROR(__xludf.DUMMYFUNCTION("""COMPUTED_VALUE"""),166.4)</f>
        <v>166.4</v>
      </c>
      <c r="Y27" s="589">
        <f>IFERROR(__xludf.DUMMYFUNCTION("""COMPUTED_VALUE"""),182.90000000000003)</f>
        <v>182.9</v>
      </c>
      <c r="Z27" s="589">
        <f>IFERROR(__xludf.DUMMYFUNCTION("""COMPUTED_VALUE"""),199.4)</f>
        <v>199.4</v>
      </c>
      <c r="AA27" s="594">
        <f>IFERROR(__xludf.DUMMYFUNCTION("""COMPUTED_VALUE"""),0.0)</f>
        <v>0</v>
      </c>
      <c r="AB27" s="593">
        <f>IFERROR(__xludf.DUMMYFUNCTION("""COMPUTED_VALUE"""),0.0)</f>
        <v>0</v>
      </c>
      <c r="AC27" s="6" t="str">
        <f>IFERROR(__xludf.DUMMYFUNCTION("""COMPUTED_VALUE"""),"")</f>
        <v/>
      </c>
    </row>
    <row r="28">
      <c r="A28" s="6" t="str">
        <f>IFERROR(__xludf.DUMMYFUNCTION("""COMPUTED_VALUE"""),"")</f>
        <v/>
      </c>
      <c r="B28" s="595">
        <f>IFERROR(__xludf.DUMMYFUNCTION("""COMPUTED_VALUE"""),1851.4)</f>
        <v>1851.4</v>
      </c>
      <c r="C28" s="596">
        <f>IFERROR(__xludf.DUMMYFUNCTION("""COMPUTED_VALUE"""),2035.9000000000003)</f>
        <v>2035.9</v>
      </c>
      <c r="D28" s="597"/>
      <c r="E28" s="595">
        <f>IFERROR(__xludf.DUMMYFUNCTION("""COMPUTED_VALUE"""),2129.11)</f>
        <v>2129.11</v>
      </c>
      <c r="F28" s="595">
        <f>IFERROR(__xludf.DUMMYFUNCTION("""COMPUTED_VALUE"""),2220.4)</f>
        <v>2220.4</v>
      </c>
      <c r="G28" s="595">
        <f>IFERROR(__xludf.DUMMYFUNCTION("""COMPUTED_VALUE"""),2314.25)</f>
        <v>2314.25</v>
      </c>
      <c r="H28" s="598">
        <f>IFERROR(__xludf.DUMMYFUNCTION("""COMPUTED_VALUE"""),31.0)</f>
        <v>31</v>
      </c>
      <c r="I28" s="597"/>
      <c r="J28" s="599">
        <f>IFERROR(__xludf.DUMMYFUNCTION("""COMPUTED_VALUE"""),0.010689655172413793)</f>
        <v>0.01068965517</v>
      </c>
      <c r="K28" s="6" t="str">
        <f>IFERROR(__xludf.DUMMYFUNCTION("""COMPUTED_VALUE"""),"")</f>
        <v/>
      </c>
      <c r="L28" s="595">
        <f>IFERROR(__xludf.DUMMYFUNCTION("""COMPUTED_VALUE"""),679.4)</f>
        <v>679.4</v>
      </c>
      <c r="M28" s="595">
        <f>IFERROR(__xludf.DUMMYFUNCTION("""COMPUTED_VALUE"""),746.9000000000001)</f>
        <v>746.9</v>
      </c>
      <c r="N28" s="595">
        <f>IFERROR(__xludf.DUMMYFUNCTION("""COMPUTED_VALUE"""),814.4)</f>
        <v>814.4</v>
      </c>
      <c r="O28" s="600">
        <f>IFERROR(__xludf.DUMMYFUNCTION("""COMPUTED_VALUE"""),2.0)</f>
        <v>2</v>
      </c>
      <c r="P28" s="599">
        <f>IFERROR(__xludf.DUMMYFUNCTION("""COMPUTED_VALUE"""),0.2)</f>
        <v>0.2</v>
      </c>
      <c r="Q28" s="6" t="str">
        <f>IFERROR(__xludf.DUMMYFUNCTION("""COMPUTED_VALUE"""),"")</f>
        <v/>
      </c>
      <c r="R28" s="595">
        <f>IFERROR(__xludf.DUMMYFUNCTION("""COMPUTED_VALUE"""),257.9)</f>
        <v>257.9</v>
      </c>
      <c r="S28" s="595">
        <f>IFERROR(__xludf.DUMMYFUNCTION("""COMPUTED_VALUE"""),283.4)</f>
        <v>283.4</v>
      </c>
      <c r="T28" s="595">
        <f>IFERROR(__xludf.DUMMYFUNCTION("""COMPUTED_VALUE"""),308.9)</f>
        <v>308.9</v>
      </c>
      <c r="U28" s="600">
        <f>IFERROR(__xludf.DUMMYFUNCTION("""COMPUTED_VALUE"""),0.0)</f>
        <v>0</v>
      </c>
      <c r="V28" s="599">
        <f>IFERROR(__xludf.DUMMYFUNCTION("""COMPUTED_VALUE"""),0.0)</f>
        <v>0</v>
      </c>
      <c r="W28" s="6" t="str">
        <f>IFERROR(__xludf.DUMMYFUNCTION("""COMPUTED_VALUE"""),"")</f>
        <v/>
      </c>
      <c r="X28" s="595">
        <f>IFERROR(__xludf.DUMMYFUNCTION("""COMPUTED_VALUE"""),176.4)</f>
        <v>176.4</v>
      </c>
      <c r="Y28" s="595">
        <f>IFERROR(__xludf.DUMMYFUNCTION("""COMPUTED_VALUE"""),193.90000000000003)</f>
        <v>193.9</v>
      </c>
      <c r="Z28" s="595">
        <f>IFERROR(__xludf.DUMMYFUNCTION("""COMPUTED_VALUE"""),211.4)</f>
        <v>211.4</v>
      </c>
      <c r="AA28" s="600">
        <f>IFERROR(__xludf.DUMMYFUNCTION("""COMPUTED_VALUE"""),0.0)</f>
        <v>0</v>
      </c>
      <c r="AB28" s="599">
        <f>IFERROR(__xludf.DUMMYFUNCTION("""COMPUTED_VALUE"""),0.0)</f>
        <v>0</v>
      </c>
      <c r="AC28" s="6" t="str">
        <f>IFERROR(__xludf.DUMMYFUNCTION("""COMPUTED_VALUE"""),"")</f>
        <v/>
      </c>
    </row>
    <row r="29">
      <c r="A29" s="6" t="str">
        <f>IFERROR(__xludf.DUMMYFUNCTION("""COMPUTED_VALUE"""),"")</f>
        <v/>
      </c>
      <c r="B29" s="589">
        <f>IFERROR(__xludf.DUMMYFUNCTION("""COMPUTED_VALUE"""),1941.4)</f>
        <v>1941.4</v>
      </c>
      <c r="C29" s="590">
        <f>IFERROR(__xludf.DUMMYFUNCTION("""COMPUTED_VALUE"""),2134.9)</f>
        <v>2134.9</v>
      </c>
      <c r="D29" s="591"/>
      <c r="E29" s="589">
        <f>IFERROR(__xludf.DUMMYFUNCTION("""COMPUTED_VALUE"""),2232.61)</f>
        <v>2232.61</v>
      </c>
      <c r="F29" s="589">
        <f>IFERROR(__xludf.DUMMYFUNCTION("""COMPUTED_VALUE"""),2328.4)</f>
        <v>2328.4</v>
      </c>
      <c r="G29" s="589">
        <f>IFERROR(__xludf.DUMMYFUNCTION("""COMPUTED_VALUE"""),2426.75)</f>
        <v>2426.75</v>
      </c>
      <c r="H29" s="592">
        <f>IFERROR(__xludf.DUMMYFUNCTION("""COMPUTED_VALUE"""),12.0)</f>
        <v>12</v>
      </c>
      <c r="I29" s="591"/>
      <c r="J29" s="593">
        <f>IFERROR(__xludf.DUMMYFUNCTION("""COMPUTED_VALUE"""),0.004137931034482759)</f>
        <v>0.004137931034</v>
      </c>
      <c r="K29" s="6" t="str">
        <f>IFERROR(__xludf.DUMMYFUNCTION("""COMPUTED_VALUE"""),"")</f>
        <v/>
      </c>
      <c r="L29" s="589">
        <f>IFERROR(__xludf.DUMMYFUNCTION("""COMPUTED_VALUE"""),709.4)</f>
        <v>709.4</v>
      </c>
      <c r="M29" s="589">
        <f>IFERROR(__xludf.DUMMYFUNCTION("""COMPUTED_VALUE"""),779.9000000000001)</f>
        <v>779.9</v>
      </c>
      <c r="N29" s="589">
        <f>IFERROR(__xludf.DUMMYFUNCTION("""COMPUTED_VALUE"""),850.4)</f>
        <v>850.4</v>
      </c>
      <c r="O29" s="594">
        <f>IFERROR(__xludf.DUMMYFUNCTION("""COMPUTED_VALUE"""),0.0)</f>
        <v>0</v>
      </c>
      <c r="P29" s="593">
        <f>IFERROR(__xludf.DUMMYFUNCTION("""COMPUTED_VALUE"""),0.0)</f>
        <v>0</v>
      </c>
      <c r="Q29" s="6" t="str">
        <f>IFERROR(__xludf.DUMMYFUNCTION("""COMPUTED_VALUE"""),"")</f>
        <v/>
      </c>
      <c r="R29" s="589">
        <f>IFERROR(__xludf.DUMMYFUNCTION("""COMPUTED_VALUE"""),267.9)</f>
        <v>267.9</v>
      </c>
      <c r="S29" s="589">
        <f>IFERROR(__xludf.DUMMYFUNCTION("""COMPUTED_VALUE"""),294.4)</f>
        <v>294.4</v>
      </c>
      <c r="T29" s="589">
        <f>IFERROR(__xludf.DUMMYFUNCTION("""COMPUTED_VALUE"""),320.9)</f>
        <v>320.9</v>
      </c>
      <c r="U29" s="594">
        <f>IFERROR(__xludf.DUMMYFUNCTION("""COMPUTED_VALUE"""),1.0)</f>
        <v>1</v>
      </c>
      <c r="V29" s="593">
        <f>IFERROR(__xludf.DUMMYFUNCTION("""COMPUTED_VALUE"""),0.09090909090909091)</f>
        <v>0.09090909091</v>
      </c>
      <c r="W29" s="6" t="str">
        <f>IFERROR(__xludf.DUMMYFUNCTION("""COMPUTED_VALUE"""),"")</f>
        <v/>
      </c>
      <c r="X29" s="589">
        <f>IFERROR(__xludf.DUMMYFUNCTION("""COMPUTED_VALUE"""),186.4)</f>
        <v>186.4</v>
      </c>
      <c r="Y29" s="589">
        <f>IFERROR(__xludf.DUMMYFUNCTION("""COMPUTED_VALUE"""),204.90000000000003)</f>
        <v>204.9</v>
      </c>
      <c r="Z29" s="589">
        <f>IFERROR(__xludf.DUMMYFUNCTION("""COMPUTED_VALUE"""),223.4)</f>
        <v>223.4</v>
      </c>
      <c r="AA29" s="594">
        <f>IFERROR(__xludf.DUMMYFUNCTION("""COMPUTED_VALUE"""),0.0)</f>
        <v>0</v>
      </c>
      <c r="AB29" s="593">
        <f>IFERROR(__xludf.DUMMYFUNCTION("""COMPUTED_VALUE"""),0.0)</f>
        <v>0</v>
      </c>
      <c r="AC29" s="6" t="str">
        <f>IFERROR(__xludf.DUMMYFUNCTION("""COMPUTED_VALUE"""),"")</f>
        <v/>
      </c>
    </row>
    <row r="30">
      <c r="A30" s="6" t="str">
        <f>IFERROR(__xludf.DUMMYFUNCTION("""COMPUTED_VALUE"""),"")</f>
        <v/>
      </c>
      <c r="B30" s="595">
        <f>IFERROR(__xludf.DUMMYFUNCTION("""COMPUTED_VALUE"""),2031.4)</f>
        <v>2031.4</v>
      </c>
      <c r="C30" s="596">
        <f>IFERROR(__xludf.DUMMYFUNCTION("""COMPUTED_VALUE"""),2233.9)</f>
        <v>2233.9</v>
      </c>
      <c r="D30" s="597"/>
      <c r="E30" s="595">
        <f>IFERROR(__xludf.DUMMYFUNCTION("""COMPUTED_VALUE"""),2336.11)</f>
        <v>2336.11</v>
      </c>
      <c r="F30" s="595">
        <f>IFERROR(__xludf.DUMMYFUNCTION("""COMPUTED_VALUE"""),2436.4)</f>
        <v>2436.4</v>
      </c>
      <c r="G30" s="595">
        <f>IFERROR(__xludf.DUMMYFUNCTION("""COMPUTED_VALUE"""),2539.25)</f>
        <v>2539.25</v>
      </c>
      <c r="H30" s="598">
        <f>IFERROR(__xludf.DUMMYFUNCTION("""COMPUTED_VALUE"""),6.0)</f>
        <v>6</v>
      </c>
      <c r="I30" s="597"/>
      <c r="J30" s="599">
        <f>IFERROR(__xludf.DUMMYFUNCTION("""COMPUTED_VALUE"""),0.0020689655172413794)</f>
        <v>0.002068965517</v>
      </c>
      <c r="K30" s="6" t="str">
        <f>IFERROR(__xludf.DUMMYFUNCTION("""COMPUTED_VALUE"""),"")</f>
        <v/>
      </c>
      <c r="L30" s="595">
        <f>IFERROR(__xludf.DUMMYFUNCTION("""COMPUTED_VALUE"""),739.4)</f>
        <v>739.4</v>
      </c>
      <c r="M30" s="595">
        <f>IFERROR(__xludf.DUMMYFUNCTION("""COMPUTED_VALUE"""),812.9000000000001)</f>
        <v>812.9</v>
      </c>
      <c r="N30" s="595">
        <f>IFERROR(__xludf.DUMMYFUNCTION("""COMPUTED_VALUE"""),886.4)</f>
        <v>886.4</v>
      </c>
      <c r="O30" s="600">
        <f>IFERROR(__xludf.DUMMYFUNCTION("""COMPUTED_VALUE"""),1.0)</f>
        <v>1</v>
      </c>
      <c r="P30" s="599">
        <f>IFERROR(__xludf.DUMMYFUNCTION("""COMPUTED_VALUE"""),0.1)</f>
        <v>0.1</v>
      </c>
      <c r="Q30" s="6" t="str">
        <f>IFERROR(__xludf.DUMMYFUNCTION("""COMPUTED_VALUE"""),"")</f>
        <v/>
      </c>
      <c r="R30" s="595">
        <f>IFERROR(__xludf.DUMMYFUNCTION("""COMPUTED_VALUE"""),277.9)</f>
        <v>277.9</v>
      </c>
      <c r="S30" s="595">
        <f>IFERROR(__xludf.DUMMYFUNCTION("""COMPUTED_VALUE"""),305.4)</f>
        <v>305.4</v>
      </c>
      <c r="T30" s="595">
        <f>IFERROR(__xludf.DUMMYFUNCTION("""COMPUTED_VALUE"""),332.9)</f>
        <v>332.9</v>
      </c>
      <c r="U30" s="600">
        <f>IFERROR(__xludf.DUMMYFUNCTION("""COMPUTED_VALUE"""),0.0)</f>
        <v>0</v>
      </c>
      <c r="V30" s="599">
        <f>IFERROR(__xludf.DUMMYFUNCTION("""COMPUTED_VALUE"""),0.0)</f>
        <v>0</v>
      </c>
      <c r="W30" s="6" t="str">
        <f>IFERROR(__xludf.DUMMYFUNCTION("""COMPUTED_VALUE"""),"")</f>
        <v/>
      </c>
      <c r="X30" s="595">
        <f>IFERROR(__xludf.DUMMYFUNCTION("""COMPUTED_VALUE"""),196.4)</f>
        <v>196.4</v>
      </c>
      <c r="Y30" s="595">
        <f>IFERROR(__xludf.DUMMYFUNCTION("""COMPUTED_VALUE"""),215.90000000000003)</f>
        <v>215.9</v>
      </c>
      <c r="Z30" s="595">
        <f>IFERROR(__xludf.DUMMYFUNCTION("""COMPUTED_VALUE"""),235.4)</f>
        <v>235.4</v>
      </c>
      <c r="AA30" s="600">
        <f>IFERROR(__xludf.DUMMYFUNCTION("""COMPUTED_VALUE"""),0.0)</f>
        <v>0</v>
      </c>
      <c r="AB30" s="599">
        <f>IFERROR(__xludf.DUMMYFUNCTION("""COMPUTED_VALUE"""),0.0)</f>
        <v>0</v>
      </c>
      <c r="AC30" s="6" t="str">
        <f>IFERROR(__xludf.DUMMYFUNCTION("""COMPUTED_VALUE"""),"")</f>
        <v/>
      </c>
    </row>
    <row r="31">
      <c r="A31" s="6" t="str">
        <f>IFERROR(__xludf.DUMMYFUNCTION("""COMPUTED_VALUE"""),"")</f>
        <v/>
      </c>
      <c r="B31" s="589">
        <f>IFERROR(__xludf.DUMMYFUNCTION("""COMPUTED_VALUE"""),2121.4)</f>
        <v>2121.4</v>
      </c>
      <c r="C31" s="590">
        <f>IFERROR(__xludf.DUMMYFUNCTION("""COMPUTED_VALUE"""),2332.9)</f>
        <v>2332.9</v>
      </c>
      <c r="D31" s="591"/>
      <c r="E31" s="589">
        <f>IFERROR(__xludf.DUMMYFUNCTION("""COMPUTED_VALUE"""),2439.61)</f>
        <v>2439.61</v>
      </c>
      <c r="F31" s="589">
        <f>IFERROR(__xludf.DUMMYFUNCTION("""COMPUTED_VALUE"""),2544.4)</f>
        <v>2544.4</v>
      </c>
      <c r="G31" s="589">
        <f>IFERROR(__xludf.DUMMYFUNCTION("""COMPUTED_VALUE"""),2651.75)</f>
        <v>2651.75</v>
      </c>
      <c r="H31" s="592">
        <f>IFERROR(__xludf.DUMMYFUNCTION("""COMPUTED_VALUE"""),2.0)</f>
        <v>2</v>
      </c>
      <c r="I31" s="591"/>
      <c r="J31" s="593">
        <f>IFERROR(__xludf.DUMMYFUNCTION("""COMPUTED_VALUE"""),6.89655172413793E-4)</f>
        <v>0.0006896551724</v>
      </c>
      <c r="K31" s="6" t="str">
        <f>IFERROR(__xludf.DUMMYFUNCTION("""COMPUTED_VALUE"""),"")</f>
        <v/>
      </c>
      <c r="L31" s="589">
        <f>IFERROR(__xludf.DUMMYFUNCTION("""COMPUTED_VALUE"""),769.4)</f>
        <v>769.4</v>
      </c>
      <c r="M31" s="589">
        <f>IFERROR(__xludf.DUMMYFUNCTION("""COMPUTED_VALUE"""),845.9000000000001)</f>
        <v>845.9</v>
      </c>
      <c r="N31" s="589">
        <f>IFERROR(__xludf.DUMMYFUNCTION("""COMPUTED_VALUE"""),922.4)</f>
        <v>922.4</v>
      </c>
      <c r="O31" s="594">
        <f>IFERROR(__xludf.DUMMYFUNCTION("""COMPUTED_VALUE"""),0.0)</f>
        <v>0</v>
      </c>
      <c r="P31" s="593">
        <f>IFERROR(__xludf.DUMMYFUNCTION("""COMPUTED_VALUE"""),0.0)</f>
        <v>0</v>
      </c>
      <c r="Q31" s="6" t="str">
        <f>IFERROR(__xludf.DUMMYFUNCTION("""COMPUTED_VALUE"""),"")</f>
        <v/>
      </c>
      <c r="R31" s="589">
        <f>IFERROR(__xludf.DUMMYFUNCTION("""COMPUTED_VALUE"""),287.9)</f>
        <v>287.9</v>
      </c>
      <c r="S31" s="589">
        <f>IFERROR(__xludf.DUMMYFUNCTION("""COMPUTED_VALUE"""),316.4)</f>
        <v>316.4</v>
      </c>
      <c r="T31" s="589">
        <f>IFERROR(__xludf.DUMMYFUNCTION("""COMPUTED_VALUE"""),344.9)</f>
        <v>344.9</v>
      </c>
      <c r="U31" s="594">
        <f>IFERROR(__xludf.DUMMYFUNCTION("""COMPUTED_VALUE"""),0.0)</f>
        <v>0</v>
      </c>
      <c r="V31" s="593">
        <f>IFERROR(__xludf.DUMMYFUNCTION("""COMPUTED_VALUE"""),0.0)</f>
        <v>0</v>
      </c>
      <c r="W31" s="6" t="str">
        <f>IFERROR(__xludf.DUMMYFUNCTION("""COMPUTED_VALUE"""),"")</f>
        <v/>
      </c>
      <c r="X31" s="601" t="str">
        <f>IFERROR(__xludf.DUMMYFUNCTION("""COMPUTED_VALUE"""),"")</f>
        <v/>
      </c>
      <c r="Y31" s="602" t="str">
        <f>IFERROR(__xludf.DUMMYFUNCTION("""COMPUTED_VALUE"""),"")</f>
        <v/>
      </c>
      <c r="Z31" s="603" t="str">
        <f>IFERROR(__xludf.DUMMYFUNCTION("""COMPUTED_VALUE"""),"")</f>
        <v/>
      </c>
      <c r="AA31" s="604" t="str">
        <f>IFERROR(__xludf.DUMMYFUNCTION("""COMPUTED_VALUE"""),"")</f>
        <v/>
      </c>
      <c r="AB31" s="605" t="str">
        <f>IFERROR(__xludf.DUMMYFUNCTION("""COMPUTED_VALUE"""),"")</f>
        <v/>
      </c>
      <c r="AC31" s="6" t="str">
        <f>IFERROR(__xludf.DUMMYFUNCTION("""COMPUTED_VALUE"""),"")</f>
        <v/>
      </c>
    </row>
    <row r="32">
      <c r="A32" s="6" t="str">
        <f>IFERROR(__xludf.DUMMYFUNCTION("""COMPUTED_VALUE"""),"")</f>
        <v/>
      </c>
      <c r="B32" s="595">
        <f>IFERROR(__xludf.DUMMYFUNCTION("""COMPUTED_VALUE"""),2211.4)</f>
        <v>2211.4</v>
      </c>
      <c r="C32" s="596">
        <f>IFERROR(__xludf.DUMMYFUNCTION("""COMPUTED_VALUE"""),2431.9)</f>
        <v>2431.9</v>
      </c>
      <c r="D32" s="597"/>
      <c r="E32" s="595">
        <f>IFERROR(__xludf.DUMMYFUNCTION("""COMPUTED_VALUE"""),2543.11)</f>
        <v>2543.11</v>
      </c>
      <c r="F32" s="595">
        <f>IFERROR(__xludf.DUMMYFUNCTION("""COMPUTED_VALUE"""),2652.4)</f>
        <v>2652.4</v>
      </c>
      <c r="G32" s="595">
        <f>IFERROR(__xludf.DUMMYFUNCTION("""COMPUTED_VALUE"""),2764.25)</f>
        <v>2764.25</v>
      </c>
      <c r="H32" s="598">
        <f>IFERROR(__xludf.DUMMYFUNCTION("""COMPUTED_VALUE"""),1.0)</f>
        <v>1</v>
      </c>
      <c r="I32" s="597"/>
      <c r="J32" s="599">
        <f>IFERROR(__xludf.DUMMYFUNCTION("""COMPUTED_VALUE"""),3.448275862068965E-4)</f>
        <v>0.0003448275862</v>
      </c>
      <c r="K32" s="6" t="str">
        <f>IFERROR(__xludf.DUMMYFUNCTION("""COMPUTED_VALUE"""),"")</f>
        <v/>
      </c>
      <c r="L32" s="595">
        <f>IFERROR(__xludf.DUMMYFUNCTION("""COMPUTED_VALUE"""),799.4)</f>
        <v>799.4</v>
      </c>
      <c r="M32" s="595">
        <f>IFERROR(__xludf.DUMMYFUNCTION("""COMPUTED_VALUE"""),878.9000000000001)</f>
        <v>878.9</v>
      </c>
      <c r="N32" s="595">
        <f>IFERROR(__xludf.DUMMYFUNCTION("""COMPUTED_VALUE"""),958.4)</f>
        <v>958.4</v>
      </c>
      <c r="O32" s="600">
        <f>IFERROR(__xludf.DUMMYFUNCTION("""COMPUTED_VALUE"""),0.0)</f>
        <v>0</v>
      </c>
      <c r="P32" s="599">
        <f>IFERROR(__xludf.DUMMYFUNCTION("""COMPUTED_VALUE"""),0.0)</f>
        <v>0</v>
      </c>
      <c r="Q32" s="6" t="str">
        <f>IFERROR(__xludf.DUMMYFUNCTION("""COMPUTED_VALUE"""),"")</f>
        <v/>
      </c>
      <c r="R32" s="595">
        <f>IFERROR(__xludf.DUMMYFUNCTION("""COMPUTED_VALUE"""),297.9)</f>
        <v>297.9</v>
      </c>
      <c r="S32" s="595">
        <f>IFERROR(__xludf.DUMMYFUNCTION("""COMPUTED_VALUE"""),327.4)</f>
        <v>327.4</v>
      </c>
      <c r="T32" s="595">
        <f>IFERROR(__xludf.DUMMYFUNCTION("""COMPUTED_VALUE"""),356.9)</f>
        <v>356.9</v>
      </c>
      <c r="U32" s="600">
        <f>IFERROR(__xludf.DUMMYFUNCTION("""COMPUTED_VALUE"""),1.0)</f>
        <v>1</v>
      </c>
      <c r="V32" s="599">
        <f>IFERROR(__xludf.DUMMYFUNCTION("""COMPUTED_VALUE"""),0.09090909090909091)</f>
        <v>0.09090909091</v>
      </c>
      <c r="W32" s="6" t="str">
        <f>IFERROR(__xludf.DUMMYFUNCTION("""COMPUTED_VALUE"""),"")</f>
        <v/>
      </c>
      <c r="X32" s="601" t="str">
        <f>IFERROR(__xludf.DUMMYFUNCTION("""COMPUTED_VALUE"""),"")</f>
        <v/>
      </c>
      <c r="Y32" s="602" t="str">
        <f>IFERROR(__xludf.DUMMYFUNCTION("""COMPUTED_VALUE"""),"")</f>
        <v/>
      </c>
      <c r="Z32" s="603" t="str">
        <f>IFERROR(__xludf.DUMMYFUNCTION("""COMPUTED_VALUE"""),"")</f>
        <v/>
      </c>
      <c r="AA32" s="604" t="str">
        <f>IFERROR(__xludf.DUMMYFUNCTION("""COMPUTED_VALUE"""),"")</f>
        <v/>
      </c>
      <c r="AB32" s="605" t="str">
        <f>IFERROR(__xludf.DUMMYFUNCTION("""COMPUTED_VALUE"""),"")</f>
        <v/>
      </c>
      <c r="AC32" s="6" t="str">
        <f>IFERROR(__xludf.DUMMYFUNCTION("""COMPUTED_VALUE"""),"")</f>
        <v/>
      </c>
    </row>
    <row r="33">
      <c r="A33" s="6" t="str">
        <f>IFERROR(__xludf.DUMMYFUNCTION("""COMPUTED_VALUE"""),"")</f>
        <v/>
      </c>
      <c r="B33" s="589">
        <f>IFERROR(__xludf.DUMMYFUNCTION("""COMPUTED_VALUE"""),2301.4)</f>
        <v>2301.4</v>
      </c>
      <c r="C33" s="590">
        <f>IFERROR(__xludf.DUMMYFUNCTION("""COMPUTED_VALUE"""),2530.9)</f>
        <v>2530.9</v>
      </c>
      <c r="D33" s="591"/>
      <c r="E33" s="589">
        <f>IFERROR(__xludf.DUMMYFUNCTION("""COMPUTED_VALUE"""),2646.61)</f>
        <v>2646.61</v>
      </c>
      <c r="F33" s="589">
        <f>IFERROR(__xludf.DUMMYFUNCTION("""COMPUTED_VALUE"""),2760.4)</f>
        <v>2760.4</v>
      </c>
      <c r="G33" s="589">
        <f>IFERROR(__xludf.DUMMYFUNCTION("""COMPUTED_VALUE"""),2876.75)</f>
        <v>2876.75</v>
      </c>
      <c r="H33" s="592">
        <f>IFERROR(__xludf.DUMMYFUNCTION("""COMPUTED_VALUE"""),1.0)</f>
        <v>1</v>
      </c>
      <c r="I33" s="591"/>
      <c r="J33" s="593">
        <f>IFERROR(__xludf.DUMMYFUNCTION("""COMPUTED_VALUE"""),3.448275862068965E-4)</f>
        <v>0.0003448275862</v>
      </c>
      <c r="K33" s="6" t="str">
        <f>IFERROR(__xludf.DUMMYFUNCTION("""COMPUTED_VALUE"""),"")</f>
        <v/>
      </c>
      <c r="L33" s="589">
        <f>IFERROR(__xludf.DUMMYFUNCTION("""COMPUTED_VALUE"""),829.4)</f>
        <v>829.4</v>
      </c>
      <c r="M33" s="589">
        <f>IFERROR(__xludf.DUMMYFUNCTION("""COMPUTED_VALUE"""),911.9000000000001)</f>
        <v>911.9</v>
      </c>
      <c r="N33" s="589">
        <f>IFERROR(__xludf.DUMMYFUNCTION("""COMPUTED_VALUE"""),994.4)</f>
        <v>994.4</v>
      </c>
      <c r="O33" s="594">
        <f>IFERROR(__xludf.DUMMYFUNCTION("""COMPUTED_VALUE"""),0.0)</f>
        <v>0</v>
      </c>
      <c r="P33" s="593">
        <f>IFERROR(__xludf.DUMMYFUNCTION("""COMPUTED_VALUE"""),0.0)</f>
        <v>0</v>
      </c>
      <c r="Q33" s="6" t="str">
        <f>IFERROR(__xludf.DUMMYFUNCTION("""COMPUTED_VALUE"""),"")</f>
        <v/>
      </c>
      <c r="R33" s="589">
        <f>IFERROR(__xludf.DUMMYFUNCTION("""COMPUTED_VALUE"""),307.9)</f>
        <v>307.9</v>
      </c>
      <c r="S33" s="589">
        <f>IFERROR(__xludf.DUMMYFUNCTION("""COMPUTED_VALUE"""),338.4)</f>
        <v>338.4</v>
      </c>
      <c r="T33" s="589">
        <f>IFERROR(__xludf.DUMMYFUNCTION("""COMPUTED_VALUE"""),368.9)</f>
        <v>368.9</v>
      </c>
      <c r="U33" s="594">
        <f>IFERROR(__xludf.DUMMYFUNCTION("""COMPUTED_VALUE"""),0.0)</f>
        <v>0</v>
      </c>
      <c r="V33" s="593">
        <f>IFERROR(__xludf.DUMMYFUNCTION("""COMPUTED_VALUE"""),0.0)</f>
        <v>0</v>
      </c>
      <c r="W33" s="6" t="str">
        <f>IFERROR(__xludf.DUMMYFUNCTION("""COMPUTED_VALUE"""),"")</f>
        <v/>
      </c>
      <c r="X33" s="601" t="str">
        <f>IFERROR(__xludf.DUMMYFUNCTION("""COMPUTED_VALUE"""),"")</f>
        <v/>
      </c>
      <c r="Y33" s="602" t="str">
        <f>IFERROR(__xludf.DUMMYFUNCTION("""COMPUTED_VALUE"""),"")</f>
        <v/>
      </c>
      <c r="Z33" s="603" t="str">
        <f>IFERROR(__xludf.DUMMYFUNCTION("""COMPUTED_VALUE"""),"")</f>
        <v/>
      </c>
      <c r="AA33" s="604" t="str">
        <f>IFERROR(__xludf.DUMMYFUNCTION("""COMPUTED_VALUE"""),"")</f>
        <v/>
      </c>
      <c r="AB33" s="605" t="str">
        <f>IFERROR(__xludf.DUMMYFUNCTION("""COMPUTED_VALUE"""),"")</f>
        <v/>
      </c>
      <c r="AC33" s="6" t="str">
        <f>IFERROR(__xludf.DUMMYFUNCTION("""COMPUTED_VALUE"""),"")</f>
        <v/>
      </c>
    </row>
    <row r="34">
      <c r="A34" s="6" t="str">
        <f>IFERROR(__xludf.DUMMYFUNCTION("""COMPUTED_VALUE"""),"")</f>
        <v/>
      </c>
      <c r="B34" s="595">
        <f>IFERROR(__xludf.DUMMYFUNCTION("""COMPUTED_VALUE"""),2391.4)</f>
        <v>2391.4</v>
      </c>
      <c r="C34" s="596">
        <f>IFERROR(__xludf.DUMMYFUNCTION("""COMPUTED_VALUE"""),2629.9)</f>
        <v>2629.9</v>
      </c>
      <c r="D34" s="597"/>
      <c r="E34" s="595">
        <f>IFERROR(__xludf.DUMMYFUNCTION("""COMPUTED_VALUE"""),2750.1099999999997)</f>
        <v>2750.11</v>
      </c>
      <c r="F34" s="595">
        <f>IFERROR(__xludf.DUMMYFUNCTION("""COMPUTED_VALUE"""),2868.4)</f>
        <v>2868.4</v>
      </c>
      <c r="G34" s="595">
        <f>IFERROR(__xludf.DUMMYFUNCTION("""COMPUTED_VALUE"""),2989.25)</f>
        <v>2989.25</v>
      </c>
      <c r="H34" s="598">
        <f>IFERROR(__xludf.DUMMYFUNCTION("""COMPUTED_VALUE"""),0.0)</f>
        <v>0</v>
      </c>
      <c r="I34" s="597"/>
      <c r="J34" s="599">
        <f>IFERROR(__xludf.DUMMYFUNCTION("""COMPUTED_VALUE"""),0.0)</f>
        <v>0</v>
      </c>
      <c r="K34" s="6" t="str">
        <f>IFERROR(__xludf.DUMMYFUNCTION("""COMPUTED_VALUE"""),"")</f>
        <v/>
      </c>
      <c r="L34" s="595">
        <f>IFERROR(__xludf.DUMMYFUNCTION("""COMPUTED_VALUE"""),859.4)</f>
        <v>859.4</v>
      </c>
      <c r="M34" s="595">
        <f>IFERROR(__xludf.DUMMYFUNCTION("""COMPUTED_VALUE"""),944.9000000000001)</f>
        <v>944.9</v>
      </c>
      <c r="N34" s="595">
        <f>IFERROR(__xludf.DUMMYFUNCTION("""COMPUTED_VALUE"""),1030.4)</f>
        <v>1030.4</v>
      </c>
      <c r="O34" s="600">
        <f>IFERROR(__xludf.DUMMYFUNCTION("""COMPUTED_VALUE"""),0.0)</f>
        <v>0</v>
      </c>
      <c r="P34" s="599">
        <f>IFERROR(__xludf.DUMMYFUNCTION("""COMPUTED_VALUE"""),0.0)</f>
        <v>0</v>
      </c>
      <c r="Q34" s="6" t="str">
        <f>IFERROR(__xludf.DUMMYFUNCTION("""COMPUTED_VALUE"""),"")</f>
        <v/>
      </c>
      <c r="R34" s="595">
        <f>IFERROR(__xludf.DUMMYFUNCTION("""COMPUTED_VALUE"""),317.9)</f>
        <v>317.9</v>
      </c>
      <c r="S34" s="595">
        <f>IFERROR(__xludf.DUMMYFUNCTION("""COMPUTED_VALUE"""),349.4)</f>
        <v>349.4</v>
      </c>
      <c r="T34" s="595">
        <f>IFERROR(__xludf.DUMMYFUNCTION("""COMPUTED_VALUE"""),380.9)</f>
        <v>380.9</v>
      </c>
      <c r="U34" s="600">
        <f>IFERROR(__xludf.DUMMYFUNCTION("""COMPUTED_VALUE"""),0.0)</f>
        <v>0</v>
      </c>
      <c r="V34" s="599">
        <f>IFERROR(__xludf.DUMMYFUNCTION("""COMPUTED_VALUE"""),0.0)</f>
        <v>0</v>
      </c>
      <c r="W34" s="6" t="str">
        <f>IFERROR(__xludf.DUMMYFUNCTION("""COMPUTED_VALUE"""),"")</f>
        <v/>
      </c>
      <c r="X34" s="601" t="str">
        <f>IFERROR(__xludf.DUMMYFUNCTION("""COMPUTED_VALUE"""),"")</f>
        <v/>
      </c>
      <c r="Y34" s="602" t="str">
        <f>IFERROR(__xludf.DUMMYFUNCTION("""COMPUTED_VALUE"""),"")</f>
        <v/>
      </c>
      <c r="Z34" s="603" t="str">
        <f>IFERROR(__xludf.DUMMYFUNCTION("""COMPUTED_VALUE"""),"")</f>
        <v/>
      </c>
      <c r="AA34" s="604" t="str">
        <f>IFERROR(__xludf.DUMMYFUNCTION("""COMPUTED_VALUE"""),"")</f>
        <v/>
      </c>
      <c r="AB34" s="605" t="str">
        <f>IFERROR(__xludf.DUMMYFUNCTION("""COMPUTED_VALUE"""),"")</f>
        <v/>
      </c>
      <c r="AC34" s="6" t="str">
        <f>IFERROR(__xludf.DUMMYFUNCTION("""COMPUTED_VALUE"""),"")</f>
        <v/>
      </c>
    </row>
    <row r="35">
      <c r="A35" s="6" t="str">
        <f>IFERROR(__xludf.DUMMYFUNCTION("""COMPUTED_VALUE"""),"")</f>
        <v/>
      </c>
      <c r="B35" s="589">
        <f>IFERROR(__xludf.DUMMYFUNCTION("""COMPUTED_VALUE"""),2481.4)</f>
        <v>2481.4</v>
      </c>
      <c r="C35" s="590">
        <f>IFERROR(__xludf.DUMMYFUNCTION("""COMPUTED_VALUE"""),2728.9)</f>
        <v>2728.9</v>
      </c>
      <c r="D35" s="591"/>
      <c r="E35" s="589">
        <f>IFERROR(__xludf.DUMMYFUNCTION("""COMPUTED_VALUE"""),2853.6099999999997)</f>
        <v>2853.61</v>
      </c>
      <c r="F35" s="589">
        <f>IFERROR(__xludf.DUMMYFUNCTION("""COMPUTED_VALUE"""),2976.4)</f>
        <v>2976.4</v>
      </c>
      <c r="G35" s="589">
        <f>IFERROR(__xludf.DUMMYFUNCTION("""COMPUTED_VALUE"""),3101.75)</f>
        <v>3101.75</v>
      </c>
      <c r="H35" s="592">
        <f>IFERROR(__xludf.DUMMYFUNCTION("""COMPUTED_VALUE"""),0.0)</f>
        <v>0</v>
      </c>
      <c r="I35" s="591"/>
      <c r="J35" s="593">
        <f>IFERROR(__xludf.DUMMYFUNCTION("""COMPUTED_VALUE"""),0.0)</f>
        <v>0</v>
      </c>
      <c r="K35" s="6" t="str">
        <f>IFERROR(__xludf.DUMMYFUNCTION("""COMPUTED_VALUE"""),"")</f>
        <v/>
      </c>
      <c r="L35" s="589">
        <f>IFERROR(__xludf.DUMMYFUNCTION("""COMPUTED_VALUE"""),889.4)</f>
        <v>889.4</v>
      </c>
      <c r="M35" s="589">
        <f>IFERROR(__xludf.DUMMYFUNCTION("""COMPUTED_VALUE"""),977.9000000000001)</f>
        <v>977.9</v>
      </c>
      <c r="N35" s="589">
        <f>IFERROR(__xludf.DUMMYFUNCTION("""COMPUTED_VALUE"""),1066.4)</f>
        <v>1066.4</v>
      </c>
      <c r="O35" s="594">
        <f>IFERROR(__xludf.DUMMYFUNCTION("""COMPUTED_VALUE"""),0.0)</f>
        <v>0</v>
      </c>
      <c r="P35" s="593">
        <f>IFERROR(__xludf.DUMMYFUNCTION("""COMPUTED_VALUE"""),0.0)</f>
        <v>0</v>
      </c>
      <c r="Q35" s="6" t="str">
        <f>IFERROR(__xludf.DUMMYFUNCTION("""COMPUTED_VALUE"""),"")</f>
        <v/>
      </c>
      <c r="R35" s="589">
        <f>IFERROR(__xludf.DUMMYFUNCTION("""COMPUTED_VALUE"""),327.9)</f>
        <v>327.9</v>
      </c>
      <c r="S35" s="589">
        <f>IFERROR(__xludf.DUMMYFUNCTION("""COMPUTED_VALUE"""),360.40000000000003)</f>
        <v>360.4</v>
      </c>
      <c r="T35" s="589">
        <f>IFERROR(__xludf.DUMMYFUNCTION("""COMPUTED_VALUE"""),392.9)</f>
        <v>392.9</v>
      </c>
      <c r="U35" s="594">
        <f>IFERROR(__xludf.DUMMYFUNCTION("""COMPUTED_VALUE"""),0.0)</f>
        <v>0</v>
      </c>
      <c r="V35" s="593">
        <f>IFERROR(__xludf.DUMMYFUNCTION("""COMPUTED_VALUE"""),0.0)</f>
        <v>0</v>
      </c>
      <c r="W35" s="6" t="str">
        <f>IFERROR(__xludf.DUMMYFUNCTION("""COMPUTED_VALUE"""),"")</f>
        <v/>
      </c>
      <c r="X35" s="601" t="str">
        <f>IFERROR(__xludf.DUMMYFUNCTION("""COMPUTED_VALUE"""),"")</f>
        <v/>
      </c>
      <c r="Y35" s="602" t="str">
        <f>IFERROR(__xludf.DUMMYFUNCTION("""COMPUTED_VALUE"""),"")</f>
        <v/>
      </c>
      <c r="Z35" s="603" t="str">
        <f>IFERROR(__xludf.DUMMYFUNCTION("""COMPUTED_VALUE"""),"")</f>
        <v/>
      </c>
      <c r="AA35" s="604" t="str">
        <f>IFERROR(__xludf.DUMMYFUNCTION("""COMPUTED_VALUE"""),"")</f>
        <v/>
      </c>
      <c r="AB35" s="605" t="str">
        <f>IFERROR(__xludf.DUMMYFUNCTION("""COMPUTED_VALUE"""),"")</f>
        <v/>
      </c>
      <c r="AC35" s="6" t="str">
        <f>IFERROR(__xludf.DUMMYFUNCTION("""COMPUTED_VALUE"""),"")</f>
        <v/>
      </c>
    </row>
    <row r="36">
      <c r="A36" s="6" t="str">
        <f>IFERROR(__xludf.DUMMYFUNCTION("""COMPUTED_VALUE"""),"")</f>
        <v/>
      </c>
      <c r="B36" s="595">
        <f>IFERROR(__xludf.DUMMYFUNCTION("""COMPUTED_VALUE"""),2571.4)</f>
        <v>2571.4</v>
      </c>
      <c r="C36" s="596">
        <f>IFERROR(__xludf.DUMMYFUNCTION("""COMPUTED_VALUE"""),2827.9000000000005)</f>
        <v>2827.9</v>
      </c>
      <c r="D36" s="597"/>
      <c r="E36" s="595">
        <f>IFERROR(__xludf.DUMMYFUNCTION("""COMPUTED_VALUE"""),2957.1099999999997)</f>
        <v>2957.11</v>
      </c>
      <c r="F36" s="595">
        <f>IFERROR(__xludf.DUMMYFUNCTION("""COMPUTED_VALUE"""),3084.4)</f>
        <v>3084.4</v>
      </c>
      <c r="G36" s="595">
        <f>IFERROR(__xludf.DUMMYFUNCTION("""COMPUTED_VALUE"""),3214.25)</f>
        <v>3214.25</v>
      </c>
      <c r="H36" s="598">
        <f>IFERROR(__xludf.DUMMYFUNCTION("""COMPUTED_VALUE"""),0.0)</f>
        <v>0</v>
      </c>
      <c r="I36" s="597"/>
      <c r="J36" s="599">
        <f>IFERROR(__xludf.DUMMYFUNCTION("""COMPUTED_VALUE"""),0.0)</f>
        <v>0</v>
      </c>
      <c r="K36" s="6" t="str">
        <f>IFERROR(__xludf.DUMMYFUNCTION("""COMPUTED_VALUE"""),"")</f>
        <v/>
      </c>
      <c r="L36" s="595">
        <f>IFERROR(__xludf.DUMMYFUNCTION("""COMPUTED_VALUE"""),919.4)</f>
        <v>919.4</v>
      </c>
      <c r="M36" s="595">
        <f>IFERROR(__xludf.DUMMYFUNCTION("""COMPUTED_VALUE"""),1010.9000000000001)</f>
        <v>1010.9</v>
      </c>
      <c r="N36" s="595">
        <f>IFERROR(__xludf.DUMMYFUNCTION("""COMPUTED_VALUE"""),1102.4)</f>
        <v>1102.4</v>
      </c>
      <c r="O36" s="600">
        <f>IFERROR(__xludf.DUMMYFUNCTION("""COMPUTED_VALUE"""),0.0)</f>
        <v>0</v>
      </c>
      <c r="P36" s="599">
        <f>IFERROR(__xludf.DUMMYFUNCTION("""COMPUTED_VALUE"""),0.0)</f>
        <v>0</v>
      </c>
      <c r="Q36" s="6" t="str">
        <f>IFERROR(__xludf.DUMMYFUNCTION("""COMPUTED_VALUE"""),"")</f>
        <v/>
      </c>
      <c r="R36" s="595">
        <f>IFERROR(__xludf.DUMMYFUNCTION("""COMPUTED_VALUE"""),337.9)</f>
        <v>337.9</v>
      </c>
      <c r="S36" s="595">
        <f>IFERROR(__xludf.DUMMYFUNCTION("""COMPUTED_VALUE"""),371.40000000000003)</f>
        <v>371.4</v>
      </c>
      <c r="T36" s="595">
        <f>IFERROR(__xludf.DUMMYFUNCTION("""COMPUTED_VALUE"""),404.9)</f>
        <v>404.9</v>
      </c>
      <c r="U36" s="600">
        <f>IFERROR(__xludf.DUMMYFUNCTION("""COMPUTED_VALUE"""),0.0)</f>
        <v>0</v>
      </c>
      <c r="V36" s="599">
        <f>IFERROR(__xludf.DUMMYFUNCTION("""COMPUTED_VALUE"""),0.0)</f>
        <v>0</v>
      </c>
      <c r="W36" s="6" t="str">
        <f>IFERROR(__xludf.DUMMYFUNCTION("""COMPUTED_VALUE"""),"")</f>
        <v/>
      </c>
      <c r="X36" s="601" t="str">
        <f>IFERROR(__xludf.DUMMYFUNCTION("""COMPUTED_VALUE"""),"")</f>
        <v/>
      </c>
      <c r="Y36" s="602" t="str">
        <f>IFERROR(__xludf.DUMMYFUNCTION("""COMPUTED_VALUE"""),"")</f>
        <v/>
      </c>
      <c r="Z36" s="603" t="str">
        <f>IFERROR(__xludf.DUMMYFUNCTION("""COMPUTED_VALUE"""),"")</f>
        <v/>
      </c>
      <c r="AA36" s="604" t="str">
        <f>IFERROR(__xludf.DUMMYFUNCTION("""COMPUTED_VALUE"""),"")</f>
        <v/>
      </c>
      <c r="AB36" s="605" t="str">
        <f>IFERROR(__xludf.DUMMYFUNCTION("""COMPUTED_VALUE"""),"")</f>
        <v/>
      </c>
      <c r="AC36" s="6" t="str">
        <f>IFERROR(__xludf.DUMMYFUNCTION("""COMPUTED_VALUE"""),"")</f>
        <v/>
      </c>
    </row>
    <row r="37">
      <c r="A37" s="6" t="str">
        <f>IFERROR(__xludf.DUMMYFUNCTION("""COMPUTED_VALUE"""),"")</f>
        <v/>
      </c>
      <c r="B37" s="606" t="str">
        <f>IFERROR(__xludf.DUMMYFUNCTION("""COMPUTED_VALUE"""),"")</f>
        <v/>
      </c>
      <c r="C37" s="607" t="str">
        <f>IFERROR(__xludf.DUMMYFUNCTION("""COMPUTED_VALUE"""),"")</f>
        <v/>
      </c>
      <c r="D37" s="608"/>
      <c r="E37" s="606" t="str">
        <f>IFERROR(__xludf.DUMMYFUNCTION("""COMPUTED_VALUE"""),"")</f>
        <v/>
      </c>
      <c r="F37" s="606" t="str">
        <f>IFERROR(__xludf.DUMMYFUNCTION("""COMPUTED_VALUE"""),"")</f>
        <v/>
      </c>
      <c r="G37" s="606" t="str">
        <f>IFERROR(__xludf.DUMMYFUNCTION("""COMPUTED_VALUE"""),"")</f>
        <v/>
      </c>
      <c r="H37" s="607" t="str">
        <f>IFERROR(__xludf.DUMMYFUNCTION("""COMPUTED_VALUE"""),"")</f>
        <v/>
      </c>
      <c r="I37" s="608"/>
      <c r="J37" s="609" t="str">
        <f>IFERROR(__xludf.DUMMYFUNCTION("""COMPUTED_VALUE"""),"")</f>
        <v/>
      </c>
      <c r="K37" s="6" t="str">
        <f>IFERROR(__xludf.DUMMYFUNCTION("""COMPUTED_VALUE"""),"")</f>
        <v/>
      </c>
      <c r="L37" s="589">
        <f>IFERROR(__xludf.DUMMYFUNCTION("""COMPUTED_VALUE"""),949.4)</f>
        <v>949.4</v>
      </c>
      <c r="M37" s="589">
        <f>IFERROR(__xludf.DUMMYFUNCTION("""COMPUTED_VALUE"""),1043.9)</f>
        <v>1043.9</v>
      </c>
      <c r="N37" s="589">
        <f>IFERROR(__xludf.DUMMYFUNCTION("""COMPUTED_VALUE"""),1138.4)</f>
        <v>1138.4</v>
      </c>
      <c r="O37" s="594">
        <f>IFERROR(__xludf.DUMMYFUNCTION("""COMPUTED_VALUE"""),0.0)</f>
        <v>0</v>
      </c>
      <c r="P37" s="593">
        <f>IFERROR(__xludf.DUMMYFUNCTION("""COMPUTED_VALUE"""),0.0)</f>
        <v>0</v>
      </c>
      <c r="Q37" s="6" t="str">
        <f>IFERROR(__xludf.DUMMYFUNCTION("""COMPUTED_VALUE"""),"")</f>
        <v/>
      </c>
      <c r="R37" s="589">
        <f>IFERROR(__xludf.DUMMYFUNCTION("""COMPUTED_VALUE"""),347.9)</f>
        <v>347.9</v>
      </c>
      <c r="S37" s="589">
        <f>IFERROR(__xludf.DUMMYFUNCTION("""COMPUTED_VALUE"""),382.40000000000003)</f>
        <v>382.4</v>
      </c>
      <c r="T37" s="589">
        <f>IFERROR(__xludf.DUMMYFUNCTION("""COMPUTED_VALUE"""),416.9)</f>
        <v>416.9</v>
      </c>
      <c r="U37" s="594">
        <f>IFERROR(__xludf.DUMMYFUNCTION("""COMPUTED_VALUE"""),0.0)</f>
        <v>0</v>
      </c>
      <c r="V37" s="593">
        <f>IFERROR(__xludf.DUMMYFUNCTION("""COMPUTED_VALUE"""),0.0)</f>
        <v>0</v>
      </c>
      <c r="W37" s="6" t="str">
        <f>IFERROR(__xludf.DUMMYFUNCTION("""COMPUTED_VALUE"""),"")</f>
        <v/>
      </c>
      <c r="X37" s="601" t="str">
        <f>IFERROR(__xludf.DUMMYFUNCTION("""COMPUTED_VALUE"""),"")</f>
        <v/>
      </c>
      <c r="Y37" s="602" t="str">
        <f>IFERROR(__xludf.DUMMYFUNCTION("""COMPUTED_VALUE"""),"")</f>
        <v/>
      </c>
      <c r="Z37" s="603" t="str">
        <f>IFERROR(__xludf.DUMMYFUNCTION("""COMPUTED_VALUE"""),"")</f>
        <v/>
      </c>
      <c r="AA37" s="604" t="str">
        <f>IFERROR(__xludf.DUMMYFUNCTION("""COMPUTED_VALUE"""),"")</f>
        <v/>
      </c>
      <c r="AB37" s="605" t="str">
        <f>IFERROR(__xludf.DUMMYFUNCTION("""COMPUTED_VALUE"""),"")</f>
        <v/>
      </c>
      <c r="AC37" s="6" t="str">
        <f>IFERROR(__xludf.DUMMYFUNCTION("""COMPUTED_VALUE"""),"")</f>
        <v/>
      </c>
    </row>
    <row r="38">
      <c r="A38" s="6" t="str">
        <f>IFERROR(__xludf.DUMMYFUNCTION("""COMPUTED_VALUE"""),"")</f>
        <v/>
      </c>
      <c r="B38" s="601" t="str">
        <f>IFERROR(__xludf.DUMMYFUNCTION("""COMPUTED_VALUE"""),"")</f>
        <v/>
      </c>
      <c r="C38" s="601" t="str">
        <f>IFERROR(__xludf.DUMMYFUNCTION("""COMPUTED_VALUE"""),"")</f>
        <v/>
      </c>
      <c r="D38" s="610"/>
      <c r="E38" s="601" t="str">
        <f>IFERROR(__xludf.DUMMYFUNCTION("""COMPUTED_VALUE"""),"")</f>
        <v/>
      </c>
      <c r="F38" s="601" t="str">
        <f>IFERROR(__xludf.DUMMYFUNCTION("""COMPUTED_VALUE"""),"")</f>
        <v/>
      </c>
      <c r="G38" s="601" t="str">
        <f>IFERROR(__xludf.DUMMYFUNCTION("""COMPUTED_VALUE"""),"")</f>
        <v/>
      </c>
      <c r="H38" s="601" t="str">
        <f>IFERROR(__xludf.DUMMYFUNCTION("""COMPUTED_VALUE"""),"")</f>
        <v/>
      </c>
      <c r="I38" s="610"/>
      <c r="J38" s="605" t="str">
        <f>IFERROR(__xludf.DUMMYFUNCTION("""COMPUTED_VALUE"""),"")</f>
        <v/>
      </c>
      <c r="K38" s="6" t="str">
        <f>IFERROR(__xludf.DUMMYFUNCTION("""COMPUTED_VALUE"""),"")</f>
        <v/>
      </c>
      <c r="L38" s="595">
        <f>IFERROR(__xludf.DUMMYFUNCTION("""COMPUTED_VALUE"""),979.4)</f>
        <v>979.4</v>
      </c>
      <c r="M38" s="595">
        <f>IFERROR(__xludf.DUMMYFUNCTION("""COMPUTED_VALUE"""),1076.9)</f>
        <v>1076.9</v>
      </c>
      <c r="N38" s="595">
        <f>IFERROR(__xludf.DUMMYFUNCTION("""COMPUTED_VALUE"""),1174.4)</f>
        <v>1174.4</v>
      </c>
      <c r="O38" s="600">
        <f>IFERROR(__xludf.DUMMYFUNCTION("""COMPUTED_VALUE"""),0.0)</f>
        <v>0</v>
      </c>
      <c r="P38" s="599">
        <f>IFERROR(__xludf.DUMMYFUNCTION("""COMPUTED_VALUE"""),0.0)</f>
        <v>0</v>
      </c>
      <c r="Q38" s="6" t="str">
        <f>IFERROR(__xludf.DUMMYFUNCTION("""COMPUTED_VALUE"""),"")</f>
        <v/>
      </c>
      <c r="R38" s="595">
        <f>IFERROR(__xludf.DUMMYFUNCTION("""COMPUTED_VALUE"""),357.9)</f>
        <v>357.9</v>
      </c>
      <c r="S38" s="595">
        <f>IFERROR(__xludf.DUMMYFUNCTION("""COMPUTED_VALUE"""),393.40000000000003)</f>
        <v>393.4</v>
      </c>
      <c r="T38" s="595">
        <f>IFERROR(__xludf.DUMMYFUNCTION("""COMPUTED_VALUE"""),428.9)</f>
        <v>428.9</v>
      </c>
      <c r="U38" s="600">
        <f>IFERROR(__xludf.DUMMYFUNCTION("""COMPUTED_VALUE"""),0.0)</f>
        <v>0</v>
      </c>
      <c r="V38" s="599">
        <f>IFERROR(__xludf.DUMMYFUNCTION("""COMPUTED_VALUE"""),0.0)</f>
        <v>0</v>
      </c>
      <c r="W38" s="6" t="str">
        <f>IFERROR(__xludf.DUMMYFUNCTION("""COMPUTED_VALUE"""),"")</f>
        <v/>
      </c>
      <c r="X38" s="601" t="str">
        <f>IFERROR(__xludf.DUMMYFUNCTION("""COMPUTED_VALUE"""),"")</f>
        <v/>
      </c>
      <c r="Y38" s="602" t="str">
        <f>IFERROR(__xludf.DUMMYFUNCTION("""COMPUTED_VALUE"""),"")</f>
        <v/>
      </c>
      <c r="Z38" s="603" t="str">
        <f>IFERROR(__xludf.DUMMYFUNCTION("""COMPUTED_VALUE"""),"")</f>
        <v/>
      </c>
      <c r="AA38" s="604" t="str">
        <f>IFERROR(__xludf.DUMMYFUNCTION("""COMPUTED_VALUE"""),"")</f>
        <v/>
      </c>
      <c r="AB38" s="605" t="str">
        <f>IFERROR(__xludf.DUMMYFUNCTION("""COMPUTED_VALUE"""),"")</f>
        <v/>
      </c>
      <c r="AC38" s="6" t="str">
        <f>IFERROR(__xludf.DUMMYFUNCTION("""COMPUTED_VALUE"""),"")</f>
        <v/>
      </c>
    </row>
    <row r="39">
      <c r="A39" s="6" t="str">
        <f>IFERROR(__xludf.DUMMYFUNCTION("""COMPUTED_VALUE"""),"")</f>
        <v/>
      </c>
      <c r="B39" s="601" t="str">
        <f>IFERROR(__xludf.DUMMYFUNCTION("""COMPUTED_VALUE"""),"")</f>
        <v/>
      </c>
      <c r="C39" s="601" t="str">
        <f>IFERROR(__xludf.DUMMYFUNCTION("""COMPUTED_VALUE"""),"")</f>
        <v/>
      </c>
      <c r="D39" s="611"/>
      <c r="E39" s="601" t="str">
        <f>IFERROR(__xludf.DUMMYFUNCTION("""COMPUTED_VALUE"""),"")</f>
        <v/>
      </c>
      <c r="F39" s="601" t="str">
        <f>IFERROR(__xludf.DUMMYFUNCTION("""COMPUTED_VALUE"""),"")</f>
        <v/>
      </c>
      <c r="G39" s="601" t="str">
        <f>IFERROR(__xludf.DUMMYFUNCTION("""COMPUTED_VALUE"""),"")</f>
        <v/>
      </c>
      <c r="H39" s="601" t="str">
        <f>IFERROR(__xludf.DUMMYFUNCTION("""COMPUTED_VALUE"""),"")</f>
        <v/>
      </c>
      <c r="I39" s="611"/>
      <c r="J39" s="605" t="str">
        <f>IFERROR(__xludf.DUMMYFUNCTION("""COMPUTED_VALUE"""),"")</f>
        <v/>
      </c>
      <c r="K39" s="6" t="str">
        <f>IFERROR(__xludf.DUMMYFUNCTION("""COMPUTED_VALUE"""),"")</f>
        <v/>
      </c>
      <c r="L39" s="589">
        <f>IFERROR(__xludf.DUMMYFUNCTION("""COMPUTED_VALUE"""),1009.4)</f>
        <v>1009.4</v>
      </c>
      <c r="M39" s="589">
        <f>IFERROR(__xludf.DUMMYFUNCTION("""COMPUTED_VALUE"""),1109.9)</f>
        <v>1109.9</v>
      </c>
      <c r="N39" s="589">
        <f>IFERROR(__xludf.DUMMYFUNCTION("""COMPUTED_VALUE"""),1210.4)</f>
        <v>1210.4</v>
      </c>
      <c r="O39" s="594">
        <f>IFERROR(__xludf.DUMMYFUNCTION("""COMPUTED_VALUE"""),0.0)</f>
        <v>0</v>
      </c>
      <c r="P39" s="593">
        <f>IFERROR(__xludf.DUMMYFUNCTION("""COMPUTED_VALUE"""),0.0)</f>
        <v>0</v>
      </c>
      <c r="Q39" s="6" t="str">
        <f>IFERROR(__xludf.DUMMYFUNCTION("""COMPUTED_VALUE"""),"")</f>
        <v/>
      </c>
      <c r="R39" s="589">
        <f>IFERROR(__xludf.DUMMYFUNCTION("""COMPUTED_VALUE"""),367.9)</f>
        <v>367.9</v>
      </c>
      <c r="S39" s="589">
        <f>IFERROR(__xludf.DUMMYFUNCTION("""COMPUTED_VALUE"""),404.40000000000003)</f>
        <v>404.4</v>
      </c>
      <c r="T39" s="589">
        <f>IFERROR(__xludf.DUMMYFUNCTION("""COMPUTED_VALUE"""),440.9)</f>
        <v>440.9</v>
      </c>
      <c r="U39" s="594">
        <f>IFERROR(__xludf.DUMMYFUNCTION("""COMPUTED_VALUE"""),0.0)</f>
        <v>0</v>
      </c>
      <c r="V39" s="593">
        <f>IFERROR(__xludf.DUMMYFUNCTION("""COMPUTED_VALUE"""),0.0)</f>
        <v>0</v>
      </c>
      <c r="W39" s="6" t="str">
        <f>IFERROR(__xludf.DUMMYFUNCTION("""COMPUTED_VALUE"""),"")</f>
        <v/>
      </c>
      <c r="X39" s="601" t="str">
        <f>IFERROR(__xludf.DUMMYFUNCTION("""COMPUTED_VALUE"""),"")</f>
        <v/>
      </c>
      <c r="Y39" s="602" t="str">
        <f>IFERROR(__xludf.DUMMYFUNCTION("""COMPUTED_VALUE"""),"")</f>
        <v/>
      </c>
      <c r="Z39" s="603" t="str">
        <f>IFERROR(__xludf.DUMMYFUNCTION("""COMPUTED_VALUE"""),"")</f>
        <v/>
      </c>
      <c r="AA39" s="604" t="str">
        <f>IFERROR(__xludf.DUMMYFUNCTION("""COMPUTED_VALUE"""),"")</f>
        <v/>
      </c>
      <c r="AB39" s="605" t="str">
        <f>IFERROR(__xludf.DUMMYFUNCTION("""COMPUTED_VALUE"""),"")</f>
        <v/>
      </c>
      <c r="AC39" s="6" t="str">
        <f>IFERROR(__xludf.DUMMYFUNCTION("""COMPUTED_VALUE"""),"")</f>
        <v/>
      </c>
    </row>
    <row r="40">
      <c r="A40" s="6" t="str">
        <f>IFERROR(__xludf.DUMMYFUNCTION("""COMPUTED_VALUE"""),"")</f>
        <v/>
      </c>
      <c r="B40" s="601" t="str">
        <f>IFERROR(__xludf.DUMMYFUNCTION("""COMPUTED_VALUE"""),"")</f>
        <v/>
      </c>
      <c r="C40" s="601" t="str">
        <f>IFERROR(__xludf.DUMMYFUNCTION("""COMPUTED_VALUE"""),"")</f>
        <v/>
      </c>
      <c r="D40" s="610"/>
      <c r="E40" s="601" t="str">
        <f>IFERROR(__xludf.DUMMYFUNCTION("""COMPUTED_VALUE"""),"")</f>
        <v/>
      </c>
      <c r="F40" s="601" t="str">
        <f>IFERROR(__xludf.DUMMYFUNCTION("""COMPUTED_VALUE"""),"")</f>
        <v/>
      </c>
      <c r="G40" s="601" t="str">
        <f>IFERROR(__xludf.DUMMYFUNCTION("""COMPUTED_VALUE"""),"")</f>
        <v/>
      </c>
      <c r="H40" s="601" t="str">
        <f>IFERROR(__xludf.DUMMYFUNCTION("""COMPUTED_VALUE"""),"")</f>
        <v/>
      </c>
      <c r="I40" s="610"/>
      <c r="J40" s="605" t="str">
        <f>IFERROR(__xludf.DUMMYFUNCTION("""COMPUTED_VALUE"""),"")</f>
        <v/>
      </c>
      <c r="K40" s="6" t="str">
        <f>IFERROR(__xludf.DUMMYFUNCTION("""COMPUTED_VALUE"""),"")</f>
        <v/>
      </c>
      <c r="L40" s="595">
        <f>IFERROR(__xludf.DUMMYFUNCTION("""COMPUTED_VALUE"""),1039.4)</f>
        <v>1039.4</v>
      </c>
      <c r="M40" s="595">
        <f>IFERROR(__xludf.DUMMYFUNCTION("""COMPUTED_VALUE"""),1142.9)</f>
        <v>1142.9</v>
      </c>
      <c r="N40" s="595">
        <f>IFERROR(__xludf.DUMMYFUNCTION("""COMPUTED_VALUE"""),1246.4)</f>
        <v>1246.4</v>
      </c>
      <c r="O40" s="600">
        <f>IFERROR(__xludf.DUMMYFUNCTION("""COMPUTED_VALUE"""),0.0)</f>
        <v>0</v>
      </c>
      <c r="P40" s="599">
        <f>IFERROR(__xludf.DUMMYFUNCTION("""COMPUTED_VALUE"""),0.0)</f>
        <v>0</v>
      </c>
      <c r="Q40" s="6" t="str">
        <f>IFERROR(__xludf.DUMMYFUNCTION("""COMPUTED_VALUE"""),"")</f>
        <v/>
      </c>
      <c r="R40" s="595">
        <f>IFERROR(__xludf.DUMMYFUNCTION("""COMPUTED_VALUE"""),377.9)</f>
        <v>377.9</v>
      </c>
      <c r="S40" s="595">
        <f>IFERROR(__xludf.DUMMYFUNCTION("""COMPUTED_VALUE"""),415.40000000000003)</f>
        <v>415.4</v>
      </c>
      <c r="T40" s="595">
        <f>IFERROR(__xludf.DUMMYFUNCTION("""COMPUTED_VALUE"""),452.9)</f>
        <v>452.9</v>
      </c>
      <c r="U40" s="600">
        <f>IFERROR(__xludf.DUMMYFUNCTION("""COMPUTED_VALUE"""),0.0)</f>
        <v>0</v>
      </c>
      <c r="V40" s="599">
        <f>IFERROR(__xludf.DUMMYFUNCTION("""COMPUTED_VALUE"""),0.0)</f>
        <v>0</v>
      </c>
      <c r="W40" s="6" t="str">
        <f>IFERROR(__xludf.DUMMYFUNCTION("""COMPUTED_VALUE"""),"")</f>
        <v/>
      </c>
      <c r="X40" s="601" t="str">
        <f>IFERROR(__xludf.DUMMYFUNCTION("""COMPUTED_VALUE"""),"")</f>
        <v/>
      </c>
      <c r="Y40" s="602" t="str">
        <f>IFERROR(__xludf.DUMMYFUNCTION("""COMPUTED_VALUE"""),"")</f>
        <v/>
      </c>
      <c r="Z40" s="603" t="str">
        <f>IFERROR(__xludf.DUMMYFUNCTION("""COMPUTED_VALUE"""),"")</f>
        <v/>
      </c>
      <c r="AA40" s="604" t="str">
        <f>IFERROR(__xludf.DUMMYFUNCTION("""COMPUTED_VALUE"""),"")</f>
        <v/>
      </c>
      <c r="AB40" s="605" t="str">
        <f>IFERROR(__xludf.DUMMYFUNCTION("""COMPUTED_VALUE"""),"")</f>
        <v/>
      </c>
      <c r="AC40" s="6" t="str">
        <f>IFERROR(__xludf.DUMMYFUNCTION("""COMPUTED_VALUE"""),"")</f>
        <v/>
      </c>
    </row>
    <row r="41">
      <c r="A41" s="6" t="str">
        <f>IFERROR(__xludf.DUMMYFUNCTION("""COMPUTED_VALUE"""),"")</f>
        <v/>
      </c>
      <c r="B41" s="601" t="str">
        <f>IFERROR(__xludf.DUMMYFUNCTION("""COMPUTED_VALUE"""),"")</f>
        <v/>
      </c>
      <c r="C41" s="601" t="str">
        <f>IFERROR(__xludf.DUMMYFUNCTION("""COMPUTED_VALUE"""),"")</f>
        <v/>
      </c>
      <c r="D41" s="611"/>
      <c r="E41" s="601" t="str">
        <f>IFERROR(__xludf.DUMMYFUNCTION("""COMPUTED_VALUE"""),"")</f>
        <v/>
      </c>
      <c r="F41" s="601" t="str">
        <f>IFERROR(__xludf.DUMMYFUNCTION("""COMPUTED_VALUE"""),"")</f>
        <v/>
      </c>
      <c r="G41" s="601" t="str">
        <f>IFERROR(__xludf.DUMMYFUNCTION("""COMPUTED_VALUE"""),"")</f>
        <v/>
      </c>
      <c r="H41" s="601" t="str">
        <f>IFERROR(__xludf.DUMMYFUNCTION("""COMPUTED_VALUE"""),"")</f>
        <v/>
      </c>
      <c r="I41" s="611"/>
      <c r="J41" s="605" t="str">
        <f>IFERROR(__xludf.DUMMYFUNCTION("""COMPUTED_VALUE"""),"")</f>
        <v/>
      </c>
      <c r="K41" s="6" t="str">
        <f>IFERROR(__xludf.DUMMYFUNCTION("""COMPUTED_VALUE"""),"")</f>
        <v/>
      </c>
      <c r="L41" s="589">
        <f>IFERROR(__xludf.DUMMYFUNCTION("""COMPUTED_VALUE"""),1069.4)</f>
        <v>1069.4</v>
      </c>
      <c r="M41" s="589">
        <f>IFERROR(__xludf.DUMMYFUNCTION("""COMPUTED_VALUE"""),1175.9)</f>
        <v>1175.9</v>
      </c>
      <c r="N41" s="589">
        <f>IFERROR(__xludf.DUMMYFUNCTION("""COMPUTED_VALUE"""),1282.4)</f>
        <v>1282.4</v>
      </c>
      <c r="O41" s="594">
        <f>IFERROR(__xludf.DUMMYFUNCTION("""COMPUTED_VALUE"""),0.0)</f>
        <v>0</v>
      </c>
      <c r="P41" s="593">
        <f>IFERROR(__xludf.DUMMYFUNCTION("""COMPUTED_VALUE"""),0.0)</f>
        <v>0</v>
      </c>
      <c r="Q41" s="6" t="str">
        <f>IFERROR(__xludf.DUMMYFUNCTION("""COMPUTED_VALUE"""),"")</f>
        <v/>
      </c>
      <c r="R41" s="589">
        <f>IFERROR(__xludf.DUMMYFUNCTION("""COMPUTED_VALUE"""),387.9)</f>
        <v>387.9</v>
      </c>
      <c r="S41" s="589">
        <f>IFERROR(__xludf.DUMMYFUNCTION("""COMPUTED_VALUE"""),426.40000000000003)</f>
        <v>426.4</v>
      </c>
      <c r="T41" s="589">
        <f>IFERROR(__xludf.DUMMYFUNCTION("""COMPUTED_VALUE"""),464.9)</f>
        <v>464.9</v>
      </c>
      <c r="U41" s="594">
        <f>IFERROR(__xludf.DUMMYFUNCTION("""COMPUTED_VALUE"""),0.0)</f>
        <v>0</v>
      </c>
      <c r="V41" s="593">
        <f>IFERROR(__xludf.DUMMYFUNCTION("""COMPUTED_VALUE"""),0.0)</f>
        <v>0</v>
      </c>
      <c r="W41" s="6" t="str">
        <f>IFERROR(__xludf.DUMMYFUNCTION("""COMPUTED_VALUE"""),"")</f>
        <v/>
      </c>
      <c r="X41" s="601" t="str">
        <f>IFERROR(__xludf.DUMMYFUNCTION("""COMPUTED_VALUE"""),"")</f>
        <v/>
      </c>
      <c r="Y41" s="602" t="str">
        <f>IFERROR(__xludf.DUMMYFUNCTION("""COMPUTED_VALUE"""),"")</f>
        <v/>
      </c>
      <c r="Z41" s="603" t="str">
        <f>IFERROR(__xludf.DUMMYFUNCTION("""COMPUTED_VALUE"""),"")</f>
        <v/>
      </c>
      <c r="AA41" s="604" t="str">
        <f>IFERROR(__xludf.DUMMYFUNCTION("""COMPUTED_VALUE"""),"")</f>
        <v/>
      </c>
      <c r="AB41" s="605" t="str">
        <f>IFERROR(__xludf.DUMMYFUNCTION("""COMPUTED_VALUE"""),"")</f>
        <v/>
      </c>
      <c r="AC41" s="6" t="str">
        <f>IFERROR(__xludf.DUMMYFUNCTION("""COMPUTED_VALUE"""),"")</f>
        <v/>
      </c>
    </row>
    <row r="42">
      <c r="A42" s="6" t="str">
        <f>IFERROR(__xludf.DUMMYFUNCTION("""COMPUTED_VALUE"""),"")</f>
        <v/>
      </c>
      <c r="B42" s="601" t="str">
        <f>IFERROR(__xludf.DUMMYFUNCTION("""COMPUTED_VALUE"""),"")</f>
        <v/>
      </c>
      <c r="C42" s="601" t="str">
        <f>IFERROR(__xludf.DUMMYFUNCTION("""COMPUTED_VALUE"""),"")</f>
        <v/>
      </c>
      <c r="D42" s="610"/>
      <c r="E42" s="601" t="str">
        <f>IFERROR(__xludf.DUMMYFUNCTION("""COMPUTED_VALUE"""),"")</f>
        <v/>
      </c>
      <c r="F42" s="601" t="str">
        <f>IFERROR(__xludf.DUMMYFUNCTION("""COMPUTED_VALUE"""),"")</f>
        <v/>
      </c>
      <c r="G42" s="601" t="str">
        <f>IFERROR(__xludf.DUMMYFUNCTION("""COMPUTED_VALUE"""),"")</f>
        <v/>
      </c>
      <c r="H42" s="601" t="str">
        <f>IFERROR(__xludf.DUMMYFUNCTION("""COMPUTED_VALUE"""),"")</f>
        <v/>
      </c>
      <c r="I42" s="610"/>
      <c r="J42" s="605" t="str">
        <f>IFERROR(__xludf.DUMMYFUNCTION("""COMPUTED_VALUE"""),"")</f>
        <v/>
      </c>
      <c r="K42" s="6" t="str">
        <f>IFERROR(__xludf.DUMMYFUNCTION("""COMPUTED_VALUE"""),"")</f>
        <v/>
      </c>
      <c r="L42" s="595">
        <f>IFERROR(__xludf.DUMMYFUNCTION("""COMPUTED_VALUE"""),1099.4)</f>
        <v>1099.4</v>
      </c>
      <c r="M42" s="595">
        <f>IFERROR(__xludf.DUMMYFUNCTION("""COMPUTED_VALUE"""),1208.9)</f>
        <v>1208.9</v>
      </c>
      <c r="N42" s="595">
        <f>IFERROR(__xludf.DUMMYFUNCTION("""COMPUTED_VALUE"""),1318.4)</f>
        <v>1318.4</v>
      </c>
      <c r="O42" s="600">
        <f>IFERROR(__xludf.DUMMYFUNCTION("""COMPUTED_VALUE"""),0.0)</f>
        <v>0</v>
      </c>
      <c r="P42" s="599">
        <f>IFERROR(__xludf.DUMMYFUNCTION("""COMPUTED_VALUE"""),0.0)</f>
        <v>0</v>
      </c>
      <c r="Q42" s="6" t="str">
        <f>IFERROR(__xludf.DUMMYFUNCTION("""COMPUTED_VALUE"""),"")</f>
        <v/>
      </c>
      <c r="R42" s="595">
        <f>IFERROR(__xludf.DUMMYFUNCTION("""COMPUTED_VALUE"""),397.9)</f>
        <v>397.9</v>
      </c>
      <c r="S42" s="595">
        <f>IFERROR(__xludf.DUMMYFUNCTION("""COMPUTED_VALUE"""),437.40000000000003)</f>
        <v>437.4</v>
      </c>
      <c r="T42" s="595">
        <f>IFERROR(__xludf.DUMMYFUNCTION("""COMPUTED_VALUE"""),476.9)</f>
        <v>476.9</v>
      </c>
      <c r="U42" s="600">
        <f>IFERROR(__xludf.DUMMYFUNCTION("""COMPUTED_VALUE"""),0.0)</f>
        <v>0</v>
      </c>
      <c r="V42" s="599">
        <f>IFERROR(__xludf.DUMMYFUNCTION("""COMPUTED_VALUE"""),0.0)</f>
        <v>0</v>
      </c>
      <c r="W42" s="6" t="str">
        <f>IFERROR(__xludf.DUMMYFUNCTION("""COMPUTED_VALUE"""),"")</f>
        <v/>
      </c>
      <c r="X42" s="601" t="str">
        <f>IFERROR(__xludf.DUMMYFUNCTION("""COMPUTED_VALUE"""),"")</f>
        <v/>
      </c>
      <c r="Y42" s="602" t="str">
        <f>IFERROR(__xludf.DUMMYFUNCTION("""COMPUTED_VALUE"""),"")</f>
        <v/>
      </c>
      <c r="Z42" s="603" t="str">
        <f>IFERROR(__xludf.DUMMYFUNCTION("""COMPUTED_VALUE"""),"")</f>
        <v/>
      </c>
      <c r="AA42" s="604" t="str">
        <f>IFERROR(__xludf.DUMMYFUNCTION("""COMPUTED_VALUE"""),"")</f>
        <v/>
      </c>
      <c r="AB42" s="605" t="str">
        <f>IFERROR(__xludf.DUMMYFUNCTION("""COMPUTED_VALUE"""),"")</f>
        <v/>
      </c>
      <c r="AC42" s="6" t="str">
        <f>IFERROR(__xludf.DUMMYFUNCTION("""COMPUTED_VALUE"""),"")</f>
        <v/>
      </c>
    </row>
    <row r="43">
      <c r="A43" s="6" t="str">
        <f>IFERROR(__xludf.DUMMYFUNCTION("""COMPUTED_VALUE"""),"")</f>
        <v/>
      </c>
      <c r="B43" s="601" t="str">
        <f>IFERROR(__xludf.DUMMYFUNCTION("""COMPUTED_VALUE"""),"")</f>
        <v/>
      </c>
      <c r="C43" s="601" t="str">
        <f>IFERROR(__xludf.DUMMYFUNCTION("""COMPUTED_VALUE"""),"")</f>
        <v/>
      </c>
      <c r="D43" s="611"/>
      <c r="E43" s="601" t="str">
        <f>IFERROR(__xludf.DUMMYFUNCTION("""COMPUTED_VALUE"""),"")</f>
        <v/>
      </c>
      <c r="F43" s="601" t="str">
        <f>IFERROR(__xludf.DUMMYFUNCTION("""COMPUTED_VALUE"""),"")</f>
        <v/>
      </c>
      <c r="G43" s="601" t="str">
        <f>IFERROR(__xludf.DUMMYFUNCTION("""COMPUTED_VALUE"""),"")</f>
        <v/>
      </c>
      <c r="H43" s="601" t="str">
        <f>IFERROR(__xludf.DUMMYFUNCTION("""COMPUTED_VALUE"""),"")</f>
        <v/>
      </c>
      <c r="I43" s="611"/>
      <c r="J43" s="605" t="str">
        <f>IFERROR(__xludf.DUMMYFUNCTION("""COMPUTED_VALUE"""),"")</f>
        <v/>
      </c>
      <c r="K43" s="6" t="str">
        <f>IFERROR(__xludf.DUMMYFUNCTION("""COMPUTED_VALUE"""),"")</f>
        <v/>
      </c>
      <c r="L43" s="589">
        <f>IFERROR(__xludf.DUMMYFUNCTION("""COMPUTED_VALUE"""),1129.4)</f>
        <v>1129.4</v>
      </c>
      <c r="M43" s="589">
        <f>IFERROR(__xludf.DUMMYFUNCTION("""COMPUTED_VALUE"""),1241.9)</f>
        <v>1241.9</v>
      </c>
      <c r="N43" s="589">
        <f>IFERROR(__xludf.DUMMYFUNCTION("""COMPUTED_VALUE"""),1354.4)</f>
        <v>1354.4</v>
      </c>
      <c r="O43" s="594">
        <f>IFERROR(__xludf.DUMMYFUNCTION("""COMPUTED_VALUE"""),0.0)</f>
        <v>0</v>
      </c>
      <c r="P43" s="593">
        <f>IFERROR(__xludf.DUMMYFUNCTION("""COMPUTED_VALUE"""),0.0)</f>
        <v>0</v>
      </c>
      <c r="Q43" s="6" t="str">
        <f>IFERROR(__xludf.DUMMYFUNCTION("""COMPUTED_VALUE"""),"")</f>
        <v/>
      </c>
      <c r="R43" s="589">
        <f>IFERROR(__xludf.DUMMYFUNCTION("""COMPUTED_VALUE"""),407.9)</f>
        <v>407.9</v>
      </c>
      <c r="S43" s="589">
        <f>IFERROR(__xludf.DUMMYFUNCTION("""COMPUTED_VALUE"""),448.40000000000003)</f>
        <v>448.4</v>
      </c>
      <c r="T43" s="589">
        <f>IFERROR(__xludf.DUMMYFUNCTION("""COMPUTED_VALUE"""),488.9)</f>
        <v>488.9</v>
      </c>
      <c r="U43" s="594">
        <f>IFERROR(__xludf.DUMMYFUNCTION("""COMPUTED_VALUE"""),0.0)</f>
        <v>0</v>
      </c>
      <c r="V43" s="593">
        <f>IFERROR(__xludf.DUMMYFUNCTION("""COMPUTED_VALUE"""),0.0)</f>
        <v>0</v>
      </c>
      <c r="W43" s="6" t="str">
        <f>IFERROR(__xludf.DUMMYFUNCTION("""COMPUTED_VALUE"""),"")</f>
        <v/>
      </c>
      <c r="X43" s="601" t="str">
        <f>IFERROR(__xludf.DUMMYFUNCTION("""COMPUTED_VALUE"""),"")</f>
        <v/>
      </c>
      <c r="Y43" s="602" t="str">
        <f>IFERROR(__xludf.DUMMYFUNCTION("""COMPUTED_VALUE"""),"")</f>
        <v/>
      </c>
      <c r="Z43" s="603" t="str">
        <f>IFERROR(__xludf.DUMMYFUNCTION("""COMPUTED_VALUE"""),"")</f>
        <v/>
      </c>
      <c r="AA43" s="604" t="str">
        <f>IFERROR(__xludf.DUMMYFUNCTION("""COMPUTED_VALUE"""),"")</f>
        <v/>
      </c>
      <c r="AB43" s="605" t="str">
        <f>IFERROR(__xludf.DUMMYFUNCTION("""COMPUTED_VALUE"""),"")</f>
        <v/>
      </c>
      <c r="AC43" s="6" t="str">
        <f>IFERROR(__xludf.DUMMYFUNCTION("""COMPUTED_VALUE"""),"")</f>
        <v/>
      </c>
    </row>
    <row r="44">
      <c r="A44" s="6" t="str">
        <f>IFERROR(__xludf.DUMMYFUNCTION("""COMPUTED_VALUE"""),"")</f>
        <v/>
      </c>
      <c r="B44" s="601" t="str">
        <f>IFERROR(__xludf.DUMMYFUNCTION("""COMPUTED_VALUE"""),"")</f>
        <v/>
      </c>
      <c r="C44" s="601" t="str">
        <f>IFERROR(__xludf.DUMMYFUNCTION("""COMPUTED_VALUE"""),"")</f>
        <v/>
      </c>
      <c r="D44" s="610"/>
      <c r="E44" s="601" t="str">
        <f>IFERROR(__xludf.DUMMYFUNCTION("""COMPUTED_VALUE"""),"")</f>
        <v/>
      </c>
      <c r="F44" s="601" t="str">
        <f>IFERROR(__xludf.DUMMYFUNCTION("""COMPUTED_VALUE"""),"")</f>
        <v/>
      </c>
      <c r="G44" s="601" t="str">
        <f>IFERROR(__xludf.DUMMYFUNCTION("""COMPUTED_VALUE"""),"")</f>
        <v/>
      </c>
      <c r="H44" s="601" t="str">
        <f>IFERROR(__xludf.DUMMYFUNCTION("""COMPUTED_VALUE"""),"")</f>
        <v/>
      </c>
      <c r="I44" s="610"/>
      <c r="J44" s="605" t="str">
        <f>IFERROR(__xludf.DUMMYFUNCTION("""COMPUTED_VALUE"""),"")</f>
        <v/>
      </c>
      <c r="K44" s="6" t="str">
        <f>IFERROR(__xludf.DUMMYFUNCTION("""COMPUTED_VALUE"""),"")</f>
        <v/>
      </c>
      <c r="L44" s="601" t="str">
        <f>IFERROR(__xludf.DUMMYFUNCTION("""COMPUTED_VALUE"""),"")</f>
        <v/>
      </c>
      <c r="M44" s="602" t="str">
        <f>IFERROR(__xludf.DUMMYFUNCTION("""COMPUTED_VALUE"""),"")</f>
        <v/>
      </c>
      <c r="N44" s="603" t="str">
        <f>IFERROR(__xludf.DUMMYFUNCTION("""COMPUTED_VALUE"""),"")</f>
        <v/>
      </c>
      <c r="O44" s="604" t="str">
        <f>IFERROR(__xludf.DUMMYFUNCTION("""COMPUTED_VALUE"""),"")</f>
        <v/>
      </c>
      <c r="P44" s="605" t="str">
        <f>IFERROR(__xludf.DUMMYFUNCTION("""COMPUTED_VALUE"""),"")</f>
        <v/>
      </c>
      <c r="Q44" s="6" t="str">
        <f>IFERROR(__xludf.DUMMYFUNCTION("""COMPUTED_VALUE"""),"")</f>
        <v/>
      </c>
      <c r="R44" s="595">
        <f>IFERROR(__xludf.DUMMYFUNCTION("""COMPUTED_VALUE"""),417.9)</f>
        <v>417.9</v>
      </c>
      <c r="S44" s="595">
        <f>IFERROR(__xludf.DUMMYFUNCTION("""COMPUTED_VALUE"""),459.40000000000003)</f>
        <v>459.4</v>
      </c>
      <c r="T44" s="595">
        <f>IFERROR(__xludf.DUMMYFUNCTION("""COMPUTED_VALUE"""),500.9)</f>
        <v>500.9</v>
      </c>
      <c r="U44" s="600">
        <f>IFERROR(__xludf.DUMMYFUNCTION("""COMPUTED_VALUE"""),0.0)</f>
        <v>0</v>
      </c>
      <c r="V44" s="599">
        <f>IFERROR(__xludf.DUMMYFUNCTION("""COMPUTED_VALUE"""),0.0)</f>
        <v>0</v>
      </c>
      <c r="W44" s="6" t="str">
        <f>IFERROR(__xludf.DUMMYFUNCTION("""COMPUTED_VALUE"""),"")</f>
        <v/>
      </c>
      <c r="X44" s="601" t="str">
        <f>IFERROR(__xludf.DUMMYFUNCTION("""COMPUTED_VALUE"""),"")</f>
        <v/>
      </c>
      <c r="Y44" s="602" t="str">
        <f>IFERROR(__xludf.DUMMYFUNCTION("""COMPUTED_VALUE"""),"")</f>
        <v/>
      </c>
      <c r="Z44" s="603" t="str">
        <f>IFERROR(__xludf.DUMMYFUNCTION("""COMPUTED_VALUE"""),"")</f>
        <v/>
      </c>
      <c r="AA44" s="604" t="str">
        <f>IFERROR(__xludf.DUMMYFUNCTION("""COMPUTED_VALUE"""),"")</f>
        <v/>
      </c>
      <c r="AB44" s="605" t="str">
        <f>IFERROR(__xludf.DUMMYFUNCTION("""COMPUTED_VALUE"""),"")</f>
        <v/>
      </c>
      <c r="AC44" s="6" t="str">
        <f>IFERROR(__xludf.DUMMYFUNCTION("""COMPUTED_VALUE"""),"")</f>
        <v/>
      </c>
    </row>
    <row r="45">
      <c r="A45" s="6" t="str">
        <f>IFERROR(__xludf.DUMMYFUNCTION("""COMPUTED_VALUE"""),"")</f>
        <v/>
      </c>
      <c r="B45" s="601" t="str">
        <f>IFERROR(__xludf.DUMMYFUNCTION("""COMPUTED_VALUE"""),"")</f>
        <v/>
      </c>
      <c r="C45" s="601" t="str">
        <f>IFERROR(__xludf.DUMMYFUNCTION("""COMPUTED_VALUE"""),"")</f>
        <v/>
      </c>
      <c r="D45" s="611"/>
      <c r="E45" s="601" t="str">
        <f>IFERROR(__xludf.DUMMYFUNCTION("""COMPUTED_VALUE"""),"")</f>
        <v/>
      </c>
      <c r="F45" s="601" t="str">
        <f>IFERROR(__xludf.DUMMYFUNCTION("""COMPUTED_VALUE"""),"")</f>
        <v/>
      </c>
      <c r="G45" s="601" t="str">
        <f>IFERROR(__xludf.DUMMYFUNCTION("""COMPUTED_VALUE"""),"")</f>
        <v/>
      </c>
      <c r="H45" s="601" t="str">
        <f>IFERROR(__xludf.DUMMYFUNCTION("""COMPUTED_VALUE"""),"")</f>
        <v/>
      </c>
      <c r="I45" s="611"/>
      <c r="J45" s="605" t="str">
        <f>IFERROR(__xludf.DUMMYFUNCTION("""COMPUTED_VALUE"""),"")</f>
        <v/>
      </c>
      <c r="K45" s="6" t="str">
        <f>IFERROR(__xludf.DUMMYFUNCTION("""COMPUTED_VALUE"""),"")</f>
        <v/>
      </c>
      <c r="L45" s="601" t="str">
        <f>IFERROR(__xludf.DUMMYFUNCTION("""COMPUTED_VALUE"""),"")</f>
        <v/>
      </c>
      <c r="M45" s="602" t="str">
        <f>IFERROR(__xludf.DUMMYFUNCTION("""COMPUTED_VALUE"""),"")</f>
        <v/>
      </c>
      <c r="N45" s="603" t="str">
        <f>IFERROR(__xludf.DUMMYFUNCTION("""COMPUTED_VALUE"""),"")</f>
        <v/>
      </c>
      <c r="O45" s="604" t="str">
        <f>IFERROR(__xludf.DUMMYFUNCTION("""COMPUTED_VALUE"""),"")</f>
        <v/>
      </c>
      <c r="P45" s="605" t="str">
        <f>IFERROR(__xludf.DUMMYFUNCTION("""COMPUTED_VALUE"""),"")</f>
        <v/>
      </c>
      <c r="Q45" s="6" t="str">
        <f>IFERROR(__xludf.DUMMYFUNCTION("""COMPUTED_VALUE"""),"")</f>
        <v/>
      </c>
      <c r="R45" s="589">
        <f>IFERROR(__xludf.DUMMYFUNCTION("""COMPUTED_VALUE"""),427.9)</f>
        <v>427.9</v>
      </c>
      <c r="S45" s="589">
        <f>IFERROR(__xludf.DUMMYFUNCTION("""COMPUTED_VALUE"""),470.40000000000003)</f>
        <v>470.4</v>
      </c>
      <c r="T45" s="589">
        <f>IFERROR(__xludf.DUMMYFUNCTION("""COMPUTED_VALUE"""),512.9)</f>
        <v>512.9</v>
      </c>
      <c r="U45" s="594">
        <f>IFERROR(__xludf.DUMMYFUNCTION("""COMPUTED_VALUE"""),0.0)</f>
        <v>0</v>
      </c>
      <c r="V45" s="593">
        <f>IFERROR(__xludf.DUMMYFUNCTION("""COMPUTED_VALUE"""),0.0)</f>
        <v>0</v>
      </c>
      <c r="W45" s="6" t="str">
        <f>IFERROR(__xludf.DUMMYFUNCTION("""COMPUTED_VALUE"""),"")</f>
        <v/>
      </c>
      <c r="X45" s="601" t="str">
        <f>IFERROR(__xludf.DUMMYFUNCTION("""COMPUTED_VALUE"""),"")</f>
        <v/>
      </c>
      <c r="Y45" s="602" t="str">
        <f>IFERROR(__xludf.DUMMYFUNCTION("""COMPUTED_VALUE"""),"")</f>
        <v/>
      </c>
      <c r="Z45" s="603" t="str">
        <f>IFERROR(__xludf.DUMMYFUNCTION("""COMPUTED_VALUE"""),"")</f>
        <v/>
      </c>
      <c r="AA45" s="604" t="str">
        <f>IFERROR(__xludf.DUMMYFUNCTION("""COMPUTED_VALUE"""),"")</f>
        <v/>
      </c>
      <c r="AB45" s="605" t="str">
        <f>IFERROR(__xludf.DUMMYFUNCTION("""COMPUTED_VALUE"""),"")</f>
        <v/>
      </c>
      <c r="AC45" s="6" t="str">
        <f>IFERROR(__xludf.DUMMYFUNCTION("""COMPUTED_VALUE"""),"")</f>
        <v/>
      </c>
    </row>
    <row r="46">
      <c r="A46" s="6" t="str">
        <f>IFERROR(__xludf.DUMMYFUNCTION("""COMPUTED_VALUE"""),"")</f>
        <v/>
      </c>
      <c r="B46" s="601" t="str">
        <f>IFERROR(__xludf.DUMMYFUNCTION("""COMPUTED_VALUE"""),"")</f>
        <v/>
      </c>
      <c r="C46" s="601" t="str">
        <f>IFERROR(__xludf.DUMMYFUNCTION("""COMPUTED_VALUE"""),"")</f>
        <v/>
      </c>
      <c r="D46" s="610"/>
      <c r="E46" s="601" t="str">
        <f>IFERROR(__xludf.DUMMYFUNCTION("""COMPUTED_VALUE"""),"")</f>
        <v/>
      </c>
      <c r="F46" s="601" t="str">
        <f>IFERROR(__xludf.DUMMYFUNCTION("""COMPUTED_VALUE"""),"")</f>
        <v/>
      </c>
      <c r="G46" s="601" t="str">
        <f>IFERROR(__xludf.DUMMYFUNCTION("""COMPUTED_VALUE"""),"")</f>
        <v/>
      </c>
      <c r="H46" s="601" t="str">
        <f>IFERROR(__xludf.DUMMYFUNCTION("""COMPUTED_VALUE"""),"")</f>
        <v/>
      </c>
      <c r="I46" s="610"/>
      <c r="J46" s="605" t="str">
        <f>IFERROR(__xludf.DUMMYFUNCTION("""COMPUTED_VALUE"""),"")</f>
        <v/>
      </c>
      <c r="K46" s="6" t="str">
        <f>IFERROR(__xludf.DUMMYFUNCTION("""COMPUTED_VALUE"""),"")</f>
        <v/>
      </c>
      <c r="L46" s="601" t="str">
        <f>IFERROR(__xludf.DUMMYFUNCTION("""COMPUTED_VALUE"""),"")</f>
        <v/>
      </c>
      <c r="M46" s="602" t="str">
        <f>IFERROR(__xludf.DUMMYFUNCTION("""COMPUTED_VALUE"""),"")</f>
        <v/>
      </c>
      <c r="N46" s="603" t="str">
        <f>IFERROR(__xludf.DUMMYFUNCTION("""COMPUTED_VALUE"""),"")</f>
        <v/>
      </c>
      <c r="O46" s="604" t="str">
        <f>IFERROR(__xludf.DUMMYFUNCTION("""COMPUTED_VALUE"""),"")</f>
        <v/>
      </c>
      <c r="P46" s="605" t="str">
        <f>IFERROR(__xludf.DUMMYFUNCTION("""COMPUTED_VALUE"""),"")</f>
        <v/>
      </c>
      <c r="Q46" s="6" t="str">
        <f>IFERROR(__xludf.DUMMYFUNCTION("""COMPUTED_VALUE"""),"")</f>
        <v/>
      </c>
      <c r="R46" s="595">
        <f>IFERROR(__xludf.DUMMYFUNCTION("""COMPUTED_VALUE"""),437.9)</f>
        <v>437.9</v>
      </c>
      <c r="S46" s="595">
        <f>IFERROR(__xludf.DUMMYFUNCTION("""COMPUTED_VALUE"""),481.40000000000003)</f>
        <v>481.4</v>
      </c>
      <c r="T46" s="595">
        <f>IFERROR(__xludf.DUMMYFUNCTION("""COMPUTED_VALUE"""),524.9)</f>
        <v>524.9</v>
      </c>
      <c r="U46" s="600">
        <f>IFERROR(__xludf.DUMMYFUNCTION("""COMPUTED_VALUE"""),0.0)</f>
        <v>0</v>
      </c>
      <c r="V46" s="599">
        <f>IFERROR(__xludf.DUMMYFUNCTION("""COMPUTED_VALUE"""),0.0)</f>
        <v>0</v>
      </c>
      <c r="W46" s="6" t="str">
        <f>IFERROR(__xludf.DUMMYFUNCTION("""COMPUTED_VALUE"""),"")</f>
        <v/>
      </c>
      <c r="X46" s="612" t="str">
        <f>IFERROR(__xludf.DUMMYFUNCTION("""COMPUTED_VALUE"""),"")</f>
        <v/>
      </c>
      <c r="Y46" s="613" t="str">
        <f>IFERROR(__xludf.DUMMYFUNCTION("""COMPUTED_VALUE"""),"")</f>
        <v/>
      </c>
      <c r="Z46" s="614" t="str">
        <f>IFERROR(__xludf.DUMMYFUNCTION("""COMPUTED_VALUE"""),"")</f>
        <v/>
      </c>
      <c r="AA46" s="615" t="str">
        <f>IFERROR(__xludf.DUMMYFUNCTION("""COMPUTED_VALUE"""),"")</f>
        <v/>
      </c>
      <c r="AB46" s="616" t="str">
        <f>IFERROR(__xludf.DUMMYFUNCTION("""COMPUTED_VALUE"""),"")</f>
        <v/>
      </c>
      <c r="AC46" s="6" t="str">
        <f>IFERROR(__xludf.DUMMYFUNCTION("""COMPUTED_VALUE"""),"")</f>
        <v/>
      </c>
    </row>
    <row r="47">
      <c r="A47" s="6" t="str">
        <f>IFERROR(__xludf.DUMMYFUNCTION("""COMPUTED_VALUE"""),"")</f>
        <v/>
      </c>
      <c r="B47" s="617" t="str">
        <f>IFERROR(__xludf.DUMMYFUNCTION("""COMPUTED_VALUE"""),"Sum -&gt;")</f>
        <v>Sum -&gt;</v>
      </c>
      <c r="C47" s="618"/>
      <c r="D47" s="618"/>
      <c r="E47" s="591"/>
      <c r="F47" s="619" t="str">
        <f>IFERROR(__xludf.DUMMYFUNCTION("""COMPUTED_VALUE"""),"")</f>
        <v/>
      </c>
      <c r="G47" s="619" t="str">
        <f>IFERROR(__xludf.DUMMYFUNCTION("""COMPUTED_VALUE"""),"")</f>
        <v/>
      </c>
      <c r="H47" s="592">
        <f>IFERROR(__xludf.DUMMYFUNCTION("""COMPUTED_VALUE"""),2900.0)</f>
        <v>2900</v>
      </c>
      <c r="I47" s="591"/>
      <c r="J47" s="593">
        <f>IFERROR(__xludf.DUMMYFUNCTION("""COMPUTED_VALUE"""),1.0)</f>
        <v>1</v>
      </c>
      <c r="K47" s="6" t="str">
        <f>IFERROR(__xludf.DUMMYFUNCTION("""COMPUTED_VALUE"""),"")</f>
        <v/>
      </c>
      <c r="L47" s="617" t="str">
        <f>IFERROR(__xludf.DUMMYFUNCTION("""COMPUTED_VALUE"""),"Sum -&gt;")</f>
        <v>Sum -&gt;</v>
      </c>
      <c r="M47" s="618"/>
      <c r="N47" s="591"/>
      <c r="O47" s="594">
        <f>IFERROR(__xludf.DUMMYFUNCTION("""COMPUTED_VALUE"""),10.0)</f>
        <v>10</v>
      </c>
      <c r="P47" s="593">
        <f>IFERROR(__xludf.DUMMYFUNCTION("""COMPUTED_VALUE"""),0.7000000000000001)</f>
        <v>0.7</v>
      </c>
      <c r="Q47" s="6" t="str">
        <f>IFERROR(__xludf.DUMMYFUNCTION("""COMPUTED_VALUE"""),"")</f>
        <v/>
      </c>
      <c r="R47" s="617" t="str">
        <f>IFERROR(__xludf.DUMMYFUNCTION("""COMPUTED_VALUE"""),"Sum -&gt;")</f>
        <v>Sum -&gt;</v>
      </c>
      <c r="S47" s="618"/>
      <c r="T47" s="591"/>
      <c r="U47" s="594">
        <f>IFERROR(__xludf.DUMMYFUNCTION("""COMPUTED_VALUE"""),11.0)</f>
        <v>11</v>
      </c>
      <c r="V47" s="593">
        <f>IFERROR(__xludf.DUMMYFUNCTION("""COMPUTED_VALUE"""),1.0)</f>
        <v>1</v>
      </c>
      <c r="W47" s="6" t="str">
        <f>IFERROR(__xludf.DUMMYFUNCTION("""COMPUTED_VALUE"""),"")</f>
        <v/>
      </c>
      <c r="X47" s="617" t="str">
        <f>IFERROR(__xludf.DUMMYFUNCTION("""COMPUTED_VALUE"""),"Sum -&gt;")</f>
        <v>Sum -&gt;</v>
      </c>
      <c r="Y47" s="618"/>
      <c r="Z47" s="591"/>
      <c r="AA47" s="594">
        <f>IFERROR(__xludf.DUMMYFUNCTION("""COMPUTED_VALUE"""),39.0)</f>
        <v>39</v>
      </c>
      <c r="AB47" s="593">
        <f>IFERROR(__xludf.DUMMYFUNCTION("""COMPUTED_VALUE"""),1.0)</f>
        <v>1</v>
      </c>
      <c r="AC47" s="6" t="str">
        <f>IFERROR(__xludf.DUMMYFUNCTION("""COMPUTED_VALUE"""),"")</f>
        <v/>
      </c>
    </row>
    <row r="48">
      <c r="A48" s="6" t="str">
        <f>IFERROR(__xludf.DUMMYFUNCTION("""COMPUTED_VALUE"""),"")</f>
        <v/>
      </c>
      <c r="B48" s="595">
        <f>IFERROR(__xludf.DUMMYFUNCTION("""COMPUTED_VALUE"""),1209.4206896551723)</f>
        <v>1209.42069</v>
      </c>
      <c r="C48" s="596">
        <f>IFERROR(__xludf.DUMMYFUNCTION("""COMPUTED_VALUE"""),1329.7227586206898)</f>
        <v>1329.722759</v>
      </c>
      <c r="D48" s="597"/>
      <c r="E48" s="595">
        <f>IFERROR(__xludf.DUMMYFUNCTION("""COMPUTED_VALUE"""),1390.833793103448)</f>
        <v>1390.833793</v>
      </c>
      <c r="F48" s="595">
        <f>IFERROR(__xludf.DUMMYFUNCTION("""COMPUTED_VALUE"""),1450.0248275862068)</f>
        <v>1450.024828</v>
      </c>
      <c r="G48" s="595">
        <f>IFERROR(__xludf.DUMMYFUNCTION("""COMPUTED_VALUE"""),1511.7758620689654)</f>
        <v>1511.775862</v>
      </c>
      <c r="H48" s="620" t="str">
        <f>IFERROR(__xludf.DUMMYFUNCTION("""COMPUTED_VALUE"""),"&lt;- Average")</f>
        <v>&lt;- Average</v>
      </c>
      <c r="I48" s="621"/>
      <c r="J48" s="597"/>
      <c r="K48" s="6" t="str">
        <f>IFERROR(__xludf.DUMMYFUNCTION("""COMPUTED_VALUE"""),"")</f>
        <v/>
      </c>
      <c r="L48" s="595">
        <f>IFERROR(__xludf.DUMMYFUNCTION("""COMPUTED_VALUE"""),538.4)</f>
        <v>538.4</v>
      </c>
      <c r="M48" s="595">
        <f>IFERROR(__xludf.DUMMYFUNCTION("""COMPUTED_VALUE"""),591.8)</f>
        <v>591.8</v>
      </c>
      <c r="N48" s="595">
        <f>IFERROR(__xludf.DUMMYFUNCTION("""COMPUTED_VALUE"""),645.2)</f>
        <v>645.2</v>
      </c>
      <c r="O48" s="620" t="str">
        <f>IFERROR(__xludf.DUMMYFUNCTION("""COMPUTED_VALUE"""),"&lt;- Average")</f>
        <v>&lt;- Average</v>
      </c>
      <c r="P48" s="597"/>
      <c r="Q48" s="6" t="str">
        <f>IFERROR(__xludf.DUMMYFUNCTION("""COMPUTED_VALUE"""),"")</f>
        <v/>
      </c>
      <c r="R48" s="595">
        <f>IFERROR(__xludf.DUMMYFUNCTION("""COMPUTED_VALUE"""),205.1727272727273)</f>
        <v>205.1727273</v>
      </c>
      <c r="S48" s="595">
        <f>IFERROR(__xludf.DUMMYFUNCTION("""COMPUTED_VALUE"""),225.4)</f>
        <v>225.4</v>
      </c>
      <c r="T48" s="622">
        <f>IFERROR(__xludf.DUMMYFUNCTION("""COMPUTED_VALUE"""),245.62727272727273)</f>
        <v>245.6272727</v>
      </c>
      <c r="U48" s="620" t="str">
        <f>IFERROR(__xludf.DUMMYFUNCTION("""COMPUTED_VALUE"""),"&lt;- Average")</f>
        <v>&lt;- Average</v>
      </c>
      <c r="V48" s="597"/>
      <c r="W48" s="6" t="str">
        <f>IFERROR(__xludf.DUMMYFUNCTION("""COMPUTED_VALUE"""),"")</f>
        <v/>
      </c>
      <c r="X48" s="595">
        <f>IFERROR(__xludf.DUMMYFUNCTION("""COMPUTED_VALUE"""),80.8923076923077)</f>
        <v>80.89230769</v>
      </c>
      <c r="Y48" s="595">
        <f>IFERROR(__xludf.DUMMYFUNCTION("""COMPUTED_VALUE"""),88.86666666666667)</f>
        <v>88.86666667</v>
      </c>
      <c r="Z48" s="622">
        <f>IFERROR(__xludf.DUMMYFUNCTION("""COMPUTED_VALUE"""),96.84102564102562)</f>
        <v>96.84102564</v>
      </c>
      <c r="AA48" s="620" t="str">
        <f>IFERROR(__xludf.DUMMYFUNCTION("""COMPUTED_VALUE"""),"&lt;- Average")</f>
        <v>&lt;- Average</v>
      </c>
      <c r="AB48" s="597"/>
      <c r="AC48" s="6" t="str">
        <f>IFERROR(__xludf.DUMMYFUNCTION("""COMPUTED_VALUE"""),"")</f>
        <v/>
      </c>
    </row>
    <row r="49">
      <c r="A49" s="10" t="str">
        <f>IFERROR(__xludf.DUMMYFUNCTION("""COMPUTED_VALUE"""),"")</f>
        <v/>
      </c>
      <c r="B49" s="24" t="str">
        <f>IFERROR(__xludf.DUMMYFUNCTION("""COMPUTED_VALUE"""),"")</f>
        <v/>
      </c>
      <c r="C49" s="24" t="str">
        <f>IFERROR(__xludf.DUMMYFUNCTION("""COMPUTED_VALUE"""),"")</f>
        <v/>
      </c>
      <c r="D49" s="24" t="str">
        <f>IFERROR(__xludf.DUMMYFUNCTION("""COMPUTED_VALUE"""),"")</f>
        <v/>
      </c>
      <c r="E49" s="24" t="str">
        <f>IFERROR(__xludf.DUMMYFUNCTION("""COMPUTED_VALUE"""),"")</f>
        <v/>
      </c>
      <c r="F49" s="24" t="str">
        <f>IFERROR(__xludf.DUMMYFUNCTION("""COMPUTED_VALUE"""),"")</f>
        <v/>
      </c>
      <c r="G49" s="24" t="str">
        <f>IFERROR(__xludf.DUMMYFUNCTION("""COMPUTED_VALUE"""),"")</f>
        <v/>
      </c>
      <c r="H49" s="24" t="str">
        <f>IFERROR(__xludf.DUMMYFUNCTION("""COMPUTED_VALUE"""),"")</f>
        <v/>
      </c>
      <c r="I49" s="24" t="str">
        <f>IFERROR(__xludf.DUMMYFUNCTION("""COMPUTED_VALUE"""),"")</f>
        <v/>
      </c>
      <c r="J49" s="24" t="str">
        <f>IFERROR(__xludf.DUMMYFUNCTION("""COMPUTED_VALUE"""),"")</f>
        <v/>
      </c>
      <c r="K49" s="389" t="str">
        <f>IFERROR(__xludf.DUMMYFUNCTION("""COMPUTED_VALUE"""),"")</f>
        <v/>
      </c>
      <c r="L49" s="24" t="str">
        <f>IFERROR(__xludf.DUMMYFUNCTION("""COMPUTED_VALUE"""),"")</f>
        <v/>
      </c>
      <c r="M49" s="24" t="str">
        <f>IFERROR(__xludf.DUMMYFUNCTION("""COMPUTED_VALUE"""),"")</f>
        <v/>
      </c>
      <c r="N49" s="24" t="str">
        <f>IFERROR(__xludf.DUMMYFUNCTION("""COMPUTED_VALUE"""),"")</f>
        <v/>
      </c>
      <c r="O49" s="24" t="str">
        <f>IFERROR(__xludf.DUMMYFUNCTION("""COMPUTED_VALUE"""),"")</f>
        <v/>
      </c>
      <c r="P49" s="24" t="str">
        <f>IFERROR(__xludf.DUMMYFUNCTION("""COMPUTED_VALUE"""),"")</f>
        <v/>
      </c>
      <c r="Q49" s="389" t="str">
        <f>IFERROR(__xludf.DUMMYFUNCTION("""COMPUTED_VALUE"""),"")</f>
        <v/>
      </c>
      <c r="R49" s="24" t="str">
        <f>IFERROR(__xludf.DUMMYFUNCTION("""COMPUTED_VALUE"""),"")</f>
        <v/>
      </c>
      <c r="S49" s="24" t="str">
        <f>IFERROR(__xludf.DUMMYFUNCTION("""COMPUTED_VALUE"""),"")</f>
        <v/>
      </c>
      <c r="T49" s="24" t="str">
        <f>IFERROR(__xludf.DUMMYFUNCTION("""COMPUTED_VALUE"""),"")</f>
        <v/>
      </c>
      <c r="U49" s="24" t="str">
        <f>IFERROR(__xludf.DUMMYFUNCTION("""COMPUTED_VALUE"""),"")</f>
        <v/>
      </c>
      <c r="V49" s="24" t="str">
        <f>IFERROR(__xludf.DUMMYFUNCTION("""COMPUTED_VALUE"""),"")</f>
        <v/>
      </c>
      <c r="W49" s="389" t="str">
        <f>IFERROR(__xludf.DUMMYFUNCTION("""COMPUTED_VALUE"""),"")</f>
        <v/>
      </c>
      <c r="X49" s="24" t="str">
        <f>IFERROR(__xludf.DUMMYFUNCTION("""COMPUTED_VALUE"""),"")</f>
        <v/>
      </c>
      <c r="Y49" s="24" t="str">
        <f>IFERROR(__xludf.DUMMYFUNCTION("""COMPUTED_VALUE"""),"")</f>
        <v/>
      </c>
      <c r="Z49" s="24" t="str">
        <f>IFERROR(__xludf.DUMMYFUNCTION("""COMPUTED_VALUE"""),"")</f>
        <v/>
      </c>
      <c r="AA49" s="24" t="str">
        <f>IFERROR(__xludf.DUMMYFUNCTION("""COMPUTED_VALUE"""),"")</f>
        <v/>
      </c>
      <c r="AB49" s="24" t="str">
        <f>IFERROR(__xludf.DUMMYFUNCTION("""COMPUTED_VALUE"""),"")</f>
        <v/>
      </c>
      <c r="AC49" s="390" t="str">
        <f>IFERROR(__xludf.DUMMYFUNCTION("""COMPUTED_VALUE"""),"")</f>
        <v/>
      </c>
    </row>
    <row r="50">
      <c r="A50" s="10" t="str">
        <f>IFERROR(__xludf.DUMMYFUNCTION("""COMPUTED_VALUE"""),"")</f>
        <v/>
      </c>
      <c r="B50" s="389" t="str">
        <f>IFERROR(__xludf.DUMMYFUNCTION("""COMPUTED_VALUE"""),"")</f>
        <v/>
      </c>
      <c r="C50" s="389" t="str">
        <f>IFERROR(__xludf.DUMMYFUNCTION("""COMPUTED_VALUE"""),"")</f>
        <v/>
      </c>
      <c r="D50" s="389" t="str">
        <f>IFERROR(__xludf.DUMMYFUNCTION("""COMPUTED_VALUE"""),"")</f>
        <v/>
      </c>
      <c r="E50" s="389" t="str">
        <f>IFERROR(__xludf.DUMMYFUNCTION("""COMPUTED_VALUE"""),"")</f>
        <v/>
      </c>
      <c r="F50" s="389" t="str">
        <f>IFERROR(__xludf.DUMMYFUNCTION("""COMPUTED_VALUE"""),"")</f>
        <v/>
      </c>
      <c r="G50" s="389" t="str">
        <f>IFERROR(__xludf.DUMMYFUNCTION("""COMPUTED_VALUE"""),"")</f>
        <v/>
      </c>
      <c r="H50" s="389" t="str">
        <f>IFERROR(__xludf.DUMMYFUNCTION("""COMPUTED_VALUE"""),"")</f>
        <v/>
      </c>
      <c r="I50" s="389" t="str">
        <f>IFERROR(__xludf.DUMMYFUNCTION("""COMPUTED_VALUE"""),"")</f>
        <v/>
      </c>
      <c r="J50" s="389" t="str">
        <f>IFERROR(__xludf.DUMMYFUNCTION("""COMPUTED_VALUE"""),"")</f>
        <v/>
      </c>
      <c r="K50" s="389" t="str">
        <f>IFERROR(__xludf.DUMMYFUNCTION("""COMPUTED_VALUE"""),"")</f>
        <v/>
      </c>
      <c r="L50" s="389" t="str">
        <f>IFERROR(__xludf.DUMMYFUNCTION("""COMPUTED_VALUE"""),"")</f>
        <v/>
      </c>
      <c r="M50" s="389" t="str">
        <f>IFERROR(__xludf.DUMMYFUNCTION("""COMPUTED_VALUE"""),"")</f>
        <v/>
      </c>
      <c r="N50" s="389" t="str">
        <f>IFERROR(__xludf.DUMMYFUNCTION("""COMPUTED_VALUE"""),"")</f>
        <v/>
      </c>
      <c r="O50" s="389" t="str">
        <f>IFERROR(__xludf.DUMMYFUNCTION("""COMPUTED_VALUE"""),"")</f>
        <v/>
      </c>
      <c r="P50" s="389" t="str">
        <f>IFERROR(__xludf.DUMMYFUNCTION("""COMPUTED_VALUE"""),"")</f>
        <v/>
      </c>
      <c r="Q50" s="389" t="str">
        <f>IFERROR(__xludf.DUMMYFUNCTION("""COMPUTED_VALUE"""),"")</f>
        <v/>
      </c>
      <c r="R50" s="389" t="str">
        <f>IFERROR(__xludf.DUMMYFUNCTION("""COMPUTED_VALUE"""),"")</f>
        <v/>
      </c>
      <c r="S50" s="389" t="str">
        <f>IFERROR(__xludf.DUMMYFUNCTION("""COMPUTED_VALUE"""),"")</f>
        <v/>
      </c>
      <c r="T50" s="389" t="str">
        <f>IFERROR(__xludf.DUMMYFUNCTION("""COMPUTED_VALUE"""),"")</f>
        <v/>
      </c>
      <c r="U50" s="389" t="str">
        <f>IFERROR(__xludf.DUMMYFUNCTION("""COMPUTED_VALUE"""),"")</f>
        <v/>
      </c>
      <c r="V50" s="389" t="str">
        <f>IFERROR(__xludf.DUMMYFUNCTION("""COMPUTED_VALUE"""),"")</f>
        <v/>
      </c>
      <c r="W50" s="389" t="str">
        <f>IFERROR(__xludf.DUMMYFUNCTION("""COMPUTED_VALUE"""),"")</f>
        <v/>
      </c>
      <c r="X50" s="389" t="str">
        <f>IFERROR(__xludf.DUMMYFUNCTION("""COMPUTED_VALUE"""),"")</f>
        <v/>
      </c>
      <c r="Y50" s="389" t="str">
        <f>IFERROR(__xludf.DUMMYFUNCTION("""COMPUTED_VALUE"""),"")</f>
        <v/>
      </c>
      <c r="Z50" s="389" t="str">
        <f>IFERROR(__xludf.DUMMYFUNCTION("""COMPUTED_VALUE"""),"")</f>
        <v/>
      </c>
      <c r="AA50" s="389" t="str">
        <f>IFERROR(__xludf.DUMMYFUNCTION("""COMPUTED_VALUE"""),"")</f>
        <v/>
      </c>
      <c r="AB50" s="389" t="str">
        <f>IFERROR(__xludf.DUMMYFUNCTION("""COMPUTED_VALUE"""),"")</f>
        <v/>
      </c>
      <c r="AC50" s="390" t="str">
        <f>IFERROR(__xludf.DUMMYFUNCTION("""COMPUTED_VALUE"""),"")</f>
        <v/>
      </c>
    </row>
    <row r="51">
      <c r="A51" s="10" t="str">
        <f>IFERROR(__xludf.DUMMYFUNCTION("""COMPUTED_VALUE"""),"")</f>
        <v/>
      </c>
      <c r="B51" s="389" t="str">
        <f>IFERROR(__xludf.DUMMYFUNCTION("""COMPUTED_VALUE"""),"")</f>
        <v/>
      </c>
      <c r="C51" s="389" t="str">
        <f>IFERROR(__xludf.DUMMYFUNCTION("""COMPUTED_VALUE"""),"")</f>
        <v/>
      </c>
      <c r="D51" s="389" t="str">
        <f>IFERROR(__xludf.DUMMYFUNCTION("""COMPUTED_VALUE"""),"")</f>
        <v/>
      </c>
      <c r="E51" s="389" t="str">
        <f>IFERROR(__xludf.DUMMYFUNCTION("""COMPUTED_VALUE"""),"")</f>
        <v/>
      </c>
      <c r="F51" s="389" t="str">
        <f>IFERROR(__xludf.DUMMYFUNCTION("""COMPUTED_VALUE"""),"")</f>
        <v/>
      </c>
      <c r="G51" s="389" t="str">
        <f>IFERROR(__xludf.DUMMYFUNCTION("""COMPUTED_VALUE"""),"")</f>
        <v/>
      </c>
      <c r="H51" s="389" t="str">
        <f>IFERROR(__xludf.DUMMYFUNCTION("""COMPUTED_VALUE"""),"")</f>
        <v/>
      </c>
      <c r="I51" s="389" t="str">
        <f>IFERROR(__xludf.DUMMYFUNCTION("""COMPUTED_VALUE"""),"")</f>
        <v/>
      </c>
      <c r="J51" s="389" t="str">
        <f>IFERROR(__xludf.DUMMYFUNCTION("""COMPUTED_VALUE"""),"")</f>
        <v/>
      </c>
      <c r="K51" s="389" t="str">
        <f>IFERROR(__xludf.DUMMYFUNCTION("""COMPUTED_VALUE"""),"")</f>
        <v/>
      </c>
      <c r="L51" s="389" t="str">
        <f>IFERROR(__xludf.DUMMYFUNCTION("""COMPUTED_VALUE"""),"")</f>
        <v/>
      </c>
      <c r="M51" s="389" t="str">
        <f>IFERROR(__xludf.DUMMYFUNCTION("""COMPUTED_VALUE"""),"")</f>
        <v/>
      </c>
      <c r="N51" s="389" t="str">
        <f>IFERROR(__xludf.DUMMYFUNCTION("""COMPUTED_VALUE"""),"")</f>
        <v/>
      </c>
      <c r="O51" s="389" t="str">
        <f>IFERROR(__xludf.DUMMYFUNCTION("""COMPUTED_VALUE"""),"")</f>
        <v/>
      </c>
      <c r="P51" s="389" t="str">
        <f>IFERROR(__xludf.DUMMYFUNCTION("""COMPUTED_VALUE"""),"")</f>
        <v/>
      </c>
      <c r="Q51" s="389" t="str">
        <f>IFERROR(__xludf.DUMMYFUNCTION("""COMPUTED_VALUE"""),"")</f>
        <v/>
      </c>
      <c r="R51" s="389" t="str">
        <f>IFERROR(__xludf.DUMMYFUNCTION("""COMPUTED_VALUE"""),"")</f>
        <v/>
      </c>
      <c r="S51" s="389" t="str">
        <f>IFERROR(__xludf.DUMMYFUNCTION("""COMPUTED_VALUE"""),"")</f>
        <v/>
      </c>
      <c r="T51" s="389" t="str">
        <f>IFERROR(__xludf.DUMMYFUNCTION("""COMPUTED_VALUE"""),"")</f>
        <v/>
      </c>
      <c r="U51" s="389" t="str">
        <f>IFERROR(__xludf.DUMMYFUNCTION("""COMPUTED_VALUE"""),"")</f>
        <v/>
      </c>
      <c r="V51" s="389" t="str">
        <f>IFERROR(__xludf.DUMMYFUNCTION("""COMPUTED_VALUE"""),"")</f>
        <v/>
      </c>
      <c r="W51" s="389" t="str">
        <f>IFERROR(__xludf.DUMMYFUNCTION("""COMPUTED_VALUE"""),"")</f>
        <v/>
      </c>
      <c r="X51" s="389" t="str">
        <f>IFERROR(__xludf.DUMMYFUNCTION("""COMPUTED_VALUE"""),"")</f>
        <v/>
      </c>
      <c r="Y51" s="389" t="str">
        <f>IFERROR(__xludf.DUMMYFUNCTION("""COMPUTED_VALUE"""),"")</f>
        <v/>
      </c>
      <c r="Z51" s="389" t="str">
        <f>IFERROR(__xludf.DUMMYFUNCTION("""COMPUTED_VALUE"""),"")</f>
        <v/>
      </c>
      <c r="AA51" s="389" t="str">
        <f>IFERROR(__xludf.DUMMYFUNCTION("""COMPUTED_VALUE"""),"")</f>
        <v/>
      </c>
      <c r="AB51" s="389" t="str">
        <f>IFERROR(__xludf.DUMMYFUNCTION("""COMPUTED_VALUE"""),"")</f>
        <v/>
      </c>
      <c r="AC51" s="390" t="str">
        <f>IFERROR(__xludf.DUMMYFUNCTION("""COMPUTED_VALUE"""),"")</f>
        <v/>
      </c>
    </row>
    <row r="52">
      <c r="A52" s="388"/>
      <c r="B52" s="384"/>
      <c r="C52" s="384"/>
      <c r="D52" s="384"/>
      <c r="E52" s="384"/>
      <c r="F52" s="384"/>
      <c r="G52" s="384"/>
      <c r="H52" s="384"/>
      <c r="I52" s="384"/>
      <c r="J52" s="384"/>
      <c r="K52" s="384"/>
      <c r="L52" s="384"/>
      <c r="M52" s="384"/>
      <c r="N52" s="384"/>
      <c r="O52" s="384"/>
      <c r="P52" s="384"/>
      <c r="Q52" s="384"/>
      <c r="R52" s="384"/>
      <c r="S52" s="384"/>
      <c r="T52" s="384"/>
      <c r="U52" s="384"/>
      <c r="V52" s="384"/>
      <c r="W52" s="384"/>
      <c r="X52" s="384"/>
      <c r="Y52" s="384"/>
      <c r="Z52" s="384"/>
      <c r="AA52" s="384"/>
      <c r="AB52" s="384"/>
      <c r="AC52" s="385"/>
    </row>
  </sheetData>
  <mergeCells count="103">
    <mergeCell ref="R47:T47"/>
    <mergeCell ref="U48:V48"/>
    <mergeCell ref="AA48:AB48"/>
    <mergeCell ref="O48:P48"/>
    <mergeCell ref="H48:J48"/>
    <mergeCell ref="H37:I37"/>
    <mergeCell ref="H38:I38"/>
    <mergeCell ref="X47:Z47"/>
    <mergeCell ref="H42:I42"/>
    <mergeCell ref="H41:I41"/>
    <mergeCell ref="L47:N47"/>
    <mergeCell ref="H39:I39"/>
    <mergeCell ref="C42:D42"/>
    <mergeCell ref="C41:D41"/>
    <mergeCell ref="C37:D37"/>
    <mergeCell ref="C38:D38"/>
    <mergeCell ref="C39:D39"/>
    <mergeCell ref="H47:I47"/>
    <mergeCell ref="C45:D45"/>
    <mergeCell ref="C46:D46"/>
    <mergeCell ref="B47:E47"/>
    <mergeCell ref="C43:D43"/>
    <mergeCell ref="C44:D44"/>
    <mergeCell ref="C40:D40"/>
    <mergeCell ref="C48:D48"/>
    <mergeCell ref="H40:I40"/>
    <mergeCell ref="H36:I36"/>
    <mergeCell ref="H35:I35"/>
    <mergeCell ref="H30:I30"/>
    <mergeCell ref="H34:I34"/>
    <mergeCell ref="H33:I33"/>
    <mergeCell ref="H29:I29"/>
    <mergeCell ref="H28:I28"/>
    <mergeCell ref="H27:I27"/>
    <mergeCell ref="H25:I25"/>
    <mergeCell ref="H26:I26"/>
    <mergeCell ref="L7:M7"/>
    <mergeCell ref="I7:K7"/>
    <mergeCell ref="H43:I43"/>
    <mergeCell ref="H44:I44"/>
    <mergeCell ref="H46:I46"/>
    <mergeCell ref="H45:I45"/>
    <mergeCell ref="H12:J12"/>
    <mergeCell ref="H31:I31"/>
    <mergeCell ref="H32:I32"/>
    <mergeCell ref="C30:D30"/>
    <mergeCell ref="C29:D29"/>
    <mergeCell ref="C34:D34"/>
    <mergeCell ref="C35:D35"/>
    <mergeCell ref="C36:D36"/>
    <mergeCell ref="C33:D33"/>
    <mergeCell ref="H24:I24"/>
    <mergeCell ref="H23:I23"/>
    <mergeCell ref="C27:D27"/>
    <mergeCell ref="C26:D26"/>
    <mergeCell ref="C24:D24"/>
    <mergeCell ref="C25:D25"/>
    <mergeCell ref="C28:D28"/>
    <mergeCell ref="H16:I16"/>
    <mergeCell ref="C16:D16"/>
    <mergeCell ref="C19:D19"/>
    <mergeCell ref="C20:D20"/>
    <mergeCell ref="H20:I20"/>
    <mergeCell ref="H19:I19"/>
    <mergeCell ref="B14:I15"/>
    <mergeCell ref="B11:G12"/>
    <mergeCell ref="C7:H7"/>
    <mergeCell ref="H17:I17"/>
    <mergeCell ref="H18:I18"/>
    <mergeCell ref="D1:E2"/>
    <mergeCell ref="C1:C2"/>
    <mergeCell ref="C17:D17"/>
    <mergeCell ref="C18:D18"/>
    <mergeCell ref="B3:B7"/>
    <mergeCell ref="A3:A7"/>
    <mergeCell ref="D4:E4"/>
    <mergeCell ref="D3:E3"/>
    <mergeCell ref="A1:B2"/>
    <mergeCell ref="H21:I21"/>
    <mergeCell ref="H22:I22"/>
    <mergeCell ref="N1:O1"/>
    <mergeCell ref="R1:S1"/>
    <mergeCell ref="P1:Q1"/>
    <mergeCell ref="J1:K1"/>
    <mergeCell ref="I1:I2"/>
    <mergeCell ref="H1:H2"/>
    <mergeCell ref="N7:O7"/>
    <mergeCell ref="R7:S7"/>
    <mergeCell ref="P7:Q7"/>
    <mergeCell ref="L1:M1"/>
    <mergeCell ref="X14:AA15"/>
    <mergeCell ref="R14:U15"/>
    <mergeCell ref="L14:O15"/>
    <mergeCell ref="H11:J11"/>
    <mergeCell ref="H9:J9"/>
    <mergeCell ref="H10:J10"/>
    <mergeCell ref="C31:D31"/>
    <mergeCell ref="C32:D32"/>
    <mergeCell ref="C23:D23"/>
    <mergeCell ref="C22:D22"/>
    <mergeCell ref="C21:D21"/>
    <mergeCell ref="D6:E6"/>
    <mergeCell ref="D5:E5"/>
  </mergeCells>
  <hyperlinks>
    <hyperlink r:id="rId1" location="gid=554442066" ref="B11"/>
  </hyperlinks>
  <drawing r:id="rId2"/>
</worksheet>
</file>