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/>
  <mc:AlternateContent xmlns:mc="http://schemas.openxmlformats.org/markup-compatibility/2006">
    <mc:Choice Requires="x15">
      <x15ac:absPath xmlns:x15ac="http://schemas.microsoft.com/office/spreadsheetml/2010/11/ac" url="D:\Asbiverse\Dataset\"/>
    </mc:Choice>
  </mc:AlternateContent>
  <xr:revisionPtr revIDLastSave="0" documentId="13_ncr:1_{CEDA04BF-E110-465D-8E1F-8DEE377BE836}" xr6:coauthVersionLast="47" xr6:coauthVersionMax="47" xr10:uidLastSave="{00000000-0000-0000-0000-000000000000}"/>
  <bookViews>
    <workbookView xWindow="-120" yWindow="-120" windowWidth="20730" windowHeight="11160" firstSheet="4" activeTab="11" xr2:uid="{00000000-000D-0000-FFFF-FFFF00000000}"/>
  </bookViews>
  <sheets>
    <sheet name="Problem" sheetId="1" r:id="rId1"/>
    <sheet name="Value Chain" sheetId="2" r:id="rId2"/>
    <sheet name="Hyperdrive Value Chain" sheetId="14" r:id="rId3"/>
    <sheet name="Value Chain Str" sheetId="9" r:id="rId4"/>
    <sheet name="Pricing Arch" sheetId="3" r:id="rId5"/>
    <sheet name="GL Code" sheetId="4" r:id="rId6"/>
    <sheet name="TFM" sheetId="5" r:id="rId7"/>
    <sheet name="TPM" sheetId="6" r:id="rId8"/>
    <sheet name="RGM" sheetId="7" r:id="rId9"/>
    <sheet name="Dashboard" sheetId="11" r:id="rId10"/>
    <sheet name="Link" sheetId="13" r:id="rId11"/>
    <sheet name="Notes" sheetId="12" r:id="rId12"/>
  </sheets>
  <definedNames>
    <definedName name="_xlnm._FilterDatabase" localSheetId="5" hidden="1">'GL Code'!$A$1:$E$1</definedName>
    <definedName name="_xlnm._FilterDatabase" localSheetId="2" hidden="1">'Hyperdrive Value Chain'!$A$1:$F$1</definedName>
    <definedName name="_xlnm._FilterDatabase" localSheetId="4" hidden="1">'Pricing Arch'!$A$1:$H$9</definedName>
    <definedName name="_xlnm._FilterDatabase" localSheetId="8" hidden="1">RGM!$A$1:$Q$1</definedName>
    <definedName name="_xlnm._FilterDatabase" localSheetId="6" hidden="1">TFM!$A$1:$P$5</definedName>
    <definedName name="_xlnm._FilterDatabase" localSheetId="7" hidden="1">TPM!$A$1:$U$1</definedName>
    <definedName name="_xlnm._FilterDatabase" localSheetId="1" hidden="1">'Value Chain'!$A$1:$S$1</definedName>
    <definedName name="_xlnm._FilterDatabase" localSheetId="3" hidden="1">'Value Chain Str'!$A$1:$S$1</definedName>
  </definedNames>
  <calcPr calcId="191029"/>
  <pivotCaches>
    <pivotCache cacheId="0" r:id="rId13"/>
    <pivotCache cacheId="1" r:id="rId14"/>
    <pivotCache cacheId="2" r:id="rId15"/>
    <pivotCache cacheId="3" r:id="rId16"/>
    <pivotCache cacheId="4" r:id="rId17"/>
    <pivotCache cacheId="5" r:id="rId1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4" l="1"/>
  <c r="E3" i="14"/>
  <c r="E4" i="14"/>
  <c r="E5" i="14"/>
  <c r="E2" i="14"/>
  <c r="G9" i="2"/>
  <c r="H9" i="2"/>
  <c r="C2" i="14"/>
  <c r="C6" i="14" s="1"/>
  <c r="C3" i="14"/>
  <c r="D3" i="14" s="1"/>
  <c r="D6" i="14" s="1"/>
  <c r="C4" i="14"/>
  <c r="D4" i="14" s="1"/>
  <c r="C5" i="14"/>
  <c r="D5" i="14" s="1"/>
  <c r="F4" i="2"/>
  <c r="F2" i="14"/>
  <c r="F3" i="14"/>
  <c r="F6" i="14" s="1"/>
  <c r="F4" i="14"/>
  <c r="F5" i="14"/>
  <c r="J3" i="3"/>
  <c r="J4" i="3"/>
  <c r="J5" i="3"/>
  <c r="J6" i="3"/>
  <c r="J7" i="3"/>
  <c r="J8" i="3"/>
  <c r="J9" i="3"/>
  <c r="J2" i="3"/>
  <c r="H4" i="2"/>
  <c r="G4" i="2"/>
  <c r="O3" i="5"/>
  <c r="O4" i="5"/>
  <c r="O5" i="5"/>
  <c r="O6" i="5"/>
  <c r="O7" i="5"/>
  <c r="I3" i="5"/>
  <c r="I4" i="5"/>
  <c r="I5" i="5"/>
  <c r="I6" i="5"/>
  <c r="I7" i="5"/>
  <c r="I2" i="5"/>
  <c r="M6" i="5"/>
  <c r="M7" i="5"/>
  <c r="R10" i="6" l="1"/>
  <c r="M3" i="5"/>
  <c r="M4" i="5"/>
  <c r="M5" i="5"/>
  <c r="H7" i="2"/>
  <c r="H3" i="9"/>
  <c r="H4" i="9"/>
  <c r="H5" i="9"/>
  <c r="H6" i="9"/>
  <c r="H7" i="9"/>
  <c r="H8" i="9"/>
  <c r="H9" i="9"/>
  <c r="H2" i="9"/>
  <c r="N3" i="9"/>
  <c r="N4" i="9"/>
  <c r="D4" i="3" s="1"/>
  <c r="K4" i="6" s="1"/>
  <c r="N5" i="9"/>
  <c r="N6" i="9"/>
  <c r="N7" i="9"/>
  <c r="D7" i="3" s="1"/>
  <c r="N8" i="9"/>
  <c r="D8" i="3" s="1"/>
  <c r="K8" i="6" s="1"/>
  <c r="N9" i="9"/>
  <c r="D9" i="3" s="1"/>
  <c r="K9" i="6" s="1"/>
  <c r="N2" i="9"/>
  <c r="D2" i="3" s="1"/>
  <c r="F3" i="3"/>
  <c r="F4" i="3"/>
  <c r="F5" i="3"/>
  <c r="F6" i="3"/>
  <c r="F7" i="3"/>
  <c r="F8" i="3"/>
  <c r="F9" i="3"/>
  <c r="F2" i="3"/>
  <c r="D4" i="4"/>
  <c r="H5" i="2" s="1"/>
  <c r="Q4" i="9"/>
  <c r="F9" i="2"/>
  <c r="G3" i="2" s="1"/>
  <c r="C3" i="4" s="1"/>
  <c r="L8" i="6" l="1"/>
  <c r="I8" i="3"/>
  <c r="L4" i="6"/>
  <c r="I4" i="3"/>
  <c r="L7" i="6"/>
  <c r="I7" i="3"/>
  <c r="L3" i="6"/>
  <c r="I3" i="3"/>
  <c r="Q2" i="9"/>
  <c r="I2" i="3"/>
  <c r="Q6" i="9"/>
  <c r="I6" i="3"/>
  <c r="L9" i="6"/>
  <c r="I9" i="3"/>
  <c r="Q5" i="9"/>
  <c r="I5" i="3"/>
  <c r="Q8" i="9"/>
  <c r="Q7" i="9"/>
  <c r="H2" i="7"/>
  <c r="B22" i="7" s="1"/>
  <c r="H22" i="7" s="1"/>
  <c r="H4" i="7"/>
  <c r="B24" i="7" s="1"/>
  <c r="H6" i="7"/>
  <c r="B26" i="7" s="1"/>
  <c r="Q9" i="9"/>
  <c r="H8" i="7"/>
  <c r="B28" i="7" s="1"/>
  <c r="H3" i="7"/>
  <c r="B23" i="7" s="1"/>
  <c r="H7" i="7"/>
  <c r="B27" i="7" s="1"/>
  <c r="Q3" i="9"/>
  <c r="R3" i="9" s="1"/>
  <c r="T3" i="9" s="1"/>
  <c r="H5" i="7"/>
  <c r="B25" i="7" s="1"/>
  <c r="H9" i="7"/>
  <c r="B29" i="7" s="1"/>
  <c r="O3" i="9"/>
  <c r="M3" i="6" s="1"/>
  <c r="P3" i="6" s="1"/>
  <c r="O7" i="9"/>
  <c r="R7" i="9" s="1"/>
  <c r="T7" i="9" s="1"/>
  <c r="D5" i="3"/>
  <c r="K5" i="6" s="1"/>
  <c r="O9" i="9"/>
  <c r="M9" i="6" s="1"/>
  <c r="O5" i="9"/>
  <c r="D3" i="3"/>
  <c r="K3" i="6" s="1"/>
  <c r="O8" i="9"/>
  <c r="O4" i="9"/>
  <c r="P4" i="9" s="1"/>
  <c r="D6" i="3"/>
  <c r="K6" i="6" s="1"/>
  <c r="O2" i="9"/>
  <c r="I2" i="7" s="1"/>
  <c r="J2" i="7" s="1"/>
  <c r="O6" i="9"/>
  <c r="M6" i="6" s="1"/>
  <c r="H11" i="9"/>
  <c r="H7" i="3"/>
  <c r="L5" i="6"/>
  <c r="H9" i="3"/>
  <c r="H8" i="3"/>
  <c r="H4" i="3"/>
  <c r="K7" i="6"/>
  <c r="H2" i="3"/>
  <c r="K2" i="6"/>
  <c r="L2" i="6"/>
  <c r="B13" i="6" s="1"/>
  <c r="L6" i="6"/>
  <c r="P7" i="9"/>
  <c r="G7" i="2"/>
  <c r="C6" i="4" s="1"/>
  <c r="E6" i="4" s="1"/>
  <c r="G6" i="2"/>
  <c r="C5" i="4" s="1"/>
  <c r="C8" i="5" s="1"/>
  <c r="D3" i="5" s="1"/>
  <c r="G5" i="2"/>
  <c r="C4" i="4" s="1"/>
  <c r="E4" i="4" s="1"/>
  <c r="G2" i="2"/>
  <c r="C2" i="4" s="1"/>
  <c r="P9" i="6" l="1"/>
  <c r="P6" i="6"/>
  <c r="R8" i="9"/>
  <c r="T8" i="9" s="1"/>
  <c r="D2" i="5"/>
  <c r="D7" i="5"/>
  <c r="J7" i="5" s="1"/>
  <c r="D5" i="5"/>
  <c r="J5" i="5" s="1"/>
  <c r="D6" i="5"/>
  <c r="J6" i="5" s="1"/>
  <c r="D4" i="5"/>
  <c r="J4" i="5" s="1"/>
  <c r="M8" i="6"/>
  <c r="P8" i="6" s="1"/>
  <c r="I9" i="7"/>
  <c r="J9" i="7" s="1"/>
  <c r="M9" i="7" s="1"/>
  <c r="R9" i="9"/>
  <c r="T9" i="9" s="1"/>
  <c r="H6" i="3"/>
  <c r="I7" i="7"/>
  <c r="J7" i="7" s="1"/>
  <c r="M7" i="7" s="1"/>
  <c r="H5" i="3"/>
  <c r="P2" i="9"/>
  <c r="I8" i="7"/>
  <c r="J8" i="7" s="1"/>
  <c r="M8" i="7" s="1"/>
  <c r="I3" i="7"/>
  <c r="J3" i="7" s="1"/>
  <c r="M3" i="7" s="1"/>
  <c r="R4" i="9"/>
  <c r="H3" i="3"/>
  <c r="I6" i="7"/>
  <c r="J6" i="7" s="1"/>
  <c r="M6" i="7" s="1"/>
  <c r="I5" i="7"/>
  <c r="J5" i="7" s="1"/>
  <c r="M5" i="7" s="1"/>
  <c r="I4" i="7"/>
  <c r="J4" i="7" s="1"/>
  <c r="M4" i="7" s="1"/>
  <c r="M4" i="6"/>
  <c r="P4" i="6" s="1"/>
  <c r="P5" i="9"/>
  <c r="M2" i="6"/>
  <c r="B16" i="6" s="1"/>
  <c r="B17" i="6" s="1"/>
  <c r="M5" i="6"/>
  <c r="P5" i="6" s="1"/>
  <c r="M7" i="6"/>
  <c r="P7" i="6" s="1"/>
  <c r="J3" i="5"/>
  <c r="M2" i="7"/>
  <c r="C22" i="7"/>
  <c r="E22" i="7" s="1"/>
  <c r="G22" i="7" s="1"/>
  <c r="L4" i="7"/>
  <c r="E24" i="7" s="1"/>
  <c r="L2" i="7"/>
  <c r="S7" i="9"/>
  <c r="P3" i="9"/>
  <c r="P8" i="9"/>
  <c r="S8" i="9" s="1"/>
  <c r="L11" i="9"/>
  <c r="D5" i="4" s="1"/>
  <c r="P9" i="9"/>
  <c r="P6" i="9"/>
  <c r="R6" i="9"/>
  <c r="T6" i="9" s="1"/>
  <c r="R5" i="9"/>
  <c r="T5" i="9" s="1"/>
  <c r="C8" i="4"/>
  <c r="R2" i="9"/>
  <c r="T2" i="9" s="1"/>
  <c r="J11" i="9"/>
  <c r="D3" i="4" s="1"/>
  <c r="I11" i="9"/>
  <c r="D2" i="4" s="1"/>
  <c r="S4" i="9" l="1"/>
  <c r="T4" i="9"/>
  <c r="D8" i="5"/>
  <c r="C29" i="7"/>
  <c r="L9" i="7"/>
  <c r="E29" i="7" s="1"/>
  <c r="C28" i="7"/>
  <c r="L6" i="7"/>
  <c r="E26" i="7" s="1"/>
  <c r="L5" i="7"/>
  <c r="E25" i="7" s="1"/>
  <c r="C26" i="7"/>
  <c r="S9" i="9"/>
  <c r="C27" i="7"/>
  <c r="L8" i="7"/>
  <c r="E28" i="7" s="1"/>
  <c r="P2" i="6"/>
  <c r="L7" i="7"/>
  <c r="E27" i="7" s="1"/>
  <c r="L3" i="7"/>
  <c r="E23" i="7" s="1"/>
  <c r="C25" i="7"/>
  <c r="C24" i="7"/>
  <c r="C23" i="7"/>
  <c r="N2" i="6"/>
  <c r="S5" i="9"/>
  <c r="P10" i="6"/>
  <c r="S6" i="9"/>
  <c r="J2" i="5"/>
  <c r="J8" i="5" s="1"/>
  <c r="I8" i="5"/>
  <c r="E2" i="4"/>
  <c r="H2" i="2"/>
  <c r="P6" i="7"/>
  <c r="N4" i="7"/>
  <c r="Q4" i="7" s="1"/>
  <c r="P4" i="7"/>
  <c r="E3" i="4"/>
  <c r="H3" i="2"/>
  <c r="E5" i="4"/>
  <c r="H6" i="2"/>
  <c r="P2" i="7"/>
  <c r="N2" i="7"/>
  <c r="N5" i="7"/>
  <c r="Q5" i="7" s="1"/>
  <c r="S3" i="9"/>
  <c r="P11" i="9"/>
  <c r="S2" i="9"/>
  <c r="D8" i="4"/>
  <c r="R11" i="9"/>
  <c r="M2" i="5"/>
  <c r="O2" i="5" s="1"/>
  <c r="P9" i="7" l="1"/>
  <c r="N7" i="7"/>
  <c r="Q7" i="7" s="1"/>
  <c r="N9" i="7"/>
  <c r="Q9" i="7" s="1"/>
  <c r="P8" i="7"/>
  <c r="N8" i="7"/>
  <c r="Q8" i="7" s="1"/>
  <c r="N6" i="7"/>
  <c r="Q6" i="7" s="1"/>
  <c r="P7" i="7"/>
  <c r="P5" i="7"/>
  <c r="P3" i="7"/>
  <c r="N3" i="7"/>
  <c r="Q3" i="7" s="1"/>
  <c r="O2" i="6"/>
  <c r="Q2" i="6"/>
  <c r="S2" i="6"/>
  <c r="B18" i="6"/>
  <c r="E8" i="4"/>
  <c r="S11" i="9"/>
  <c r="T2" i="6" l="1"/>
  <c r="Q10" i="6"/>
  <c r="B19" i="6"/>
  <c r="U2" i="6"/>
  <c r="O2" i="7"/>
  <c r="Q2" i="7" s="1"/>
</calcChain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<sst xmlns="http://schemas.openxmlformats.org/spreadsheetml/2006/main" count="440" uniqueCount="170">
  <si>
    <t>Problem:</t>
  </si>
  <si>
    <t xml:space="preserve">Company </t>
  </si>
  <si>
    <t>Product</t>
  </si>
  <si>
    <t>Category</t>
  </si>
  <si>
    <t>Region</t>
  </si>
  <si>
    <t>Packaging Type</t>
  </si>
  <si>
    <t>Soft Drink</t>
  </si>
  <si>
    <t>Iraichi-0</t>
  </si>
  <si>
    <t>IND</t>
  </si>
  <si>
    <t>Bottles</t>
  </si>
  <si>
    <t>Cans</t>
  </si>
  <si>
    <t>Tetra Pak</t>
  </si>
  <si>
    <t>Expenses</t>
  </si>
  <si>
    <t>Other Costs</t>
  </si>
  <si>
    <t>Raw Material Cost</t>
  </si>
  <si>
    <t>Budget</t>
  </si>
  <si>
    <t>Grand Total</t>
  </si>
  <si>
    <t>Quantity</t>
  </si>
  <si>
    <t>Actual Revenue</t>
  </si>
  <si>
    <t>Market Price</t>
  </si>
  <si>
    <t>Profit</t>
  </si>
  <si>
    <t>Budget %</t>
  </si>
  <si>
    <t>Discount</t>
  </si>
  <si>
    <t>Profit/Loss</t>
  </si>
  <si>
    <t>Urban</t>
  </si>
  <si>
    <t>GL Code</t>
  </si>
  <si>
    <t>GL Description</t>
  </si>
  <si>
    <t>Variance</t>
  </si>
  <si>
    <t>Distributor</t>
  </si>
  <si>
    <t>Promotion Type</t>
  </si>
  <si>
    <t>Allocated Fund</t>
  </si>
  <si>
    <t>Utlized Fund</t>
  </si>
  <si>
    <t>Balance</t>
  </si>
  <si>
    <t>Sales</t>
  </si>
  <si>
    <t>Sales Growth</t>
  </si>
  <si>
    <t>Retails</t>
  </si>
  <si>
    <t>Price Discount</t>
  </si>
  <si>
    <t>Whoresale</t>
  </si>
  <si>
    <t>In-Store Display</t>
  </si>
  <si>
    <t>Allocated Fund %</t>
  </si>
  <si>
    <t>Sales Growth %</t>
  </si>
  <si>
    <t>Promotions Type</t>
  </si>
  <si>
    <t>Start Date</t>
  </si>
  <si>
    <t>End Date</t>
  </si>
  <si>
    <t>Actual Price</t>
  </si>
  <si>
    <t>Sales Before</t>
  </si>
  <si>
    <t>Growth%</t>
  </si>
  <si>
    <t>Revenue</t>
  </si>
  <si>
    <t>New Revenue</t>
  </si>
  <si>
    <t>Promotion cost</t>
  </si>
  <si>
    <t>Increase %</t>
  </si>
  <si>
    <t>ROI</t>
  </si>
  <si>
    <t>bunding</t>
  </si>
  <si>
    <t>Grand total</t>
  </si>
  <si>
    <t>CashBack</t>
  </si>
  <si>
    <t>Retail price of 250 ml</t>
  </si>
  <si>
    <t>Rebate amount</t>
  </si>
  <si>
    <t>Expected increase in sales</t>
  </si>
  <si>
    <t>Before Sales volume</t>
  </si>
  <si>
    <t xml:space="preserve">Total Profit </t>
  </si>
  <si>
    <t>Base Price</t>
  </si>
  <si>
    <t>Direct sales</t>
  </si>
  <si>
    <t>Distribution channels</t>
  </si>
  <si>
    <t>Direct Sale</t>
  </si>
  <si>
    <t>Sum of Budget</t>
  </si>
  <si>
    <t>Base Cost</t>
  </si>
  <si>
    <t>Sum of Base Cost</t>
  </si>
  <si>
    <t>Revenue Growth</t>
  </si>
  <si>
    <t>Profits</t>
  </si>
  <si>
    <t>Promotion costs</t>
  </si>
  <si>
    <t>Return of invest (ROI)</t>
  </si>
  <si>
    <t>Contribution in Revenue</t>
  </si>
  <si>
    <t>Revenue Growth %</t>
  </si>
  <si>
    <t>Goal Seek</t>
  </si>
  <si>
    <t>Total Cost</t>
  </si>
  <si>
    <t>Sum of Competitor price</t>
  </si>
  <si>
    <t>Sum of Profit/Loss</t>
  </si>
  <si>
    <t>Bunding</t>
  </si>
  <si>
    <t>https://www.youtube.com/watch?v=hmw9g-0AS6E</t>
  </si>
  <si>
    <t>https://www.youtube.com/watch?v=pVk5ogUOOKQ</t>
  </si>
  <si>
    <t>https://www.youtube.com/watch?v=874X-9YgULM</t>
  </si>
  <si>
    <t>https://www.youtube.com/watch?v=laZxZFPYzeI</t>
  </si>
  <si>
    <t>Target Sales Growth</t>
  </si>
  <si>
    <t>Week 1</t>
  </si>
  <si>
    <t>Week 2</t>
  </si>
  <si>
    <t>Week 3</t>
  </si>
  <si>
    <t>Week 4</t>
  </si>
  <si>
    <t>Utlized Funds</t>
  </si>
  <si>
    <t>Allocated Funds</t>
  </si>
  <si>
    <t>Sales Growths %</t>
  </si>
  <si>
    <t>Sum of ROI</t>
  </si>
  <si>
    <t>Use the following management principles to maximise revenue and customer engagement:</t>
  </si>
  <si>
    <t>1. Value Chain Structure</t>
  </si>
  <si>
    <t>2. Pricing Architecture</t>
  </si>
  <si>
    <t>3. Trade Fund Management (TFM)</t>
  </si>
  <si>
    <t>4. Trade Promotion Management (TPM)</t>
  </si>
  <si>
    <t>5. Revenue Growth Management (RGM)</t>
  </si>
  <si>
    <t>Expense Cost</t>
  </si>
  <si>
    <t>Manufacturing Cost</t>
  </si>
  <si>
    <t>Transportation Cost</t>
  </si>
  <si>
    <t>Campaign Budget</t>
  </si>
  <si>
    <t>Pack Size (in ml)</t>
  </si>
  <si>
    <t xml:space="preserve"> Transportation Cost</t>
  </si>
  <si>
    <t xml:space="preserve"> Campaign Budget</t>
  </si>
  <si>
    <t>Semi-Urban</t>
  </si>
  <si>
    <t>Rural</t>
  </si>
  <si>
    <t>Competitor Price</t>
  </si>
  <si>
    <t>Proposed Price</t>
  </si>
  <si>
    <t>Actual</t>
  </si>
  <si>
    <t>Retail</t>
  </si>
  <si>
    <t>Wholesale</t>
  </si>
  <si>
    <t>Direct Sales</t>
  </si>
  <si>
    <t>Distribution Channels</t>
  </si>
  <si>
    <t>Paid Ads</t>
  </si>
  <si>
    <t>TV Ads</t>
  </si>
  <si>
    <t>Distributors</t>
  </si>
  <si>
    <t>Teaser campaigns &amp; reveals</t>
  </si>
  <si>
    <t>Social media &amp; influencer marketing</t>
  </si>
  <si>
    <t>Price discounts</t>
  </si>
  <si>
    <t>Eye-catching displays</t>
  </si>
  <si>
    <t>Co-op advertising</t>
  </si>
  <si>
    <t>In-store displays</t>
  </si>
  <si>
    <t>In-store display</t>
  </si>
  <si>
    <t>Price discount</t>
  </si>
  <si>
    <t>Sum of Expense Cost</t>
  </si>
  <si>
    <t>Sum of Proposed Price</t>
  </si>
  <si>
    <t>Build some atractive Principle</t>
  </si>
  <si>
    <t>Again Coco cola first choice with elaichi flavours</t>
  </si>
  <si>
    <t>Besides these all try some new principles</t>
  </si>
  <si>
    <t>Add lucky draw</t>
  </si>
  <si>
    <t>Gifyt Voucher</t>
  </si>
  <si>
    <t>cardamom</t>
  </si>
  <si>
    <t>refreshing and medicinal effects to stay chaerge by cardamom</t>
  </si>
  <si>
    <t>https://www.analytixlabs.co.in/blog/data-cleaning-in-excel/</t>
  </si>
  <si>
    <t>Tetra Pak ss</t>
  </si>
  <si>
    <t>https://www.simplilearn.com/tutorials/excel-tutorial/excel-data-cleaning</t>
  </si>
  <si>
    <t>https://www.myonlinetraininghub.com/how-to-clean-data-in-excel</t>
  </si>
  <si>
    <t>https://github.com/DaveOnData/DataCleaningWithExcel</t>
  </si>
  <si>
    <t>https://hackernoon.com/15-excel-datasets-for-data-analytics-beginners</t>
  </si>
  <si>
    <t>https://support.microsoft.com/en-us/office/top-ten-ways-to-clean-your-data-2844b620-677c-47a7-ac3e-c2e157d1db19</t>
  </si>
  <si>
    <t>https://github.com/StatAziz/Data-Cleaning-in-MS-Excel</t>
  </si>
  <si>
    <t>Issues with the dataset</t>
  </si>
  <si>
    <t>https://borealisdata.ca/dataset.xhtml?persistentId=doi:10.5683/SP3/ZCN177</t>
  </si>
  <si>
    <t>https://www.youtube.com/watch?v=MKO1icFVtDc</t>
  </si>
  <si>
    <t>Sum of Total Cost</t>
  </si>
  <si>
    <t>Sum of Base Revenue</t>
  </si>
  <si>
    <t>Sum of Actual Revenue</t>
  </si>
  <si>
    <t>Sum of Profit</t>
  </si>
  <si>
    <t>Row Labels</t>
  </si>
  <si>
    <t>(All)</t>
  </si>
  <si>
    <t>duration to get  profit</t>
  </si>
  <si>
    <t>COGS</t>
  </si>
  <si>
    <t>Profit %</t>
  </si>
  <si>
    <t>https://www.marketingweekly.in/post/what-is-price-pack-architecture-ppa-in-marketing-what-is-ppa-in-product-management</t>
  </si>
  <si>
    <t>CPI</t>
  </si>
  <si>
    <t>% Difference</t>
  </si>
  <si>
    <t>Iraichi-1</t>
  </si>
  <si>
    <t>Stage</t>
  </si>
  <si>
    <t>Internal Management</t>
  </si>
  <si>
    <t>Partner Management</t>
  </si>
  <si>
    <t>Trade Management</t>
  </si>
  <si>
    <t>Expense Type</t>
  </si>
  <si>
    <t>Budget (INR)</t>
  </si>
  <si>
    <t>Expense Cost (INR)</t>
  </si>
  <si>
    <t>Adjusted % Data</t>
  </si>
  <si>
    <t>https://excelchamps.com/blog/useful-macro-codes-for-vba-newcomers/</t>
  </si>
  <si>
    <t>Macro Folmulas</t>
  </si>
  <si>
    <t>Gilroy-Bold</t>
  </si>
  <si>
    <t>Zesty Elaichi wants to launch a new product Elaichi-0 flavour drink in the Indian market.</t>
  </si>
  <si>
    <t>Zesty Elaichi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</si>
</sst>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theme="1"/>
      <name val="Calibri"/>
      <family val="2"/>
      <scheme val="minor"/>
    </font>
    <font>
      <b/>
      <sz val="20"/>
      <color rgb="FFFF0000"/>
      <name val="Aptos Display"/>
      <family val="2"/>
    </font>
    <font>
      <sz val="18"/>
      <color rgb="FFFF0000"/>
      <name val="Aptos Display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0549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42424"/>
      <name val="Consolas"/>
      <family val="3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242424"/>
      <name val="Consolas"/>
      <family val="3"/>
    </font>
    <font>
      <b/>
      <sz val="11"/>
      <color rgb="FF000000"/>
      <name val="Consolas"/>
      <family val="3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FFF2CC"/>
      <name val="Arial"/>
      <family val="2"/>
    </font>
    <font>
      <sz val="10"/>
      <color rgb="FF000000"/>
      <name val="Arial"/>
      <family val="2"/>
    </font>
    <font>
      <b/>
      <sz val="10"/>
      <color rgb="FFFFE599"/>
      <name val="Arial"/>
      <family val="2"/>
    </font>
    <font>
      <sz val="10"/>
      <color rgb="FFFF0000"/>
      <name val="Arial"/>
      <family val="2"/>
    </font>
    <font>
      <b/>
      <sz val="10"/>
      <color theme="9"/>
      <name val="Arial"/>
      <family val="2"/>
    </font>
    <font>
      <sz val="11"/>
      <name val="Calibri"/>
      <family val="2"/>
      <scheme val="minor"/>
    </font>
    <font>
      <sz val="11"/>
      <name val="Consolas"/>
      <family val="3"/>
    </font>
    <font>
      <b/>
      <sz val="11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7.75"/>
      <color rgb="FF303436"/>
      <name val="Arial"/>
      <family val="2"/>
    </font>
    <font>
      <b/>
      <sz val="10"/>
      <color theme="1"/>
      <name val="Arial"/>
      <family val="2"/>
    </font>
    <font>
      <b/>
      <sz val="11"/>
      <color theme="4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Gilroy-Bold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0" fontId="6" fillId="0" borderId="0" xfId="0" applyFont="1"/>
    <xf numFmtId="0" fontId="6" fillId="0" borderId="0" xfId="0" applyFont="1" applyAlignment="1">
      <alignment vertical="center" wrapText="1"/>
    </xf>
    <xf numFmtId="9" fontId="0" fillId="0" borderId="0" xfId="0" applyNumberFormat="1"/>
    <xf numFmtId="2" fontId="0" fillId="0" borderId="0" xfId="0" applyNumberFormat="1"/>
    <xf numFmtId="0" fontId="9" fillId="0" borderId="0" xfId="0" applyFont="1"/>
    <xf numFmtId="0" fontId="4" fillId="3" borderId="0" xfId="0" applyFont="1" applyFill="1"/>
    <xf numFmtId="0" fontId="9" fillId="3" borderId="0" xfId="0" applyFont="1" applyFill="1"/>
    <xf numFmtId="10" fontId="6" fillId="0" borderId="0" xfId="0" applyNumberFormat="1" applyFont="1"/>
    <xf numFmtId="0" fontId="13" fillId="0" borderId="1" xfId="0" applyFont="1" applyBorder="1" applyAlignment="1">
      <alignment wrapText="1"/>
    </xf>
    <xf numFmtId="0" fontId="15" fillId="0" borderId="1" xfId="0" applyFont="1" applyBorder="1" applyAlignment="1">
      <alignment horizontal="right" wrapText="1"/>
    </xf>
    <xf numFmtId="0" fontId="17" fillId="0" borderId="1" xfId="0" applyFont="1" applyBorder="1" applyAlignment="1">
      <alignment wrapText="1"/>
    </xf>
    <xf numFmtId="0" fontId="17" fillId="0" borderId="1" xfId="0" applyFont="1" applyBorder="1" applyAlignment="1">
      <alignment horizontal="right" wrapText="1"/>
    </xf>
    <xf numFmtId="0" fontId="18" fillId="0" borderId="1" xfId="0" applyFont="1" applyBorder="1" applyAlignment="1">
      <alignment wrapText="1"/>
    </xf>
    <xf numFmtId="0" fontId="19" fillId="0" borderId="1" xfId="0" applyFont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0" fontId="8" fillId="0" borderId="0" xfId="0" applyFont="1"/>
    <xf numFmtId="0" fontId="4" fillId="6" borderId="2" xfId="0" applyFont="1" applyFill="1" applyBorder="1"/>
    <xf numFmtId="0" fontId="4" fillId="6" borderId="2" xfId="0" applyFont="1" applyFill="1" applyBorder="1" applyAlignment="1">
      <alignment horizontal="left"/>
    </xf>
    <xf numFmtId="0" fontId="0" fillId="6" borderId="2" xfId="0" applyFill="1" applyBorder="1"/>
    <xf numFmtId="0" fontId="0" fillId="6" borderId="2" xfId="0" applyFill="1" applyBorder="1" applyAlignment="1">
      <alignment horizontal="left"/>
    </xf>
    <xf numFmtId="0" fontId="4" fillId="0" borderId="0" xfId="0" applyFont="1"/>
    <xf numFmtId="0" fontId="23" fillId="0" borderId="0" xfId="0" applyFont="1"/>
    <xf numFmtId="0" fontId="23" fillId="7" borderId="0" xfId="0" applyFont="1" applyFill="1"/>
    <xf numFmtId="0" fontId="23" fillId="8" borderId="2" xfId="0" applyFont="1" applyFill="1" applyBorder="1"/>
    <xf numFmtId="0" fontId="21" fillId="9" borderId="2" xfId="0" applyFont="1" applyFill="1" applyBorder="1"/>
    <xf numFmtId="9" fontId="21" fillId="9" borderId="2" xfId="0" applyNumberFormat="1" applyFont="1" applyFill="1" applyBorder="1"/>
    <xf numFmtId="0" fontId="21" fillId="9" borderId="2" xfId="0" applyFont="1" applyFill="1" applyBorder="1" applyAlignment="1">
      <alignment vertical="center" wrapText="1"/>
    </xf>
    <xf numFmtId="0" fontId="0" fillId="10" borderId="2" xfId="0" applyFill="1" applyBorder="1"/>
    <xf numFmtId="0" fontId="0" fillId="10" borderId="2" xfId="0" applyFill="1" applyBorder="1" applyAlignment="1">
      <alignment horizontal="left"/>
    </xf>
    <xf numFmtId="10" fontId="0" fillId="0" borderId="0" xfId="0" applyNumberFormat="1"/>
    <xf numFmtId="0" fontId="0" fillId="0" borderId="2" xfId="0" pivotButton="1" applyBorder="1"/>
    <xf numFmtId="0" fontId="0" fillId="0" borderId="2" xfId="0" applyBorder="1"/>
    <xf numFmtId="0" fontId="0" fillId="0" borderId="2" xfId="0" applyBorder="1" applyAlignment="1">
      <alignment horizontal="left"/>
    </xf>
    <xf numFmtId="9" fontId="0" fillId="0" borderId="2" xfId="0" applyNumberFormat="1" applyBorder="1"/>
    <xf numFmtId="0" fontId="0" fillId="0" borderId="0" xfId="0" applyAlignment="1">
      <alignment vertical="center" wrapText="1"/>
    </xf>
    <xf numFmtId="2" fontId="6" fillId="0" borderId="0" xfId="0" applyNumberFormat="1" applyFont="1"/>
    <xf numFmtId="0" fontId="24" fillId="0" borderId="2" xfId="0" applyFont="1" applyBorder="1" applyAlignment="1">
      <alignment horizontal="left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16" fillId="0" borderId="3" xfId="0" applyFont="1" applyBorder="1" applyAlignment="1">
      <alignment wrapText="1"/>
    </xf>
    <xf numFmtId="0" fontId="17" fillId="0" borderId="3" xfId="0" applyFont="1" applyBorder="1" applyAlignment="1">
      <alignment wrapText="1"/>
    </xf>
    <xf numFmtId="1" fontId="0" fillId="0" borderId="0" xfId="0" applyNumberFormat="1"/>
    <xf numFmtId="2" fontId="6" fillId="0" borderId="0" xfId="0" applyNumberFormat="1" applyFont="1" applyAlignment="1">
      <alignment vertical="center" wrapText="1"/>
    </xf>
    <xf numFmtId="2" fontId="6" fillId="5" borderId="0" xfId="0" applyNumberFormat="1" applyFont="1" applyFill="1"/>
    <xf numFmtId="2" fontId="4" fillId="3" borderId="0" xfId="0" applyNumberFormat="1" applyFont="1" applyFill="1"/>
    <xf numFmtId="2" fontId="10" fillId="3" borderId="0" xfId="0" applyNumberFormat="1" applyFont="1" applyFill="1"/>
    <xf numFmtId="2" fontId="11" fillId="3" borderId="0" xfId="0" applyNumberFormat="1" applyFont="1" applyFill="1"/>
    <xf numFmtId="2" fontId="9" fillId="3" borderId="0" xfId="0" applyNumberFormat="1" applyFont="1" applyFill="1"/>
    <xf numFmtId="49" fontId="6" fillId="0" borderId="0" xfId="0" applyNumberFormat="1" applyFont="1"/>
    <xf numFmtId="49" fontId="0" fillId="0" borderId="0" xfId="0" applyNumberFormat="1"/>
    <xf numFmtId="2" fontId="7" fillId="0" borderId="0" xfId="0" applyNumberFormat="1" applyFont="1"/>
    <xf numFmtId="9" fontId="0" fillId="6" borderId="2" xfId="0" applyNumberFormat="1" applyFill="1" applyBorder="1"/>
    <xf numFmtId="1" fontId="4" fillId="6" borderId="2" xfId="0" applyNumberFormat="1" applyFont="1" applyFill="1" applyBorder="1"/>
    <xf numFmtId="1" fontId="0" fillId="6" borderId="2" xfId="0" applyNumberFormat="1" applyFill="1" applyBorder="1"/>
    <xf numFmtId="1" fontId="21" fillId="9" borderId="2" xfId="0" applyNumberFormat="1" applyFont="1" applyFill="1" applyBorder="1"/>
    <xf numFmtId="1" fontId="22" fillId="9" borderId="2" xfId="0" applyNumberFormat="1" applyFont="1" applyFill="1" applyBorder="1"/>
    <xf numFmtId="0" fontId="8" fillId="2" borderId="0" xfId="0" applyFont="1" applyFill="1"/>
    <xf numFmtId="0" fontId="3" fillId="0" borderId="0" xfId="0" applyFont="1"/>
    <xf numFmtId="0" fontId="8" fillId="4" borderId="0" xfId="0" applyFont="1" applyFill="1"/>
    <xf numFmtId="49" fontId="8" fillId="4" borderId="0" xfId="0" applyNumberFormat="1" applyFont="1" applyFill="1"/>
    <xf numFmtId="49" fontId="8" fillId="2" borderId="0" xfId="0" applyNumberFormat="1" applyFont="1" applyFill="1"/>
    <xf numFmtId="2" fontId="8" fillId="4" borderId="0" xfId="0" applyNumberFormat="1" applyFont="1" applyFill="1"/>
    <xf numFmtId="0" fontId="25" fillId="11" borderId="0" xfId="0" applyFont="1" applyFill="1"/>
    <xf numFmtId="12" fontId="0" fillId="10" borderId="2" xfId="0" applyNumberFormat="1" applyFill="1" applyBorder="1"/>
    <xf numFmtId="49" fontId="26" fillId="4" borderId="0" xfId="0" applyNumberFormat="1" applyFont="1" applyFill="1" applyAlignment="1">
      <alignment horizontal="left"/>
    </xf>
    <xf numFmtId="49" fontId="26" fillId="4" borderId="0" xfId="0" applyNumberFormat="1" applyFont="1" applyFill="1" applyAlignment="1">
      <alignment horizontal="left" vertical="center" wrapText="1"/>
    </xf>
    <xf numFmtId="0" fontId="26" fillId="4" borderId="0" xfId="0" applyFont="1" applyFill="1" applyAlignment="1">
      <alignment horizontal="left"/>
    </xf>
    <xf numFmtId="10" fontId="26" fillId="4" borderId="0" xfId="0" applyNumberFormat="1" applyFont="1" applyFill="1" applyAlignment="1">
      <alignment horizontal="left"/>
    </xf>
    <xf numFmtId="0" fontId="26" fillId="2" borderId="0" xfId="0" applyFont="1" applyFill="1" applyAlignment="1">
      <alignment horizontal="left"/>
    </xf>
    <xf numFmtId="10" fontId="26" fillId="2" borderId="0" xfId="0" applyNumberFormat="1" applyFont="1" applyFill="1" applyAlignment="1">
      <alignment horizontal="left"/>
    </xf>
    <xf numFmtId="49" fontId="24" fillId="0" borderId="2" xfId="0" applyNumberFormat="1" applyFont="1" applyBorder="1" applyAlignment="1">
      <alignment horizontal="left"/>
    </xf>
    <xf numFmtId="9" fontId="27" fillId="0" borderId="2" xfId="0" applyNumberFormat="1" applyFont="1" applyBorder="1" applyAlignment="1">
      <alignment horizontal="left" vertical="center" wrapText="1"/>
    </xf>
    <xf numFmtId="2" fontId="27" fillId="0" borderId="2" xfId="0" applyNumberFormat="1" applyFont="1" applyBorder="1" applyAlignment="1">
      <alignment horizontal="left"/>
    </xf>
    <xf numFmtId="2" fontId="24" fillId="0" borderId="2" xfId="0" applyNumberFormat="1" applyFont="1" applyBorder="1" applyAlignment="1">
      <alignment horizontal="left" vertical="center" wrapText="1"/>
    </xf>
    <xf numFmtId="2" fontId="24" fillId="0" borderId="2" xfId="0" applyNumberFormat="1" applyFont="1" applyBorder="1" applyAlignment="1">
      <alignment horizontal="left"/>
    </xf>
    <xf numFmtId="10" fontId="27" fillId="0" borderId="2" xfId="0" applyNumberFormat="1" applyFont="1" applyBorder="1" applyAlignment="1">
      <alignment horizontal="left"/>
    </xf>
    <xf numFmtId="10" fontId="24" fillId="0" borderId="2" xfId="0" applyNumberFormat="1" applyFont="1" applyBorder="1" applyAlignment="1">
      <alignment horizontal="left"/>
    </xf>
    <xf numFmtId="9" fontId="12" fillId="0" borderId="2" xfId="0" applyNumberFormat="1" applyFont="1" applyBorder="1" applyAlignment="1">
      <alignment horizontal="left" wrapText="1"/>
    </xf>
    <xf numFmtId="9" fontId="24" fillId="0" borderId="2" xfId="0" applyNumberFormat="1" applyFont="1" applyBorder="1" applyAlignment="1">
      <alignment horizontal="left"/>
    </xf>
    <xf numFmtId="49" fontId="24" fillId="3" borderId="2" xfId="0" applyNumberFormat="1" applyFont="1" applyFill="1" applyBorder="1" applyAlignment="1">
      <alignment horizontal="left"/>
    </xf>
    <xf numFmtId="2" fontId="28" fillId="3" borderId="2" xfId="0" applyNumberFormat="1" applyFont="1" applyFill="1" applyBorder="1" applyAlignment="1">
      <alignment horizontal="left"/>
    </xf>
    <xf numFmtId="0" fontId="28" fillId="3" borderId="2" xfId="0" applyFont="1" applyFill="1" applyBorder="1" applyAlignment="1">
      <alignment horizontal="left"/>
    </xf>
    <xf numFmtId="0" fontId="0" fillId="2" borderId="0" xfId="0" applyFill="1"/>
    <xf numFmtId="0" fontId="29" fillId="0" borderId="0" xfId="0" applyFont="1" applyAlignment="1">
      <alignment vertical="center" wrapText="1"/>
    </xf>
    <xf numFmtId="0" fontId="0" fillId="10" borderId="0" xfId="0" applyFill="1"/>
    <xf numFmtId="2" fontId="0" fillId="10" borderId="0" xfId="0" applyNumberFormat="1" applyFill="1"/>
    <xf numFmtId="0" fontId="5" fillId="12" borderId="2" xfId="0" applyFont="1" applyFill="1" applyBorder="1"/>
    <xf numFmtId="0" fontId="9" fillId="13" borderId="2" xfId="0" applyFont="1" applyFill="1" applyBorder="1"/>
    <xf numFmtId="0" fontId="6" fillId="13" borderId="2" xfId="0" applyFont="1" applyFill="1" applyBorder="1"/>
    <xf numFmtId="0" fontId="13" fillId="13" borderId="2" xfId="0" applyFont="1" applyFill="1" applyBorder="1" applyAlignment="1">
      <alignment wrapText="1"/>
    </xf>
    <xf numFmtId="0" fontId="0" fillId="13" borderId="2" xfId="0" applyFill="1" applyBorder="1"/>
    <xf numFmtId="9" fontId="13" fillId="13" borderId="2" xfId="0" applyNumberFormat="1" applyFont="1" applyFill="1" applyBorder="1" applyAlignment="1">
      <alignment wrapText="1"/>
    </xf>
    <xf numFmtId="9" fontId="6" fillId="13" borderId="2" xfId="0" applyNumberFormat="1" applyFont="1" applyFill="1" applyBorder="1"/>
    <xf numFmtId="0" fontId="3" fillId="13" borderId="2" xfId="0" applyFont="1" applyFill="1" applyBorder="1"/>
    <xf numFmtId="0" fontId="14" fillId="13" borderId="2" xfId="0" applyFont="1" applyFill="1" applyBorder="1" applyAlignment="1">
      <alignment wrapText="1"/>
    </xf>
    <xf numFmtId="0" fontId="13" fillId="13" borderId="2" xfId="0" applyFont="1" applyFill="1" applyBorder="1" applyAlignment="1">
      <alignment horizontal="right" wrapText="1"/>
    </xf>
    <xf numFmtId="0" fontId="15" fillId="13" borderId="2" xfId="0" applyFont="1" applyFill="1" applyBorder="1" applyAlignment="1">
      <alignment horizontal="right" wrapText="1"/>
    </xf>
    <xf numFmtId="0" fontId="20" fillId="13" borderId="2" xfId="0" applyFont="1" applyFill="1" applyBorder="1" applyAlignment="1">
      <alignment wrapText="1"/>
    </xf>
    <xf numFmtId="0" fontId="4" fillId="13" borderId="2" xfId="0" applyFont="1" applyFill="1" applyBorder="1"/>
    <xf numFmtId="0" fontId="30" fillId="13" borderId="2" xfId="0" applyFont="1" applyFill="1" applyBorder="1" applyAlignment="1">
      <alignment wrapText="1"/>
    </xf>
    <xf numFmtId="0" fontId="0" fillId="9" borderId="2" xfId="0" applyFill="1" applyBorder="1"/>
    <xf numFmtId="0" fontId="0" fillId="9" borderId="2" xfId="0" applyFill="1" applyBorder="1" applyAlignment="1">
      <alignment horizontal="left"/>
    </xf>
    <xf numFmtId="2" fontId="0" fillId="9" borderId="2" xfId="0" applyNumberFormat="1" applyFill="1" applyBorder="1"/>
    <xf numFmtId="0" fontId="31" fillId="2" borderId="0" xfId="0" applyFont="1" applyFill="1"/>
    <xf numFmtId="0" fontId="3" fillId="10" borderId="0" xfId="0" applyFont="1" applyFill="1"/>
    <xf numFmtId="2" fontId="3" fillId="10" borderId="0" xfId="0" applyNumberFormat="1" applyFont="1" applyFill="1"/>
    <xf numFmtId="10" fontId="3" fillId="10" borderId="0" xfId="0" applyNumberFormat="1" applyFont="1" applyFill="1"/>
    <xf numFmtId="0" fontId="0" fillId="14" borderId="0" xfId="0" applyFill="1"/>
    <xf numFmtId="10" fontId="0" fillId="14" borderId="0" xfId="0" applyNumberFormat="1" applyFill="1"/>
    <xf numFmtId="2" fontId="0" fillId="14" borderId="0" xfId="0" applyNumberFormat="1" applyFill="1"/>
    <xf numFmtId="0" fontId="8" fillId="2" borderId="0" xfId="0" applyFont="1" applyFill="1" applyAlignment="1">
      <alignment horizontal="center" vertical="center" wrapText="1"/>
    </xf>
    <xf numFmtId="10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49" fontId="8" fillId="2" borderId="0" xfId="0" applyNumberFormat="1" applyFont="1" applyFill="1" applyAlignment="1">
      <alignment horizontal="center" vertical="center" wrapText="1"/>
    </xf>
    <xf numFmtId="0" fontId="4" fillId="9" borderId="0" xfId="0" applyFont="1" applyFill="1"/>
    <xf numFmtId="49" fontId="4" fillId="9" borderId="0" xfId="0" applyNumberFormat="1" applyFont="1" applyFill="1" applyAlignment="1">
      <alignment vertical="center" wrapText="1"/>
    </xf>
    <xf numFmtId="4" fontId="4" fillId="9" borderId="0" xfId="0" applyNumberFormat="1" applyFont="1" applyFill="1"/>
    <xf numFmtId="10" fontId="4" fillId="9" borderId="0" xfId="0" applyNumberFormat="1" applyFont="1" applyFill="1"/>
    <xf numFmtId="2" fontId="0" fillId="0" borderId="0" xfId="0" applyNumberFormat="1" applyAlignment="1">
      <alignment vertical="center" wrapText="1"/>
    </xf>
    <xf numFmtId="49" fontId="33" fillId="0" borderId="0" xfId="0" applyNumberFormat="1" applyFont="1"/>
    <xf numFmtId="2" fontId="6" fillId="0" borderId="0" xfId="0" applyNumberFormat="1" applyFont="1"/>
    <xf numFmtId="0" fontId="6" fillId="0" borderId="0" xfId="0" applyFont="1"/>
  </cellXfs>
  <cellStyles count="1">
    <cellStyle name="Normal" xfId="0" builtinId="0"/>
  </cellStyles>
  <dxfs count="93">
    <dxf>
      <numFmt numFmtId="1" formatCode="0"/>
    </dxf>
    <dxf>
      <numFmt numFmtId="13" formatCode="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numFmt numFmtId="1" formatCode="0"/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numFmt numFmtId="13" formatCode="0%"/>
    </dxf>
    <dxf>
      <font>
        <sz val="1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</dxf>
    <dxf>
      <numFmt numFmtId="17" formatCode="#\ ?/?"/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23" Type="http://schemas.microsoft.com/office/2023/09/relationships/Python" Target="pytho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29"/>
        <c:shape val="box"/>
        <c:axId val="1042462431"/>
        <c:axId val="1042460991"/>
        <c:axId val="0"/>
      </c:bar3DChart>
      <c:catAx>
        <c:axId val="104246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460991"/>
        <c:crosses val="autoZero"/>
        <c:auto val="1"/>
        <c:lblAlgn val="ctr"/>
        <c:lblOffset val="100"/>
        <c:noMultiLvlLbl val="0"/>
      </c:catAx>
      <c:valAx>
        <c:axId val="1042460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46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"/>
              <c:pt idx="0">
                <c:v>Direct Sale</c:v>
              </c:pt>
              <c:pt idx="1">
                <c:v>Distribution channels</c:v>
              </c:pt>
              <c:pt idx="2">
                <c:v>Retails</c:v>
              </c:pt>
              <c:pt idx="3">
                <c:v>Whoresale</c:v>
              </c:pt>
            </c:strLit>
          </c:cat>
          <c:val>
            <c:numLit>
              <c:formatCode>General</c:formatCode>
              <c:ptCount val="4"/>
              <c:pt idx="0">
                <c:v>349109.8</c:v>
              </c:pt>
              <c:pt idx="1">
                <c:v>560625</c:v>
              </c:pt>
              <c:pt idx="2">
                <c:v>1119322.1000000001</c:v>
              </c:pt>
              <c:pt idx="3">
                <c:v>481248.3</c:v>
              </c:pt>
            </c:numLit>
          </c:val>
          <c:extLst>
            <c:ext xmlns:c16="http://schemas.microsoft.com/office/drawing/2014/chart" uri="{C3380CC4-5D6E-409C-BE32-E72D297353CC}">
              <c16:uniqueId val="{00000000-507E-485C-8F1A-E6717CCFA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95281967"/>
        <c:axId val="495281487"/>
      </c:barChart>
      <c:catAx>
        <c:axId val="49528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281487"/>
        <c:crosses val="autoZero"/>
        <c:auto val="1"/>
        <c:lblAlgn val="ctr"/>
        <c:lblOffset val="100"/>
        <c:noMultiLvlLbl val="0"/>
      </c:catAx>
      <c:valAx>
        <c:axId val="49528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28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36920384951881E-2"/>
          <c:y val="0.12128827646544182"/>
          <c:w val="0.89858442694663176"/>
          <c:h val="0.57686789151356077"/>
        </c:manualLayout>
      </c:layout>
      <c:barChart>
        <c:barDir val="col"/>
        <c:grouping val="clustered"/>
        <c:varyColors val="0"/>
        <c:ser>
          <c:idx val="0"/>
          <c:order val="0"/>
          <c:tx>
            <c:v>Sum of Total Cost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Bottles</c:v>
              </c:pt>
              <c:pt idx="1">
                <c:v>Cans</c:v>
              </c:pt>
              <c:pt idx="2">
                <c:v>Tetra Pak</c:v>
              </c:pt>
              <c:pt idx="3">
                <c:v>(blank)</c:v>
              </c:pt>
            </c:strLit>
          </c:cat>
          <c:val>
            <c:numLit>
              <c:formatCode>General</c:formatCode>
              <c:ptCount val="4"/>
              <c:pt idx="0">
                <c:v>154.5</c:v>
              </c:pt>
              <c:pt idx="1">
                <c:v>59.5</c:v>
              </c:pt>
              <c:pt idx="2">
                <c:v>48.75</c:v>
              </c:pt>
              <c:pt idx="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C183-42EA-99CA-41596E1F314B}"/>
            </c:ext>
          </c:extLst>
        </c:ser>
        <c:ser>
          <c:idx val="1"/>
          <c:order val="1"/>
          <c:tx>
            <c:v>Sum of Market Price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Bottles</c:v>
              </c:pt>
              <c:pt idx="1">
                <c:v>Cans</c:v>
              </c:pt>
              <c:pt idx="2">
                <c:v>Tetra Pak</c:v>
              </c:pt>
              <c:pt idx="3">
                <c:v>(blank)</c:v>
              </c:pt>
            </c:strLit>
          </c:cat>
          <c:val>
            <c:numLit>
              <c:formatCode>General</c:formatCode>
              <c:ptCount val="4"/>
              <c:pt idx="0">
                <c:v>210</c:v>
              </c:pt>
              <c:pt idx="1">
                <c:v>72</c:v>
              </c:pt>
              <c:pt idx="2">
                <c:v>63</c:v>
              </c:pt>
              <c:pt idx="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C183-42EA-99CA-41596E1F314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9"/>
        <c:axId val="1685015679"/>
        <c:axId val="1685033919"/>
      </c:barChart>
      <c:lineChart>
        <c:grouping val="standard"/>
        <c:varyColors val="0"/>
        <c:ser>
          <c:idx val="2"/>
          <c:order val="2"/>
          <c:tx>
            <c:v>Sum of Profit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4"/>
              <c:pt idx="0">
                <c:v>Bottles</c:v>
              </c:pt>
              <c:pt idx="1">
                <c:v>Cans</c:v>
              </c:pt>
              <c:pt idx="2">
                <c:v>Tetra Pak</c:v>
              </c:pt>
              <c:pt idx="3">
                <c:v>(blank)</c:v>
              </c:pt>
            </c:strLit>
          </c:cat>
          <c:val>
            <c:numLit>
              <c:formatCode>General</c:formatCode>
              <c:ptCount val="4"/>
              <c:pt idx="0">
                <c:v>292466.5</c:v>
              </c:pt>
              <c:pt idx="1">
                <c:v>74067</c:v>
              </c:pt>
              <c:pt idx="2">
                <c:v>164455</c:v>
              </c:pt>
              <c:pt idx="3">
                <c:v>530988.5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C183-42EA-99CA-41596E1F314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85019999"/>
        <c:axId val="1685017599"/>
      </c:lineChart>
      <c:catAx>
        <c:axId val="168501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033919"/>
        <c:crosses val="autoZero"/>
        <c:auto val="1"/>
        <c:lblAlgn val="ctr"/>
        <c:lblOffset val="100"/>
        <c:noMultiLvlLbl val="0"/>
      </c:catAx>
      <c:valAx>
        <c:axId val="168503391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015679"/>
        <c:crosses val="autoZero"/>
        <c:crossBetween val="between"/>
      </c:valAx>
      <c:valAx>
        <c:axId val="1685017599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019999"/>
        <c:crosses val="max"/>
        <c:crossBetween val="between"/>
      </c:valAx>
      <c:catAx>
        <c:axId val="1685019999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017599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[Coca Cola Case Study - Elaichi Flavour-0 - 22-01-2025.xlsx]Pricing Arch!PivotTable2</c:name>
    <c:fmtId val="6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'Pricing Arch'!$B$17</c:f>
              <c:strCache>
                <c:ptCount val="1"/>
                <c:pt idx="0">
                  <c:v>Sum of Base Cost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'Pricing Arch'!$A$18:$A$21</c:f>
              <c:strCache>
                <c:ptCount val="3"/>
                <c:pt idx="0">
                  <c:v>Bottles</c:v>
                </c:pt>
                <c:pt idx="1">
                  <c:v>Cans</c:v>
                </c:pt>
                <c:pt idx="2">
                  <c:v>Tetra Pak</c:v>
                </c:pt>
              </c:strCache>
            </c:strRef>
          </c:cat>
          <c:val>
            <c:numRef>
              <c:f>'Pricing Arch'!$B$18:$B$21</c:f>
              <c:numCache>
                <c:formatCode>General</c:formatCode>
                <c:ptCount val="3"/>
                <c:pt idx="0">
                  <c:v>154.5</c:v>
                </c:pt>
                <c:pt idx="1">
                  <c:v>59.5</c:v>
                </c:pt>
                <c:pt idx="2">
                  <c:v>48.75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DE-4AA7-9CB0-99AFD2496A62}"/>
            </c:ext>
          </c:extLst>
        </c:ser>
        <c:ser>
          <c:idx val="1"/>
          <c:order val="1"/>
          <c:tx>
            <c:strRef>
              <c:f>'Pricing Arch'!$C$17</c:f>
              <c:strCache>
                <c:ptCount val="1"/>
                <c:pt idx="0">
                  <c:v>Sum of Competitor price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'Pricing Arch'!$A$18:$A$21</c:f>
              <c:strCache>
                <c:ptCount val="3"/>
                <c:pt idx="0">
                  <c:v>Bottles</c:v>
                </c:pt>
                <c:pt idx="1">
                  <c:v>Cans</c:v>
                </c:pt>
                <c:pt idx="2">
                  <c:v>Tetra Pak</c:v>
                </c:pt>
              </c:strCache>
            </c:strRef>
          </c:cat>
          <c:val>
            <c:numRef>
              <c:f>'Pricing Arch'!$C$18:$C$21</c:f>
              <c:numCache>
                <c:formatCode>General</c:formatCode>
                <c:ptCount val="3"/>
                <c:pt idx="0">
                  <c:v>230</c:v>
                </c:pt>
                <c:pt idx="1">
                  <c:v>80</c:v>
                </c:pt>
                <c:pt idx="2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DE-4AA7-9CB0-99AFD2496A62}"/>
            </c:ext>
          </c:extLst>
        </c:ser>
        <c:ser>
          <c:idx val="2"/>
          <c:order val="2"/>
          <c:tx>
            <c:strRef>
              <c:f>'Pricing Arch'!$D$17</c:f>
              <c:strCache>
                <c:ptCount val="1"/>
                <c:pt idx="0">
                  <c:v>Sum of Proposed Price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'Pricing Arch'!$A$18:$A$21</c:f>
              <c:strCache>
                <c:ptCount val="3"/>
                <c:pt idx="0">
                  <c:v>Bottles</c:v>
                </c:pt>
                <c:pt idx="1">
                  <c:v>Cans</c:v>
                </c:pt>
                <c:pt idx="2">
                  <c:v>Tetra Pak</c:v>
                </c:pt>
              </c:strCache>
            </c:strRef>
          </c:cat>
          <c:val>
            <c:numRef>
              <c:f>'Pricing Arch'!$D$18:$D$21</c:f>
              <c:numCache>
                <c:formatCode>#\ ?/?</c:formatCode>
                <c:ptCount val="3"/>
                <c:pt idx="0">
                  <c:v>210</c:v>
                </c:pt>
                <c:pt idx="1">
                  <c:v>72</c:v>
                </c:pt>
                <c:pt idx="2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DE-4AA7-9CB0-99AFD2496A62}"/>
            </c:ext>
          </c:extLst>
        </c:ser>
        <c:ser>
          <c:idx val="3"/>
          <c:order val="3"/>
          <c:tx>
            <c:strRef>
              <c:f>'Pricing Arch'!$E$17</c:f>
              <c:strCache>
                <c:ptCount val="1"/>
                <c:pt idx="0">
                  <c:v>Sum of Profit/Loss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'Pricing Arch'!$A$18:$A$21</c:f>
              <c:strCache>
                <c:ptCount val="3"/>
                <c:pt idx="0">
                  <c:v>Bottles</c:v>
                </c:pt>
                <c:pt idx="1">
                  <c:v>Cans</c:v>
                </c:pt>
                <c:pt idx="2">
                  <c:v>Tetra Pak</c:v>
                </c:pt>
              </c:strCache>
            </c:strRef>
          </c:cat>
          <c:val>
            <c:numRef>
              <c:f>'Pricing Arch'!$E$18:$E$21</c:f>
              <c:numCache>
                <c:formatCode>General</c:formatCode>
                <c:ptCount val="3"/>
                <c:pt idx="0">
                  <c:v>55.5</c:v>
                </c:pt>
                <c:pt idx="1">
                  <c:v>12.5</c:v>
                </c:pt>
                <c:pt idx="2">
                  <c:v>14.25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8F-4805-89F0-50312D4487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013333343"/>
        <c:axId val="2013334783"/>
      </c:barChart>
      <c:catAx>
        <c:axId val="201333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334783"/>
        <c:crosses val="autoZero"/>
        <c:auto val="1"/>
        <c:lblAlgn val="ctr"/>
        <c:lblOffset val="100"/>
        <c:noMultiLvlLbl val="0"/>
      </c:catAx>
      <c:valAx>
        <c:axId val="201333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33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[Coca Cola Case Study - Elaichi Flavour-0 - 22-01-2025.xlsx]RGM!PivotTable2</c:name>
    <c:fmtId val="15"/>
  </c:pivotSource>
  <c:chart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RGM!$B$11</c:f>
              <c:strCache>
                <c:ptCount val="1"/>
                <c:pt idx="0">
                  <c:v>Contribution in 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RGM!$A$12:$A$16</c:f>
              <c:strCache>
                <c:ptCount val="4"/>
                <c:pt idx="0">
                  <c:v>Direct Sale</c:v>
                </c:pt>
                <c:pt idx="1">
                  <c:v>Distribution channels</c:v>
                </c:pt>
                <c:pt idx="2">
                  <c:v>Retails</c:v>
                </c:pt>
                <c:pt idx="3">
                  <c:v>Whoresale</c:v>
                </c:pt>
              </c:strCache>
            </c:strRef>
          </c:cat>
          <c:val>
            <c:numRef>
              <c:f>RGM!$B$12:$B$16</c:f>
              <c:numCache>
                <c:formatCode>0</c:formatCode>
                <c:ptCount val="4"/>
                <c:pt idx="0">
                  <c:v>349109.8</c:v>
                </c:pt>
                <c:pt idx="1">
                  <c:v>560625</c:v>
                </c:pt>
                <c:pt idx="2">
                  <c:v>1119322.1000000001</c:v>
                </c:pt>
                <c:pt idx="3">
                  <c:v>481248.3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A-4E7C-95E2-184353F100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9"/>
        <c:axId val="1489977071"/>
        <c:axId val="1489979471"/>
      </c:barChart>
      <c:lineChart>
        <c:grouping val="standard"/>
        <c:varyColors val="0"/>
        <c:ser>
          <c:idx val="1"/>
          <c:order val="1"/>
          <c:tx>
            <c:strRef>
              <c:f>RGM!$C$11</c:f>
              <c:strCache>
                <c:ptCount val="1"/>
                <c:pt idx="0">
                  <c:v>Return of invest (ROI)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RGM!$A$12:$A$16</c:f>
              <c:strCache>
                <c:ptCount val="4"/>
                <c:pt idx="0">
                  <c:v>Direct Sale</c:v>
                </c:pt>
                <c:pt idx="1">
                  <c:v>Distribution channels</c:v>
                </c:pt>
                <c:pt idx="2">
                  <c:v>Retails</c:v>
                </c:pt>
                <c:pt idx="3">
                  <c:v>Whoresale</c:v>
                </c:pt>
              </c:strCache>
            </c:strRef>
          </c:cat>
          <c:val>
            <c:numRef>
              <c:f>RGM!$C$12:$C$16</c:f>
              <c:numCache>
                <c:formatCode>0%</c:formatCode>
                <c:ptCount val="4"/>
                <c:pt idx="0">
                  <c:v>8.056379999999999</c:v>
                </c:pt>
                <c:pt idx="1">
                  <c:v>3.234375</c:v>
                </c:pt>
                <c:pt idx="2">
                  <c:v>19.770249999999997</c:v>
                </c:pt>
                <c:pt idx="3">
                  <c:v>9.5326920000000008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CA-4E7C-95E2-184353F100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48344175"/>
        <c:axId val="1409546975"/>
      </c:lineChart>
      <c:catAx>
        <c:axId val="148997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979471"/>
        <c:crosses val="autoZero"/>
        <c:auto val="1"/>
        <c:lblAlgn val="ctr"/>
        <c:lblOffset val="100"/>
        <c:noMultiLvlLbl val="0"/>
      </c:catAx>
      <c:valAx>
        <c:axId val="148997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977071"/>
        <c:crosses val="autoZero"/>
        <c:crossBetween val="between"/>
      </c:valAx>
      <c:valAx>
        <c:axId val="1409546975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344175"/>
        <c:crosses val="max"/>
        <c:crossBetween val="between"/>
      </c:valAx>
      <c:catAx>
        <c:axId val="204834417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095469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[Coca Cola Case Study - Elaichi Flavour-0 - 22-01-2025.xlsx]TFM!PivotTable1</c:name>
    <c:fmtId val="18"/>
  </c:pivotSource>
  <c:chart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12700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12700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12700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34925" cap="rnd">
            <a:solidFill>
              <a:schemeClr val="accent3">
                <a:lumMod val="20000"/>
                <a:lumOff val="80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8354466399633494E-2"/>
          <c:y val="0.20731262758821814"/>
          <c:w val="0.73096024693853134"/>
          <c:h val="0.567015164771070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TFM!$B$11</c:f>
              <c:strCache>
                <c:ptCount val="1"/>
                <c:pt idx="0">
                  <c:v>Allocated Funds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TFM!$A$12:$A$18</c:f>
              <c:strCache>
                <c:ptCount val="6"/>
                <c:pt idx="0">
                  <c:v>Direct sales</c:v>
                </c:pt>
                <c:pt idx="1">
                  <c:v>Distribution channels</c:v>
                </c:pt>
                <c:pt idx="2">
                  <c:v>Retail</c:v>
                </c:pt>
                <c:pt idx="3">
                  <c:v>Social media &amp; influencer marketing</c:v>
                </c:pt>
                <c:pt idx="4">
                  <c:v>Teaser campaigns &amp; reveals</c:v>
                </c:pt>
                <c:pt idx="5">
                  <c:v>Wholesale</c:v>
                </c:pt>
              </c:strCache>
            </c:strRef>
          </c:cat>
          <c:val>
            <c:numRef>
              <c:f>TFM!$B$12:$B$18</c:f>
              <c:numCache>
                <c:formatCode>General</c:formatCode>
                <c:ptCount val="6"/>
                <c:pt idx="0">
                  <c:v>6000</c:v>
                </c:pt>
                <c:pt idx="1">
                  <c:v>18000</c:v>
                </c:pt>
                <c:pt idx="2">
                  <c:v>12000</c:v>
                </c:pt>
                <c:pt idx="3">
                  <c:v>30000</c:v>
                </c:pt>
                <c:pt idx="4">
                  <c:v>36000</c:v>
                </c:pt>
                <c:pt idx="5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7D-470B-A7A0-D50E2588F398}"/>
            </c:ext>
          </c:extLst>
        </c:ser>
        <c:ser>
          <c:idx val="1"/>
          <c:order val="1"/>
          <c:tx>
            <c:strRef>
              <c:f>TFM!$C$11</c:f>
              <c:strCache>
                <c:ptCount val="1"/>
                <c:pt idx="0">
                  <c:v>Utlized Funds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TFM!$A$12:$A$18</c:f>
              <c:strCache>
                <c:ptCount val="6"/>
                <c:pt idx="0">
                  <c:v>Direct sales</c:v>
                </c:pt>
                <c:pt idx="1">
                  <c:v>Distribution channels</c:v>
                </c:pt>
                <c:pt idx="2">
                  <c:v>Retail</c:v>
                </c:pt>
                <c:pt idx="3">
                  <c:v>Social media &amp; influencer marketing</c:v>
                </c:pt>
                <c:pt idx="4">
                  <c:v>Teaser campaigns &amp; reveals</c:v>
                </c:pt>
                <c:pt idx="5">
                  <c:v>Wholesale</c:v>
                </c:pt>
              </c:strCache>
            </c:strRef>
          </c:cat>
          <c:val>
            <c:numRef>
              <c:f>TFM!$C$12:$C$18</c:f>
              <c:numCache>
                <c:formatCode>General</c:formatCode>
                <c:ptCount val="6"/>
                <c:pt idx="0">
                  <c:v>6000</c:v>
                </c:pt>
                <c:pt idx="1">
                  <c:v>15300</c:v>
                </c:pt>
                <c:pt idx="2">
                  <c:v>10800</c:v>
                </c:pt>
                <c:pt idx="3">
                  <c:v>28500</c:v>
                </c:pt>
                <c:pt idx="4">
                  <c:v>28800</c:v>
                </c:pt>
                <c:pt idx="5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7D-470B-A7A0-D50E2588F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447892848"/>
        <c:axId val="447902448"/>
      </c:barChart>
      <c:lineChart>
        <c:grouping val="standard"/>
        <c:varyColors val="0"/>
        <c:ser>
          <c:idx val="2"/>
          <c:order val="2"/>
          <c:tx>
            <c:strRef>
              <c:f>TFM!$D$11</c:f>
              <c:strCache>
                <c:ptCount val="1"/>
                <c:pt idx="0">
                  <c:v>Sales Growths %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TFM!$A$12:$A$18</c:f>
              <c:strCache>
                <c:ptCount val="6"/>
                <c:pt idx="0">
                  <c:v>Direct sales</c:v>
                </c:pt>
                <c:pt idx="1">
                  <c:v>Distribution channels</c:v>
                </c:pt>
                <c:pt idx="2">
                  <c:v>Retail</c:v>
                </c:pt>
                <c:pt idx="3">
                  <c:v>Social media &amp; influencer marketing</c:v>
                </c:pt>
                <c:pt idx="4">
                  <c:v>Teaser campaigns &amp; reveals</c:v>
                </c:pt>
                <c:pt idx="5">
                  <c:v>Wholesale</c:v>
                </c:pt>
              </c:strCache>
            </c:strRef>
          </c:cat>
          <c:val>
            <c:numRef>
              <c:f>TFM!$D$12:$D$18</c:f>
              <c:numCache>
                <c:formatCode>0%</c:formatCode>
                <c:ptCount val="6"/>
                <c:pt idx="0">
                  <c:v>0.15</c:v>
                </c:pt>
                <c:pt idx="1">
                  <c:v>0.05</c:v>
                </c:pt>
                <c:pt idx="2">
                  <c:v>0.1</c:v>
                </c:pt>
                <c:pt idx="3">
                  <c:v>0.6</c:v>
                </c:pt>
                <c:pt idx="4">
                  <c:v>0.4</c:v>
                </c:pt>
                <c:pt idx="5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7D-470B-A7A0-D50E2588F398}"/>
            </c:ext>
          </c:extLst>
        </c:ser>
        <c:ser>
          <c:idx val="3"/>
          <c:order val="3"/>
          <c:tx>
            <c:strRef>
              <c:f>TFM!$E$11</c:f>
              <c:strCache>
                <c:ptCount val="1"/>
                <c:pt idx="0">
                  <c:v>Sum of ROI</c:v>
                </c:pt>
              </c:strCache>
            </c:strRef>
          </c:tx>
          <c:spPr>
            <a:ln w="34925" cap="rnd">
              <a:solidFill>
                <a:schemeClr val="accent3">
                  <a:lumMod val="20000"/>
                  <a:lumOff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TFM!$A$12:$A$18</c:f>
              <c:strCache>
                <c:ptCount val="6"/>
                <c:pt idx="0">
                  <c:v>Direct sales</c:v>
                </c:pt>
                <c:pt idx="1">
                  <c:v>Distribution channels</c:v>
                </c:pt>
                <c:pt idx="2">
                  <c:v>Retail</c:v>
                </c:pt>
                <c:pt idx="3">
                  <c:v>Social media &amp; influencer marketing</c:v>
                </c:pt>
                <c:pt idx="4">
                  <c:v>Teaser campaigns &amp; reveals</c:v>
                </c:pt>
                <c:pt idx="5">
                  <c:v>Wholesale</c:v>
                </c:pt>
              </c:strCache>
            </c:strRef>
          </c:cat>
          <c:val>
            <c:numRef>
              <c:f>TFM!$E$12:$E$18</c:f>
              <c:numCache>
                <c:formatCode>0%</c:formatCode>
                <c:ptCount val="6"/>
                <c:pt idx="0">
                  <c:v>2.3153333333333332</c:v>
                </c:pt>
                <c:pt idx="1">
                  <c:v>0.68627450980392157</c:v>
                </c:pt>
                <c:pt idx="2">
                  <c:v>2.6578240740740746</c:v>
                </c:pt>
                <c:pt idx="3">
                  <c:v>0.22456140350877193</c:v>
                </c:pt>
                <c:pt idx="4">
                  <c:v>0.21875</c:v>
                </c:pt>
                <c:pt idx="5">
                  <c:v>1.3666666666666667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7D-470B-A7A0-D50E2588F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932624"/>
        <c:axId val="633930704"/>
      </c:lineChart>
      <c:catAx>
        <c:axId val="4478928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902448"/>
        <c:crosses val="autoZero"/>
        <c:auto val="0"/>
        <c:lblAlgn val="ctr"/>
        <c:lblOffset val="0"/>
        <c:noMultiLvlLbl val="0"/>
      </c:catAx>
      <c:valAx>
        <c:axId val="44790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92848"/>
        <c:crosses val="autoZero"/>
        <c:crossBetween val="between"/>
      </c:valAx>
      <c:valAx>
        <c:axId val="63393070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32624"/>
        <c:crosses val="max"/>
        <c:crossBetween val="between"/>
      </c:valAx>
      <c:catAx>
        <c:axId val="633932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3930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57004475419913"/>
          <c:y val="1.9561096529600399E-3"/>
          <c:w val="0.19333537090272382"/>
          <c:h val="0.618414260717410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[Coca Cola Case Study - Elaichi Flavour-0 - 22-01-2025.xlsx]Value Chain!PivotTable3</c:name>
    <c:fmtId val="22"/>
  </c:pivotSource>
  <c:chart>
    <c:autoTitleDeleted val="1"/>
    <c:pivotFmts>
      <c:pivotFmt>
        <c:idx val="0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873174081087966"/>
          <c:y val="0.15171673953003129"/>
          <c:w val="0.82932633420822388"/>
          <c:h val="0.51722367293457205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'Value Chain'!$C$11</c:f>
              <c:strCache>
                <c:ptCount val="1"/>
                <c:pt idx="0">
                  <c:v>Sum of Expense Cost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'Value Chain'!$A$12:$A$17</c:f>
              <c:strCache>
                <c:ptCount val="5"/>
                <c:pt idx="0">
                  <c:v>Other Costs</c:v>
                </c:pt>
                <c:pt idx="1">
                  <c:v>Raw Material Cost</c:v>
                </c:pt>
                <c:pt idx="2">
                  <c:v>Manufacturing Cost</c:v>
                </c:pt>
                <c:pt idx="3">
                  <c:v>Transportation Cost</c:v>
                </c:pt>
                <c:pt idx="4">
                  <c:v>Campaign Budget</c:v>
                </c:pt>
              </c:strCache>
            </c:strRef>
          </c:cat>
          <c:val>
            <c:numRef>
              <c:f>'Value Chain'!$C$12:$C$17</c:f>
              <c:numCache>
                <c:formatCode>0</c:formatCode>
                <c:ptCount val="5"/>
                <c:pt idx="0">
                  <c:v>0</c:v>
                </c:pt>
                <c:pt idx="1">
                  <c:v>394224.875</c:v>
                </c:pt>
                <c:pt idx="2">
                  <c:v>745591.75</c:v>
                </c:pt>
                <c:pt idx="3">
                  <c:v>210640.76250000001</c:v>
                </c:pt>
                <c:pt idx="4">
                  <c:v>110806.55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F-463D-83C7-B56635F41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100"/>
        <c:axId val="1174075999"/>
        <c:axId val="428013023"/>
      </c:barChart>
      <c:lineChart>
        <c:grouping val="stacked"/>
        <c:varyColors val="0"/>
        <c:ser>
          <c:idx val="0"/>
          <c:order val="0"/>
          <c:tx>
            <c:strRef>
              <c:f>'Value Chain'!$B$11</c:f>
              <c:strCache>
                <c:ptCount val="1"/>
                <c:pt idx="0">
                  <c:v>Sum of Budget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'Value Chain'!$A$12:$A$17</c:f>
              <c:strCache>
                <c:ptCount val="5"/>
                <c:pt idx="0">
                  <c:v>Other Costs</c:v>
                </c:pt>
                <c:pt idx="1">
                  <c:v>Raw Material Cost</c:v>
                </c:pt>
                <c:pt idx="2">
                  <c:v>Manufacturing Cost</c:v>
                </c:pt>
                <c:pt idx="3">
                  <c:v>Transportation Cost</c:v>
                </c:pt>
                <c:pt idx="4">
                  <c:v>Campaign Budget</c:v>
                </c:pt>
              </c:strCache>
            </c:strRef>
          </c:cat>
          <c:val>
            <c:numRef>
              <c:f>'Value Chain'!$B$12:$B$17</c:f>
              <c:numCache>
                <c:formatCode>0</c:formatCode>
                <c:ptCount val="5"/>
                <c:pt idx="0">
                  <c:v>15000</c:v>
                </c:pt>
                <c:pt idx="1">
                  <c:v>397500</c:v>
                </c:pt>
                <c:pt idx="2">
                  <c:v>750000</c:v>
                </c:pt>
                <c:pt idx="3">
                  <c:v>217499.99999999997</c:v>
                </c:pt>
                <c:pt idx="4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FF-463D-83C7-B56635F41C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74075999"/>
        <c:axId val="428013023"/>
      </c:lineChart>
      <c:catAx>
        <c:axId val="11740759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013023"/>
        <c:crosses val="autoZero"/>
        <c:auto val="1"/>
        <c:lblAlgn val="ctr"/>
        <c:lblOffset val="100"/>
        <c:noMultiLvlLbl val="0"/>
      </c:catAx>
      <c:valAx>
        <c:axId val="42801302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07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856440413302766"/>
          <c:y val="0.81970470155000252"/>
          <c:w val="0.68204037786415928"/>
          <c:h val="0.149253331635948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[Coca Cola Case Study - Elaichi Flavour-0 - 22-01-2025.xlsx]RGM!PivotTable2</c:name>
    <c:fmtId val="1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RGM!$B$11</c:f>
              <c:strCache>
                <c:ptCount val="1"/>
                <c:pt idx="0">
                  <c:v>Contribution in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RGM!$A$12:$A$16</c:f>
              <c:strCache>
                <c:ptCount val="4"/>
                <c:pt idx="0">
                  <c:v>Direct Sale</c:v>
                </c:pt>
                <c:pt idx="1">
                  <c:v>Distribution channels</c:v>
                </c:pt>
                <c:pt idx="2">
                  <c:v>Retails</c:v>
                </c:pt>
                <c:pt idx="3">
                  <c:v>Whoresale</c:v>
                </c:pt>
              </c:strCache>
            </c:strRef>
          </c:cat>
          <c:val>
            <c:numRef>
              <c:f>RGM!$B$12:$B$16</c:f>
              <c:numCache>
                <c:formatCode>0</c:formatCode>
                <c:ptCount val="4"/>
                <c:pt idx="0">
                  <c:v>349109.8</c:v>
                </c:pt>
                <c:pt idx="1">
                  <c:v>560625</c:v>
                </c:pt>
                <c:pt idx="2">
                  <c:v>1119322.1000000001</c:v>
                </c:pt>
                <c:pt idx="3">
                  <c:v>481248.3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B8-4763-912C-10F5662954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9"/>
        <c:axId val="1489977071"/>
        <c:axId val="1489979471"/>
      </c:barChart>
      <c:lineChart>
        <c:grouping val="standard"/>
        <c:varyColors val="0"/>
        <c:ser>
          <c:idx val="1"/>
          <c:order val="1"/>
          <c:tx>
            <c:strRef>
              <c:f>RGM!$C$11</c:f>
              <c:strCache>
                <c:ptCount val="1"/>
                <c:pt idx="0">
                  <c:v>Return of invest (ROI)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RGM!$A$12:$A$16</c:f>
              <c:strCache>
                <c:ptCount val="4"/>
                <c:pt idx="0">
                  <c:v>Direct Sale</c:v>
                </c:pt>
                <c:pt idx="1">
                  <c:v>Distribution channels</c:v>
                </c:pt>
                <c:pt idx="2">
                  <c:v>Retails</c:v>
                </c:pt>
                <c:pt idx="3">
                  <c:v>Whoresale</c:v>
                </c:pt>
              </c:strCache>
            </c:strRef>
          </c:cat>
          <c:val>
            <c:numRef>
              <c:f>RGM!$C$12:$C$16</c:f>
              <c:numCache>
                <c:formatCode>0%</c:formatCode>
                <c:ptCount val="4"/>
                <c:pt idx="0">
                  <c:v>8.056379999999999</c:v>
                </c:pt>
                <c:pt idx="1">
                  <c:v>3.234375</c:v>
                </c:pt>
                <c:pt idx="2">
                  <c:v>19.770249999999997</c:v>
                </c:pt>
                <c:pt idx="3">
                  <c:v>9.5326920000000008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B8-4763-912C-10F5662954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48344175"/>
        <c:axId val="1409546975"/>
      </c:lineChart>
      <c:catAx>
        <c:axId val="14899770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979471"/>
        <c:crosses val="autoZero"/>
        <c:auto val="1"/>
        <c:lblAlgn val="ctr"/>
        <c:lblOffset val="100"/>
        <c:noMultiLvlLbl val="0"/>
      </c:catAx>
      <c:valAx>
        <c:axId val="148997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977071"/>
        <c:crosses val="autoZero"/>
        <c:crossBetween val="between"/>
      </c:valAx>
      <c:valAx>
        <c:axId val="1409546975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344175"/>
        <c:crosses val="max"/>
        <c:crossBetween val="between"/>
      </c:valAx>
      <c:catAx>
        <c:axId val="20483441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95469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[Coca Cola Case Study - Elaichi Flavour-0 - 22-01-2025.xlsx]Value Chain Str!PivotTable1</c:name>
    <c:fmtId val="3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002060"/>
          </a:solidFill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F0000"/>
          </a:solidFill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2225" cap="rnd">
            <a:solidFill>
              <a:schemeClr val="bg2">
                <a:lumMod val="90000"/>
              </a:schemeClr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877537182852147"/>
          <c:y val="0.21092155147273259"/>
          <c:w val="0.59084842519685044"/>
          <c:h val="0.604065325167687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'Value Chain Str'!$B$15</c:f>
              <c:strCache>
                <c:ptCount val="1"/>
                <c:pt idx="0">
                  <c:v>Sum of Budget</c:v>
                </c:pt>
              </c:strCache>
            </c:strRef>
          </c:tx>
          <c:spPr>
            <a:solidFill>
              <a:srgbClr val="002060"/>
            </a:solidFill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'Value Chain Str'!$A$16:$A$20</c:f>
              <c:strCache>
                <c:ptCount val="4"/>
                <c:pt idx="0">
                  <c:v>Bottles</c:v>
                </c:pt>
                <c:pt idx="1">
                  <c:v>Cans</c:v>
                </c:pt>
                <c:pt idx="2">
                  <c:v>Tetra Pak</c:v>
                </c:pt>
                <c:pt idx="3">
                  <c:v>Tetra Pak ss</c:v>
                </c:pt>
              </c:strCache>
            </c:strRef>
          </c:cat>
          <c:val>
            <c:numRef>
              <c:f>'Value Chain Str'!$B$16:$B$20</c:f>
              <c:numCache>
                <c:formatCode>0.00</c:formatCode>
                <c:ptCount val="4"/>
                <c:pt idx="0">
                  <c:v>675000</c:v>
                </c:pt>
                <c:pt idx="1">
                  <c:v>375000</c:v>
                </c:pt>
                <c:pt idx="2">
                  <c:v>150000</c:v>
                </c:pt>
                <c:pt idx="3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9-4274-B73D-516D6B3D16FE}"/>
            </c:ext>
          </c:extLst>
        </c:ser>
        <c:ser>
          <c:idx val="1"/>
          <c:order val="1"/>
          <c:tx>
            <c:strRef>
              <c:f>'Value Chain Str'!$C$15</c:f>
              <c:strCache>
                <c:ptCount val="1"/>
                <c:pt idx="0">
                  <c:v>Sum of Total Cost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'Value Chain Str'!$A$16:$A$20</c:f>
              <c:strCache>
                <c:ptCount val="4"/>
                <c:pt idx="0">
                  <c:v>Bottles</c:v>
                </c:pt>
                <c:pt idx="1">
                  <c:v>Cans</c:v>
                </c:pt>
                <c:pt idx="2">
                  <c:v>Tetra Pak</c:v>
                </c:pt>
                <c:pt idx="3">
                  <c:v>Tetra Pak ss</c:v>
                </c:pt>
              </c:strCache>
            </c:strRef>
          </c:cat>
          <c:val>
            <c:numRef>
              <c:f>'Value Chain Str'!$C$16:$C$20</c:f>
              <c:numCache>
                <c:formatCode>0.00</c:formatCode>
                <c:ptCount val="4"/>
                <c:pt idx="0">
                  <c:v>154.5</c:v>
                </c:pt>
                <c:pt idx="1">
                  <c:v>59.5</c:v>
                </c:pt>
                <c:pt idx="2">
                  <c:v>32.75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09-4274-B73D-516D6B3D16FE}"/>
            </c:ext>
          </c:extLst>
        </c:ser>
        <c:ser>
          <c:idx val="2"/>
          <c:order val="2"/>
          <c:tx>
            <c:strRef>
              <c:f>'Value Chain Str'!$D$15</c:f>
              <c:strCache>
                <c:ptCount val="1"/>
                <c:pt idx="0">
                  <c:v>Sum of Base Revenue</c:v>
                </c:pt>
              </c:strCache>
            </c:strRef>
          </c:tx>
          <c:spPr>
            <a:solidFill>
              <a:schemeClr val="accent2"/>
            </a:solidFill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'Value Chain Str'!$A$16:$A$20</c:f>
              <c:strCache>
                <c:ptCount val="4"/>
                <c:pt idx="0">
                  <c:v>Bottles</c:v>
                </c:pt>
                <c:pt idx="1">
                  <c:v>Cans</c:v>
                </c:pt>
                <c:pt idx="2">
                  <c:v>Tetra Pak</c:v>
                </c:pt>
                <c:pt idx="3">
                  <c:v>Tetra Pak ss</c:v>
                </c:pt>
              </c:strCache>
            </c:strRef>
          </c:cat>
          <c:val>
            <c:numRef>
              <c:f>'Value Chain Str'!$D$16:$D$20</c:f>
              <c:numCache>
                <c:formatCode>0.00</c:formatCode>
                <c:ptCount val="4"/>
                <c:pt idx="0">
                  <c:v>674996.5</c:v>
                </c:pt>
                <c:pt idx="1">
                  <c:v>375024</c:v>
                </c:pt>
                <c:pt idx="2">
                  <c:v>149995</c:v>
                </c:pt>
                <c:pt idx="3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09-4274-B73D-516D6B3D16FE}"/>
            </c:ext>
          </c:extLst>
        </c:ser>
        <c:ser>
          <c:idx val="3"/>
          <c:order val="3"/>
          <c:tx>
            <c:strRef>
              <c:f>'Value Chain Str'!$E$15</c:f>
              <c:strCache>
                <c:ptCount val="1"/>
                <c:pt idx="0">
                  <c:v>Sum of Actual Revenue</c:v>
                </c:pt>
              </c:strCache>
            </c:strRef>
          </c:tx>
          <c:spPr>
            <a:solidFill>
              <a:srgbClr val="FF0000"/>
            </a:solidFill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'Value Chain Str'!$A$16:$A$20</c:f>
              <c:strCache>
                <c:ptCount val="4"/>
                <c:pt idx="0">
                  <c:v>Bottles</c:v>
                </c:pt>
                <c:pt idx="1">
                  <c:v>Cans</c:v>
                </c:pt>
                <c:pt idx="2">
                  <c:v>Tetra Pak</c:v>
                </c:pt>
                <c:pt idx="3">
                  <c:v>Tetra Pak ss</c:v>
                </c:pt>
              </c:strCache>
            </c:strRef>
          </c:cat>
          <c:val>
            <c:numRef>
              <c:f>'Value Chain Str'!$E$16:$E$20</c:f>
              <c:numCache>
                <c:formatCode>0.00</c:formatCode>
                <c:ptCount val="4"/>
                <c:pt idx="0">
                  <c:v>967463</c:v>
                </c:pt>
                <c:pt idx="1">
                  <c:v>449091</c:v>
                </c:pt>
                <c:pt idx="2">
                  <c:v>183200</c:v>
                </c:pt>
                <c:pt idx="3">
                  <c:v>431250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09-4274-B73D-516D6B3D16F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15"/>
        <c:axId val="986127263"/>
        <c:axId val="986134463"/>
      </c:barChart>
      <c:lineChart>
        <c:grouping val="standard"/>
        <c:varyColors val="0"/>
        <c:ser>
          <c:idx val="4"/>
          <c:order val="4"/>
          <c:tx>
            <c:strRef>
              <c:f>'Value Chain Str'!$F$15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2225" cap="rnd">
              <a:solidFill>
                <a:schemeClr val="bg2">
                  <a:lumMod val="90000"/>
                </a:schemeClr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'Value Chain Str'!$A$16:$A$20</c:f>
              <c:strCache>
                <c:ptCount val="4"/>
                <c:pt idx="0">
                  <c:v>Bottles</c:v>
                </c:pt>
                <c:pt idx="1">
                  <c:v>Cans</c:v>
                </c:pt>
                <c:pt idx="2">
                  <c:v>Tetra Pak</c:v>
                </c:pt>
                <c:pt idx="3">
                  <c:v>Tetra Pak ss</c:v>
                </c:pt>
              </c:strCache>
            </c:strRef>
          </c:cat>
          <c:val>
            <c:numRef>
              <c:f>'Value Chain Str'!$F$16:$F$20</c:f>
              <c:numCache>
                <c:formatCode>0.00</c:formatCode>
                <c:ptCount val="4"/>
                <c:pt idx="0">
                  <c:v>292466.5</c:v>
                </c:pt>
                <c:pt idx="1">
                  <c:v>74067</c:v>
                </c:pt>
                <c:pt idx="2">
                  <c:v>33205</c:v>
                </c:pt>
                <c:pt idx="3">
                  <c:v>131250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09-4274-B73D-516D6B3D16F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6127263"/>
        <c:axId val="986134463"/>
      </c:lineChart>
      <c:catAx>
        <c:axId val="98612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134463"/>
        <c:crosses val="autoZero"/>
        <c:auto val="1"/>
        <c:lblAlgn val="ctr"/>
        <c:lblOffset val="100"/>
        <c:noMultiLvlLbl val="0"/>
      </c:catAx>
      <c:valAx>
        <c:axId val="986134463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12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906824146981623"/>
          <c:y val="0.20572761738116069"/>
          <c:w val="0.22815398075240595"/>
          <c:h val="0.777338509769612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75132860458558"/>
          <c:y val="0.13482034632034631"/>
          <c:w val="0.83624867139541437"/>
          <c:h val="0.40706765820939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'Hyperdrive Value Chain'!$C$1</c:f>
              <c:strCache>
                <c:ptCount val="1"/>
                <c:pt idx="0">
                  <c:v>Budget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'Hyperdrive Value Chain'!$A$2:$B$5</c:f>
              <c:multiLvlStrCache>
                <c:ptCount val="4"/>
                <c:lvl>
                  <c:pt idx="0">
                    <c:v>COGS</c:v>
                  </c:pt>
                  <c:pt idx="1">
                    <c:v>Transportation Cost</c:v>
                  </c:pt>
                  <c:pt idx="2">
                    <c:v>Campaign Budget</c:v>
                  </c:pt>
                  <c:pt idx="3">
                    <c:v>Other Costs</c:v>
                  </c:pt>
                </c:lvl>
                <c:lvl>
                  <c:pt idx="0">
                    <c:v>Internal Management</c:v>
                  </c:pt>
                  <c:pt idx="1">
                    <c:v>Partner Management</c:v>
                  </c:pt>
                  <c:pt idx="2">
                    <c:v>Trade Management</c:v>
                  </c:pt>
                  <c:pt idx="3">
                    <c:v>Trade Management</c:v>
                  </c:pt>
                </c:lvl>
              </c:multiLvlStrCache>
            </c:multiLvlStrRef>
          </c:cat>
          <c:val>
            <c:numRef>
              <c:f>'Hyperdrive Value Chain'!$C$2:$C$5</c:f>
              <c:numCache>
                <c:formatCode>0.00%</c:formatCode>
                <c:ptCount val="4"/>
                <c:pt idx="0">
                  <c:v>0.76500000000000001</c:v>
                </c:pt>
                <c:pt idx="1">
                  <c:v>0.14499999999999999</c:v>
                </c:pt>
                <c:pt idx="2">
                  <c:v>0.08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A4-4F43-A693-1D096E7DCD5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75653263"/>
        <c:axId val="275660463"/>
      </c:barChart>
      <c:catAx>
        <c:axId val="2756532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5660463"/>
        <c:crosses val="autoZero"/>
        <c:auto val="1"/>
        <c:lblAlgn val="ctr"/>
        <c:lblOffset val="100"/>
        <c:noMultiLvlLbl val="0"/>
      </c:catAx>
      <c:valAx>
        <c:axId val="275660463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275653263"/>
        <c:crosses val="autoZero"/>
        <c:crossBetween val="between"/>
      </c:valAx>
      <c:dTable>
        <c:showHorzBorder val="0"/>
        <c:showVertBorder val="0"/>
        <c:showOutline val="0"/>
        <c:showKeys val="0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697128393122111"/>
          <c:y val="6.6573118279569909E-2"/>
          <c:w val="0.85254516889238019"/>
          <c:h val="0.73678960573476704"/>
        </c:manualLayout>
      </c:layout>
      <c:barChart>
        <c:barDir val="col"/>
        <c:grouping val="clustered"/>
        <c:varyColors val="0"/>
        <c:ser>
          <c:idx val="0"/>
          <c:order val="0"/>
          <c:tx>
            <c:v>Sum of Revenue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Whoresale</c:v>
              </c:pt>
              <c:pt idx="1">
                <c:v>Distribution channels</c:v>
              </c:pt>
              <c:pt idx="2">
                <c:v>Retails</c:v>
              </c:pt>
            </c:strLit>
          </c:cat>
          <c:val>
            <c:numLit>
              <c:formatCode>General</c:formatCode>
              <c:ptCount val="3"/>
              <c:pt idx="0">
                <c:v>264141</c:v>
              </c:pt>
              <c:pt idx="1">
                <c:v>431250</c:v>
              </c:pt>
              <c:pt idx="2">
                <c:v>492867</c:v>
              </c:pt>
            </c:numLit>
          </c:val>
          <c:extLst>
            <c:ext xmlns:c16="http://schemas.microsoft.com/office/drawing/2014/chart" uri="{C3380CC4-5D6E-409C-BE32-E72D297353CC}">
              <c16:uniqueId val="{00000000-5696-4694-96FD-4B1E1F1D180A}"/>
            </c:ext>
          </c:extLst>
        </c:ser>
        <c:ser>
          <c:idx val="1"/>
          <c:order val="1"/>
          <c:tx>
            <c:v>Sum of Revenue Growth</c:v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Whoresale</c:v>
              </c:pt>
              <c:pt idx="1">
                <c:v>Distribution channels</c:v>
              </c:pt>
              <c:pt idx="2">
                <c:v>Retails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585011.70000000007</c:v>
              </c:pt>
            </c:numLit>
          </c:val>
          <c:extLst>
            <c:ext xmlns:c16="http://schemas.microsoft.com/office/drawing/2014/chart" uri="{C3380CC4-5D6E-409C-BE32-E72D297353CC}">
              <c16:uniqueId val="{00000001-5696-4694-96FD-4B1E1F1D18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941451792"/>
        <c:axId val="1941452752"/>
      </c:barChart>
      <c:catAx>
        <c:axId val="19414517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452752"/>
        <c:crosses val="autoZero"/>
        <c:auto val="1"/>
        <c:lblAlgn val="ctr"/>
        <c:lblOffset val="100"/>
        <c:noMultiLvlLbl val="0"/>
      </c:catAx>
      <c:valAx>
        <c:axId val="19414527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45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3094047307323029"/>
          <c:y val="0.8921863799283154"/>
          <c:w val="0.55681700143666479"/>
          <c:h val="8.0229032258064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Sales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Direct sales</c:v>
              </c:pt>
              <c:pt idx="1">
                <c:v>Distribution channels</c:v>
              </c:pt>
              <c:pt idx="2">
                <c:v>Retails</c:v>
              </c:pt>
              <c:pt idx="3">
                <c:v>Whoresale</c:v>
              </c:pt>
            </c:strLit>
          </c:cat>
          <c:val>
            <c:numLit>
              <c:formatCode>General</c:formatCode>
              <c:ptCount val="4"/>
              <c:pt idx="0">
                <c:v>12080</c:v>
              </c:pt>
              <c:pt idx="1">
                <c:v>10000</c:v>
              </c:pt>
              <c:pt idx="2">
                <c:v>26095</c:v>
              </c:pt>
              <c:pt idx="3">
                <c:v>20500</c:v>
              </c:pt>
            </c:numLit>
          </c:val>
          <c:extLst>
            <c:ext xmlns:c16="http://schemas.microsoft.com/office/drawing/2014/chart" uri="{C3380CC4-5D6E-409C-BE32-E72D297353CC}">
              <c16:uniqueId val="{00000000-506C-4EF7-9DE0-55AD947164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9"/>
        <c:axId val="114282864"/>
        <c:axId val="114278544"/>
      </c:barChart>
      <c:lineChart>
        <c:grouping val="standard"/>
        <c:varyColors val="0"/>
        <c:ser>
          <c:idx val="1"/>
          <c:order val="1"/>
          <c:tx>
            <c:v>Sum of Sales Growth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Direct sales</c:v>
              </c:pt>
              <c:pt idx="1">
                <c:v>Distribution channels</c:v>
              </c:pt>
              <c:pt idx="2">
                <c:v>Retails</c:v>
              </c:pt>
              <c:pt idx="3">
                <c:v>Whoresale</c:v>
              </c:pt>
            </c:strLit>
          </c:cat>
          <c:val>
            <c:numLit>
              <c:formatCode>General</c:formatCode>
              <c:ptCount val="4"/>
              <c:pt idx="0">
                <c:v>13891.999999999998</c:v>
              </c:pt>
              <c:pt idx="1">
                <c:v>10500</c:v>
              </c:pt>
              <c:pt idx="2">
                <c:v>28704.500000000004</c:v>
              </c:pt>
              <c:pt idx="3">
                <c:v>24600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506C-4EF7-9DE0-55AD947164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4284784"/>
        <c:axId val="114288144"/>
      </c:lineChart>
      <c:catAx>
        <c:axId val="11428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88144"/>
        <c:crosses val="autoZero"/>
        <c:auto val="1"/>
        <c:lblAlgn val="ctr"/>
        <c:lblOffset val="100"/>
        <c:noMultiLvlLbl val="0"/>
      </c:catAx>
      <c:valAx>
        <c:axId val="11428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84784"/>
        <c:crosses val="autoZero"/>
        <c:crossBetween val="between"/>
      </c:valAx>
      <c:valAx>
        <c:axId val="11427854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82864"/>
        <c:crosses val="max"/>
        <c:crossBetween val="between"/>
      </c:valAx>
      <c:catAx>
        <c:axId val="1142828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42785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244051160056261"/>
          <c:y val="5.4623655913978497E-2"/>
          <c:w val="0.83983436531189781"/>
          <c:h val="0.78401577060931904"/>
        </c:manualLayout>
      </c:layout>
      <c:barChart>
        <c:barDir val="col"/>
        <c:grouping val="stacked"/>
        <c:varyColors val="0"/>
        <c:ser>
          <c:idx val="3"/>
          <c:order val="3"/>
          <c:tx>
            <c:v>Sum of GL Code</c:v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10001</c:v>
              </c:pt>
              <c:pt idx="1">
                <c:v>10002</c:v>
              </c:pt>
              <c:pt idx="2">
                <c:v>10003</c:v>
              </c:pt>
              <c:pt idx="3">
                <c:v>10004</c:v>
              </c:pt>
              <c:pt idx="4">
                <c:v>10005</c:v>
              </c:pt>
            </c:strLit>
          </c:cat>
          <c:val>
            <c:numLit>
              <c:formatCode>General</c:formatCode>
              <c:ptCount val="5"/>
              <c:pt idx="0">
                <c:v>10001</c:v>
              </c:pt>
              <c:pt idx="1">
                <c:v>10002</c:v>
              </c:pt>
              <c:pt idx="2">
                <c:v>10003</c:v>
              </c:pt>
              <c:pt idx="3">
                <c:v>10004</c:v>
              </c:pt>
              <c:pt idx="4">
                <c:v>10005</c:v>
              </c:pt>
            </c:numLit>
          </c:val>
          <c:extLst>
            <c:ext xmlns:c16="http://schemas.microsoft.com/office/drawing/2014/chart" uri="{C3380CC4-5D6E-409C-BE32-E72D297353CC}">
              <c16:uniqueId val="{00000000-BBDB-49C1-8D1C-2A5CAB539E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100"/>
        <c:axId val="86818832"/>
        <c:axId val="86790992"/>
      </c:barChart>
      <c:lineChart>
        <c:grouping val="stacked"/>
        <c:varyColors val="0"/>
        <c:ser>
          <c:idx val="0"/>
          <c:order val="0"/>
          <c:tx>
            <c:v>Sum of Budgets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10001</c:v>
              </c:pt>
              <c:pt idx="1">
                <c:v>10002</c:v>
              </c:pt>
              <c:pt idx="2">
                <c:v>10003</c:v>
              </c:pt>
              <c:pt idx="3">
                <c:v>10004</c:v>
              </c:pt>
              <c:pt idx="4">
                <c:v>10005</c:v>
              </c:pt>
            </c:strLit>
          </c:cat>
          <c:val>
            <c:numLit>
              <c:formatCode>General</c:formatCode>
              <c:ptCount val="5"/>
              <c:pt idx="0">
                <c:v>397500</c:v>
              </c:pt>
              <c:pt idx="1">
                <c:v>750000</c:v>
              </c:pt>
              <c:pt idx="2">
                <c:v>217499.99999999997</c:v>
              </c:pt>
              <c:pt idx="3">
                <c:v>120000</c:v>
              </c:pt>
              <c:pt idx="4">
                <c:v>15000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BDB-49C1-8D1C-2A5CAB539EE0}"/>
            </c:ext>
          </c:extLst>
        </c:ser>
        <c:ser>
          <c:idx val="1"/>
          <c:order val="1"/>
          <c:tx>
            <c:v>Sum of Actuals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10001</c:v>
              </c:pt>
              <c:pt idx="1">
                <c:v>10002</c:v>
              </c:pt>
              <c:pt idx="2">
                <c:v>10003</c:v>
              </c:pt>
              <c:pt idx="3">
                <c:v>10004</c:v>
              </c:pt>
              <c:pt idx="4">
                <c:v>10005</c:v>
              </c:pt>
            </c:strLit>
          </c:cat>
          <c:val>
            <c:numLit>
              <c:formatCode>General</c:formatCode>
              <c:ptCount val="5"/>
              <c:pt idx="0">
                <c:v>394224.875</c:v>
              </c:pt>
              <c:pt idx="1">
                <c:v>745591.75</c:v>
              </c:pt>
              <c:pt idx="2">
                <c:v>210640.76250000001</c:v>
              </c:pt>
              <c:pt idx="3">
                <c:v>110806.55</c:v>
              </c:pt>
              <c:pt idx="4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BBDB-49C1-8D1C-2A5CAB539E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6809232"/>
        <c:axId val="86800592"/>
      </c:lineChart>
      <c:lineChart>
        <c:grouping val="stacked"/>
        <c:varyColors val="0"/>
        <c:ser>
          <c:idx val="2"/>
          <c:order val="2"/>
          <c:tx>
            <c:v>Sum of Variance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10001</c:v>
              </c:pt>
              <c:pt idx="1">
                <c:v>10002</c:v>
              </c:pt>
              <c:pt idx="2">
                <c:v>10003</c:v>
              </c:pt>
              <c:pt idx="3">
                <c:v>10004</c:v>
              </c:pt>
              <c:pt idx="4">
                <c:v>10005</c:v>
              </c:pt>
            </c:strLit>
          </c:cat>
          <c:val>
            <c:numLit>
              <c:formatCode>General</c:formatCode>
              <c:ptCount val="5"/>
              <c:pt idx="0">
                <c:v>3275.125</c:v>
              </c:pt>
              <c:pt idx="1">
                <c:v>4408.25</c:v>
              </c:pt>
              <c:pt idx="2">
                <c:v>6859.2374999999593</c:v>
              </c:pt>
              <c:pt idx="3">
                <c:v>9193.4499999999971</c:v>
              </c:pt>
              <c:pt idx="4">
                <c:v>15000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BBDB-49C1-8D1C-2A5CAB539E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6818832"/>
        <c:axId val="86790992"/>
      </c:lineChart>
      <c:catAx>
        <c:axId val="8680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00592"/>
        <c:crosses val="autoZero"/>
        <c:auto val="1"/>
        <c:lblAlgn val="ctr"/>
        <c:lblOffset val="100"/>
        <c:noMultiLvlLbl val="0"/>
      </c:catAx>
      <c:valAx>
        <c:axId val="8680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09232"/>
        <c:crosses val="autoZero"/>
        <c:crossBetween val="between"/>
      </c:valAx>
      <c:valAx>
        <c:axId val="8679099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18832"/>
        <c:crosses val="max"/>
        <c:crossBetween val="between"/>
      </c:valAx>
      <c:catAx>
        <c:axId val="86818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6790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02926899765823E-2"/>
          <c:y val="0.88050967741935482"/>
          <c:w val="0.97071375600538168"/>
          <c:h val="9.21784946236559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Series1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Bottles</c:v>
              </c:pt>
              <c:pt idx="1">
                <c:v>Cans</c:v>
              </c:pt>
              <c:pt idx="2">
                <c:v>Tetra Pak</c:v>
              </c:pt>
            </c:strLit>
          </c:cat>
          <c:val>
            <c:numLit>
              <c:formatCode>General</c:formatCode>
              <c:ptCount val="3"/>
              <c:pt idx="0">
                <c:v>25</c:v>
              </c:pt>
              <c:pt idx="1">
                <c:v>30</c:v>
              </c:pt>
              <c:pt idx="2">
                <c:v>25</c:v>
              </c:pt>
            </c:numLit>
          </c:val>
          <c:extLst>
            <c:ext xmlns:c16="http://schemas.microsoft.com/office/drawing/2014/chart" uri="{C3380CC4-5D6E-409C-BE32-E72D297353CC}">
              <c16:uniqueId val="{00000000-B2AD-4CC5-B597-D4596AF6F2A9}"/>
            </c:ext>
          </c:extLst>
        </c:ser>
        <c:ser>
          <c:idx val="1"/>
          <c:order val="1"/>
          <c:tx>
            <c:v>Series2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Bottles</c:v>
              </c:pt>
              <c:pt idx="1">
                <c:v>Cans</c:v>
              </c:pt>
              <c:pt idx="2">
                <c:v>Tetra Pak</c:v>
              </c:pt>
            </c:strLit>
          </c:cat>
          <c:val>
            <c:numLit>
              <c:formatCode>General</c:formatCode>
              <c:ptCount val="3"/>
              <c:pt idx="0">
                <c:v>23</c:v>
              </c:pt>
              <c:pt idx="1">
                <c:v>27</c:v>
              </c:pt>
              <c:pt idx="2">
                <c:v>23</c:v>
              </c:pt>
            </c:numLit>
          </c:val>
          <c:extLst>
            <c:ext xmlns:c16="http://schemas.microsoft.com/office/drawing/2014/chart" uri="{C3380CC4-5D6E-409C-BE32-E72D297353CC}">
              <c16:uniqueId val="{00000001-B2AD-4CC5-B597-D4596AF6F2A9}"/>
            </c:ext>
          </c:extLst>
        </c:ser>
        <c:ser>
          <c:idx val="2"/>
          <c:order val="2"/>
          <c:tx>
            <c:v>Series3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Bottles</c:v>
              </c:pt>
              <c:pt idx="1">
                <c:v>Cans</c:v>
              </c:pt>
              <c:pt idx="2">
                <c:v>Tetra Pak</c:v>
              </c:pt>
            </c:strLit>
          </c:cat>
          <c:val>
            <c:numLit>
              <c:formatCode>General</c:formatCode>
              <c:ptCount val="3"/>
              <c:pt idx="0">
                <c:v>14</c:v>
              </c:pt>
              <c:pt idx="1">
                <c:v>23</c:v>
              </c:pt>
              <c:pt idx="2">
                <c:v>16</c:v>
              </c:pt>
            </c:numLit>
          </c:val>
          <c:extLst>
            <c:ext xmlns:c16="http://schemas.microsoft.com/office/drawing/2014/chart" uri="{C3380CC4-5D6E-409C-BE32-E72D297353CC}">
              <c16:uniqueId val="{00000002-B2AD-4CC5-B597-D4596AF6F2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gapDepth val="140"/>
        <c:shape val="box"/>
        <c:axId val="1147499279"/>
        <c:axId val="1147500719"/>
        <c:axId val="0"/>
      </c:bar3DChart>
      <c:catAx>
        <c:axId val="114749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500719"/>
        <c:crosses val="autoZero"/>
        <c:auto val="1"/>
        <c:lblAlgn val="ctr"/>
        <c:lblOffset val="100"/>
        <c:noMultiLvlLbl val="0"/>
      </c:catAx>
      <c:valAx>
        <c:axId val="114750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49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225647698720202"/>
          <c:y val="0.15480452491276037"/>
          <c:w val="0.20388748567988801"/>
          <c:h val="0.664403510366122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70D-4673-B751-D7F65EEA86A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70D-4673-B751-D7F65EEA86A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70D-4673-B751-D7F65EEA86A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70D-4673-B751-D7F65EEA86A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1"/>
                      <c:pt idx="4">
                        <c:v>(blank) Sum of Total Cost/ unit</c:v>
                      </c:pt>
                    </c:strCache>
                  </c16:filteredLitCache>
                </c:ext>
              </c:extLst>
              <c:f/>
              <c:strCache>
                <c:ptCount val="4"/>
                <c:pt idx="0">
                  <c:v>(blank) Sum of Raw Material</c:v>
                </c:pt>
                <c:pt idx="1">
                  <c:v>(blank) Sum of Manufa Cost</c:v>
                </c:pt>
                <c:pt idx="2">
                  <c:v>(blank) Sum of Transp  Cost</c:v>
                </c:pt>
                <c:pt idx="3">
                  <c:v>(blank) Sum of Compaign Budget</c:v>
                </c:pt>
              </c:strCache>
            </c:strRef>
          </c:cat>
          <c:val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General</c:formatCode>
                      <c:ptCount val="1"/>
                      <c:pt idx="4">
                        <c:v>262.75</c:v>
                      </c:pt>
                    </c:numCache>
                  </c16:filteredLitCache>
                </c:ext>
              </c:extLst>
              <c:f/>
              <c:numCache>
                <c:formatCode>General</c:formatCode>
                <c:ptCount val="4"/>
                <c:pt idx="0">
                  <c:v>68.6875</c:v>
                </c:pt>
                <c:pt idx="1">
                  <c:v>135.375</c:v>
                </c:pt>
                <c:pt idx="2">
                  <c:v>41.8125</c:v>
                </c:pt>
                <c:pt idx="3">
                  <c:v>16.875</c:v>
                </c:pt>
              </c:numCache>
            </c:numRef>
          </c:val>
          <c:extLst>
            <c:ext xmlns:c16="http://schemas.microsoft.com/office/drawing/2014/chart" uri="{F5D05F6E-A05E-4728-AFD3-386EB277150F}">
              <c16:categoryFilterExceptions>
                <c16:categoryFilterException>
                  <c16:uniqueId val="{00000008-D49E-400A-A7A5-20B791E513DA}"/>
                  <c16:bubble3D val="0"/>
                </c16:categoryFilterException>
              </c16:categoryFilterExceptions>
            </c:ext>
            <c:ext xmlns:c16="http://schemas.microsoft.com/office/drawing/2014/chart" uri="{C5897E43-82E2-4C41-B96C-FBF1F857EA46}">
              <c16:datapointuniqueidmap xmlns:c16="http://schemas.microsoft.com/office/drawing/2014/chart">
                <c16:ptentry>
                  <c16:ptidx>4</c16:ptidx>
                  <c16:uniqueID val="{00000008-D49E-400A-A7A5-20B791E513DA}"/>
                </c16:ptentry>
              </c16:datapointuniqueidmap>
            </c:ext>
            <c:ext xmlns:c16="http://schemas.microsoft.com/office/drawing/2014/chart" uri="{C3380CC4-5D6E-409C-BE32-E72D297353CC}">
              <c16:uniqueId val="{0000000A-470D-4673-B751-D7F65EEA86A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  <a:round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  <a:round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  <a:round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  <a:round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1480047393323191E-3"/>
          <c:y val="3.3929278198330547E-2"/>
          <c:w val="0.610993658900014"/>
          <c:h val="0.88136323279289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'Value Chain Str'!$A$2:$F$2</c:f>
              <c:strCache>
                <c:ptCount val="6"/>
                <c:pt idx="0">
                  <c:v>Zesty Elaichi</c:v>
                </c:pt>
                <c:pt idx="1">
                  <c:v>Soft Drink</c:v>
                </c:pt>
                <c:pt idx="2">
                  <c:v>Iraichi-0</c:v>
                </c:pt>
                <c:pt idx="3">
                  <c:v>IND</c:v>
                </c:pt>
                <c:pt idx="4">
                  <c:v>Bottles</c:v>
                </c:pt>
                <c:pt idx="5">
                  <c:v>250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'Value Chain Str'!$G$1:$S$1</c15:sqref>
                  </c15:fullRef>
                </c:ext>
              </c:extLst>
              <c:f>('Value Chain Str'!$H$1,'Value Chain Str'!$N$1,'Value Chain Str'!$P$1,'Value Chain Str'!$R$1:$S$1)</c:f>
              <c:strCache>
                <c:ptCount val="5"/>
                <c:pt idx="0">
                  <c:v>Budget</c:v>
                </c:pt>
                <c:pt idx="1">
                  <c:v>Total Cost</c:v>
                </c:pt>
                <c:pt idx="2">
                  <c:v>Base Cost</c:v>
                </c:pt>
                <c:pt idx="3">
                  <c:v>Actual Revenue</c:v>
                </c:pt>
                <c:pt idx="4">
                  <c:v>Profit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'Value Chain Str'!$G$2:$S$2</c15:sqref>
                  </c15:fullRef>
                </c:ext>
              </c:extLst>
              <c:f>('Value Chain Str'!$H$2,'Value Chain Str'!$N$2,'Value Chain Str'!$P$2,'Value Chain Str'!$R$2:$S$2)</c:f>
              <c:numCache>
                <c:formatCode>0.00</c:formatCode>
                <c:ptCount val="5"/>
                <c:pt idx="0">
                  <c:v>300000</c:v>
                </c:pt>
                <c:pt idx="1">
                  <c:v>14</c:v>
                </c:pt>
                <c:pt idx="2">
                  <c:v>300006</c:v>
                </c:pt>
                <c:pt idx="3">
                  <c:v>492867</c:v>
                </c:pt>
                <c:pt idx="4">
                  <c:v>192861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8A-4E7F-B5A2-A02920B99D6F}"/>
            </c:ext>
          </c:extLst>
        </c:ser>
        <c:ser>
          <c:idx val="1"/>
          <c:order val="1"/>
          <c:tx>
            <c:strRef>
              <c:f>'Value Chain Str'!$A$3:$F$3</c:f>
              <c:strCache>
                <c:ptCount val="6"/>
                <c:pt idx="0">
                  <c:v>Zesty Elaichi</c:v>
                </c:pt>
                <c:pt idx="1">
                  <c:v>Soft Drink</c:v>
                </c:pt>
                <c:pt idx="2">
                  <c:v>Iraichi-0</c:v>
                </c:pt>
                <c:pt idx="3">
                  <c:v>IND</c:v>
                </c:pt>
                <c:pt idx="4">
                  <c:v>Cans</c:v>
                </c:pt>
                <c:pt idx="5">
                  <c:v>250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'Value Chain Str'!$G$1:$S$1</c15:sqref>
                  </c15:fullRef>
                </c:ext>
              </c:extLst>
              <c:f>('Value Chain Str'!$H$1,'Value Chain Str'!$N$1,'Value Chain Str'!$P$1,'Value Chain Str'!$R$1:$S$1)</c:f>
              <c:strCache>
                <c:ptCount val="5"/>
                <c:pt idx="0">
                  <c:v>Budget</c:v>
                </c:pt>
                <c:pt idx="1">
                  <c:v>Total Cost</c:v>
                </c:pt>
                <c:pt idx="2">
                  <c:v>Base Cost</c:v>
                </c:pt>
                <c:pt idx="3">
                  <c:v>Actual Revenue</c:v>
                </c:pt>
                <c:pt idx="4">
                  <c:v>Profit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'Value Chain Str'!$G$3:$S$3</c15:sqref>
                  </c15:fullRef>
                </c:ext>
              </c:extLst>
              <c:f>('Value Chain Str'!$H$3,'Value Chain Str'!$N$3,'Value Chain Str'!$P$3,'Value Chain Str'!$R$3:$S$3)</c:f>
              <c:numCache>
                <c:formatCode>0.00</c:formatCode>
                <c:ptCount val="5"/>
                <c:pt idx="0">
                  <c:v>225000</c:v>
                </c:pt>
                <c:pt idx="1">
                  <c:v>23</c:v>
                </c:pt>
                <c:pt idx="2">
                  <c:v>225009</c:v>
                </c:pt>
                <c:pt idx="3">
                  <c:v>264141</c:v>
                </c:pt>
                <c:pt idx="4">
                  <c:v>39132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8A-4E7F-B5A2-A02920B99D6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axId val="168344784"/>
        <c:axId val="168345264"/>
      </c:barChart>
      <c:lineChart>
        <c:grouping val="standard"/>
        <c:varyColors val="0"/>
        <c:ser>
          <c:idx val="2"/>
          <c:order val="2"/>
          <c:tx>
            <c:strRef>
              <c:f>'Value Chain Str'!$A$4:$F$4</c:f>
              <c:strCache>
                <c:ptCount val="6"/>
                <c:pt idx="0">
                  <c:v>Zesty Elaichi</c:v>
                </c:pt>
                <c:pt idx="1">
                  <c:v>Soft Drink</c:v>
                </c:pt>
                <c:pt idx="2">
                  <c:v>Iraichi-0</c:v>
                </c:pt>
                <c:pt idx="3">
                  <c:v>IND</c:v>
                </c:pt>
                <c:pt idx="4">
                  <c:v>Tetra Pak ss</c:v>
                </c:pt>
                <c:pt idx="5">
                  <c:v>250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'Value Chain Str'!$G$1:$S$1</c15:sqref>
                  </c15:fullRef>
                </c:ext>
              </c:extLst>
              <c:f>('Value Chain Str'!$H$1,'Value Chain Str'!$N$1,'Value Chain Str'!$P$1,'Value Chain Str'!$R$1:$S$1)</c:f>
              <c:strCache>
                <c:ptCount val="5"/>
                <c:pt idx="0">
                  <c:v>Budget</c:v>
                </c:pt>
                <c:pt idx="1">
                  <c:v>Total Cost</c:v>
                </c:pt>
                <c:pt idx="2">
                  <c:v>Base Cost</c:v>
                </c:pt>
                <c:pt idx="3">
                  <c:v>Actual Revenue</c:v>
                </c:pt>
                <c:pt idx="4">
                  <c:v>Profit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'Value Chain Str'!$G$4:$S$4</c15:sqref>
                  </c15:fullRef>
                </c:ext>
              </c:extLst>
              <c:f>('Value Chain Str'!$H$4,'Value Chain Str'!$N$4,'Value Chain Str'!$P$4,'Value Chain Str'!$R$4:$S$4)</c:f>
              <c:numCache>
                <c:formatCode>0.00</c:formatCode>
                <c:ptCount val="5"/>
                <c:pt idx="0">
                  <c:v>300000</c:v>
                </c:pt>
                <c:pt idx="1">
                  <c:v>16</c:v>
                </c:pt>
                <c:pt idx="2">
                  <c:v>300000</c:v>
                </c:pt>
                <c:pt idx="3">
                  <c:v>431250</c:v>
                </c:pt>
                <c:pt idx="4">
                  <c:v>131250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A-4E7F-B5A2-A02920B99D6F}"/>
            </c:ext>
          </c:extLst>
        </c:ser>
        <c:ser>
          <c:idx val="3"/>
          <c:order val="3"/>
          <c:tx>
            <c:strRef>
              <c:f>'Value Chain Str'!$A$5:$F$5</c:f>
              <c:strCache>
                <c:ptCount val="6"/>
                <c:pt idx="0">
                  <c:v>Zesty Elaichi</c:v>
                </c:pt>
                <c:pt idx="1">
                  <c:v>Soft Drink</c:v>
                </c:pt>
                <c:pt idx="2">
                  <c:v>Iraichi-0</c:v>
                </c:pt>
                <c:pt idx="3">
                  <c:v>IND</c:v>
                </c:pt>
                <c:pt idx="4">
                  <c:v>Bottles</c:v>
                </c:pt>
                <c:pt idx="5">
                  <c:v>500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4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'Value Chain Str'!$G$1:$S$1</c15:sqref>
                  </c15:fullRef>
                </c:ext>
              </c:extLst>
              <c:f>('Value Chain Str'!$H$1,'Value Chain Str'!$N$1,'Value Chain Str'!$P$1,'Value Chain Str'!$R$1:$S$1)</c:f>
              <c:strCache>
                <c:ptCount val="5"/>
                <c:pt idx="0">
                  <c:v>Budget</c:v>
                </c:pt>
                <c:pt idx="1">
                  <c:v>Total Cost</c:v>
                </c:pt>
                <c:pt idx="2">
                  <c:v>Base Cost</c:v>
                </c:pt>
                <c:pt idx="3">
                  <c:v>Actual Revenue</c:v>
                </c:pt>
                <c:pt idx="4">
                  <c:v>Profit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'Value Chain Str'!$G$5:$S$5</c15:sqref>
                  </c15:fullRef>
                </c:ext>
              </c:extLst>
              <c:f>('Value Chain Str'!$H$5,'Value Chain Str'!$N$5,'Value Chain Str'!$P$5,'Value Chain Str'!$R$5:$S$5)</c:f>
              <c:numCache>
                <c:formatCode>0.00</c:formatCode>
                <c:ptCount val="5"/>
                <c:pt idx="0">
                  <c:v>225000</c:v>
                </c:pt>
                <c:pt idx="1">
                  <c:v>31</c:v>
                </c:pt>
                <c:pt idx="2">
                  <c:v>224998</c:v>
                </c:pt>
                <c:pt idx="3">
                  <c:v>268546</c:v>
                </c:pt>
                <c:pt idx="4">
                  <c:v>43548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8A-4E7F-B5A2-A02920B99D6F}"/>
            </c:ext>
          </c:extLst>
        </c:ser>
        <c:ser>
          <c:idx val="4"/>
          <c:order val="4"/>
          <c:tx>
            <c:strRef>
              <c:f>'Value Chain Str'!$A$6:$F$6</c:f>
              <c:strCache>
                <c:ptCount val="6"/>
                <c:pt idx="0">
                  <c:v>Zesty Elaichi</c:v>
                </c:pt>
                <c:pt idx="1">
                  <c:v>Soft Drink</c:v>
                </c:pt>
                <c:pt idx="2">
                  <c:v>Iraichi-0</c:v>
                </c:pt>
                <c:pt idx="3">
                  <c:v>IND</c:v>
                </c:pt>
                <c:pt idx="4">
                  <c:v>Cans</c:v>
                </c:pt>
                <c:pt idx="5">
                  <c:v>500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'Value Chain Str'!$G$1:$S$1</c15:sqref>
                  </c15:fullRef>
                </c:ext>
              </c:extLst>
              <c:f>('Value Chain Str'!$H$1,'Value Chain Str'!$N$1,'Value Chain Str'!$P$1,'Value Chain Str'!$R$1:$S$1)</c:f>
              <c:strCache>
                <c:ptCount val="5"/>
                <c:pt idx="0">
                  <c:v>Budget</c:v>
                </c:pt>
                <c:pt idx="1">
                  <c:v>Total Cost</c:v>
                </c:pt>
                <c:pt idx="2">
                  <c:v>Base Cost</c:v>
                </c:pt>
                <c:pt idx="3">
                  <c:v>Actual Revenue</c:v>
                </c:pt>
                <c:pt idx="4">
                  <c:v>Profit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'Value Chain Str'!$G$6:$S$6</c15:sqref>
                  </c15:fullRef>
                </c:ext>
              </c:extLst>
              <c:f>('Value Chain Str'!$H$6,'Value Chain Str'!$N$6,'Value Chain Str'!$P$6,'Value Chain Str'!$R$6:$S$6)</c:f>
              <c:numCache>
                <c:formatCode>0.00</c:formatCode>
                <c:ptCount val="5"/>
                <c:pt idx="0">
                  <c:v>150000</c:v>
                </c:pt>
                <c:pt idx="1">
                  <c:v>36.5</c:v>
                </c:pt>
                <c:pt idx="2">
                  <c:v>150015</c:v>
                </c:pt>
                <c:pt idx="3">
                  <c:v>184950</c:v>
                </c:pt>
                <c:pt idx="4">
                  <c:v>34935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8A-4FEA-A88F-8666653C0582}"/>
            </c:ext>
          </c:extLst>
        </c:ser>
        <c:ser>
          <c:idx val="5"/>
          <c:order val="5"/>
          <c:tx>
            <c:strRef>
              <c:f>'Value Chain Str'!$A$7:$F$7</c:f>
              <c:strCache>
                <c:ptCount val="6"/>
                <c:pt idx="0">
                  <c:v>Zesty Elaichi</c:v>
                </c:pt>
                <c:pt idx="1">
                  <c:v>Soft Drink</c:v>
                </c:pt>
                <c:pt idx="2">
                  <c:v>Iraichi-0</c:v>
                </c:pt>
                <c:pt idx="3">
                  <c:v>IND</c:v>
                </c:pt>
                <c:pt idx="4">
                  <c:v>Tetra Pak</c:v>
                </c:pt>
                <c:pt idx="5">
                  <c:v>500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'Value Chain Str'!$G$1:$S$1</c15:sqref>
                  </c15:fullRef>
                </c:ext>
              </c:extLst>
              <c:f>('Value Chain Str'!$H$1,'Value Chain Str'!$N$1,'Value Chain Str'!$P$1,'Value Chain Str'!$R$1:$S$1)</c:f>
              <c:strCache>
                <c:ptCount val="5"/>
                <c:pt idx="0">
                  <c:v>Budget</c:v>
                </c:pt>
                <c:pt idx="1">
                  <c:v>Total Cost</c:v>
                </c:pt>
                <c:pt idx="2">
                  <c:v>Base Cost</c:v>
                </c:pt>
                <c:pt idx="3">
                  <c:v>Actual Revenue</c:v>
                </c:pt>
                <c:pt idx="4">
                  <c:v>Profit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'Value Chain Str'!$G$7:$S$7</c15:sqref>
                  </c15:fullRef>
                </c:ext>
              </c:extLst>
              <c:f>('Value Chain Str'!$H$7,'Value Chain Str'!$N$7,'Value Chain Str'!$P$7,'Value Chain Str'!$R$7:$S$7)</c:f>
              <c:numCache>
                <c:formatCode>0.00</c:formatCode>
                <c:ptCount val="5"/>
                <c:pt idx="0">
                  <c:v>150000</c:v>
                </c:pt>
                <c:pt idx="1">
                  <c:v>32.75</c:v>
                </c:pt>
                <c:pt idx="2">
                  <c:v>149995</c:v>
                </c:pt>
                <c:pt idx="3">
                  <c:v>183200</c:v>
                </c:pt>
                <c:pt idx="4">
                  <c:v>33205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8A-4FEA-A88F-8666653C0582}"/>
            </c:ext>
          </c:extLst>
        </c:ser>
        <c:ser>
          <c:idx val="6"/>
          <c:order val="6"/>
          <c:tx>
            <c:strRef>
              <c:f>'Value Chain Str'!$A$8:$F$8</c:f>
              <c:strCache>
                <c:ptCount val="6"/>
                <c:pt idx="0">
                  <c:v>Zesty Elaichi</c:v>
                </c:pt>
                <c:pt idx="1">
                  <c:v>Soft Drink</c:v>
                </c:pt>
                <c:pt idx="2">
                  <c:v>Iraichi-0</c:v>
                </c:pt>
                <c:pt idx="3">
                  <c:v>IND</c:v>
                </c:pt>
                <c:pt idx="4">
                  <c:v>Bottles</c:v>
                </c:pt>
                <c:pt idx="5">
                  <c:v>750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'Value Chain Str'!$G$1:$S$1</c15:sqref>
                  </c15:fullRef>
                </c:ext>
              </c:extLst>
              <c:f>('Value Chain Str'!$H$1,'Value Chain Str'!$N$1,'Value Chain Str'!$P$1,'Value Chain Str'!$R$1:$S$1)</c:f>
              <c:strCache>
                <c:ptCount val="5"/>
                <c:pt idx="0">
                  <c:v>Budget</c:v>
                </c:pt>
                <c:pt idx="1">
                  <c:v>Total Cost</c:v>
                </c:pt>
                <c:pt idx="2">
                  <c:v>Base Cost</c:v>
                </c:pt>
                <c:pt idx="3">
                  <c:v>Actual Revenue</c:v>
                </c:pt>
                <c:pt idx="4">
                  <c:v>Profit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'Value Chain Str'!$G$8:$S$8</c15:sqref>
                  </c15:fullRef>
                </c:ext>
              </c:extLst>
              <c:f>('Value Chain Str'!$H$8,'Value Chain Str'!$N$8,'Value Chain Str'!$P$8,'Value Chain Str'!$R$8:$S$8)</c:f>
              <c:numCache>
                <c:formatCode>0.00</c:formatCode>
                <c:ptCount val="5"/>
                <c:pt idx="0">
                  <c:v>75000</c:v>
                </c:pt>
                <c:pt idx="1">
                  <c:v>49.5</c:v>
                </c:pt>
                <c:pt idx="2">
                  <c:v>74992.5</c:v>
                </c:pt>
                <c:pt idx="3">
                  <c:v>106050</c:v>
                </c:pt>
                <c:pt idx="4">
                  <c:v>31057.5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8A-4FEA-A88F-8666653C0582}"/>
            </c:ext>
          </c:extLst>
        </c:ser>
        <c:ser>
          <c:idx val="7"/>
          <c:order val="7"/>
          <c:tx>
            <c:strRef>
              <c:f>'Value Chain Str'!$A$9:$F$9</c:f>
              <c:strCache>
                <c:ptCount val="6"/>
                <c:pt idx="0">
                  <c:v>Zesty Elaichi</c:v>
                </c:pt>
                <c:pt idx="1">
                  <c:v>Soft Drink</c:v>
                </c:pt>
                <c:pt idx="2">
                  <c:v>Iraichi-0</c:v>
                </c:pt>
                <c:pt idx="3">
                  <c:v>IND</c:v>
                </c:pt>
                <c:pt idx="4">
                  <c:v>Bottles</c:v>
                </c:pt>
                <c:pt idx="5">
                  <c:v>1000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'Value Chain Str'!$G$1:$S$1</c15:sqref>
                  </c15:fullRef>
                </c:ext>
              </c:extLst>
              <c:f>('Value Chain Str'!$H$1,'Value Chain Str'!$N$1,'Value Chain Str'!$P$1,'Value Chain Str'!$R$1:$S$1)</c:f>
              <c:strCache>
                <c:ptCount val="5"/>
                <c:pt idx="0">
                  <c:v>Budget</c:v>
                </c:pt>
                <c:pt idx="1">
                  <c:v>Total Cost</c:v>
                </c:pt>
                <c:pt idx="2">
                  <c:v>Base Cost</c:v>
                </c:pt>
                <c:pt idx="3">
                  <c:v>Actual Revenue</c:v>
                </c:pt>
                <c:pt idx="4">
                  <c:v>Profit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'Value Chain Str'!$G$9:$S$9</c15:sqref>
                  </c15:fullRef>
                </c:ext>
              </c:extLst>
              <c:f>('Value Chain Str'!$H$9,'Value Chain Str'!$N$9,'Value Chain Str'!$P$9,'Value Chain Str'!$R$9:$S$9)</c:f>
              <c:numCache>
                <c:formatCode>0.00</c:formatCode>
                <c:ptCount val="5"/>
                <c:pt idx="0">
                  <c:v>75000</c:v>
                </c:pt>
                <c:pt idx="1">
                  <c:v>60</c:v>
                </c:pt>
                <c:pt idx="2">
                  <c:v>75000</c:v>
                </c:pt>
                <c:pt idx="3">
                  <c:v>100000</c:v>
                </c:pt>
                <c:pt idx="4">
                  <c:v>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8A-4FEA-A88F-8666653C0582}"/>
            </c:ext>
          </c:extLst>
        </c:ser>
        <c:ser>
          <c:idx val="8"/>
          <c:order val="8"/>
          <c:tx>
            <c:strRef>
              <c:f>'Value Chain Str'!$A$10:$F$10</c:f>
              <c:strCache>
                <c:ptCount val="6"/>
                <c:pt idx="0">
                  <c:v>Zesty Elaichi</c:v>
                </c:pt>
                <c:pt idx="1">
                  <c:v>Soft Drink</c:v>
                </c:pt>
                <c:pt idx="2">
                  <c:v>Iraichi-0</c:v>
                </c:pt>
                <c:pt idx="3">
                  <c:v>IND</c:v>
                </c:pt>
                <c:pt idx="4">
                  <c:v>Bottles</c:v>
                </c:pt>
                <c:pt idx="5">
                  <c:v>1000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'Value Chain Str'!$G$1:$S$1</c15:sqref>
                  </c15:fullRef>
                </c:ext>
              </c:extLst>
              <c:f>('Value Chain Str'!$H$1,'Value Chain Str'!$N$1,'Value Chain Str'!$P$1,'Value Chain Str'!$R$1:$S$1)</c:f>
              <c:strCache>
                <c:ptCount val="5"/>
                <c:pt idx="0">
                  <c:v>Budget</c:v>
                </c:pt>
                <c:pt idx="1">
                  <c:v>Total Cost</c:v>
                </c:pt>
                <c:pt idx="2">
                  <c:v>Base Cost</c:v>
                </c:pt>
                <c:pt idx="3">
                  <c:v>Actual Revenue</c:v>
                </c:pt>
                <c:pt idx="4">
                  <c:v>Profit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'Value Chain Str'!$G$10:$S$10</c15:sqref>
                  </c15:fullRef>
                </c:ext>
              </c:extLst>
              <c:f>('Value Chain Str'!$H$10,'Value Chain Str'!$N$10,'Value Chain Str'!$P$10,'Value Chain Str'!$R$10:$S$10)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8A-4FEA-A88F-8666653C0582}"/>
            </c:ext>
          </c:extLst>
        </c:ser>
        <c:ser>
          <c:idx val="9"/>
          <c:order val="9"/>
          <c:tx>
            <c:strRef>
              <c:f>'Value Chain Str'!$A$11:$F$11</c:f>
              <c:strCache>
                <c:ptCount val="6"/>
                <c:pt idx="0">
                  <c:v>Zesty Elaichi</c:v>
                </c:pt>
                <c:pt idx="1">
                  <c:v>Soft Drink</c:v>
                </c:pt>
                <c:pt idx="2">
                  <c:v>Iraichi-0</c:v>
                </c:pt>
                <c:pt idx="3">
                  <c:v>IND</c:v>
                </c:pt>
                <c:pt idx="4">
                  <c:v>Bottles</c:v>
                </c:pt>
                <c:pt idx="5">
                  <c:v>Grand Total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'Value Chain Str'!$G$1:$S$1</c15:sqref>
                  </c15:fullRef>
                </c:ext>
              </c:extLst>
              <c:f>('Value Chain Str'!$H$1,'Value Chain Str'!$N$1,'Value Chain Str'!$P$1,'Value Chain Str'!$R$1:$S$1)</c:f>
              <c:strCache>
                <c:ptCount val="5"/>
                <c:pt idx="0">
                  <c:v>Budget</c:v>
                </c:pt>
                <c:pt idx="1">
                  <c:v>Total Cost</c:v>
                </c:pt>
                <c:pt idx="2">
                  <c:v>Base Cost</c:v>
                </c:pt>
                <c:pt idx="3">
                  <c:v>Actual Revenue</c:v>
                </c:pt>
                <c:pt idx="4">
                  <c:v>Profit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'Value Chain Str'!$G$11:$S$11</c15:sqref>
                  </c15:fullRef>
                </c:ext>
              </c:extLst>
              <c:f>('Value Chain Str'!$H$11,'Value Chain Str'!$N$11,'Value Chain Str'!$P$11,'Value Chain Str'!$R$11:$S$11)</c:f>
              <c:numCache>
                <c:formatCode>0.00</c:formatCode>
                <c:ptCount val="5"/>
                <c:pt idx="0">
                  <c:v>1500000</c:v>
                </c:pt>
                <c:pt idx="2">
                  <c:v>1500015.5</c:v>
                </c:pt>
                <c:pt idx="3">
                  <c:v>2031004</c:v>
                </c:pt>
                <c:pt idx="4">
                  <c:v>530988.5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8A-4FEA-A88F-8666653C0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344784"/>
        <c:axId val="168345264"/>
      </c:lineChart>
      <c:catAx>
        <c:axId val="1683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45264"/>
        <c:crosses val="autoZero"/>
        <c:auto val="1"/>
        <c:lblAlgn val="ctr"/>
        <c:lblOffset val="100"/>
        <c:noMultiLvlLbl val="0"/>
      </c:catAx>
      <c:valAx>
        <c:axId val="16834526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16834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0229706219232599"/>
          <c:y val="1.3472228660265073E-2"/>
          <c:w val="0.19770293780767409"/>
          <c:h val="0.538316497356044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Sales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Direct sales</c:v>
              </c:pt>
              <c:pt idx="1">
                <c:v>Distribution channels</c:v>
              </c:pt>
              <c:pt idx="2">
                <c:v>Retails</c:v>
              </c:pt>
              <c:pt idx="3">
                <c:v>Whoresale</c:v>
              </c:pt>
            </c:strLit>
          </c:cat>
          <c:val>
            <c:numLit>
              <c:formatCode>General</c:formatCode>
              <c:ptCount val="4"/>
              <c:pt idx="0">
                <c:v>12080</c:v>
              </c:pt>
              <c:pt idx="1">
                <c:v>10000</c:v>
              </c:pt>
              <c:pt idx="2">
                <c:v>26095</c:v>
              </c:pt>
              <c:pt idx="3">
                <c:v>20500</c:v>
              </c:pt>
            </c:numLit>
          </c:val>
          <c:extLst>
            <c:ext xmlns:c16="http://schemas.microsoft.com/office/drawing/2014/chart" uri="{C3380CC4-5D6E-409C-BE32-E72D297353CC}">
              <c16:uniqueId val="{00000000-563D-46A4-ACB4-589B57BF8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282864"/>
        <c:axId val="114278544"/>
      </c:barChart>
      <c:lineChart>
        <c:grouping val="standard"/>
        <c:varyColors val="0"/>
        <c:ser>
          <c:idx val="1"/>
          <c:order val="1"/>
          <c:tx>
            <c:v>Sum of Sales Growth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Lit>
              <c:ptCount val="4"/>
              <c:pt idx="0">
                <c:v>Direct sales</c:v>
              </c:pt>
              <c:pt idx="1">
                <c:v>Distribution channels</c:v>
              </c:pt>
              <c:pt idx="2">
                <c:v>Retails</c:v>
              </c:pt>
              <c:pt idx="3">
                <c:v>Whoresale</c:v>
              </c:pt>
            </c:strLit>
          </c:cat>
          <c:val>
            <c:numLit>
              <c:formatCode>General</c:formatCode>
              <c:ptCount val="4"/>
              <c:pt idx="0">
                <c:v>13891.999999999998</c:v>
              </c:pt>
              <c:pt idx="1">
                <c:v>10500</c:v>
              </c:pt>
              <c:pt idx="2">
                <c:v>28704.500000000004</c:v>
              </c:pt>
              <c:pt idx="3">
                <c:v>24600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563D-46A4-ACB4-589B57BF8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284784"/>
        <c:axId val="114288144"/>
      </c:lineChart>
      <c:catAx>
        <c:axId val="11428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88144"/>
        <c:crosses val="autoZero"/>
        <c:auto val="1"/>
        <c:lblAlgn val="ctr"/>
        <c:lblOffset val="100"/>
        <c:noMultiLvlLbl val="0"/>
      </c:catAx>
      <c:valAx>
        <c:axId val="11428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84784"/>
        <c:crosses val="autoZero"/>
        <c:crossBetween val="between"/>
      </c:valAx>
      <c:valAx>
        <c:axId val="11427854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82864"/>
        <c:crosses val="max"/>
        <c:crossBetween val="between"/>
      </c:valAx>
      <c:catAx>
        <c:axId val="1142828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42785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[Coca Cola Case Study - Elaichi Flavour-0 - 22-01-2025.xlsx]RGM!PivotTable1</c:name>
    <c:fmtId val="6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3561062306690642"/>
          <c:y val="0.12368304945692689"/>
          <c:w val="0.65879242413393158"/>
          <c:h val="0.720543707546503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RGM!$G$11</c:f>
              <c:strCache>
                <c:ptCount val="1"/>
                <c:pt idx="0">
                  <c:v>Promotion costs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95E3-496A-973D-7671E2E6914D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95E3-496A-973D-7671E2E6914D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95E3-496A-973D-7671E2E6914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RGM!$F$12:$F$16</c:f>
              <c:strCache>
                <c:ptCount val="4"/>
                <c:pt idx="0">
                  <c:v>Direct Sale</c:v>
                </c:pt>
                <c:pt idx="1">
                  <c:v>Distribution channels</c:v>
                </c:pt>
                <c:pt idx="2">
                  <c:v>Retails</c:v>
                </c:pt>
                <c:pt idx="3">
                  <c:v>Whoresale</c:v>
                </c:pt>
              </c:strCache>
            </c:strRef>
          </c:cat>
          <c:val>
            <c:numRef>
              <c:f>RGM!$G$12:$G$16</c:f>
              <c:numCache>
                <c:formatCode>0</c:formatCode>
                <c:ptCount val="4"/>
                <c:pt idx="0">
                  <c:v>10000</c:v>
                </c:pt>
                <c:pt idx="1">
                  <c:v>40000</c:v>
                </c:pt>
                <c:pt idx="2">
                  <c:v>42857.4</c:v>
                </c:pt>
                <c:pt idx="3">
                  <c:v>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C9-4EB9-A210-24BC38BAEEF1}"/>
            </c:ext>
          </c:extLst>
        </c:ser>
        <c:ser>
          <c:idx val="1"/>
          <c:order val="1"/>
          <c:tx>
            <c:strRef>
              <c:f>RGM!$H$11</c:f>
              <c:strCache>
                <c:ptCount val="1"/>
                <c:pt idx="0">
                  <c:v>Profits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10E0-438C-9B45-9533B4B9429D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10E0-438C-9B45-9533B4B9429D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10E0-438C-9B45-9533B4B942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RGM!$F$12:$F$16</c:f>
              <c:strCache>
                <c:ptCount val="4"/>
                <c:pt idx="0">
                  <c:v>Direct Sale</c:v>
                </c:pt>
                <c:pt idx="1">
                  <c:v>Distribution channels</c:v>
                </c:pt>
                <c:pt idx="2">
                  <c:v>Retails</c:v>
                </c:pt>
                <c:pt idx="3">
                  <c:v>Whoresale</c:v>
                </c:pt>
              </c:strCache>
            </c:strRef>
          </c:cat>
          <c:val>
            <c:numRef>
              <c:f>RGM!$H$12:$H$16</c:f>
              <c:numCache>
                <c:formatCode>0</c:formatCode>
                <c:ptCount val="4"/>
                <c:pt idx="0">
                  <c:v>80563.799999999988</c:v>
                </c:pt>
                <c:pt idx="1">
                  <c:v>129375</c:v>
                </c:pt>
                <c:pt idx="2">
                  <c:v>258305.09999999998</c:v>
                </c:pt>
                <c:pt idx="3">
                  <c:v>141057.29999999999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5E3-496A-973D-7671E2E691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544261567"/>
        <c:axId val="544259647"/>
      </c:barChart>
      <c:catAx>
        <c:axId val="5442615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259647"/>
        <c:crosses val="autoZero"/>
        <c:auto val="1"/>
        <c:lblAlgn val="ctr"/>
        <c:lblOffset val="100"/>
        <c:noMultiLvlLbl val="0"/>
      </c:catAx>
      <c:valAx>
        <c:axId val="544259647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26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7640885265732287E-2"/>
          <c:y val="0.52682671691997585"/>
          <c:w val="0.15333987863692566"/>
          <c:h val="0.358355093266123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228600</xdr:colOff>
      <xdr:row>10</xdr:row>
      <xdr:rowOff>66675</xdr:rowOff>
    </xdr:from>
    <xdr:to>
      <xdr:col>16</xdr:col>
      <xdr:colOff>504825</xdr:colOff>
      <xdr:row>19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92F41D-A033-F941-A5BD-9894A9580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2</xdr:row>
      <xdr:rowOff>4762</xdr:rowOff>
    </xdr:from>
    <xdr:to>
      <xdr:col>9</xdr:col>
      <xdr:colOff>325126</xdr:colOff>
      <xdr:row>16</xdr:row>
      <xdr:rowOff>127762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465ED0-4D75-B29F-6403-26173AD46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</xdr:colOff>
      <xdr:row>1</xdr:row>
      <xdr:rowOff>180975</xdr:rowOff>
    </xdr:from>
    <xdr:to>
      <xdr:col>3</xdr:col>
      <xdr:colOff>134624</xdr:colOff>
      <xdr:row>16</xdr:row>
      <xdr:rowOff>113475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D3569C-C055-4B08-BA19-ED8CD30A29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3</xdr:col>
      <xdr:colOff>125100</xdr:colOff>
      <xdr:row>33</xdr:row>
      <xdr:rowOff>123000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0B6F92-FD78-46CC-A8B5-A47D49CE5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19050</xdr:colOff>
      <xdr:row>19</xdr:row>
      <xdr:rowOff>38100</xdr:rowOff>
    </xdr:from>
    <xdr:to>
      <xdr:col>9</xdr:col>
      <xdr:colOff>344175</xdr:colOff>
      <xdr:row>33</xdr:row>
      <xdr:rowOff>161100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E2FA8F-B300-4C56-B29A-A3A9A8CB0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266699</xdr:colOff>
      <xdr:row>0</xdr:row>
      <xdr:rowOff>142875</xdr:rowOff>
    </xdr:from>
    <xdr:to>
      <xdr:col>8</xdr:col>
      <xdr:colOff>1209674</xdr:colOff>
      <xdr:row>1</xdr:row>
      <xdr:rowOff>180975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5E2D77A1-447B-08F8-B209-BC56692ABD84}"/>
            </a:ext>
          </a:extLst>
        </xdr:cNvPr>
        <xdr:cNvSpPr/>
      </xdr:nvSpPr>
      <xdr:spPr>
        <a:xfrm>
          <a:off x="5943599" y="142875"/>
          <a:ext cx="2771775" cy="228600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 kern="1200">
              <a:solidFill>
                <a:sysClr val="windowText" lastClr="000000"/>
              </a:solidFill>
            </a:rPr>
            <a:t>Revenue Grow  by Distributorr Distributor</a:t>
          </a:r>
        </a:p>
      </xdr:txBody>
    </xdr:sp>
    <xdr:clientData/>
  </xdr:twoCellAnchor>
  <xdr:twoCellAnchor>
    <xdr:from>
      <xdr:col>0</xdr:col>
      <xdr:colOff>1333501</xdr:colOff>
      <xdr:row>0</xdr:row>
      <xdr:rowOff>152399</xdr:rowOff>
    </xdr:from>
    <xdr:to>
      <xdr:col>2</xdr:col>
      <xdr:colOff>371476</xdr:colOff>
      <xdr:row>1</xdr:row>
      <xdr:rowOff>163499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AB82F049-638D-4D5E-8D5B-8D90AF89D288}"/>
            </a:ext>
          </a:extLst>
        </xdr:cNvPr>
        <xdr:cNvSpPr/>
      </xdr:nvSpPr>
      <xdr:spPr>
        <a:xfrm>
          <a:off x="1333501" y="152399"/>
          <a:ext cx="1962150" cy="201600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 kern="1200">
              <a:solidFill>
                <a:schemeClr val="accent6"/>
              </a:solidFill>
            </a:rPr>
            <a:t>Sales Grow by Distributor</a:t>
          </a:r>
        </a:p>
      </xdr:txBody>
    </xdr:sp>
    <xdr:clientData/>
  </xdr:twoCellAnchor>
  <xdr:twoCellAnchor>
    <xdr:from>
      <xdr:col>5</xdr:col>
      <xdr:colOff>104775</xdr:colOff>
      <xdr:row>18</xdr:row>
      <xdr:rowOff>9524</xdr:rowOff>
    </xdr:from>
    <xdr:to>
      <xdr:col>8</xdr:col>
      <xdr:colOff>1371600</xdr:colOff>
      <xdr:row>19</xdr:row>
      <xdr:rowOff>19050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B2BFC03-FC81-4C2F-A21E-B14D7337BE69}"/>
            </a:ext>
          </a:extLst>
        </xdr:cNvPr>
        <xdr:cNvSpPr/>
      </xdr:nvSpPr>
      <xdr:spPr>
        <a:xfrm>
          <a:off x="5781675" y="3438524"/>
          <a:ext cx="3095625" cy="200026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 kern="1200">
              <a:solidFill>
                <a:schemeClr val="accent4"/>
              </a:solidFill>
            </a:rPr>
            <a:t>Pricing Structure Grow  by</a:t>
          </a:r>
          <a:r>
            <a:rPr lang="en-IN" sz="1100" b="1" kern="1200" baseline="0">
              <a:solidFill>
                <a:schemeClr val="accent4"/>
              </a:solidFill>
            </a:rPr>
            <a:t> </a:t>
          </a:r>
          <a:r>
            <a:rPr lang="en-IN" sz="1100" b="1" kern="1200">
              <a:solidFill>
                <a:schemeClr val="accent4"/>
              </a:solidFill>
            </a:rPr>
            <a:t>Distributor</a:t>
          </a:r>
        </a:p>
      </xdr:txBody>
    </xdr:sp>
    <xdr:clientData/>
  </xdr:twoCellAnchor>
  <xdr:twoCellAnchor>
    <xdr:from>
      <xdr:col>1</xdr:col>
      <xdr:colOff>323850</xdr:colOff>
      <xdr:row>17</xdr:row>
      <xdr:rowOff>161925</xdr:rowOff>
    </xdr:from>
    <xdr:to>
      <xdr:col>2</xdr:col>
      <xdr:colOff>9525</xdr:colOff>
      <xdr:row>18</xdr:row>
      <xdr:rowOff>173025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6546CF3-7944-422A-B169-58DCF673BCDC}"/>
            </a:ext>
          </a:extLst>
        </xdr:cNvPr>
        <xdr:cNvSpPr/>
      </xdr:nvSpPr>
      <xdr:spPr>
        <a:xfrm>
          <a:off x="1666875" y="3400425"/>
          <a:ext cx="1266825" cy="201600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 kern="1200">
              <a:solidFill>
                <a:schemeClr val="accent4"/>
              </a:solidFill>
            </a:rPr>
            <a:t>Budget vs Actual</a:t>
          </a:r>
        </a:p>
      </xdr:txBody>
    </xdr:sp>
    <xdr:clientData/>
  </xdr:twoCellAnchor>
  <xdr:twoCellAnchor>
    <xdr:from>
      <xdr:col>10</xdr:col>
      <xdr:colOff>124557</xdr:colOff>
      <xdr:row>2</xdr:row>
      <xdr:rowOff>5106</xdr:rowOff>
    </xdr:from>
    <xdr:to>
      <xdr:col>17</xdr:col>
      <xdr:colOff>333375</xdr:colOff>
      <xdr:row>16</xdr:row>
      <xdr:rowOff>123825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0D4FB85-6A82-4D07-80C4-3753747A6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315436</xdr:colOff>
      <xdr:row>0</xdr:row>
      <xdr:rowOff>106350</xdr:rowOff>
    </xdr:from>
    <xdr:to>
      <xdr:col>16</xdr:col>
      <xdr:colOff>52489</xdr:colOff>
      <xdr:row>1</xdr:row>
      <xdr:rowOff>145536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FE9D596-6BD7-4F13-84F8-A211EE23CC43}"/>
            </a:ext>
          </a:extLst>
        </xdr:cNvPr>
        <xdr:cNvSpPr/>
      </xdr:nvSpPr>
      <xdr:spPr>
        <a:xfrm>
          <a:off x="10840561" y="106350"/>
          <a:ext cx="2753303" cy="229686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 kern="1200">
              <a:solidFill>
                <a:schemeClr val="accent4"/>
              </a:solidFill>
            </a:rPr>
            <a:t>Value</a:t>
          </a:r>
          <a:r>
            <a:rPr lang="en-IN" sz="1100" b="1" kern="1200" baseline="0">
              <a:solidFill>
                <a:schemeClr val="accent4"/>
              </a:solidFill>
            </a:rPr>
            <a:t> Chain</a:t>
          </a:r>
          <a:endParaRPr lang="en-IN" sz="1100" b="1" kern="1200">
            <a:solidFill>
              <a:schemeClr val="accent4"/>
            </a:solidFill>
          </a:endParaRPr>
        </a:p>
      </xdr:txBody>
    </xdr:sp>
    <xdr:clientData/>
  </xdr:twoCellAnchor>
  <xdr:twoCellAnchor>
    <xdr:from>
      <xdr:col>11</xdr:col>
      <xdr:colOff>716498</xdr:colOff>
      <xdr:row>17</xdr:row>
      <xdr:rowOff>180652</xdr:rowOff>
    </xdr:from>
    <xdr:to>
      <xdr:col>14</xdr:col>
      <xdr:colOff>4054</xdr:colOff>
      <xdr:row>19</xdr:row>
      <xdr:rowOff>1251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61DBB417-D7BB-4721-A085-E7FEF2D5579B}"/>
            </a:ext>
          </a:extLst>
        </xdr:cNvPr>
        <xdr:cNvSpPr/>
      </xdr:nvSpPr>
      <xdr:spPr>
        <a:xfrm>
          <a:off x="12032198" y="3419152"/>
          <a:ext cx="2164106" cy="201599"/>
        </a:xfrm>
        <a:prstGeom prst="rect">
          <a:avLst/>
        </a:prstGeom>
        <a:solidFill>
          <a:schemeClr val="bg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rtl="0"/>
          <a:r>
            <a:rPr lang="en-IN">
              <a:solidFill>
                <a:srgbClr val="00B0F0"/>
              </a:solidFill>
              <a:effectLst/>
            </a:rPr>
            <a:t>Budget</a:t>
          </a:r>
          <a:r>
            <a:rPr lang="en-IN" baseline="0">
              <a:solidFill>
                <a:srgbClr val="00B0F0"/>
              </a:solidFill>
              <a:effectLst/>
            </a:rPr>
            <a:t> vs Base  Actual Revenue</a:t>
          </a:r>
          <a:endParaRPr lang="en-IN">
            <a:solidFill>
              <a:srgbClr val="00B0F0"/>
            </a:solidFill>
            <a:effectLst/>
          </a:endParaRPr>
        </a:p>
      </xdr:txBody>
    </xdr:sp>
    <xdr:clientData/>
  </xdr:twoCellAnchor>
  <xdr:twoCellAnchor>
    <xdr:from>
      <xdr:col>0</xdr:col>
      <xdr:colOff>746125</xdr:colOff>
      <xdr:row>35</xdr:row>
      <xdr:rowOff>127000</xdr:rowOff>
    </xdr:from>
    <xdr:to>
      <xdr:col>2</xdr:col>
      <xdr:colOff>559089</xdr:colOff>
      <xdr:row>36</xdr:row>
      <xdr:rowOff>165100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8508659F-AE9B-450F-AF1F-85C23EE3248C}"/>
            </a:ext>
          </a:extLst>
        </xdr:cNvPr>
        <xdr:cNvSpPr/>
      </xdr:nvSpPr>
      <xdr:spPr>
        <a:xfrm>
          <a:off x="746125" y="6794500"/>
          <a:ext cx="2749839" cy="22860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 kern="1200">
              <a:solidFill>
                <a:schemeClr val="accent2"/>
              </a:solidFill>
            </a:rPr>
            <a:t>Sales Growth</a:t>
          </a:r>
        </a:p>
      </xdr:txBody>
    </xdr:sp>
    <xdr:clientData/>
  </xdr:twoCellAnchor>
  <xdr:twoCellAnchor>
    <xdr:from>
      <xdr:col>10</xdr:col>
      <xdr:colOff>127746</xdr:colOff>
      <xdr:row>19</xdr:row>
      <xdr:rowOff>38100</xdr:rowOff>
    </xdr:from>
    <xdr:to>
      <xdr:col>17</xdr:col>
      <xdr:colOff>266700</xdr:colOff>
      <xdr:row>33</xdr:row>
      <xdr:rowOff>175610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4CA0AE5-196A-4E77-AC2D-B4DA0D1DA3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3</xdr:col>
      <xdr:colOff>95250</xdr:colOff>
      <xdr:row>51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0C39C04-78C0-4184-86B6-1F250469D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37</xdr:row>
      <xdr:rowOff>0</xdr:rowOff>
    </xdr:from>
    <xdr:to>
      <xdr:col>9</xdr:col>
      <xdr:colOff>318977</xdr:colOff>
      <xdr:row>51</xdr:row>
      <xdr:rowOff>107212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E9CE3F8-B438-4366-A5F8-0DD13864BE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490681</xdr:colOff>
      <xdr:row>35</xdr:row>
      <xdr:rowOff>115456</xdr:rowOff>
    </xdr:from>
    <xdr:to>
      <xdr:col>8</xdr:col>
      <xdr:colOff>1414895</xdr:colOff>
      <xdr:row>36</xdr:row>
      <xdr:rowOff>153556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CC9522E-7AD8-40AA-88A3-EF1BF87C1614}"/>
            </a:ext>
          </a:extLst>
        </xdr:cNvPr>
        <xdr:cNvSpPr/>
      </xdr:nvSpPr>
      <xdr:spPr>
        <a:xfrm>
          <a:off x="6162386" y="6681933"/>
          <a:ext cx="2742623" cy="225714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 kern="1200">
              <a:solidFill>
                <a:schemeClr val="accent2"/>
              </a:solidFill>
            </a:rPr>
            <a:t>ROI</a:t>
          </a:r>
        </a:p>
      </xdr:txBody>
    </xdr:sp>
    <xdr:clientData/>
  </xdr:twoCellAnchor>
  <xdr:twoCellAnchor>
    <xdr:from>
      <xdr:col>9</xdr:col>
      <xdr:colOff>600075</xdr:colOff>
      <xdr:row>37</xdr:row>
      <xdr:rowOff>14287</xdr:rowOff>
    </xdr:from>
    <xdr:to>
      <xdr:col>17</xdr:col>
      <xdr:colOff>437635</xdr:colOff>
      <xdr:row>51</xdr:row>
      <xdr:rowOff>90487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CDA39C7-B6E9-949A-FE95-FF0C43BBE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331802</xdr:colOff>
      <xdr:row>45</xdr:row>
      <xdr:rowOff>0</xdr:rowOff>
    </xdr:from>
    <xdr:to>
      <xdr:col>14</xdr:col>
      <xdr:colOff>209553</xdr:colOff>
      <xdr:row>46</xdr:row>
      <xdr:rowOff>38100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1FC7B0BF-AA88-43B8-AE94-E0CF8690B6CC}"/>
            </a:ext>
          </a:extLst>
        </xdr:cNvPr>
        <xdr:cNvSpPr/>
      </xdr:nvSpPr>
      <xdr:spPr>
        <a:xfrm>
          <a:off x="11634802" y="8572500"/>
          <a:ext cx="2756418" cy="22860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 kern="1200">
              <a:solidFill>
                <a:schemeClr val="accent2"/>
              </a:solidFill>
            </a:rPr>
            <a:t>Revenue by</a:t>
          </a:r>
          <a:r>
            <a:rPr lang="en-IN" sz="1100" b="1" kern="1200" baseline="0">
              <a:solidFill>
                <a:schemeClr val="accent2"/>
              </a:solidFill>
            </a:rPr>
            <a:t> Distribution</a:t>
          </a:r>
          <a:endParaRPr lang="en-IN" sz="1100" b="1" kern="1200">
            <a:solidFill>
              <a:schemeClr val="accent2"/>
            </a:solidFill>
          </a:endParaRPr>
        </a:p>
      </xdr:txBody>
    </xdr:sp>
    <xdr:clientData/>
  </xdr:twoCellAnchor>
  <xdr:twoCellAnchor>
    <xdr:from>
      <xdr:col>19</xdr:col>
      <xdr:colOff>0</xdr:colOff>
      <xdr:row>2</xdr:row>
      <xdr:rowOff>0</xdr:rowOff>
    </xdr:from>
    <xdr:to>
      <xdr:col>26</xdr:col>
      <xdr:colOff>335359</xdr:colOff>
      <xdr:row>16</xdr:row>
      <xdr:rowOff>103981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D1C3D7E-F726-4C16-A0B5-565C1D05D9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446484</xdr:colOff>
      <xdr:row>0</xdr:row>
      <xdr:rowOff>128985</xdr:rowOff>
    </xdr:from>
    <xdr:to>
      <xdr:col>25</xdr:col>
      <xdr:colOff>143851</xdr:colOff>
      <xdr:row>1</xdr:row>
      <xdr:rowOff>167269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D0BD3455-756C-4E07-9338-4CE7E9C6C002}"/>
            </a:ext>
          </a:extLst>
        </xdr:cNvPr>
        <xdr:cNvSpPr/>
      </xdr:nvSpPr>
      <xdr:spPr>
        <a:xfrm>
          <a:off x="17789922" y="128985"/>
          <a:ext cx="2723538" cy="226800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 kern="1200">
              <a:solidFill>
                <a:schemeClr val="accent4"/>
              </a:solidFill>
            </a:rPr>
            <a:t>Value</a:t>
          </a:r>
          <a:r>
            <a:rPr lang="en-IN" sz="1100" b="1" kern="1200" baseline="0">
              <a:solidFill>
                <a:schemeClr val="accent4"/>
              </a:solidFill>
            </a:rPr>
            <a:t> Chain Analysis</a:t>
          </a:r>
          <a:endParaRPr lang="en-IN" sz="1100" b="1" kern="1200">
            <a:solidFill>
              <a:schemeClr val="accent4"/>
            </a:solidFill>
          </a:endParaRPr>
        </a:p>
      </xdr:txBody>
    </xdr:sp>
    <xdr:clientData/>
  </xdr:twoCellAnchor>
  <xdr:twoCellAnchor>
    <xdr:from>
      <xdr:col>19</xdr:col>
      <xdr:colOff>0</xdr:colOff>
      <xdr:row>19</xdr:row>
      <xdr:rowOff>0</xdr:rowOff>
    </xdr:from>
    <xdr:to>
      <xdr:col>26</xdr:col>
      <xdr:colOff>335359</xdr:colOff>
      <xdr:row>33</xdr:row>
      <xdr:rowOff>103981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66CF950-4976-444E-A5FD-D9EC1BD941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166687</xdr:colOff>
      <xdr:row>17</xdr:row>
      <xdr:rowOff>154782</xdr:rowOff>
    </xdr:from>
    <xdr:to>
      <xdr:col>25</xdr:col>
      <xdr:colOff>223044</xdr:colOff>
      <xdr:row>18</xdr:row>
      <xdr:rowOff>164309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E0C2914D-0993-4BAE-A6F8-1413EF5D1108}"/>
            </a:ext>
          </a:extLst>
        </xdr:cNvPr>
        <xdr:cNvSpPr/>
      </xdr:nvSpPr>
      <xdr:spPr>
        <a:xfrm>
          <a:off x="17561718" y="3393282"/>
          <a:ext cx="3092451" cy="200027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 kern="1200">
              <a:solidFill>
                <a:schemeClr val="accent4"/>
              </a:solidFill>
            </a:rPr>
            <a:t>Pricing Structure Grow  by  Distributor</a:t>
          </a:r>
        </a:p>
      </xdr:txBody>
    </xdr:sp>
    <xdr:clientData/>
  </xdr:twoCellAnchor>
  <xdr:twoCellAnchor>
    <xdr:from>
      <xdr:col>20</xdr:col>
      <xdr:colOff>154781</xdr:colOff>
      <xdr:row>35</xdr:row>
      <xdr:rowOff>121046</xdr:rowOff>
    </xdr:from>
    <xdr:to>
      <xdr:col>24</xdr:col>
      <xdr:colOff>479017</xdr:colOff>
      <xdr:row>36</xdr:row>
      <xdr:rowOff>159145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83868582-3ECE-41F9-AEFC-E2759846ADBD}"/>
            </a:ext>
          </a:extLst>
        </xdr:cNvPr>
        <xdr:cNvSpPr/>
      </xdr:nvSpPr>
      <xdr:spPr>
        <a:xfrm>
          <a:off x="17549812" y="6788546"/>
          <a:ext cx="2753111" cy="228599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 kern="1200">
              <a:solidFill>
                <a:schemeClr val="accent2"/>
              </a:solidFill>
            </a:rPr>
            <a:t>Fund Allocation</a:t>
          </a:r>
        </a:p>
      </xdr:txBody>
    </xdr:sp>
    <xdr:clientData/>
  </xdr:twoCellAnchor>
  <xdr:twoCellAnchor>
    <xdr:from>
      <xdr:col>27</xdr:col>
      <xdr:colOff>0</xdr:colOff>
      <xdr:row>2</xdr:row>
      <xdr:rowOff>0</xdr:rowOff>
    </xdr:from>
    <xdr:to>
      <xdr:col>34</xdr:col>
      <xdr:colOff>321469</xdr:colOff>
      <xdr:row>16</xdr:row>
      <xdr:rowOff>76200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6D9DF016-8C26-420F-B51E-1D8CC30CA2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130969</xdr:colOff>
      <xdr:row>36</xdr:row>
      <xdr:rowOff>178594</xdr:rowOff>
    </xdr:from>
    <xdr:to>
      <xdr:col>26</xdr:col>
      <xdr:colOff>505224</xdr:colOff>
      <xdr:row>51</xdr:row>
      <xdr:rowOff>64294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29F92AF1-02F7-4FCB-83D0-6CC0BF962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27</xdr:col>
      <xdr:colOff>0</xdr:colOff>
      <xdr:row>19</xdr:row>
      <xdr:rowOff>0</xdr:rowOff>
    </xdr:from>
    <xdr:to>
      <xdr:col>34</xdr:col>
      <xdr:colOff>247650</xdr:colOff>
      <xdr:row>32</xdr:row>
      <xdr:rowOff>100012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3D3DF297-DF8F-41D4-B936-13680E10E3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28</xdr:col>
      <xdr:colOff>0</xdr:colOff>
      <xdr:row>37</xdr:row>
      <xdr:rowOff>0</xdr:rowOff>
    </xdr:from>
    <xdr:to>
      <xdr:col>35</xdr:col>
      <xdr:colOff>304800</xdr:colOff>
      <xdr:row>51</xdr:row>
      <xdr:rowOff>76200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15DAED7-752C-421A-B1D3-479F1A93F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35</xdr:col>
      <xdr:colOff>0</xdr:colOff>
      <xdr:row>2</xdr:row>
      <xdr:rowOff>0</xdr:rowOff>
    </xdr:from>
    <xdr:to>
      <xdr:col>42</xdr:col>
      <xdr:colOff>304800</xdr:colOff>
      <xdr:row>16</xdr:row>
      <xdr:rowOff>76200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7D4198C3-BBC7-411A-94E4-29B8D362CB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35</xdr:col>
      <xdr:colOff>0</xdr:colOff>
      <xdr:row>19</xdr:row>
      <xdr:rowOff>0</xdr:rowOff>
    </xdr:from>
    <xdr:to>
      <xdr:col>42</xdr:col>
      <xdr:colOff>342900</xdr:colOff>
      <xdr:row>33</xdr:row>
      <xdr:rowOff>105000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1A0E1AA0-8B2A-40F7-AFA9-D475FB3301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D1" refreshedDate="45679.704740277775" createdVersion="8" refreshedVersion="8" minRefreshableVersion="3" recordCount="8" xr:uid="{B7D55C80-C8FB-4918-B6A9-59BDABFA93C7}">
  <cacheSource type="worksheet">
    <worksheetSource ref="E1:Q9" sheet="RGM"/>
  </cacheSource>
  <cacheFields count="13">
    <cacheField name="Packaging Type" numFmtId="0">
      <sharedItems count="3">
        <s v="Bottles"/>
        <s v="Cans"/>
        <s v="Tetra Pak"/>
      </sharedItems>
    </cacheField>
    <cacheField name="P. size (in ml)" numFmtId="0">
      <sharedItems containsSemiMixedTypes="0" containsString="0" containsNumber="1" containsInteger="1" minValue="250" maxValue="1000" count="4">
        <n v="250"/>
        <n v="500"/>
        <n v="750"/>
        <n v="1000"/>
      </sharedItems>
    </cacheField>
    <cacheField name="Distributor" numFmtId="0">
      <sharedItems count="4">
        <s v="Retails"/>
        <s v="Whoresale"/>
        <s v="Distribution channels"/>
        <s v="Direct Sale"/>
      </sharedItems>
    </cacheField>
    <cacheField name="Actual Price" numFmtId="0">
      <sharedItems containsSemiMixedTypes="0" containsString="0" containsNumber="1" containsInteger="1" minValue="23" maxValue="80"/>
    </cacheField>
    <cacheField name="Sales Before" numFmtId="0">
      <sharedItems containsSemiMixedTypes="0" containsString="0" containsNumber="1" containsInteger="1" minValue="1250" maxValue="21429"/>
    </cacheField>
    <cacheField name="Sales Growth" numFmtId="0">
      <sharedItems containsSemiMixedTypes="0" containsString="0" containsNumber="1" minValue="1625" maxValue="27857.7"/>
    </cacheField>
    <cacheField name="Growth%" numFmtId="10">
      <sharedItems containsSemiMixedTypes="0" containsString="0" containsNumber="1" minValue="0.3" maxValue="0.3"/>
    </cacheField>
    <cacheField name="Revenue" numFmtId="0">
      <sharedItems containsSemiMixedTypes="0" containsString="0" containsNumber="1" containsInteger="1" minValue="100000" maxValue="492867"/>
    </cacheField>
    <cacheField name="Revenue Growth" numFmtId="0">
      <sharedItems containsSemiMixedTypes="0" containsString="0" containsNumber="1" minValue="130000" maxValue="640727.1"/>
    </cacheField>
    <cacheField name="Profit" numFmtId="0">
      <sharedItems containsSemiMixedTypes="0" containsString="0" containsNumber="1" minValue="30000" maxValue="147860.09999999998"/>
    </cacheField>
    <cacheField name="Promotion cost" numFmtId="0">
      <sharedItems containsSemiMixedTypes="0" containsString="0" containsNumber="1" minValue="5000" maxValue="40000"/>
    </cacheField>
    <cacheField name="Increase %" numFmtId="9">
      <sharedItems containsSemiMixedTypes="0" containsString="0" containsNumber="1" minValue="0.23076923076923075" maxValue="0.23076923076923078"/>
    </cacheField>
    <cacheField name="ROI" numFmtId="10">
      <sharedItems containsSemiMixedTypes="0" containsString="0" containsNumber="1" minValue="2.7742499999999999" maxValue="11.4999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D1" refreshedDate="45679.735540740738" createdVersion="8" refreshedVersion="8" minRefreshableVersion="3" recordCount="8" xr:uid="{F0245EAD-F285-41CE-BBA7-814FFF7E6DC6}">
  <cacheSource type="worksheet">
    <worksheetSource ref="A1:Q9" sheet="RGM"/>
  </cacheSource>
  <cacheFields count="19">
    <cacheField name="Company " numFmtId="0">
      <sharedItems containsBlank="1"/>
    </cacheField>
    <cacheField name="Product" numFmtId="0">
      <sharedItems containsBlank="1"/>
    </cacheField>
    <cacheField name="Category" numFmtId="0">
      <sharedItems/>
    </cacheField>
    <cacheField name="Region" numFmtId="0">
      <sharedItems/>
    </cacheField>
    <cacheField name="Packaging Type" numFmtId="0">
      <sharedItems/>
    </cacheField>
    <cacheField name="P. size (in ml)" numFmtId="0">
      <sharedItems containsString="0" containsBlank="1" containsNumber="1" containsInteger="1" minValue="250" maxValue="750"/>
    </cacheField>
    <cacheField name="Distributor" numFmtId="0">
      <sharedItems containsBlank="1" count="5">
        <s v="Retails"/>
        <s v="Whoresale"/>
        <s v="Distribution channels"/>
        <s v="Direct Sale"/>
        <m/>
      </sharedItems>
    </cacheField>
    <cacheField name="Actual Price" numFmtId="0">
      <sharedItems containsSemiMixedTypes="0" containsString="0" containsNumber="1" containsInteger="1" minValue="23" maxValue="80"/>
    </cacheField>
    <cacheField name="Sales Before" numFmtId="0">
      <sharedItems containsSemiMixedTypes="0" containsString="0" containsNumber="1" containsInteger="1" minValue="1250" maxValue="21429"/>
    </cacheField>
    <cacheField name="Sales Growth" numFmtId="0">
      <sharedItems containsSemiMixedTypes="0" containsString="0" containsNumber="1" minValue="1625" maxValue="27857.7"/>
    </cacheField>
    <cacheField name="Growth%" numFmtId="10">
      <sharedItems containsSemiMixedTypes="0" containsString="0" containsNumber="1" minValue="0.3" maxValue="0.3"/>
    </cacheField>
    <cacheField name="Revenue" numFmtId="0">
      <sharedItems containsSemiMixedTypes="0" containsString="0" containsNumber="1" containsInteger="1" minValue="100000" maxValue="492867"/>
    </cacheField>
    <cacheField name="Revenue Growth" numFmtId="0">
      <sharedItems containsSemiMixedTypes="0" containsString="0" containsNumber="1" minValue="130000" maxValue="640727.1"/>
    </cacheField>
    <cacheField name="Profit" numFmtId="0">
      <sharedItems containsSemiMixedTypes="0" containsString="0" containsNumber="1" minValue="30000" maxValue="147860.09999999998"/>
    </cacheField>
    <cacheField name="Promotion cost" numFmtId="0">
      <sharedItems containsSemiMixedTypes="0" containsString="0" containsNumber="1" minValue="5000" maxValue="40000"/>
    </cacheField>
    <cacheField name="Increase %" numFmtId="9">
      <sharedItems containsSemiMixedTypes="0" containsString="0" containsNumber="1" minValue="0.23076923076923075" maxValue="0.23076923076923078"/>
    </cacheField>
    <cacheField name="ROI" numFmtId="10">
      <sharedItems containsSemiMixedTypes="0" containsString="0" containsNumber="1" minValue="2.7742499999999999" maxValue="11.499999999999996"/>
    </cacheField>
    <cacheField name="Target Revenue" numFmtId="0" formula="'Actual Price'*'Sales Growth'" databaseField="0"/>
    <cacheField name="R re" numFmtId="0" formula="'Sales Growth'*'Actual Price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D1" refreshedDate="45681.536014120371" createdVersion="8" refreshedVersion="8" minRefreshableVersion="3" recordCount="6" xr:uid="{AEAE51B8-506B-470A-ABB7-A780449B501F}">
  <cacheSource type="worksheet">
    <worksheetSource ref="A1:O7" sheet="TFM"/>
  </cacheSource>
  <cacheFields count="15">
    <cacheField name="Distributor" numFmtId="0">
      <sharedItems count="9">
        <s v="Retail"/>
        <s v="Wholesale"/>
        <s v="Direct sales"/>
        <s v="Distribution channels"/>
        <s v="Teaser campaigns &amp; reveals"/>
        <s v="Social media &amp; influencer marketing"/>
        <s v="Retails" u="1"/>
        <s v="Whoresale" u="1"/>
        <s v="Teaser Campaigns &amp; Product Reveals" u="1"/>
      </sharedItems>
    </cacheField>
    <cacheField name="Promotion Type" numFmtId="0">
      <sharedItems/>
    </cacheField>
    <cacheField name="Allocated Fund %" numFmtId="9">
      <sharedItems containsSemiMixedTypes="0" containsString="0" containsNumber="1" minValue="0.05" maxValue="0.3"/>
    </cacheField>
    <cacheField name="Allocated Fund" numFmtId="2">
      <sharedItems containsSemiMixedTypes="0" containsString="0" containsNumber="1" containsInteger="1" minValue="6000" maxValue="36000"/>
    </cacheField>
    <cacheField name="Week 1" numFmtId="2">
      <sharedItems containsSemiMixedTypes="0" containsString="0" containsNumber="1" containsInteger="1" minValue="1500" maxValue="8000"/>
    </cacheField>
    <cacheField name="Week 2" numFmtId="2">
      <sharedItems containsSemiMixedTypes="0" containsString="0" containsNumber="1" containsInteger="1" minValue="1500" maxValue="8000"/>
    </cacheField>
    <cacheField name="Week 3" numFmtId="2">
      <sharedItems containsSemiMixedTypes="0" containsString="0" containsNumber="1" containsInteger="1" minValue="1500" maxValue="7000"/>
    </cacheField>
    <cacheField name="Week 4" numFmtId="2">
      <sharedItems containsSemiMixedTypes="0" containsString="0" containsNumber="1" containsInteger="1" minValue="1500" maxValue="8000"/>
    </cacheField>
    <cacheField name="Utlized Fund" numFmtId="2">
      <sharedItems containsSemiMixedTypes="0" containsString="0" containsNumber="1" containsInteger="1" minValue="6000" maxValue="28800"/>
    </cacheField>
    <cacheField name="Balance" numFmtId="2">
      <sharedItems containsSemiMixedTypes="0" containsString="0" containsNumber="1" containsInteger="1" minValue="0" maxValue="7200"/>
    </cacheField>
    <cacheField name="Sales" numFmtId="2">
      <sharedItems containsSemiMixedTypes="0" containsString="0" containsNumber="1" containsInteger="1" minValue="4000" maxValue="26095"/>
    </cacheField>
    <cacheField name="Sales Growth %" numFmtId="9">
      <sharedItems containsSemiMixedTypes="0" containsString="0" containsNumber="1" minValue="0.05" maxValue="0.6"/>
    </cacheField>
    <cacheField name="Sales Growth" numFmtId="2">
      <sharedItems containsSemiMixedTypes="0" containsString="0" containsNumber="1" minValue="6300" maxValue="28704.500000000004"/>
    </cacheField>
    <cacheField name="Target Sales Growth" numFmtId="2">
      <sharedItems containsNonDate="0" containsString="0" containsBlank="1"/>
    </cacheField>
    <cacheField name="ROI" numFmtId="10">
      <sharedItems containsSemiMixedTypes="0" containsString="0" containsNumber="1" minValue="0.21875" maxValue="2.65782407407407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CHD1" refreshedDate="45681.539929050923" createdVersion="8" refreshedVersion="8" minRefreshableVersion="3" recordCount="5" xr:uid="{B461557D-D9C3-4C16-B53A-F994E88AAF4A}">
  <cacheSource type="worksheet">
    <worksheetSource ref="A1:H7" sheet="Value Chain"/>
  </cacheSource>
  <cacheFields count="8">
    <cacheField name="Company " numFmtId="0">
      <sharedItems/>
    </cacheField>
    <cacheField name="Product" numFmtId="0">
      <sharedItems/>
    </cacheField>
    <cacheField name="Category" numFmtId="0">
      <sharedItems/>
    </cacheField>
    <cacheField name="Region" numFmtId="0">
      <sharedItems/>
    </cacheField>
    <cacheField name="Expenses" numFmtId="0">
      <sharedItems count="8">
        <s v="Raw Material Cost"/>
        <s v="Manufacturing Cost"/>
        <s v="Transportation Cost"/>
        <s v="Campaign Budget"/>
        <s v="Other Costs"/>
        <s v="Manufa Cost" u="1"/>
        <s v="Transp  Cost" u="1"/>
        <s v="Compaign Budget" u="1"/>
      </sharedItems>
    </cacheField>
    <cacheField name="Budget %" numFmtId="10">
      <sharedItems containsSemiMixedTypes="0" containsString="0" containsNumber="1" minValue="0.01" maxValue="0.5"/>
    </cacheField>
    <cacheField name="Budget" numFmtId="2">
      <sharedItems containsSemiMixedTypes="0" containsString="0" containsNumber="1" minValue="15000" maxValue="750000"/>
    </cacheField>
    <cacheField name="Expense Cost" numFmtId="2">
      <sharedItems containsSemiMixedTypes="0" containsString="0" containsNumber="1" minValue="0" maxValue="745591.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D1" refreshedDate="45684.677177199075" createdVersion="8" refreshedVersion="8" minRefreshableVersion="3" recordCount="8" xr:uid="{540CF14F-9864-4E20-AAEF-3C65E4FEA7DE}">
  <cacheSource type="worksheet">
    <worksheetSource ref="A1:H9" sheet="Pricing Arch"/>
  </cacheSource>
  <cacheFields count="8">
    <cacheField name="Packaging Type" numFmtId="49">
      <sharedItems count="3">
        <s v="Bottles"/>
        <s v="Cans"/>
        <s v="Tetra Pak"/>
      </sharedItems>
    </cacheField>
    <cacheField name="Pack Size (in ml)" numFmtId="49">
      <sharedItems containsSemiMixedTypes="0" containsString="0" containsNumber="1" containsInteger="1" minValue="250" maxValue="1000" count="4">
        <n v="250"/>
        <n v="500"/>
        <n v="750"/>
        <n v="1000"/>
      </sharedItems>
    </cacheField>
    <cacheField name="Region" numFmtId="49">
      <sharedItems/>
    </cacheField>
    <cacheField name="Base Cost" numFmtId="2">
      <sharedItems containsSemiMixedTypes="0" containsString="0" containsNumber="1" minValue="14" maxValue="60"/>
    </cacheField>
    <cacheField name="Competitor Price" numFmtId="2">
      <sharedItems containsSemiMixedTypes="0" containsString="0" containsNumber="1" containsInteger="1" minValue="25" maxValue="90"/>
    </cacheField>
    <cacheField name="Proposed Price" numFmtId="2">
      <sharedItems containsSemiMixedTypes="0" containsString="0" containsNumber="1" containsInteger="1" minValue="23" maxValue="80"/>
    </cacheField>
    <cacheField name="Discount" numFmtId="10">
      <sharedItems containsSemiMixedTypes="0" containsString="0" containsNumber="1" minValue="7.0000000000000007E-2" maxValue="0.11"/>
    </cacheField>
    <cacheField name="Profit/Loss" numFmtId="2">
      <sharedItems containsSemiMixedTypes="0" containsString="0" containsNumber="1" minValue="4" maxValue="20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D1" refreshedDate="45686.422175925924" createdVersion="8" refreshedVersion="8" minRefreshableVersion="3" recordCount="8" xr:uid="{855C4585-536B-4783-9523-01F781EC0B45}">
  <cacheSource type="worksheet">
    <worksheetSource ref="A1:S9" sheet="Value Chain Str"/>
  </cacheSource>
  <cacheFields count="19">
    <cacheField name="Company " numFmtId="49">
      <sharedItems/>
    </cacheField>
    <cacheField name="Product" numFmtId="49">
      <sharedItems/>
    </cacheField>
    <cacheField name="Category" numFmtId="49">
      <sharedItems/>
    </cacheField>
    <cacheField name="Region" numFmtId="49">
      <sharedItems/>
    </cacheField>
    <cacheField name="Packaging Type" numFmtId="49">
      <sharedItems count="4">
        <s v="Bottles"/>
        <s v="Cans"/>
        <s v="Tetra Pak ss"/>
        <s v="Tetra Pak"/>
      </sharedItems>
    </cacheField>
    <cacheField name="Pack Size (in ml)" numFmtId="49">
      <sharedItems containsSemiMixedTypes="0" containsString="0" containsNumber="1" containsInteger="1" minValue="250" maxValue="1000" count="4">
        <n v="250"/>
        <n v="500"/>
        <n v="750"/>
        <n v="1000"/>
      </sharedItems>
    </cacheField>
    <cacheField name="Budget %" numFmtId="10">
      <sharedItems containsSemiMixedTypes="0" containsString="0" containsNumber="1" minValue="0.05" maxValue="0.2"/>
    </cacheField>
    <cacheField name="Budget" numFmtId="2">
      <sharedItems containsSemiMixedTypes="0" containsString="0" containsNumber="1" containsInteger="1" minValue="75000" maxValue="300000"/>
    </cacheField>
    <cacheField name="Raw Material Cost" numFmtId="2">
      <sharedItems containsSemiMixedTypes="0" containsString="0" containsNumber="1" minValue="4" maxValue="15.75"/>
    </cacheField>
    <cacheField name="Manufacturing Cost" numFmtId="2">
      <sharedItems containsSemiMixedTypes="0" containsString="0" containsNumber="1" minValue="6" maxValue="31.5"/>
    </cacheField>
    <cacheField name=" Transportation Cost" numFmtId="2">
      <sharedItems containsSemiMixedTypes="0" containsString="0" containsNumber="1" minValue="2.4" maxValue="9.4499999999999993"/>
    </cacheField>
    <cacheField name=" Campaign Budget" numFmtId="2">
      <sharedItems containsSemiMixedTypes="0" containsString="0" containsNumber="1" minValue="1" maxValue="3.3"/>
    </cacheField>
    <cacheField name="Other Costs" numFmtId="2">
      <sharedItems containsNonDate="0" containsString="0" containsBlank="1"/>
    </cacheField>
    <cacheField name="Total Cost" numFmtId="2">
      <sharedItems containsSemiMixedTypes="0" containsString="0" containsNumber="1" minValue="14" maxValue="60"/>
    </cacheField>
    <cacheField name="Quantity" numFmtId="2">
      <sharedItems containsSemiMixedTypes="0" containsString="0" containsNumber="1" containsInteger="1" minValue="1250" maxValue="21429"/>
    </cacheField>
    <cacheField name="Base Revenue" numFmtId="2">
      <sharedItems containsSemiMixedTypes="0" containsString="0" containsNumber="1" minValue="74992.5" maxValue="300006"/>
    </cacheField>
    <cacheField name="Market Price" numFmtId="2">
      <sharedItems containsSemiMixedTypes="0" containsString="0" containsNumber="1" containsInteger="1" minValue="23" maxValue="80"/>
    </cacheField>
    <cacheField name="Actual Revenue" numFmtId="2">
      <sharedItems containsSemiMixedTypes="0" containsString="0" containsNumber="1" containsInteger="1" minValue="100000" maxValue="492867"/>
    </cacheField>
    <cacheField name="Profit" numFmtId="2">
      <sharedItems containsSemiMixedTypes="0" containsString="0" containsNumber="1" minValue="25000" maxValue="1928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x v="0"/>
    <n v="23"/>
    <n v="21429"/>
    <n v="27857.7"/>
    <n v="0.3"/>
    <n v="492867"/>
    <n v="640727.1"/>
    <n v="147860.09999999998"/>
    <n v="12857.400000000001"/>
    <n v="0.23076923076923075"/>
    <n v="11.499999999999996"/>
  </r>
  <r>
    <x v="1"/>
    <x v="0"/>
    <x v="1"/>
    <n v="27"/>
    <n v="9783"/>
    <n v="12717.9"/>
    <n v="0.3"/>
    <n v="264141"/>
    <n v="343383.3"/>
    <n v="79242.299999999988"/>
    <n v="25000"/>
    <n v="0.23076923076923075"/>
    <n v="3.1696919999999995"/>
  </r>
  <r>
    <x v="2"/>
    <x v="0"/>
    <x v="2"/>
    <n v="23"/>
    <n v="18750"/>
    <n v="24375"/>
    <n v="0.3"/>
    <n v="431250"/>
    <n v="560625"/>
    <n v="129375"/>
    <n v="40000"/>
    <n v="0.23076923076923078"/>
    <n v="3.234375"/>
  </r>
  <r>
    <x v="0"/>
    <x v="1"/>
    <x v="3"/>
    <n v="37"/>
    <n v="7258"/>
    <n v="9435.4"/>
    <n v="0.3"/>
    <n v="268546"/>
    <n v="349109.8"/>
    <n v="80563.799999999988"/>
    <n v="10000"/>
    <n v="0.23076923076923075"/>
    <n v="8.056379999999999"/>
  </r>
  <r>
    <x v="1"/>
    <x v="1"/>
    <x v="0"/>
    <n v="45"/>
    <n v="4110"/>
    <n v="5343"/>
    <n v="0.3"/>
    <n v="184950"/>
    <n v="240435"/>
    <n v="55485"/>
    <n v="20000"/>
    <n v="0.23076923076923078"/>
    <n v="2.7742499999999999"/>
  </r>
  <r>
    <x v="2"/>
    <x v="1"/>
    <x v="0"/>
    <n v="40"/>
    <n v="4580"/>
    <n v="5954"/>
    <n v="0.3"/>
    <n v="183200"/>
    <n v="238160"/>
    <n v="54960"/>
    <n v="10000"/>
    <n v="0.23076923076923078"/>
    <n v="5.4960000000000004"/>
  </r>
  <r>
    <x v="0"/>
    <x v="2"/>
    <x v="1"/>
    <n v="70"/>
    <n v="1515"/>
    <n v="1969.5"/>
    <n v="0.3"/>
    <n v="106050"/>
    <n v="137865"/>
    <n v="31815"/>
    <n v="5000"/>
    <n v="0.23076923076923078"/>
    <n v="6.3630000000000004"/>
  </r>
  <r>
    <x v="0"/>
    <x v="3"/>
    <x v="1"/>
    <n v="80"/>
    <n v="1250"/>
    <n v="1625"/>
    <n v="0.3"/>
    <n v="100000"/>
    <n v="130000"/>
    <n v="30000"/>
    <n v="5000"/>
    <n v="0.23076923076923078"/>
    <n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s v="Coco Cola"/>
    <s v="Soft Drink"/>
    <s v="Iraichi-0"/>
    <s v="IND"/>
    <s v="Bottles"/>
    <n v="250"/>
    <x v="0"/>
    <n v="23"/>
    <n v="21429"/>
    <n v="27857.7"/>
    <n v="0.3"/>
    <n v="492867"/>
    <n v="640727.1"/>
    <n v="147860.09999999998"/>
    <n v="12857.400000000001"/>
    <n v="0.23076923076923075"/>
    <n v="11.499999999999996"/>
  </r>
  <r>
    <s v="Coco Cola"/>
    <s v="Soft Drink"/>
    <s v="Iraichi-0"/>
    <s v="IND"/>
    <s v="Cans"/>
    <n v="250"/>
    <x v="1"/>
    <n v="27"/>
    <n v="9783"/>
    <n v="12717.9"/>
    <n v="0.3"/>
    <n v="264141"/>
    <n v="343383.3"/>
    <n v="79242.299999999988"/>
    <n v="25000"/>
    <n v="0.23076923076923075"/>
    <n v="3.1696919999999995"/>
  </r>
  <r>
    <s v="Coco Cola"/>
    <s v="Soft Drink"/>
    <s v="Iraichi-0"/>
    <s v="IND"/>
    <s v="Tetra Pak"/>
    <n v="250"/>
    <x v="2"/>
    <n v="23"/>
    <n v="18750"/>
    <n v="24375"/>
    <n v="0.3"/>
    <n v="431250"/>
    <n v="560625"/>
    <n v="129375"/>
    <n v="40000"/>
    <n v="0.23076923076923078"/>
    <n v="3.234375"/>
  </r>
  <r>
    <s v="Coco Cola"/>
    <s v="Soft Drink"/>
    <s v="Iraichi-0"/>
    <s v="IND"/>
    <s v="Bottles"/>
    <n v="500"/>
    <x v="3"/>
    <n v="37"/>
    <n v="7258"/>
    <n v="9435.4"/>
    <n v="0.3"/>
    <n v="268546"/>
    <n v="349109.8"/>
    <n v="80563.799999999988"/>
    <n v="10000"/>
    <n v="0.23076923076923075"/>
    <n v="8.056379999999999"/>
  </r>
  <r>
    <s v="Coco Cola"/>
    <s v="Soft Drink"/>
    <s v="Iraichi-0"/>
    <s v="IND"/>
    <s v="Cans"/>
    <n v="500"/>
    <x v="0"/>
    <n v="45"/>
    <n v="4110"/>
    <n v="5343"/>
    <n v="0.3"/>
    <n v="184950"/>
    <n v="240435"/>
    <n v="55485"/>
    <n v="20000"/>
    <n v="0.23076923076923078"/>
    <n v="2.7742499999999999"/>
  </r>
  <r>
    <s v="Coco Cola"/>
    <s v="Soft Drink"/>
    <s v="Iraichi-0"/>
    <s v="IND"/>
    <s v="Tetra Pak"/>
    <n v="500"/>
    <x v="0"/>
    <n v="40"/>
    <n v="4580"/>
    <n v="5954"/>
    <n v="0.3"/>
    <n v="183200"/>
    <n v="238160"/>
    <n v="54960"/>
    <n v="10000"/>
    <n v="0.23076923076923078"/>
    <n v="5.4960000000000004"/>
  </r>
  <r>
    <s v="Coco Cola"/>
    <s v="Soft Drink"/>
    <s v="Iraichi-0"/>
    <s v="IND"/>
    <s v="Bottles"/>
    <n v="750"/>
    <x v="1"/>
    <n v="70"/>
    <n v="1515"/>
    <n v="1969.5"/>
    <n v="0.3"/>
    <n v="106050"/>
    <n v="137865"/>
    <n v="31815"/>
    <n v="5000"/>
    <n v="0.23076923076923078"/>
    <n v="6.3630000000000004"/>
  </r>
  <r>
    <m/>
    <m/>
    <s v="Iraichi-0"/>
    <s v="IND"/>
    <s v="Bottles"/>
    <m/>
    <x v="4"/>
    <n v="80"/>
    <n v="1250"/>
    <n v="1625"/>
    <n v="0.3"/>
    <n v="100000"/>
    <n v="130000"/>
    <n v="30000"/>
    <n v="5000"/>
    <n v="0.23076923076923078"/>
    <n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s v="Eye-catching displays"/>
    <n v="0.1"/>
    <n v="12000"/>
    <n v="3000"/>
    <n v="2700"/>
    <n v="3100"/>
    <n v="2000"/>
    <n v="10800"/>
    <n v="1200"/>
    <n v="26095"/>
    <n v="0.1"/>
    <n v="28704.500000000004"/>
    <m/>
    <n v="2.6578240740740746"/>
  </r>
  <r>
    <x v="1"/>
    <s v="Price discounts"/>
    <n v="0.15"/>
    <n v="18000"/>
    <n v="4000"/>
    <n v="5000"/>
    <n v="5000"/>
    <n v="4000"/>
    <n v="18000"/>
    <n v="0"/>
    <n v="20500"/>
    <n v="0.2"/>
    <n v="24600"/>
    <m/>
    <n v="1.3666666666666667"/>
  </r>
  <r>
    <x v="2"/>
    <s v="Co-op advertising"/>
    <n v="0.05"/>
    <n v="6000"/>
    <n v="1500"/>
    <n v="1500"/>
    <n v="1500"/>
    <n v="1500"/>
    <n v="6000"/>
    <n v="0"/>
    <n v="12080"/>
    <n v="0.15"/>
    <n v="13891.999999999998"/>
    <m/>
    <n v="2.3153333333333332"/>
  </r>
  <r>
    <x v="3"/>
    <s v="In-store displays"/>
    <n v="0.15"/>
    <n v="18000"/>
    <n v="4000"/>
    <n v="4000"/>
    <n v="3000"/>
    <n v="4300"/>
    <n v="15300"/>
    <n v="2700"/>
    <n v="10000"/>
    <n v="0.05"/>
    <n v="10500"/>
    <m/>
    <n v="0.68627450980392157"/>
  </r>
  <r>
    <x v="4"/>
    <s v="Paid Ads"/>
    <n v="0.3"/>
    <n v="36000"/>
    <n v="8000"/>
    <n v="8000"/>
    <n v="7000"/>
    <n v="5800"/>
    <n v="28800"/>
    <n v="7200"/>
    <n v="4500"/>
    <n v="0.4"/>
    <n v="6300"/>
    <m/>
    <n v="0.21875"/>
  </r>
  <r>
    <x v="5"/>
    <s v="TV Ads"/>
    <n v="0.25"/>
    <n v="30000"/>
    <n v="7000"/>
    <n v="7000"/>
    <n v="6500"/>
    <n v="8000"/>
    <n v="28500"/>
    <n v="1500"/>
    <n v="4000"/>
    <n v="0.6"/>
    <n v="6400"/>
    <m/>
    <n v="0.2245614035087719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s v="Urban"/>
    <n v="14"/>
    <n v="25"/>
    <n v="23"/>
    <n v="0.08"/>
    <n v="9"/>
  </r>
  <r>
    <x v="1"/>
    <x v="0"/>
    <s v="Semi-Urban"/>
    <n v="23"/>
    <n v="30"/>
    <n v="27"/>
    <n v="0.1"/>
    <n v="4"/>
  </r>
  <r>
    <x v="2"/>
    <x v="0"/>
    <s v="Rural"/>
    <n v="16"/>
    <n v="25"/>
    <n v="23"/>
    <n v="0.08"/>
    <n v="7"/>
  </r>
  <r>
    <x v="0"/>
    <x v="1"/>
    <s v="Urban"/>
    <n v="31"/>
    <n v="40"/>
    <n v="37"/>
    <n v="0.08"/>
    <n v="6"/>
  </r>
  <r>
    <x v="1"/>
    <x v="1"/>
    <s v="Semi-Urban"/>
    <n v="36.5"/>
    <n v="50"/>
    <n v="45"/>
    <n v="0.1"/>
    <n v="8.5"/>
  </r>
  <r>
    <x v="2"/>
    <x v="1"/>
    <s v="Rural"/>
    <n v="32.75"/>
    <n v="45"/>
    <n v="40"/>
    <n v="0.11"/>
    <n v="7.25"/>
  </r>
  <r>
    <x v="0"/>
    <x v="2"/>
    <s v="Rural"/>
    <n v="49.5"/>
    <n v="75"/>
    <n v="70"/>
    <n v="7.0000000000000007E-2"/>
    <n v="20.5"/>
  </r>
  <r>
    <x v="0"/>
    <x v="3"/>
    <s v="Rural"/>
    <n v="60"/>
    <n v="90"/>
    <n v="80"/>
    <n v="0.11"/>
    <n v="2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s v="Coco Cola"/>
    <s v="Soft Drink"/>
    <s v="Iraichi-0"/>
    <s v="IND"/>
    <x v="0"/>
    <x v="0"/>
    <n v="0.2"/>
    <n v="300000"/>
    <n v="4"/>
    <n v="6"/>
    <n v="3"/>
    <n v="1"/>
    <m/>
    <n v="14"/>
    <n v="21429"/>
    <n v="300006"/>
    <n v="23"/>
    <n v="492867"/>
    <n v="192861"/>
  </r>
  <r>
    <s v="Coco Cola"/>
    <s v="Soft Drink"/>
    <s v="Iraichi-0"/>
    <s v="IND"/>
    <x v="1"/>
    <x v="0"/>
    <n v="0.15"/>
    <n v="225000"/>
    <n v="6"/>
    <n v="12"/>
    <n v="3.6"/>
    <n v="1.4"/>
    <m/>
    <n v="23"/>
    <n v="9783"/>
    <n v="225009"/>
    <n v="27"/>
    <n v="264141"/>
    <n v="39132"/>
  </r>
  <r>
    <s v="Coco Cola"/>
    <s v="Soft Drink"/>
    <s v="Iraichi-0"/>
    <s v="IND"/>
    <x v="2"/>
    <x v="0"/>
    <n v="0.2"/>
    <n v="300000"/>
    <n v="4"/>
    <n v="8"/>
    <n v="2.4"/>
    <n v="1.6"/>
    <m/>
    <n v="16"/>
    <n v="18750"/>
    <n v="300000"/>
    <n v="23"/>
    <n v="431250"/>
    <n v="131250"/>
  </r>
  <r>
    <s v="Coco Cola"/>
    <s v="Soft Drink"/>
    <s v="Iraichi-0"/>
    <s v="IND"/>
    <x v="0"/>
    <x v="1"/>
    <n v="0.15"/>
    <n v="225000"/>
    <n v="8"/>
    <n v="16"/>
    <n v="4.8"/>
    <n v="2.2000000000000002"/>
    <m/>
    <n v="31"/>
    <n v="7258"/>
    <n v="224998"/>
    <n v="37"/>
    <n v="268546"/>
    <n v="43548"/>
  </r>
  <r>
    <s v="Coco Cola"/>
    <s v="Soft Drink"/>
    <s v="Iraichi-0"/>
    <s v="IND"/>
    <x v="1"/>
    <x v="1"/>
    <n v="0.1"/>
    <n v="150000"/>
    <n v="9.375"/>
    <n v="18.75"/>
    <n v="5.625"/>
    <n v="2.75"/>
    <m/>
    <n v="36.5"/>
    <n v="4110"/>
    <n v="150015"/>
    <n v="45"/>
    <n v="184950"/>
    <n v="34935"/>
  </r>
  <r>
    <s v="Coco Cola"/>
    <s v="Soft Drink"/>
    <s v="Iraichi-0"/>
    <s v="IND"/>
    <x v="3"/>
    <x v="1"/>
    <n v="0.1"/>
    <n v="150000"/>
    <n v="8.4375"/>
    <n v="16.875"/>
    <n v="5.0625"/>
    <n v="2.375"/>
    <m/>
    <n v="32.75"/>
    <n v="4580"/>
    <n v="149995"/>
    <n v="40"/>
    <n v="183200"/>
    <n v="33205"/>
  </r>
  <r>
    <s v="Coco Cola"/>
    <s v="Soft Drink"/>
    <s v="Iraichi-0"/>
    <s v="IND"/>
    <x v="0"/>
    <x v="2"/>
    <n v="0.05"/>
    <n v="75000"/>
    <n v="13.125"/>
    <n v="26.25"/>
    <n v="7.875"/>
    <n v="2.25"/>
    <m/>
    <n v="49.5"/>
    <n v="1515"/>
    <n v="74992.5"/>
    <n v="70"/>
    <n v="106050"/>
    <n v="31057.5"/>
  </r>
  <r>
    <s v="Coco Cola"/>
    <s v="Soft Drink"/>
    <s v="Iraichi-0"/>
    <s v="IND"/>
    <x v="0"/>
    <x v="3"/>
    <n v="0.05"/>
    <n v="75000"/>
    <n v="15.75"/>
    <n v="31.5"/>
    <n v="9.4499999999999993"/>
    <n v="3.3"/>
    <m/>
    <n v="60"/>
    <n v="1250"/>
    <n v="75000"/>
    <n v="80"/>
    <n v="100000"/>
    <n v="2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1644F0-6826-43A0-AC86-F3722063C3D6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3" rowHeaderCaption="Expenses">
  <location ref="A11:C17" firstHeaderRow="0" firstDataRow="1" firstDataCol="1"/>
  <pivotFields count="8">
    <pivotField showAll="0"/>
    <pivotField showAll="0"/>
    <pivotField showAll="0"/>
    <pivotField showAll="0"/>
    <pivotField axis="axisRow" showAll="0">
      <items count="9">
        <item m="1" x="7"/>
        <item m="1" x="5"/>
        <item x="4"/>
        <item x="0"/>
        <item m="1" x="6"/>
        <item x="1"/>
        <item x="2"/>
        <item x="3"/>
        <item t="default"/>
      </items>
    </pivotField>
    <pivotField numFmtId="9" showAll="0"/>
    <pivotField dataField="1" showAll="0"/>
    <pivotField dataField="1" numFmtId="2" showAll="0"/>
  </pivotFields>
  <rowFields count="1">
    <field x="4"/>
  </rowFields>
  <rowItems count="6">
    <i>
      <x v="2"/>
    </i>
    <i>
      <x v="3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udget" fld="6" baseField="0" baseItem="0"/>
    <dataField name="Sum of Expense Cost" fld="7" baseField="0" baseItem="0" numFmtId="2"/>
  </dataFields>
  <formats count="1">
    <format dxfId="92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B66BA7-2FDD-4DCB-8D87-900FC1DA23E0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15:F20" firstHeaderRow="0" firstDataRow="1" firstDataCol="1" rowPageCount="1" colPageCount="1"/>
  <pivotFields count="19">
    <pivotField showAll="0"/>
    <pivotField showAll="0"/>
    <pivotField showAll="0"/>
    <pivotField showAll="0"/>
    <pivotField name="Packaging Types" axis="axisRow" showAll="0">
      <items count="5">
        <item x="0"/>
        <item x="1"/>
        <item x="3"/>
        <item x="2"/>
        <item t="default"/>
      </items>
    </pivotField>
    <pivotField axis="axisPage" numFmtId="49" showAll="0">
      <items count="5">
        <item x="0"/>
        <item x="1"/>
        <item x="2"/>
        <item x="3"/>
        <item t="default"/>
      </items>
    </pivotField>
    <pivotField numFmtId="10" showAll="0"/>
    <pivotField dataField="1" numFmtId="2" showAll="0"/>
    <pivotField numFmtId="2" showAll="0"/>
    <pivotField numFmtId="2" showAll="0"/>
    <pivotField numFmtId="2" showAll="0"/>
    <pivotField numFmtId="2" showAll="0"/>
    <pivotField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dataField="1" numFmtId="2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5" hier="-1"/>
  </pageFields>
  <dataFields count="5">
    <dataField name="Sum of Budget" fld="7" baseField="0" baseItem="0" numFmtId="2"/>
    <dataField name="Sum of Total Cost" fld="13" baseField="0" baseItem="0" numFmtId="2"/>
    <dataField name="Sum of Base Revenue" fld="15" baseField="0" baseItem="0" numFmtId="2"/>
    <dataField name="Sum of Actual Revenue" fld="17" baseField="0" baseItem="0" numFmtId="2"/>
    <dataField name="Sum of Profit" fld="18" baseField="0" baseItem="0" numFmtId="2"/>
  </dataFields>
  <formats count="12">
    <format dxfId="91">
      <pivotArea type="all" dataOnly="0" outline="0" fieldPosition="0"/>
    </format>
    <format dxfId="90">
      <pivotArea outline="0" collapsedLevelsAreSubtotals="1" fieldPosition="0"/>
    </format>
    <format dxfId="89">
      <pivotArea field="4" type="button" dataOnly="0" labelOnly="1" outline="0" axis="axisRow" fieldPosition="0"/>
    </format>
    <format dxfId="88">
      <pivotArea dataOnly="0" labelOnly="1" fieldPosition="0">
        <references count="1">
          <reference field="4" count="0"/>
        </references>
      </pivotArea>
    </format>
    <format dxfId="87">
      <pivotArea dataOnly="0" labelOnly="1" grandRow="1" outline="0" fieldPosition="0"/>
    </format>
    <format dxfId="8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85">
      <pivotArea type="all" dataOnly="0" outline="0" fieldPosition="0"/>
    </format>
    <format dxfId="84">
      <pivotArea outline="0" collapsedLevelsAreSubtotals="1" fieldPosition="0"/>
    </format>
    <format dxfId="83">
      <pivotArea field="4" type="button" dataOnly="0" labelOnly="1" outline="0" axis="axisRow" fieldPosition="0"/>
    </format>
    <format dxfId="82">
      <pivotArea dataOnly="0" labelOnly="1" fieldPosition="0">
        <references count="1">
          <reference field="4" count="0"/>
        </references>
      </pivotArea>
    </format>
    <format dxfId="81">
      <pivotArea dataOnly="0" labelOnly="1" grandRow="1" outline="0" fieldPosition="0"/>
    </format>
    <format dxfId="8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0DEDC2-8F75-43CA-A096-076290ADCFD1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 rowHeaderCaption="Packaging Type">
  <location ref="A17:E21" firstHeaderRow="0" firstDataRow="1" firstDataCol="1" rowPageCount="1" colPageCount="1"/>
  <pivotFields count="8">
    <pivotField axis="axisRow" showAll="0">
      <items count="4">
        <item x="0"/>
        <item x="1"/>
        <item x="2"/>
        <item t="default"/>
      </items>
    </pivotField>
    <pivotField axis="axisPage" numFmtId="2" showAll="0">
      <items count="5">
        <item x="0"/>
        <item x="1"/>
        <item x="2"/>
        <item x="3"/>
        <item t="default"/>
      </items>
    </pivotField>
    <pivotField showAll="0"/>
    <pivotField dataField="1" showAll="0"/>
    <pivotField dataField="1" showAll="0"/>
    <pivotField dataField="1" numFmtId="2" showAll="0"/>
    <pivotField numFmtId="9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" hier="-1"/>
  </pageFields>
  <dataFields count="4">
    <dataField name="Sum of Base Cost" fld="3" baseField="0" baseItem="0"/>
    <dataField name="Sum of Competitor price" fld="4" baseField="0" baseItem="0"/>
    <dataField name="Sum of Proposed Price" fld="5" baseField="0" baseItem="0" numFmtId="12"/>
    <dataField name="Sum of Profit/Loss" fld="7" baseField="0" baseItem="0"/>
  </dataFields>
  <formats count="20">
    <format dxfId="79">
      <pivotArea type="all" dataOnly="0" outline="0" fieldPosition="0"/>
    </format>
    <format dxfId="78">
      <pivotArea outline="0" collapsedLevelsAreSubtotals="1" fieldPosition="0"/>
    </format>
    <format dxfId="77">
      <pivotArea field="0" type="button" dataOnly="0" labelOnly="1" outline="0" axis="axisRow" fieldPosition="0"/>
    </format>
    <format dxfId="76">
      <pivotArea dataOnly="0" labelOnly="1" fieldPosition="0">
        <references count="1">
          <reference field="0" count="0"/>
        </references>
      </pivotArea>
    </format>
    <format dxfId="75">
      <pivotArea dataOnly="0" labelOnly="1" grandRow="1" outline="0" fieldPosition="0"/>
    </format>
    <format dxfId="7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3">
      <pivotArea type="all" dataOnly="0" outline="0" fieldPosition="0"/>
    </format>
    <format dxfId="72">
      <pivotArea outline="0" collapsedLevelsAreSubtotals="1" fieldPosition="0"/>
    </format>
    <format dxfId="71">
      <pivotArea field="0" type="button" dataOnly="0" labelOnly="1" outline="0" axis="axisRow" fieldPosition="0"/>
    </format>
    <format dxfId="70">
      <pivotArea dataOnly="0" labelOnly="1" fieldPosition="0">
        <references count="1">
          <reference field="0" count="0"/>
        </references>
      </pivotArea>
    </format>
    <format dxfId="69">
      <pivotArea dataOnly="0" labelOnly="1" grandRow="1" outline="0" fieldPosition="0"/>
    </format>
    <format dxfId="6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7">
      <pivotArea type="all" dataOnly="0" outline="0" fieldPosition="0"/>
    </format>
    <format dxfId="66">
      <pivotArea outline="0" collapsedLevelsAreSubtotals="1" fieldPosition="0"/>
    </format>
    <format dxfId="65">
      <pivotArea field="0" type="button" dataOnly="0" labelOnly="1" outline="0" axis="axisRow" fieldPosition="0"/>
    </format>
    <format dxfId="64">
      <pivotArea dataOnly="0" labelOnly="1" fieldPosition="0">
        <references count="1">
          <reference field="0" count="0"/>
        </references>
      </pivotArea>
    </format>
    <format dxfId="63">
      <pivotArea dataOnly="0" labelOnly="1" grandRow="1" outline="0" fieldPosition="0"/>
    </format>
    <format dxfId="6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60">
      <pivotArea dataOnly="0" labelOnly="1" outline="0" fieldPosition="0">
        <references count="1">
          <reference field="1" count="1">
            <x v="1"/>
          </reference>
        </references>
      </pivotArea>
    </format>
  </formats>
  <chartFormats count="4"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38403E-C55E-4E89-9DFC-E3582E3F9590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5" rowHeaderCaption="Distributor">
  <location ref="A11:E18" firstHeaderRow="0" firstDataRow="1" firstDataCol="1"/>
  <pivotFields count="15">
    <pivotField axis="axisRow" showAll="0" sortType="ascending">
      <items count="10">
        <item x="2"/>
        <item x="3"/>
        <item x="0"/>
        <item m="1" x="6"/>
        <item x="5"/>
        <item m="1" x="8"/>
        <item x="4"/>
        <item x="1"/>
        <item m="1" x="7"/>
        <item t="default"/>
      </items>
    </pivotField>
    <pivotField showAll="0"/>
    <pivotField numFmtId="9" showAll="0"/>
    <pivotField dataField="1" showAll="0"/>
    <pivotField numFmtId="2" showAll="0"/>
    <pivotField numFmtId="2" showAll="0"/>
    <pivotField numFmtId="2" showAll="0"/>
    <pivotField numFmtId="2" showAll="0"/>
    <pivotField dataField="1" showAll="0"/>
    <pivotField showAll="0"/>
    <pivotField showAll="0"/>
    <pivotField dataField="1" numFmtId="9" showAll="0"/>
    <pivotField numFmtId="2" showAll="0"/>
    <pivotField showAll="0"/>
    <pivotField dataField="1" numFmtId="10" showAll="0"/>
  </pivotFields>
  <rowFields count="1">
    <field x="0"/>
  </rowFields>
  <rowItems count="7">
    <i>
      <x/>
    </i>
    <i>
      <x v="1"/>
    </i>
    <i>
      <x v="2"/>
    </i>
    <i>
      <x v="4"/>
    </i>
    <i>
      <x v="6"/>
    </i>
    <i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llocated Funds" fld="3" baseField="0" baseItem="0"/>
    <dataField name="Utlized Funds" fld="8" baseField="0" baseItem="0"/>
    <dataField name="Sales Growths %" fld="11" baseField="0" baseItem="0" numFmtId="9"/>
    <dataField name="Sum of ROI" fld="14" baseField="0" baseItem="0" numFmtId="9"/>
  </dataFields>
  <formats count="8">
    <format dxfId="59">
      <pivotArea type="all" dataOnly="0" outline="0" fieldPosition="0"/>
    </format>
    <format dxfId="58">
      <pivotArea outline="0" collapsedLevelsAreSubtotals="1" fieldPosition="0"/>
    </format>
    <format dxfId="57">
      <pivotArea field="0" type="button" dataOnly="0" labelOnly="1" outline="0" axis="axisRow" fieldPosition="0"/>
    </format>
    <format dxfId="56">
      <pivotArea dataOnly="0" labelOnly="1" fieldPosition="0">
        <references count="1">
          <reference field="0" count="0"/>
        </references>
      </pivotArea>
    </format>
    <format dxfId="55">
      <pivotArea dataOnly="0" labelOnly="1" grandRow="1" outline="0" fieldPosition="0"/>
    </format>
    <format dxfId="5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3">
      <pivotArea dataOnly="0" labelOnly="1" fieldPosition="0">
        <references count="1">
          <reference field="0" count="0"/>
        </references>
      </pivotArea>
    </format>
    <format dxfId="52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</formats>
  <chartFormats count="4">
    <chartFormat chart="1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9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898539-3E83-41CF-92CF-E025DD8D4BC6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 rowHeaderCaption="Distributor">
  <location ref="A11:C16" firstHeaderRow="0" firstDataRow="1" firstDataCol="1"/>
  <pivotFields count="19">
    <pivotField showAll="0"/>
    <pivotField showAll="0"/>
    <pivotField showAll="0"/>
    <pivotField showAll="0"/>
    <pivotField showAll="0"/>
    <pivotField showAll="0"/>
    <pivotField axis="axisRow" showAll="0">
      <items count="6">
        <item x="3"/>
        <item x="2"/>
        <item x="0"/>
        <item x="1"/>
        <item h="1" x="4"/>
        <item t="default"/>
      </items>
    </pivotField>
    <pivotField showAll="0"/>
    <pivotField showAll="0"/>
    <pivotField showAll="0"/>
    <pivotField numFmtId="10" showAll="0"/>
    <pivotField showAll="0"/>
    <pivotField dataField="1" showAll="0"/>
    <pivotField showAll="0"/>
    <pivotField showAll="0"/>
    <pivotField numFmtId="9" showAll="0"/>
    <pivotField dataField="1" numFmtId="10" showAll="0"/>
    <pivotField dragToRow="0" dragToCol="0" dragToPage="0" showAll="0" defaultSubtotal="0"/>
    <pivotField dragToRow="0" dragToCol="0" dragToPage="0" showAll="0" defaultSubtota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ntribution in Revenue" fld="12" baseField="6" baseItem="0" numFmtId="1"/>
    <dataField name="Return of invest (ROI)" fld="16" baseField="6" baseItem="0" numFmtId="9"/>
  </dataFields>
  <formats count="20"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6" type="button" dataOnly="0" labelOnly="1" outline="0" axis="axisRow" fieldPosition="0"/>
    </format>
    <format dxfId="16">
      <pivotArea dataOnly="0" labelOnly="1" fieldPosition="0">
        <references count="1">
          <reference field="6" count="0"/>
        </references>
      </pivotArea>
    </format>
    <format dxfId="15">
      <pivotArea dataOnly="0" labelOnly="1" grandRow="1" outline="0" fieldPosition="0"/>
    </format>
    <format dxfId="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6" type="button" dataOnly="0" labelOnly="1" outline="0" axis="axisRow" fieldPosition="0"/>
    </format>
    <format dxfId="10">
      <pivotArea dataOnly="0" labelOnly="1" fieldPosition="0">
        <references count="1">
          <reference field="6" count="0"/>
        </references>
      </pivotArea>
    </format>
    <format dxfId="9">
      <pivotArea dataOnly="0" labelOnly="1" grandRow="1" outline="0" fieldPosition="0"/>
    </format>
    <format dxfId="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field="6" type="button" dataOnly="0" labelOnly="1" outline="0" axis="axisRow" fieldPosition="0"/>
    </format>
    <format dxfId="4">
      <pivotArea dataOnly="0" labelOnly="1" fieldPosition="0">
        <references count="1">
          <reference field="6" count="0"/>
        </references>
      </pivotArea>
    </format>
    <format dxfId="3">
      <pivotArea dataOnly="0" labelOnly="1" grandRow="1" outline="0" fieldPosition="0"/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8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53AEE0-C713-47ED-9F6F-50BE79D3DC5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3" rowHeaderCaption="Distributor" fieldListSortAscending="1">
  <location ref="F11:H16" firstHeaderRow="0" firstDataRow="1" firstDataCol="1"/>
  <pivotFields count="13">
    <pivotField showAll="0">
      <items count="4">
        <item x="0"/>
        <item x="1"/>
        <item x="2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axis="axisRow" showAll="0">
      <items count="5">
        <item x="3"/>
        <item x="2"/>
        <item x="0"/>
        <item x="1"/>
        <item t="default"/>
      </items>
    </pivotField>
    <pivotField showAll="0"/>
    <pivotField showAll="0"/>
    <pivotField showAll="0"/>
    <pivotField numFmtId="10" showAll="0"/>
    <pivotField showAll="0"/>
    <pivotField showAll="0"/>
    <pivotField dataField="1" showAll="0"/>
    <pivotField dataField="1" showAll="0"/>
    <pivotField numFmtId="9" showAll="0"/>
    <pivotField numFmtId="10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Promotion costs" fld="10" baseField="2" baseItem="0" numFmtId="1"/>
    <dataField name="Profits" fld="9" baseField="2" baseItem="0" numFmtId="1"/>
  </dataFields>
  <formats count="32">
    <format dxfId="51">
      <pivotArea type="all" dataOnly="0" outline="0" fieldPosition="0"/>
    </format>
    <format dxfId="50">
      <pivotArea outline="0" collapsedLevelsAreSubtotals="1" fieldPosition="0"/>
    </format>
    <format dxfId="49">
      <pivotArea field="2" type="button" dataOnly="0" labelOnly="1" outline="0" axis="axisRow" fieldPosition="0"/>
    </format>
    <format dxfId="48">
      <pivotArea dataOnly="0" labelOnly="1" fieldPosition="0">
        <references count="1">
          <reference field="2" count="0"/>
        </references>
      </pivotArea>
    </format>
    <format dxfId="47">
      <pivotArea dataOnly="0" labelOnly="1" grandRow="1" outline="0" fieldPosition="0"/>
    </format>
    <format dxfId="4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5">
      <pivotArea type="all" dataOnly="0" outline="0" fieldPosition="0"/>
    </format>
    <format dxfId="44">
      <pivotArea outline="0" collapsedLevelsAreSubtotals="1" fieldPosition="0"/>
    </format>
    <format dxfId="43">
      <pivotArea field="2" type="button" dataOnly="0" labelOnly="1" outline="0" axis="axisRow" fieldPosition="0"/>
    </format>
    <format dxfId="42">
      <pivotArea dataOnly="0" labelOnly="1" fieldPosition="0">
        <references count="1">
          <reference field="2" count="0"/>
        </references>
      </pivotArea>
    </format>
    <format dxfId="41">
      <pivotArea dataOnly="0" labelOnly="1" grandRow="1" outline="0" fieldPosition="0"/>
    </format>
    <format dxfId="4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9">
      <pivotArea type="all" dataOnly="0" outline="0" fieldPosition="0"/>
    </format>
    <format dxfId="38">
      <pivotArea outline="0" collapsedLevelsAreSubtotals="1" fieldPosition="0"/>
    </format>
    <format dxfId="37">
      <pivotArea field="2" type="button" dataOnly="0" labelOnly="1" outline="0" axis="axisRow" fieldPosition="0"/>
    </format>
    <format dxfId="36">
      <pivotArea dataOnly="0" labelOnly="1" fieldPosition="0">
        <references count="1">
          <reference field="2" count="0"/>
        </references>
      </pivotArea>
    </format>
    <format dxfId="35">
      <pivotArea dataOnly="0" labelOnly="1" grandRow="1" outline="0" fieldPosition="0"/>
    </format>
    <format dxfId="3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3">
      <pivotArea type="all" dataOnly="0" outline="0" fieldPosition="0"/>
    </format>
    <format dxfId="32">
      <pivotArea outline="0" collapsedLevelsAreSubtotals="1" fieldPosition="0"/>
    </format>
    <format dxfId="31">
      <pivotArea field="2" type="button" dataOnly="0" labelOnly="1" outline="0" axis="axisRow" fieldPosition="0"/>
    </format>
    <format dxfId="30">
      <pivotArea dataOnly="0" labelOnly="1" fieldPosition="0">
        <references count="1">
          <reference field="2" count="0"/>
        </references>
      </pivotArea>
    </format>
    <format dxfId="29">
      <pivotArea dataOnly="0" labelOnly="1" grandRow="1" outline="0" fieldPosition="0"/>
    </format>
    <format dxfId="2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7">
      <pivotArea type="all" dataOnly="0" outline="0" fieldPosition="0"/>
    </format>
    <format dxfId="26">
      <pivotArea outline="0" collapsedLevelsAreSubtotals="1" fieldPosition="0"/>
    </format>
    <format dxfId="25">
      <pivotArea field="2" type="button" dataOnly="0" labelOnly="1" outline="0" axis="axisRow" fieldPosition="0"/>
    </format>
    <format dxfId="24">
      <pivotArea dataOnly="0" labelOnly="1" fieldPosition="0">
        <references count="1">
          <reference field="2" count="0"/>
        </references>
      </pivotArea>
    </format>
    <format dxfId="23">
      <pivotArea dataOnly="0" labelOnly="1" grandRow="1" outline="0" fieldPosition="0"/>
    </format>
    <format dxfId="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7">
    <chartFormat chart="4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6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10"/>
  <sheetViews>
    <sheetView workbookViewId="0">
      <selection activeCell="A13" sqref="A13"/>
    </sheetView>
  </sheetViews>
  <sheetFormatPr defaultRowHeight="15" x14ac:dyDescent="0.25"/>
  <cols>
    <col min="1" max="1" width="124.85546875" bestFit="1" customWidth="1"/>
  </cols>
  <sheetData>
    <row r="2" spans="1:1" ht="26.25" x14ac:dyDescent="0.4">
      <c r="A2" s="1" t="s">
        <v>0</v>
      </c>
    </row>
    <row r="3" spans="1:1" ht="24" x14ac:dyDescent="0.4">
      <c r="A3" s="2" t="s">
        <v>168</v>
      </c>
    </row>
    <row r="5" spans="1:1" x14ac:dyDescent="0.25">
      <c r="A5" s="42" t="s">
        <v>91</v>
      </c>
    </row>
    <row r="6" spans="1:1" x14ac:dyDescent="0.25">
      <c r="A6" s="43" t="s">
        <v>92</v>
      </c>
    </row>
    <row r="7" spans="1:1" x14ac:dyDescent="0.25">
      <c r="A7" s="43" t="s">
        <v>93</v>
      </c>
    </row>
    <row r="8" spans="1:1" x14ac:dyDescent="0.25">
      <c r="A8" s="43" t="s">
        <v>94</v>
      </c>
    </row>
    <row r="9" spans="1:1" x14ac:dyDescent="0.25">
      <c r="A9" s="43" t="s">
        <v>95</v>
      </c>
    </row>
    <row r="10" spans="1:1" x14ac:dyDescent="0.25">
      <c r="A10" s="43" t="s">
        <v>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6C297-077D-4B59-88DA-657CFDF932E9}">
  <dimension ref="B2:I19"/>
  <sheetViews>
    <sheetView topLeftCell="Y13" zoomScaleNormal="100" workbookViewId="0">
      <selection activeCell="AR29" sqref="AR29"/>
    </sheetView>
  </sheetViews>
  <sheetFormatPr defaultRowHeight="15" x14ac:dyDescent="0.25"/>
  <cols>
    <col min="1" max="1" width="20.140625" bestFit="1" customWidth="1"/>
    <col min="2" max="2" width="23.7109375" bestFit="1" customWidth="1"/>
    <col min="3" max="3" width="23" bestFit="1" customWidth="1"/>
    <col min="9" max="9" width="27.28515625" bestFit="1" customWidth="1"/>
    <col min="11" max="11" width="20.140625" bestFit="1" customWidth="1"/>
    <col min="12" max="12" width="23.140625" bestFit="1" customWidth="1"/>
    <col min="13" max="13" width="10.7109375" bestFit="1" customWidth="1"/>
    <col min="19" max="19" width="3.140625" customWidth="1"/>
  </cols>
  <sheetData>
    <row r="2" spans="2:9" x14ac:dyDescent="0.25">
      <c r="B2" s="20"/>
      <c r="I2" s="20"/>
    </row>
    <row r="19" spans="2:9" x14ac:dyDescent="0.25">
      <c r="B19" s="20"/>
      <c r="I19" s="20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8EF63-D211-423C-A538-1C95E1F63CEB}">
  <dimension ref="A1:B20"/>
  <sheetViews>
    <sheetView workbookViewId="0">
      <selection activeCell="D16" sqref="D16"/>
    </sheetView>
  </sheetViews>
  <sheetFormatPr defaultRowHeight="15" x14ac:dyDescent="0.25"/>
  <cols>
    <col min="1" max="1" width="109.28515625" bestFit="1" customWidth="1"/>
  </cols>
  <sheetData>
    <row r="1" spans="1:1" x14ac:dyDescent="0.25">
      <c r="A1" t="s">
        <v>133</v>
      </c>
    </row>
    <row r="2" spans="1:1" x14ac:dyDescent="0.25">
      <c r="A2" t="s">
        <v>135</v>
      </c>
    </row>
    <row r="5" spans="1:1" x14ac:dyDescent="0.25">
      <c r="A5" s="87" t="s">
        <v>136</v>
      </c>
    </row>
    <row r="6" spans="1:1" x14ac:dyDescent="0.25">
      <c r="A6" t="s">
        <v>137</v>
      </c>
    </row>
    <row r="7" spans="1:1" x14ac:dyDescent="0.25">
      <c r="A7" t="s">
        <v>138</v>
      </c>
    </row>
    <row r="10" spans="1:1" x14ac:dyDescent="0.25">
      <c r="A10" s="87" t="s">
        <v>139</v>
      </c>
    </row>
    <row r="12" spans="1:1" x14ac:dyDescent="0.25">
      <c r="A12" t="s">
        <v>140</v>
      </c>
    </row>
    <row r="13" spans="1:1" x14ac:dyDescent="0.25">
      <c r="A13" t="s">
        <v>142</v>
      </c>
    </row>
    <row r="14" spans="1:1" ht="23.25" x14ac:dyDescent="0.25">
      <c r="A14" s="88" t="s">
        <v>141</v>
      </c>
    </row>
    <row r="16" spans="1:1" x14ac:dyDescent="0.25">
      <c r="A16" t="s">
        <v>143</v>
      </c>
    </row>
    <row r="18" spans="1:2" x14ac:dyDescent="0.25">
      <c r="A18" t="s">
        <v>153</v>
      </c>
    </row>
    <row r="20" spans="1:2" x14ac:dyDescent="0.25">
      <c r="A20" s="61" t="s">
        <v>165</v>
      </c>
      <c r="B20" t="s">
        <v>166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35ACB-0E22-474C-BB66-4747F8808FF8}">
  <dimension ref="A1:H10"/>
  <sheetViews>
    <sheetView tabSelected="1" workbookViewId="0">
      <selection activeCell="I16" sqref="I16"/>
    </sheetView>
  </sheetViews>
  <sheetFormatPr defaultRowHeight="15" x14ac:dyDescent="0.25"/>
  <cols>
    <col min="1" max="1" width="47.7109375" bestFit="1" customWidth="1"/>
  </cols>
  <sheetData>
    <row r="1" spans="1:8" x14ac:dyDescent="0.25">
      <c r="A1" t="s">
        <v>78</v>
      </c>
    </row>
    <row r="2" spans="1:8" x14ac:dyDescent="0.25">
      <c r="A2" t="s">
        <v>79</v>
      </c>
    </row>
    <row r="3" spans="1:8" x14ac:dyDescent="0.25">
      <c r="A3" t="s">
        <v>80</v>
      </c>
    </row>
    <row r="4" spans="1:8" x14ac:dyDescent="0.25">
      <c r="A4" t="s">
        <v>81</v>
      </c>
    </row>
    <row r="6" spans="1:8" x14ac:dyDescent="0.25">
      <c r="A6" t="s">
        <v>126</v>
      </c>
      <c r="B6" t="s">
        <v>127</v>
      </c>
      <c r="H6" t="s">
        <v>128</v>
      </c>
    </row>
    <row r="7" spans="1:8" x14ac:dyDescent="0.25">
      <c r="B7" t="s">
        <v>129</v>
      </c>
    </row>
    <row r="8" spans="1:8" x14ac:dyDescent="0.25">
      <c r="B8" t="s">
        <v>130</v>
      </c>
    </row>
    <row r="9" spans="1:8" x14ac:dyDescent="0.25">
      <c r="B9" t="s">
        <v>131</v>
      </c>
    </row>
    <row r="10" spans="1:8" x14ac:dyDescent="0.25">
      <c r="A10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94F9A-3459-48A0-8D70-908CB858868B}">
  <dimension ref="A1:H17"/>
  <sheetViews>
    <sheetView workbookViewId="0">
      <selection activeCell="K12" sqref="K12"/>
    </sheetView>
  </sheetViews>
  <sheetFormatPr defaultRowHeight="15" x14ac:dyDescent="0.25"/>
  <cols>
    <col min="1" max="1" width="18.5703125" bestFit="1" customWidth="1"/>
    <col min="2" max="2" width="14" bestFit="1" customWidth="1"/>
    <col min="3" max="3" width="19.5703125" bestFit="1" customWidth="1"/>
    <col min="4" max="4" width="20.42578125" bestFit="1" customWidth="1"/>
    <col min="5" max="5" width="18.5703125" bestFit="1" customWidth="1"/>
    <col min="6" max="6" width="11.5703125" bestFit="1" customWidth="1"/>
    <col min="7" max="7" width="10.5703125" bestFit="1" customWidth="1"/>
    <col min="8" max="8" width="16" bestFit="1" customWidth="1"/>
  </cols>
  <sheetData>
    <row r="1" spans="1:8" s="62" customFormat="1" x14ac:dyDescent="0.25">
      <c r="A1" s="61" t="s">
        <v>1</v>
      </c>
      <c r="B1" s="61" t="s">
        <v>2</v>
      </c>
      <c r="C1" s="61" t="s">
        <v>3</v>
      </c>
      <c r="D1" s="61" t="s">
        <v>4</v>
      </c>
      <c r="E1" s="61" t="s">
        <v>12</v>
      </c>
      <c r="F1" s="61" t="s">
        <v>21</v>
      </c>
      <c r="G1" s="61" t="s">
        <v>15</v>
      </c>
      <c r="H1" s="61" t="s">
        <v>97</v>
      </c>
    </row>
    <row r="2" spans="1:8" x14ac:dyDescent="0.25">
      <c r="A2" t="s">
        <v>169</v>
      </c>
      <c r="B2" t="s">
        <v>6</v>
      </c>
      <c r="C2" t="s">
        <v>7</v>
      </c>
      <c r="D2" t="s">
        <v>8</v>
      </c>
      <c r="E2" t="s">
        <v>14</v>
      </c>
      <c r="F2" s="34">
        <v>0.26500000000000001</v>
      </c>
      <c r="G2" s="7">
        <f>$F$9*F2</f>
        <v>397500</v>
      </c>
      <c r="H2" s="7">
        <f>'GL Code'!D2</f>
        <v>394224.875</v>
      </c>
    </row>
    <row r="3" spans="1:8" x14ac:dyDescent="0.25">
      <c r="A3" t="s">
        <v>169</v>
      </c>
      <c r="B3" t="s">
        <v>6</v>
      </c>
      <c r="C3" t="s">
        <v>7</v>
      </c>
      <c r="D3" t="s">
        <v>8</v>
      </c>
      <c r="E3" t="s">
        <v>98</v>
      </c>
      <c r="F3" s="34">
        <v>0.5</v>
      </c>
      <c r="G3" s="7">
        <f>$F$9*F3</f>
        <v>750000</v>
      </c>
      <c r="H3" s="7">
        <f>'GL Code'!D3</f>
        <v>745591.75</v>
      </c>
    </row>
    <row r="4" spans="1:8" x14ac:dyDescent="0.25">
      <c r="A4" s="112" t="s">
        <v>169</v>
      </c>
      <c r="B4" s="112" t="s">
        <v>6</v>
      </c>
      <c r="C4" s="112" t="s">
        <v>156</v>
      </c>
      <c r="D4" s="112" t="s">
        <v>8</v>
      </c>
      <c r="E4" s="112" t="s">
        <v>151</v>
      </c>
      <c r="F4" s="113">
        <f>F2+F3</f>
        <v>0.76500000000000001</v>
      </c>
      <c r="G4" s="114">
        <f>G3+G2</f>
        <v>1147500</v>
      </c>
      <c r="H4" s="114">
        <f>H3+H2</f>
        <v>1139816.625</v>
      </c>
    </row>
    <row r="5" spans="1:8" x14ac:dyDescent="0.25">
      <c r="A5" t="s">
        <v>169</v>
      </c>
      <c r="B5" t="s">
        <v>6</v>
      </c>
      <c r="C5" t="s">
        <v>7</v>
      </c>
      <c r="D5" t="s">
        <v>8</v>
      </c>
      <c r="E5" t="s">
        <v>99</v>
      </c>
      <c r="F5" s="34">
        <v>0.14499999999999999</v>
      </c>
      <c r="G5" s="7">
        <f>$F$9*F5</f>
        <v>217499.99999999997</v>
      </c>
      <c r="H5" s="7">
        <f>'GL Code'!D4</f>
        <v>210640.76250000001</v>
      </c>
    </row>
    <row r="6" spans="1:8" x14ac:dyDescent="0.25">
      <c r="A6" t="s">
        <v>169</v>
      </c>
      <c r="B6" t="s">
        <v>6</v>
      </c>
      <c r="C6" t="s">
        <v>7</v>
      </c>
      <c r="D6" t="s">
        <v>8</v>
      </c>
      <c r="E6" t="s">
        <v>100</v>
      </c>
      <c r="F6" s="34">
        <v>0.08</v>
      </c>
      <c r="G6" s="7">
        <f>$F$9*F6</f>
        <v>120000</v>
      </c>
      <c r="H6" s="7">
        <f>'GL Code'!D5</f>
        <v>110806.55</v>
      </c>
    </row>
    <row r="7" spans="1:8" x14ac:dyDescent="0.25">
      <c r="A7" t="s">
        <v>169</v>
      </c>
      <c r="B7" t="s">
        <v>6</v>
      </c>
      <c r="C7" t="s">
        <v>7</v>
      </c>
      <c r="D7" t="s">
        <v>8</v>
      </c>
      <c r="E7" t="s">
        <v>13</v>
      </c>
      <c r="F7" s="34">
        <v>0.01</v>
      </c>
      <c r="G7" s="7">
        <f>$F$9*F7</f>
        <v>15000</v>
      </c>
      <c r="H7" s="7">
        <f>'GL Code'!D6</f>
        <v>0</v>
      </c>
    </row>
    <row r="8" spans="1:8" x14ac:dyDescent="0.25">
      <c r="F8" s="7"/>
      <c r="G8" s="7"/>
      <c r="H8" s="7"/>
    </row>
    <row r="9" spans="1:8" x14ac:dyDescent="0.25">
      <c r="A9" s="89"/>
      <c r="B9" s="89"/>
      <c r="C9" s="89"/>
      <c r="D9" s="89"/>
      <c r="E9" s="89" t="s">
        <v>16</v>
      </c>
      <c r="F9" s="90">
        <f>1500000</f>
        <v>1500000</v>
      </c>
      <c r="G9" s="90">
        <f>SUM(G2:G7)-G4</f>
        <v>1500000</v>
      </c>
      <c r="H9" s="90">
        <f>SUM(H2:H7)-H4</f>
        <v>1461263.9375</v>
      </c>
    </row>
    <row r="11" spans="1:8" x14ac:dyDescent="0.25">
      <c r="A11" s="18" t="s">
        <v>12</v>
      </c>
      <c r="B11" t="s">
        <v>64</v>
      </c>
      <c r="C11" t="s">
        <v>124</v>
      </c>
    </row>
    <row r="12" spans="1:8" x14ac:dyDescent="0.25">
      <c r="A12" s="19" t="s">
        <v>13</v>
      </c>
      <c r="B12" s="46">
        <v>15000</v>
      </c>
      <c r="C12" s="46">
        <v>0</v>
      </c>
    </row>
    <row r="13" spans="1:8" x14ac:dyDescent="0.25">
      <c r="A13" s="19" t="s">
        <v>14</v>
      </c>
      <c r="B13" s="46">
        <v>397500</v>
      </c>
      <c r="C13" s="46">
        <v>394224.875</v>
      </c>
    </row>
    <row r="14" spans="1:8" x14ac:dyDescent="0.25">
      <c r="A14" s="19" t="s">
        <v>98</v>
      </c>
      <c r="B14" s="46">
        <v>750000</v>
      </c>
      <c r="C14" s="46">
        <v>745591.75</v>
      </c>
    </row>
    <row r="15" spans="1:8" x14ac:dyDescent="0.25">
      <c r="A15" s="19" t="s">
        <v>99</v>
      </c>
      <c r="B15" s="46">
        <v>217499.99999999997</v>
      </c>
      <c r="C15" s="46">
        <v>210640.76250000001</v>
      </c>
    </row>
    <row r="16" spans="1:8" x14ac:dyDescent="0.25">
      <c r="A16" s="19" t="s">
        <v>100</v>
      </c>
      <c r="B16" s="46">
        <v>120000</v>
      </c>
      <c r="C16" s="46">
        <v>110806.55</v>
      </c>
    </row>
    <row r="17" spans="1:3" x14ac:dyDescent="0.25">
      <c r="A17" s="19" t="s">
        <v>16</v>
      </c>
      <c r="B17" s="46">
        <v>1500000</v>
      </c>
      <c r="C17" s="46">
        <v>1461263.9375</v>
      </c>
    </row>
  </sheetData>
  <autoFilter ref="A1:S1" xr:uid="{9CB94F9A-3459-48A0-8D70-908CB858868B}"/>
  <phoneticPr fontId="3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6EC21-1872-4F3A-AAFC-61C31E7EB8FE}">
  <sheetPr>
    <tabColor rgb="FFFF0000"/>
  </sheetPr>
  <dimension ref="A1:F6"/>
  <sheetViews>
    <sheetView workbookViewId="0">
      <selection activeCell="C11" sqref="C11"/>
    </sheetView>
  </sheetViews>
  <sheetFormatPr defaultRowHeight="17.25" customHeight="1" x14ac:dyDescent="0.25"/>
  <cols>
    <col min="1" max="1" width="22.42578125" bestFit="1" customWidth="1"/>
    <col min="2" max="2" width="18.5703125" bestFit="1" customWidth="1"/>
    <col min="3" max="3" width="22.42578125" bestFit="1" customWidth="1"/>
    <col min="4" max="4" width="18.5703125" hidden="1" customWidth="1"/>
    <col min="5" max="5" width="16.85546875" bestFit="1" customWidth="1"/>
    <col min="6" max="6" width="22.5703125" bestFit="1" customWidth="1"/>
    <col min="7" max="7" width="18.5703125" bestFit="1" customWidth="1"/>
    <col min="8" max="8" width="7.140625" bestFit="1" customWidth="1"/>
    <col min="9" max="9" width="11.28515625" bestFit="1" customWidth="1"/>
  </cols>
  <sheetData>
    <row r="1" spans="1:6" ht="17.25" customHeight="1" x14ac:dyDescent="0.25">
      <c r="A1" s="118" t="s">
        <v>157</v>
      </c>
      <c r="B1" s="118" t="s">
        <v>161</v>
      </c>
      <c r="C1" s="115" t="s">
        <v>21</v>
      </c>
      <c r="D1" t="s">
        <v>164</v>
      </c>
      <c r="E1" s="115" t="s">
        <v>162</v>
      </c>
      <c r="F1" s="115" t="s">
        <v>163</v>
      </c>
    </row>
    <row r="2" spans="1:6" ht="17.25" customHeight="1" x14ac:dyDescent="0.25">
      <c r="A2" s="39" t="s">
        <v>158</v>
      </c>
      <c r="B2" s="39" t="s">
        <v>151</v>
      </c>
      <c r="C2" s="116">
        <f>'Value Chain'!F4</f>
        <v>0.76500000000000001</v>
      </c>
      <c r="D2" s="116"/>
      <c r="E2" s="123">
        <f>'Value Chain'!G4</f>
        <v>1147500</v>
      </c>
      <c r="F2" s="117">
        <f>'Value Chain'!H4</f>
        <v>1139816.625</v>
      </c>
    </row>
    <row r="3" spans="1:6" ht="17.25" customHeight="1" x14ac:dyDescent="0.25">
      <c r="A3" s="39" t="s">
        <v>159</v>
      </c>
      <c r="B3" s="39" t="s">
        <v>99</v>
      </c>
      <c r="C3" s="116">
        <f>'Value Chain'!F5</f>
        <v>0.14499999999999999</v>
      </c>
      <c r="D3" s="116">
        <f>C3</f>
        <v>0.14499999999999999</v>
      </c>
      <c r="E3" s="123">
        <f>'Value Chain'!G5</f>
        <v>217499.99999999997</v>
      </c>
      <c r="F3" s="117">
        <f>'Value Chain'!H5</f>
        <v>210640.76250000001</v>
      </c>
    </row>
    <row r="4" spans="1:6" ht="17.25" customHeight="1" x14ac:dyDescent="0.25">
      <c r="A4" s="39" t="s">
        <v>160</v>
      </c>
      <c r="B4" s="39" t="s">
        <v>100</v>
      </c>
      <c r="C4" s="116">
        <f>'Value Chain'!F6</f>
        <v>0.08</v>
      </c>
      <c r="D4" s="116">
        <f>C4</f>
        <v>0.08</v>
      </c>
      <c r="E4" s="123">
        <f>'Value Chain'!G6</f>
        <v>120000</v>
      </c>
      <c r="F4" s="117">
        <f>'Value Chain'!H6</f>
        <v>110806.55</v>
      </c>
    </row>
    <row r="5" spans="1:6" ht="17.25" customHeight="1" x14ac:dyDescent="0.25">
      <c r="A5" s="39" t="s">
        <v>160</v>
      </c>
      <c r="B5" s="39" t="s">
        <v>13</v>
      </c>
      <c r="C5" s="116">
        <f>'Value Chain'!F7</f>
        <v>0.01</v>
      </c>
      <c r="D5" s="116">
        <f>C5</f>
        <v>0.01</v>
      </c>
      <c r="E5" s="123">
        <f>'Value Chain'!G7</f>
        <v>15000</v>
      </c>
      <c r="F5" s="117">
        <f>'Value Chain'!H7</f>
        <v>0</v>
      </c>
    </row>
    <row r="6" spans="1:6" ht="17.25" customHeight="1" x14ac:dyDescent="0.25">
      <c r="A6" s="119"/>
      <c r="B6" s="120" t="s">
        <v>16</v>
      </c>
      <c r="C6" s="122">
        <f>SUM(C2:C5)</f>
        <v>1</v>
      </c>
      <c r="D6" s="122">
        <f>SUM(D2:D5)</f>
        <v>0.23499999999999999</v>
      </c>
      <c r="E6" s="121">
        <f>SUM(E2:E5)</f>
        <v>1500000</v>
      </c>
      <c r="F6" s="121">
        <f>SUM(F2:F5)-F2</f>
        <v>321447.3125</v>
      </c>
    </row>
  </sheetData>
  <autoFilter ref="A1:F1" xr:uid="{F606EC21-1872-4F3A-AAFC-61C31E7EB8F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0CF4C-D865-431B-B836-D62C4CA0C6B8}">
  <dimension ref="A1:T21"/>
  <sheetViews>
    <sheetView workbookViewId="0">
      <selection activeCell="I17" sqref="I17"/>
    </sheetView>
  </sheetViews>
  <sheetFormatPr defaultRowHeight="15" x14ac:dyDescent="0.25"/>
  <cols>
    <col min="1" max="1" width="15.42578125" bestFit="1" customWidth="1"/>
    <col min="2" max="2" width="14" bestFit="1" customWidth="1"/>
    <col min="3" max="3" width="16.42578125" bestFit="1" customWidth="1"/>
    <col min="4" max="4" width="20.28515625" bestFit="1" customWidth="1"/>
    <col min="5" max="5" width="21.85546875" bestFit="1" customWidth="1"/>
    <col min="6" max="6" width="17.7109375" bestFit="1" customWidth="1"/>
    <col min="7" max="7" width="11.5703125" bestFit="1" customWidth="1"/>
    <col min="8" max="8" width="10.5703125" bestFit="1" customWidth="1"/>
    <col min="9" max="9" width="19.5703125" bestFit="1" customWidth="1"/>
    <col min="10" max="10" width="20.85546875" bestFit="1" customWidth="1"/>
    <col min="11" max="11" width="21.28515625" bestFit="1" customWidth="1"/>
    <col min="12" max="12" width="19.28515625" bestFit="1" customWidth="1"/>
    <col min="13" max="13" width="13.5703125" bestFit="1" customWidth="1"/>
    <col min="14" max="14" width="12" bestFit="1" customWidth="1"/>
    <col min="15" max="15" width="11" bestFit="1" customWidth="1"/>
    <col min="16" max="16" width="15.85546875" bestFit="1" customWidth="1"/>
    <col min="17" max="17" width="14.5703125" bestFit="1" customWidth="1"/>
    <col min="18" max="18" width="17.28515625" bestFit="1" customWidth="1"/>
    <col min="19" max="19" width="9.5703125" bestFit="1" customWidth="1"/>
    <col min="20" max="20" width="13.28515625" bestFit="1" customWidth="1"/>
  </cols>
  <sheetData>
    <row r="1" spans="1:20" s="61" customFormat="1" x14ac:dyDescent="0.25">
      <c r="A1" s="63" t="s">
        <v>1</v>
      </c>
      <c r="B1" s="63" t="s">
        <v>2</v>
      </c>
      <c r="C1" s="63" t="s">
        <v>3</v>
      </c>
      <c r="D1" s="63" t="s">
        <v>4</v>
      </c>
      <c r="E1" s="61" t="s">
        <v>5</v>
      </c>
      <c r="F1" s="61" t="s">
        <v>101</v>
      </c>
      <c r="G1" s="63" t="s">
        <v>21</v>
      </c>
      <c r="H1" s="63" t="s">
        <v>15</v>
      </c>
      <c r="I1" s="63" t="s">
        <v>14</v>
      </c>
      <c r="J1" s="63" t="s">
        <v>98</v>
      </c>
      <c r="K1" s="63" t="s">
        <v>102</v>
      </c>
      <c r="L1" s="63" t="s">
        <v>103</v>
      </c>
      <c r="M1" s="63" t="s">
        <v>13</v>
      </c>
      <c r="N1" s="63" t="s">
        <v>74</v>
      </c>
      <c r="O1" s="63" t="s">
        <v>17</v>
      </c>
      <c r="P1" s="63" t="s">
        <v>65</v>
      </c>
      <c r="Q1" s="63" t="s">
        <v>19</v>
      </c>
      <c r="R1" s="63" t="s">
        <v>18</v>
      </c>
      <c r="S1" s="63" t="s">
        <v>20</v>
      </c>
      <c r="T1" s="61" t="s">
        <v>152</v>
      </c>
    </row>
    <row r="2" spans="1:20" x14ac:dyDescent="0.25">
      <c r="A2" s="53" t="s">
        <v>169</v>
      </c>
      <c r="B2" s="53" t="s">
        <v>6</v>
      </c>
      <c r="C2" s="53" t="s">
        <v>7</v>
      </c>
      <c r="D2" s="53" t="s">
        <v>8</v>
      </c>
      <c r="E2" s="53" t="s">
        <v>9</v>
      </c>
      <c r="F2" s="53">
        <v>250</v>
      </c>
      <c r="G2" s="11">
        <v>0.2</v>
      </c>
      <c r="H2" s="40">
        <f t="shared" ref="H2:H9" si="0">$G$11*G2</f>
        <v>300000</v>
      </c>
      <c r="I2" s="47">
        <v>4</v>
      </c>
      <c r="J2" s="47">
        <v>6</v>
      </c>
      <c r="K2" s="47">
        <v>3</v>
      </c>
      <c r="L2" s="47">
        <v>1</v>
      </c>
      <c r="M2" s="40"/>
      <c r="N2" s="40">
        <f t="shared" ref="N2:N9" si="1">SUM(I2:L2)</f>
        <v>14</v>
      </c>
      <c r="O2" s="40">
        <f t="shared" ref="O2:O9" si="2">ROUND(H2/N2,0)</f>
        <v>21429</v>
      </c>
      <c r="P2" s="40">
        <f t="shared" ref="P2:P9" si="3">N2*O2</f>
        <v>300006</v>
      </c>
      <c r="Q2" s="48">
        <f>'Pricing Arch'!F2</f>
        <v>23</v>
      </c>
      <c r="R2" s="40">
        <f t="shared" ref="R2:R9" si="4">O2*Q2</f>
        <v>492867</v>
      </c>
      <c r="S2" s="40">
        <f t="shared" ref="S2:S9" si="5">R2-P2</f>
        <v>192861</v>
      </c>
      <c r="T2" s="34">
        <f>(R2-P2)/P2</f>
        <v>0.6428571428571429</v>
      </c>
    </row>
    <row r="3" spans="1:20" x14ac:dyDescent="0.25">
      <c r="A3" s="53" t="s">
        <v>169</v>
      </c>
      <c r="B3" s="53" t="s">
        <v>6</v>
      </c>
      <c r="C3" s="53" t="s">
        <v>7</v>
      </c>
      <c r="D3" s="53" t="s">
        <v>8</v>
      </c>
      <c r="E3" s="53" t="s">
        <v>10</v>
      </c>
      <c r="F3" s="53">
        <v>250</v>
      </c>
      <c r="G3" s="11">
        <v>0.15</v>
      </c>
      <c r="H3" s="40">
        <f t="shared" si="0"/>
        <v>225000</v>
      </c>
      <c r="I3" s="47">
        <v>6</v>
      </c>
      <c r="J3" s="47">
        <v>12</v>
      </c>
      <c r="K3" s="47">
        <v>3.6</v>
      </c>
      <c r="L3" s="47">
        <v>1.4</v>
      </c>
      <c r="M3" s="40"/>
      <c r="N3" s="40">
        <f t="shared" si="1"/>
        <v>23</v>
      </c>
      <c r="O3" s="40">
        <f t="shared" si="2"/>
        <v>9783</v>
      </c>
      <c r="P3" s="40">
        <f t="shared" si="3"/>
        <v>225009</v>
      </c>
      <c r="Q3" s="48">
        <f>'Pricing Arch'!F3</f>
        <v>27</v>
      </c>
      <c r="R3" s="40">
        <f t="shared" si="4"/>
        <v>264141</v>
      </c>
      <c r="S3" s="40">
        <f t="shared" si="5"/>
        <v>39132</v>
      </c>
      <c r="T3" s="34">
        <f t="shared" ref="T3:T9" si="6">(R3-P3)/P3</f>
        <v>0.17391304347826086</v>
      </c>
    </row>
    <row r="4" spans="1:20" x14ac:dyDescent="0.25">
      <c r="A4" s="53" t="s">
        <v>169</v>
      </c>
      <c r="B4" s="53" t="s">
        <v>6</v>
      </c>
      <c r="C4" s="53" t="s">
        <v>7</v>
      </c>
      <c r="D4" s="53" t="s">
        <v>8</v>
      </c>
      <c r="E4" s="53" t="s">
        <v>134</v>
      </c>
      <c r="F4" s="53">
        <v>250</v>
      </c>
      <c r="G4" s="11">
        <v>0.2</v>
      </c>
      <c r="H4" s="40">
        <f t="shared" si="0"/>
        <v>300000</v>
      </c>
      <c r="I4" s="47">
        <v>4</v>
      </c>
      <c r="J4" s="47">
        <v>8</v>
      </c>
      <c r="K4" s="47">
        <v>2.4</v>
      </c>
      <c r="L4" s="47">
        <v>1.6</v>
      </c>
      <c r="M4" s="40"/>
      <c r="N4" s="40">
        <f t="shared" si="1"/>
        <v>16</v>
      </c>
      <c r="O4" s="40">
        <f t="shared" si="2"/>
        <v>18750</v>
      </c>
      <c r="P4" s="40">
        <f t="shared" si="3"/>
        <v>300000</v>
      </c>
      <c r="Q4" s="48">
        <f>'Pricing Arch'!F4</f>
        <v>23</v>
      </c>
      <c r="R4" s="40">
        <f t="shared" si="4"/>
        <v>431250</v>
      </c>
      <c r="S4" s="40">
        <f t="shared" si="5"/>
        <v>131250</v>
      </c>
      <c r="T4" s="34">
        <f t="shared" si="6"/>
        <v>0.4375</v>
      </c>
    </row>
    <row r="5" spans="1:20" x14ac:dyDescent="0.25">
      <c r="A5" s="53" t="s">
        <v>169</v>
      </c>
      <c r="B5" s="53" t="s">
        <v>6</v>
      </c>
      <c r="C5" s="53" t="s">
        <v>7</v>
      </c>
      <c r="D5" s="53" t="s">
        <v>8</v>
      </c>
      <c r="E5" s="53" t="s">
        <v>9</v>
      </c>
      <c r="F5" s="53">
        <v>500</v>
      </c>
      <c r="G5" s="11">
        <v>0.15</v>
      </c>
      <c r="H5" s="40">
        <f t="shared" si="0"/>
        <v>225000</v>
      </c>
      <c r="I5" s="47">
        <v>8</v>
      </c>
      <c r="J5" s="47">
        <v>16</v>
      </c>
      <c r="K5" s="47">
        <v>4.8</v>
      </c>
      <c r="L5" s="47">
        <v>2.2000000000000002</v>
      </c>
      <c r="M5" s="40"/>
      <c r="N5" s="40">
        <f t="shared" si="1"/>
        <v>31</v>
      </c>
      <c r="O5" s="40">
        <f t="shared" si="2"/>
        <v>7258</v>
      </c>
      <c r="P5" s="40">
        <f t="shared" si="3"/>
        <v>224998</v>
      </c>
      <c r="Q5" s="48">
        <f>'Pricing Arch'!F5</f>
        <v>37</v>
      </c>
      <c r="R5" s="40">
        <f t="shared" si="4"/>
        <v>268546</v>
      </c>
      <c r="S5" s="40">
        <f t="shared" si="5"/>
        <v>43548</v>
      </c>
      <c r="T5" s="34">
        <f t="shared" si="6"/>
        <v>0.19354838709677419</v>
      </c>
    </row>
    <row r="6" spans="1:20" x14ac:dyDescent="0.25">
      <c r="A6" s="53" t="s">
        <v>169</v>
      </c>
      <c r="B6" s="53" t="s">
        <v>6</v>
      </c>
      <c r="C6" s="53" t="s">
        <v>7</v>
      </c>
      <c r="D6" s="53" t="s">
        <v>8</v>
      </c>
      <c r="E6" s="53" t="s">
        <v>10</v>
      </c>
      <c r="F6" s="53">
        <v>500</v>
      </c>
      <c r="G6" s="11">
        <v>0.1</v>
      </c>
      <c r="H6" s="40">
        <f t="shared" si="0"/>
        <v>150000</v>
      </c>
      <c r="I6" s="47">
        <v>9.375</v>
      </c>
      <c r="J6" s="47">
        <v>18.75</v>
      </c>
      <c r="K6" s="47">
        <v>5.625</v>
      </c>
      <c r="L6" s="47">
        <v>2.75</v>
      </c>
      <c r="M6" s="40"/>
      <c r="N6" s="40">
        <f t="shared" si="1"/>
        <v>36.5</v>
      </c>
      <c r="O6" s="40">
        <f t="shared" si="2"/>
        <v>4110</v>
      </c>
      <c r="P6" s="40">
        <f t="shared" si="3"/>
        <v>150015</v>
      </c>
      <c r="Q6" s="48">
        <f>'Pricing Arch'!F6</f>
        <v>45</v>
      </c>
      <c r="R6" s="40">
        <f t="shared" si="4"/>
        <v>184950</v>
      </c>
      <c r="S6" s="40">
        <f t="shared" si="5"/>
        <v>34935</v>
      </c>
      <c r="T6" s="34">
        <f t="shared" si="6"/>
        <v>0.23287671232876711</v>
      </c>
    </row>
    <row r="7" spans="1:20" x14ac:dyDescent="0.25">
      <c r="A7" s="53" t="s">
        <v>169</v>
      </c>
      <c r="B7" s="53" t="s">
        <v>6</v>
      </c>
      <c r="C7" s="53" t="s">
        <v>7</v>
      </c>
      <c r="D7" s="53" t="s">
        <v>8</v>
      </c>
      <c r="E7" s="53" t="s">
        <v>11</v>
      </c>
      <c r="F7" s="53">
        <v>500</v>
      </c>
      <c r="G7" s="11">
        <v>0.1</v>
      </c>
      <c r="H7" s="40">
        <f t="shared" si="0"/>
        <v>150000</v>
      </c>
      <c r="I7" s="47">
        <v>8.4375</v>
      </c>
      <c r="J7" s="47">
        <v>16.875</v>
      </c>
      <c r="K7" s="47">
        <v>5.0625</v>
      </c>
      <c r="L7" s="47">
        <v>2.375</v>
      </c>
      <c r="M7" s="40"/>
      <c r="N7" s="40">
        <f t="shared" si="1"/>
        <v>32.75</v>
      </c>
      <c r="O7" s="40">
        <f t="shared" si="2"/>
        <v>4580</v>
      </c>
      <c r="P7" s="40">
        <f t="shared" si="3"/>
        <v>149995</v>
      </c>
      <c r="Q7" s="48">
        <f>'Pricing Arch'!F7</f>
        <v>40</v>
      </c>
      <c r="R7" s="40">
        <f t="shared" si="4"/>
        <v>183200</v>
      </c>
      <c r="S7" s="40">
        <f t="shared" si="5"/>
        <v>33205</v>
      </c>
      <c r="T7" s="34">
        <f t="shared" si="6"/>
        <v>0.22137404580152673</v>
      </c>
    </row>
    <row r="8" spans="1:20" x14ac:dyDescent="0.25">
      <c r="A8" s="53" t="s">
        <v>169</v>
      </c>
      <c r="B8" s="53" t="s">
        <v>6</v>
      </c>
      <c r="C8" s="53" t="s">
        <v>7</v>
      </c>
      <c r="D8" s="53" t="s">
        <v>8</v>
      </c>
      <c r="E8" s="53" t="s">
        <v>9</v>
      </c>
      <c r="F8" s="53">
        <v>750</v>
      </c>
      <c r="G8" s="11">
        <v>0.05</v>
      </c>
      <c r="H8" s="40">
        <f t="shared" si="0"/>
        <v>75000</v>
      </c>
      <c r="I8" s="47">
        <v>13.125</v>
      </c>
      <c r="J8" s="47">
        <v>26.25</v>
      </c>
      <c r="K8" s="47">
        <v>7.875</v>
      </c>
      <c r="L8" s="47">
        <v>2.25</v>
      </c>
      <c r="M8" s="40"/>
      <c r="N8" s="40">
        <f t="shared" si="1"/>
        <v>49.5</v>
      </c>
      <c r="O8" s="40">
        <f t="shared" si="2"/>
        <v>1515</v>
      </c>
      <c r="P8" s="40">
        <f t="shared" si="3"/>
        <v>74992.5</v>
      </c>
      <c r="Q8" s="48">
        <f>'Pricing Arch'!F8</f>
        <v>70</v>
      </c>
      <c r="R8" s="40">
        <f t="shared" si="4"/>
        <v>106050</v>
      </c>
      <c r="S8" s="40">
        <f t="shared" si="5"/>
        <v>31057.5</v>
      </c>
      <c r="T8" s="34">
        <f t="shared" si="6"/>
        <v>0.41414141414141414</v>
      </c>
    </row>
    <row r="9" spans="1:20" x14ac:dyDescent="0.25">
      <c r="A9" s="53" t="s">
        <v>169</v>
      </c>
      <c r="B9" s="53" t="s">
        <v>6</v>
      </c>
      <c r="C9" s="53" t="s">
        <v>7</v>
      </c>
      <c r="D9" s="53" t="s">
        <v>8</v>
      </c>
      <c r="E9" s="53" t="s">
        <v>9</v>
      </c>
      <c r="F9" s="53">
        <v>1000</v>
      </c>
      <c r="G9" s="11">
        <v>0.05</v>
      </c>
      <c r="H9" s="40">
        <f t="shared" si="0"/>
        <v>75000</v>
      </c>
      <c r="I9" s="47">
        <v>15.75</v>
      </c>
      <c r="J9" s="47">
        <v>31.5</v>
      </c>
      <c r="K9" s="47">
        <v>9.4499999999999993</v>
      </c>
      <c r="L9" s="47">
        <v>3.3</v>
      </c>
      <c r="M9" s="40"/>
      <c r="N9" s="40">
        <f t="shared" si="1"/>
        <v>60</v>
      </c>
      <c r="O9" s="40">
        <f t="shared" si="2"/>
        <v>1250</v>
      </c>
      <c r="P9" s="40">
        <f t="shared" si="3"/>
        <v>75000</v>
      </c>
      <c r="Q9" s="48">
        <f>'Pricing Arch'!F9</f>
        <v>80</v>
      </c>
      <c r="R9" s="40">
        <f t="shared" si="4"/>
        <v>100000</v>
      </c>
      <c r="S9" s="40">
        <f t="shared" si="5"/>
        <v>25000</v>
      </c>
      <c r="T9" s="34">
        <f t="shared" si="6"/>
        <v>0.33333333333333331</v>
      </c>
    </row>
    <row r="10" spans="1:20" x14ac:dyDescent="0.25"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spans="1:20" s="9" customFormat="1" x14ac:dyDescent="0.25">
      <c r="F11" s="3" t="s">
        <v>16</v>
      </c>
      <c r="G11" s="49">
        <v>1500000</v>
      </c>
      <c r="H11" s="49">
        <f>SUM(H2:H9)</f>
        <v>1500000</v>
      </c>
      <c r="I11" s="50">
        <f>I2*O2+I3*O3+I4*O4+I5*O5+I6*O6+I7*O7+I8*O8+I9*O9</f>
        <v>394224.875</v>
      </c>
      <c r="J11" s="51">
        <f>J2*O2+J3*O3+J4*O4+J5*O5+J6*O6+J7*O7+J8*O8+J9*O9</f>
        <v>745591.75</v>
      </c>
      <c r="K11" s="52">
        <v>210640.76250000001</v>
      </c>
      <c r="L11" s="51">
        <f>L2*O2+L3*O3+L4*O4+L5*O5+L6*O6+L7*O7+L8*O8+L9*O9</f>
        <v>110806.55</v>
      </c>
      <c r="M11" s="49"/>
      <c r="N11" s="49"/>
      <c r="O11" s="49"/>
      <c r="P11" s="52">
        <f>SUM(P2:P9)</f>
        <v>1500015.5</v>
      </c>
      <c r="Q11" s="49"/>
      <c r="R11" s="52">
        <f>SUM(R2:R9)</f>
        <v>2031004</v>
      </c>
      <c r="S11" s="52">
        <f>SUM(S2:S9)</f>
        <v>530988.5</v>
      </c>
    </row>
    <row r="13" spans="1:20" x14ac:dyDescent="0.25">
      <c r="A13" s="105" t="s">
        <v>101</v>
      </c>
      <c r="B13" s="105" t="s">
        <v>149</v>
      </c>
      <c r="C13" s="105"/>
      <c r="D13" s="105"/>
      <c r="E13" s="105"/>
      <c r="F13" s="105"/>
    </row>
    <row r="14" spans="1:20" x14ac:dyDescent="0.25">
      <c r="A14" s="105"/>
      <c r="B14" s="105"/>
      <c r="C14" s="105"/>
      <c r="D14" s="105"/>
      <c r="E14" s="105"/>
      <c r="F14" s="105"/>
    </row>
    <row r="15" spans="1:20" x14ac:dyDescent="0.25">
      <c r="A15" s="105" t="s">
        <v>148</v>
      </c>
      <c r="B15" s="105" t="s">
        <v>64</v>
      </c>
      <c r="C15" s="105" t="s">
        <v>144</v>
      </c>
      <c r="D15" s="105" t="s">
        <v>145</v>
      </c>
      <c r="E15" s="105" t="s">
        <v>146</v>
      </c>
      <c r="F15" s="105" t="s">
        <v>147</v>
      </c>
    </row>
    <row r="16" spans="1:20" x14ac:dyDescent="0.25">
      <c r="A16" s="106" t="s">
        <v>9</v>
      </c>
      <c r="B16" s="107">
        <v>675000</v>
      </c>
      <c r="C16" s="107">
        <v>154.5</v>
      </c>
      <c r="D16" s="107">
        <v>674996.5</v>
      </c>
      <c r="E16" s="107">
        <v>967463</v>
      </c>
      <c r="F16" s="107">
        <v>292466.5</v>
      </c>
      <c r="H16" s="4"/>
    </row>
    <row r="17" spans="1:8" x14ac:dyDescent="0.25">
      <c r="A17" s="106" t="s">
        <v>10</v>
      </c>
      <c r="B17" s="107">
        <v>375000</v>
      </c>
      <c r="C17" s="107">
        <v>59.5</v>
      </c>
      <c r="D17" s="107">
        <v>375024</v>
      </c>
      <c r="E17" s="107">
        <v>449091</v>
      </c>
      <c r="F17" s="107">
        <v>74067</v>
      </c>
      <c r="H17" s="4"/>
    </row>
    <row r="18" spans="1:8" x14ac:dyDescent="0.25">
      <c r="A18" s="106" t="s">
        <v>11</v>
      </c>
      <c r="B18" s="107">
        <v>150000</v>
      </c>
      <c r="C18" s="107">
        <v>32.75</v>
      </c>
      <c r="D18" s="107">
        <v>149995</v>
      </c>
      <c r="E18" s="107">
        <v>183200</v>
      </c>
      <c r="F18" s="107">
        <v>33205</v>
      </c>
      <c r="H18" s="4"/>
    </row>
    <row r="19" spans="1:8" x14ac:dyDescent="0.25">
      <c r="A19" s="106" t="s">
        <v>134</v>
      </c>
      <c r="B19" s="107">
        <v>300000</v>
      </c>
      <c r="C19" s="107">
        <v>16</v>
      </c>
      <c r="D19" s="107">
        <v>300000</v>
      </c>
      <c r="E19" s="107">
        <v>431250</v>
      </c>
      <c r="F19" s="107">
        <v>131250</v>
      </c>
      <c r="H19" s="4"/>
    </row>
    <row r="20" spans="1:8" x14ac:dyDescent="0.25">
      <c r="A20" s="106" t="s">
        <v>16</v>
      </c>
      <c r="B20" s="107">
        <v>1500000</v>
      </c>
      <c r="C20" s="107">
        <v>262.75</v>
      </c>
      <c r="D20" s="107">
        <v>1500015.5</v>
      </c>
      <c r="E20" s="107">
        <v>2031004</v>
      </c>
      <c r="F20" s="107">
        <v>530988.5</v>
      </c>
      <c r="H20" s="4"/>
    </row>
    <row r="21" spans="1:8" x14ac:dyDescent="0.25">
      <c r="H21" s="4"/>
    </row>
  </sheetData>
  <autoFilter ref="A1:S1" xr:uid="{9F90CF4C-D865-431B-B836-D62C4CA0C6B8}"/>
  <dataValidations count="1">
    <dataValidation type="list" allowBlank="1" showInputMessage="1" showErrorMessage="1" sqref="E1:E9" xr:uid="{4BE1FC85-CA4D-4366-82B9-F2E42052EA28}">
      <formula1>"Cans, Bottles, Tetra Pak"</formula1>
    </dataValidation>
  </dataValidation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E3540-CEA5-4F53-B63A-E5C970C1DACE}">
  <dimension ref="A1:K21"/>
  <sheetViews>
    <sheetView workbookViewId="0">
      <selection activeCell="J15" sqref="J15"/>
    </sheetView>
  </sheetViews>
  <sheetFormatPr defaultRowHeight="15" x14ac:dyDescent="0.25"/>
  <cols>
    <col min="1" max="1" width="16.85546875" customWidth="1"/>
    <col min="2" max="2" width="16.140625" bestFit="1" customWidth="1"/>
    <col min="3" max="3" width="23" bestFit="1" customWidth="1"/>
    <col min="4" max="4" width="21.140625" bestFit="1" customWidth="1"/>
    <col min="5" max="5" width="17.42578125" bestFit="1" customWidth="1"/>
    <col min="6" max="6" width="17.140625" bestFit="1" customWidth="1"/>
    <col min="7" max="7" width="11" bestFit="1" customWidth="1"/>
    <col min="8" max="8" width="12.85546875" bestFit="1" customWidth="1"/>
    <col min="9" max="9" width="22.42578125" bestFit="1" customWidth="1"/>
    <col min="10" max="10" width="22.42578125" customWidth="1"/>
    <col min="11" max="11" width="20.28515625" bestFit="1" customWidth="1"/>
  </cols>
  <sheetData>
    <row r="1" spans="1:11" s="61" customFormat="1" x14ac:dyDescent="0.25">
      <c r="A1" s="65" t="s">
        <v>5</v>
      </c>
      <c r="B1" s="65" t="s">
        <v>101</v>
      </c>
      <c r="C1" s="64" t="s">
        <v>4</v>
      </c>
      <c r="D1" s="63" t="s">
        <v>65</v>
      </c>
      <c r="E1" s="61" t="s">
        <v>106</v>
      </c>
      <c r="F1" s="61" t="s">
        <v>107</v>
      </c>
      <c r="G1" s="63" t="s">
        <v>22</v>
      </c>
      <c r="H1" s="63" t="s">
        <v>23</v>
      </c>
      <c r="I1" s="109" t="s">
        <v>154</v>
      </c>
      <c r="J1" s="109" t="s">
        <v>155</v>
      </c>
      <c r="K1" s="108" t="s">
        <v>150</v>
      </c>
    </row>
    <row r="2" spans="1:11" x14ac:dyDescent="0.25">
      <c r="A2" s="53" t="s">
        <v>9</v>
      </c>
      <c r="B2" s="53">
        <v>250</v>
      </c>
      <c r="C2" s="54" t="s">
        <v>24</v>
      </c>
      <c r="D2" s="40">
        <f>'Value Chain Str'!N2</f>
        <v>14</v>
      </c>
      <c r="E2" s="40">
        <v>25</v>
      </c>
      <c r="F2" s="40">
        <f>ROUND(E2*(1-G2),0)</f>
        <v>23</v>
      </c>
      <c r="G2" s="11">
        <v>0.08</v>
      </c>
      <c r="H2" s="40">
        <f>F2-D2</f>
        <v>9</v>
      </c>
      <c r="I2" s="110">
        <f>(E2/F2)*100</f>
        <v>108.69565217391303</v>
      </c>
      <c r="J2" s="111">
        <f>(E2-F2)/F2</f>
        <v>8.6956521739130432E-2</v>
      </c>
    </row>
    <row r="3" spans="1:11" x14ac:dyDescent="0.25">
      <c r="A3" s="53" t="s">
        <v>10</v>
      </c>
      <c r="B3" s="53">
        <v>250</v>
      </c>
      <c r="C3" s="54" t="s">
        <v>104</v>
      </c>
      <c r="D3" s="40">
        <f>'Value Chain Str'!N3</f>
        <v>23</v>
      </c>
      <c r="E3" s="40">
        <v>30</v>
      </c>
      <c r="F3" s="40">
        <f t="shared" ref="F3:F9" si="0">ROUND(E3*(1-G3),0)</f>
        <v>27</v>
      </c>
      <c r="G3" s="11">
        <v>0.1</v>
      </c>
      <c r="H3" s="40">
        <f t="shared" ref="H3:H9" si="1">F3-D3</f>
        <v>4</v>
      </c>
      <c r="I3" s="110">
        <f t="shared" ref="I3:I9" si="2">(E3/F3)*100</f>
        <v>111.11111111111111</v>
      </c>
      <c r="J3" s="111">
        <f t="shared" ref="J3:J9" si="3">(E3-F3)/F3</f>
        <v>0.1111111111111111</v>
      </c>
    </row>
    <row r="4" spans="1:11" x14ac:dyDescent="0.25">
      <c r="A4" s="53" t="s">
        <v>11</v>
      </c>
      <c r="B4" s="53">
        <v>250</v>
      </c>
      <c r="C4" s="54" t="s">
        <v>105</v>
      </c>
      <c r="D4" s="40">
        <f>'Value Chain Str'!N4</f>
        <v>16</v>
      </c>
      <c r="E4" s="40">
        <v>25</v>
      </c>
      <c r="F4" s="40">
        <f t="shared" si="0"/>
        <v>23</v>
      </c>
      <c r="G4" s="11">
        <v>0.08</v>
      </c>
      <c r="H4" s="40">
        <f t="shared" si="1"/>
        <v>7</v>
      </c>
      <c r="I4" s="110">
        <f t="shared" si="2"/>
        <v>108.69565217391303</v>
      </c>
      <c r="J4" s="111">
        <f t="shared" si="3"/>
        <v>8.6956521739130432E-2</v>
      </c>
    </row>
    <row r="5" spans="1:11" x14ac:dyDescent="0.25">
      <c r="A5" s="53" t="s">
        <v>9</v>
      </c>
      <c r="B5" s="53">
        <v>500</v>
      </c>
      <c r="C5" s="54" t="s">
        <v>24</v>
      </c>
      <c r="D5" s="40">
        <f>'Value Chain Str'!N5</f>
        <v>31</v>
      </c>
      <c r="E5" s="40">
        <v>40</v>
      </c>
      <c r="F5" s="40">
        <f t="shared" si="0"/>
        <v>37</v>
      </c>
      <c r="G5" s="11">
        <v>0.08</v>
      </c>
      <c r="H5" s="40">
        <f t="shared" si="1"/>
        <v>6</v>
      </c>
      <c r="I5" s="110">
        <f t="shared" si="2"/>
        <v>108.10810810810811</v>
      </c>
      <c r="J5" s="111">
        <f t="shared" si="3"/>
        <v>8.1081081081081086E-2</v>
      </c>
    </row>
    <row r="6" spans="1:11" x14ac:dyDescent="0.25">
      <c r="A6" s="53" t="s">
        <v>10</v>
      </c>
      <c r="B6" s="53">
        <v>500</v>
      </c>
      <c r="C6" s="54" t="s">
        <v>104</v>
      </c>
      <c r="D6" s="40">
        <f>'Value Chain Str'!N6</f>
        <v>36.5</v>
      </c>
      <c r="E6" s="40">
        <v>50</v>
      </c>
      <c r="F6" s="40">
        <f t="shared" si="0"/>
        <v>45</v>
      </c>
      <c r="G6" s="11">
        <v>0.1</v>
      </c>
      <c r="H6" s="40">
        <f t="shared" si="1"/>
        <v>8.5</v>
      </c>
      <c r="I6" s="110">
        <f t="shared" si="2"/>
        <v>111.11111111111111</v>
      </c>
      <c r="J6" s="111">
        <f t="shared" si="3"/>
        <v>0.1111111111111111</v>
      </c>
    </row>
    <row r="7" spans="1:11" x14ac:dyDescent="0.25">
      <c r="A7" s="53" t="s">
        <v>11</v>
      </c>
      <c r="B7" s="53">
        <v>500</v>
      </c>
      <c r="C7" s="54" t="s">
        <v>105</v>
      </c>
      <c r="D7" s="40">
        <f>'Value Chain Str'!N7</f>
        <v>32.75</v>
      </c>
      <c r="E7" s="40">
        <v>45</v>
      </c>
      <c r="F7" s="40">
        <f t="shared" si="0"/>
        <v>40</v>
      </c>
      <c r="G7" s="11">
        <v>0.11</v>
      </c>
      <c r="H7" s="40">
        <f t="shared" si="1"/>
        <v>7.25</v>
      </c>
      <c r="I7" s="110">
        <f t="shared" si="2"/>
        <v>112.5</v>
      </c>
      <c r="J7" s="111">
        <f t="shared" si="3"/>
        <v>0.125</v>
      </c>
    </row>
    <row r="8" spans="1:11" x14ac:dyDescent="0.25">
      <c r="A8" s="53" t="s">
        <v>9</v>
      </c>
      <c r="B8" s="53">
        <v>750</v>
      </c>
      <c r="C8" s="54" t="s">
        <v>105</v>
      </c>
      <c r="D8" s="40">
        <f>'Value Chain Str'!N8</f>
        <v>49.5</v>
      </c>
      <c r="E8" s="40">
        <v>75</v>
      </c>
      <c r="F8" s="40">
        <f t="shared" si="0"/>
        <v>70</v>
      </c>
      <c r="G8" s="11">
        <v>7.0000000000000007E-2</v>
      </c>
      <c r="H8" s="40">
        <f t="shared" si="1"/>
        <v>20.5</v>
      </c>
      <c r="I8" s="110">
        <f t="shared" si="2"/>
        <v>107.14285714285714</v>
      </c>
      <c r="J8" s="111">
        <f t="shared" si="3"/>
        <v>7.1428571428571425E-2</v>
      </c>
    </row>
    <row r="9" spans="1:11" x14ac:dyDescent="0.25">
      <c r="A9" s="53" t="s">
        <v>9</v>
      </c>
      <c r="B9" s="53">
        <v>1000</v>
      </c>
      <c r="C9" s="54" t="s">
        <v>105</v>
      </c>
      <c r="D9" s="40">
        <f>'Value Chain Str'!N9</f>
        <v>60</v>
      </c>
      <c r="E9" s="40">
        <v>90</v>
      </c>
      <c r="F9" s="40">
        <f t="shared" si="0"/>
        <v>80</v>
      </c>
      <c r="G9" s="11">
        <v>0.11</v>
      </c>
      <c r="H9" s="40">
        <f t="shared" si="1"/>
        <v>20</v>
      </c>
      <c r="I9" s="110">
        <f t="shared" si="2"/>
        <v>112.5</v>
      </c>
      <c r="J9" s="111">
        <f t="shared" si="3"/>
        <v>0.125</v>
      </c>
    </row>
    <row r="10" spans="1:11" x14ac:dyDescent="0.25">
      <c r="A10" s="4"/>
      <c r="B10" s="4"/>
      <c r="C10" s="67"/>
      <c r="D10" s="4"/>
      <c r="E10" s="4"/>
      <c r="F10" s="4"/>
      <c r="G10" s="4"/>
      <c r="H10" s="4"/>
      <c r="I10" s="4"/>
      <c r="J10" s="4"/>
    </row>
    <row r="11" spans="1:11" x14ac:dyDescent="0.25">
      <c r="E11" s="4"/>
      <c r="F11" s="4"/>
      <c r="G11" s="4"/>
      <c r="H11" s="4"/>
      <c r="I11" s="4"/>
      <c r="J11" s="4"/>
    </row>
    <row r="12" spans="1:11" x14ac:dyDescent="0.25">
      <c r="E12" s="4"/>
      <c r="F12" s="4"/>
      <c r="G12" s="4"/>
      <c r="H12" s="4"/>
      <c r="I12" s="4"/>
      <c r="J12" s="4"/>
    </row>
    <row r="15" spans="1:11" x14ac:dyDescent="0.25">
      <c r="A15" s="32" t="s">
        <v>101</v>
      </c>
      <c r="B15" s="32" t="s">
        <v>149</v>
      </c>
      <c r="C15" s="32"/>
      <c r="D15" s="32"/>
      <c r="E15" s="32"/>
    </row>
    <row r="16" spans="1:11" x14ac:dyDescent="0.25">
      <c r="A16" s="32"/>
      <c r="B16" s="32"/>
      <c r="C16" s="32"/>
      <c r="D16" s="32"/>
      <c r="E16" s="32"/>
    </row>
    <row r="17" spans="1:5" x14ac:dyDescent="0.25">
      <c r="A17" s="32" t="s">
        <v>5</v>
      </c>
      <c r="B17" s="32" t="s">
        <v>66</v>
      </c>
      <c r="C17" s="32" t="s">
        <v>75</v>
      </c>
      <c r="D17" s="32" t="s">
        <v>125</v>
      </c>
      <c r="E17" s="32" t="s">
        <v>76</v>
      </c>
    </row>
    <row r="18" spans="1:5" x14ac:dyDescent="0.25">
      <c r="A18" s="33" t="s">
        <v>9</v>
      </c>
      <c r="B18" s="32">
        <v>154.5</v>
      </c>
      <c r="C18" s="32">
        <v>230</v>
      </c>
      <c r="D18" s="68">
        <v>210</v>
      </c>
      <c r="E18" s="32">
        <v>55.5</v>
      </c>
    </row>
    <row r="19" spans="1:5" x14ac:dyDescent="0.25">
      <c r="A19" s="33" t="s">
        <v>10</v>
      </c>
      <c r="B19" s="32">
        <v>59.5</v>
      </c>
      <c r="C19" s="32">
        <v>80</v>
      </c>
      <c r="D19" s="68">
        <v>72</v>
      </c>
      <c r="E19" s="32">
        <v>12.5</v>
      </c>
    </row>
    <row r="20" spans="1:5" x14ac:dyDescent="0.25">
      <c r="A20" s="33" t="s">
        <v>11</v>
      </c>
      <c r="B20" s="32">
        <v>48.75</v>
      </c>
      <c r="C20" s="32">
        <v>70</v>
      </c>
      <c r="D20" s="68">
        <v>63</v>
      </c>
      <c r="E20" s="32">
        <v>14.25</v>
      </c>
    </row>
    <row r="21" spans="1:5" x14ac:dyDescent="0.25">
      <c r="A21" s="33" t="s">
        <v>16</v>
      </c>
      <c r="B21" s="32">
        <v>262.75</v>
      </c>
      <c r="C21" s="32">
        <v>380</v>
      </c>
      <c r="D21" s="68">
        <v>345</v>
      </c>
      <c r="E21" s="32">
        <v>82.25</v>
      </c>
    </row>
  </sheetData>
  <autoFilter ref="A1:H9" xr:uid="{83AE3540-CEA5-4F53-B63A-E5C970C1DACE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BB662-79DA-4336-A477-10B424030759}">
  <dimension ref="A1:H11"/>
  <sheetViews>
    <sheetView workbookViewId="0">
      <selection activeCell="E13" sqref="E13"/>
    </sheetView>
  </sheetViews>
  <sheetFormatPr defaultRowHeight="15" x14ac:dyDescent="0.25"/>
  <cols>
    <col min="1" max="1" width="10.5703125" bestFit="1" customWidth="1"/>
    <col min="2" max="2" width="18.5703125" bestFit="1" customWidth="1"/>
    <col min="3" max="3" width="11" bestFit="1" customWidth="1"/>
    <col min="4" max="4" width="12" bestFit="1" customWidth="1"/>
    <col min="5" max="5" width="11" bestFit="1" customWidth="1"/>
    <col min="6" max="6" width="12" bestFit="1" customWidth="1"/>
    <col min="9" max="9" width="15" bestFit="1" customWidth="1"/>
    <col min="10" max="10" width="13.85546875" bestFit="1" customWidth="1"/>
    <col min="11" max="11" width="14.85546875" bestFit="1" customWidth="1"/>
    <col min="12" max="12" width="14.140625" bestFit="1" customWidth="1"/>
    <col min="13" max="13" width="15.42578125" bestFit="1" customWidth="1"/>
    <col min="14" max="14" width="15" bestFit="1" customWidth="1"/>
    <col min="15" max="15" width="11.5703125" bestFit="1" customWidth="1"/>
    <col min="16" max="16" width="16.7109375" bestFit="1" customWidth="1"/>
    <col min="17" max="17" width="10.42578125" bestFit="1" customWidth="1"/>
    <col min="18" max="18" width="15.140625" bestFit="1" customWidth="1"/>
    <col min="19" max="19" width="13.85546875" bestFit="1" customWidth="1"/>
    <col min="20" max="20" width="12" bestFit="1" customWidth="1"/>
    <col min="21" max="21" width="16.7109375" bestFit="1" customWidth="1"/>
    <col min="22" max="22" width="10.42578125" bestFit="1" customWidth="1"/>
    <col min="23" max="23" width="15.140625" bestFit="1" customWidth="1"/>
    <col min="24" max="24" width="13.85546875" bestFit="1" customWidth="1"/>
    <col min="25" max="25" width="11.5703125" bestFit="1" customWidth="1"/>
    <col min="26" max="26" width="16.7109375" bestFit="1" customWidth="1"/>
    <col min="27" max="27" width="10.42578125" bestFit="1" customWidth="1"/>
    <col min="28" max="28" width="15.140625" bestFit="1" customWidth="1"/>
    <col min="29" max="29" width="13.85546875" bestFit="1" customWidth="1"/>
    <col min="30" max="30" width="11.5703125" bestFit="1" customWidth="1"/>
    <col min="31" max="31" width="19.85546875" bestFit="1" customWidth="1"/>
    <col min="32" max="32" width="19.140625" bestFit="1" customWidth="1"/>
    <col min="33" max="33" width="20.42578125" bestFit="1" customWidth="1"/>
    <col min="34" max="34" width="20" bestFit="1" customWidth="1"/>
  </cols>
  <sheetData>
    <row r="1" spans="1:8" s="61" customFormat="1" x14ac:dyDescent="0.25">
      <c r="A1" s="63" t="s">
        <v>25</v>
      </c>
      <c r="B1" s="61" t="s">
        <v>26</v>
      </c>
      <c r="C1" s="63" t="s">
        <v>15</v>
      </c>
      <c r="D1" s="63" t="s">
        <v>108</v>
      </c>
      <c r="E1" s="63" t="s">
        <v>27</v>
      </c>
    </row>
    <row r="2" spans="1:8" x14ac:dyDescent="0.25">
      <c r="A2" s="53">
        <v>10001</v>
      </c>
      <c r="B2" s="124" t="s">
        <v>14</v>
      </c>
      <c r="C2" s="40">
        <f>'Value Chain'!G2</f>
        <v>397500</v>
      </c>
      <c r="D2" s="40">
        <f>'Value Chain Str'!I11</f>
        <v>394224.875</v>
      </c>
      <c r="E2" s="40">
        <f>C2-D2</f>
        <v>3275.125</v>
      </c>
    </row>
    <row r="3" spans="1:8" x14ac:dyDescent="0.25">
      <c r="A3" s="53">
        <v>10002</v>
      </c>
      <c r="B3" s="54" t="s">
        <v>98</v>
      </c>
      <c r="C3" s="40">
        <f>'Value Chain'!G3</f>
        <v>750000</v>
      </c>
      <c r="D3" s="40">
        <f>'Value Chain Str'!J11</f>
        <v>745591.75</v>
      </c>
      <c r="E3" s="40">
        <f t="shared" ref="E3:E6" si="0">C3-D3</f>
        <v>4408.25</v>
      </c>
    </row>
    <row r="4" spans="1:8" x14ac:dyDescent="0.25">
      <c r="A4" s="53">
        <v>10003</v>
      </c>
      <c r="B4" s="54" t="s">
        <v>99</v>
      </c>
      <c r="C4" s="40">
        <f>'Value Chain'!G5</f>
        <v>217499.99999999997</v>
      </c>
      <c r="D4" s="40">
        <f>'Value Chain Str'!K11</f>
        <v>210640.76250000001</v>
      </c>
      <c r="E4" s="40">
        <f t="shared" si="0"/>
        <v>6859.2374999999593</v>
      </c>
    </row>
    <row r="5" spans="1:8" x14ac:dyDescent="0.25">
      <c r="A5" s="53">
        <v>10004</v>
      </c>
      <c r="B5" s="54" t="s">
        <v>100</v>
      </c>
      <c r="C5" s="40">
        <f>'Value Chain'!G6</f>
        <v>120000</v>
      </c>
      <c r="D5" s="40">
        <f>'Value Chain Str'!L11</f>
        <v>110806.55</v>
      </c>
      <c r="E5" s="40">
        <f t="shared" si="0"/>
        <v>9193.4499999999971</v>
      </c>
      <c r="F5" s="20"/>
    </row>
    <row r="6" spans="1:8" x14ac:dyDescent="0.25">
      <c r="A6" s="53">
        <v>10005</v>
      </c>
      <c r="B6" s="54" t="s">
        <v>13</v>
      </c>
      <c r="C6" s="40">
        <f>'Value Chain'!G7</f>
        <v>15000</v>
      </c>
      <c r="D6" s="40"/>
      <c r="E6" s="40">
        <f t="shared" si="0"/>
        <v>15000</v>
      </c>
    </row>
    <row r="7" spans="1:8" x14ac:dyDescent="0.25">
      <c r="C7" s="7"/>
      <c r="D7" s="7"/>
      <c r="E7" s="7"/>
    </row>
    <row r="8" spans="1:8" x14ac:dyDescent="0.25">
      <c r="A8" s="9"/>
      <c r="B8" s="10" t="s">
        <v>16</v>
      </c>
      <c r="C8" s="49">
        <f>SUM(C2:C6)</f>
        <v>1500000</v>
      </c>
      <c r="D8" s="49">
        <f>SUM(D2:D6)</f>
        <v>1461263.9375</v>
      </c>
      <c r="E8" s="49">
        <f>SUM(E2:E6)</f>
        <v>38736.062499999956</v>
      </c>
      <c r="F8" s="25"/>
      <c r="G8" s="25"/>
      <c r="H8" s="25"/>
    </row>
    <row r="11" spans="1:8" x14ac:dyDescent="0.25">
      <c r="B11" t="s">
        <v>167</v>
      </c>
    </row>
  </sheetData>
  <autoFilter ref="A1:E1" xr:uid="{58ABB662-79DA-4336-A477-10B424030759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2D7DA-CDDC-4571-9471-9EC230D5000B}">
  <dimension ref="A1:P20"/>
  <sheetViews>
    <sheetView zoomScale="130" zoomScaleNormal="130" workbookViewId="0">
      <selection activeCell="O2" sqref="O2"/>
    </sheetView>
  </sheetViews>
  <sheetFormatPr defaultRowHeight="15" x14ac:dyDescent="0.25"/>
  <cols>
    <col min="1" max="1" width="28.28515625" customWidth="1"/>
    <col min="2" max="2" width="16.7109375" customWidth="1"/>
    <col min="3" max="3" width="15.5703125" customWidth="1"/>
    <col min="4" max="4" width="15.7109375" bestFit="1" customWidth="1"/>
    <col min="5" max="5" width="10.7109375" hidden="1" customWidth="1"/>
    <col min="6" max="8" width="9.28515625" hidden="1" customWidth="1"/>
    <col min="9" max="9" width="11.85546875" customWidth="1"/>
    <col min="10" max="10" width="9.140625" bestFit="1" customWidth="1"/>
    <col min="11" max="11" width="8.42578125" bestFit="1" customWidth="1"/>
    <col min="12" max="12" width="15.42578125" bestFit="1" customWidth="1"/>
    <col min="13" max="13" width="13.5703125" bestFit="1" customWidth="1"/>
    <col min="14" max="14" width="19.140625" hidden="1" customWidth="1"/>
    <col min="15" max="15" width="7.7109375" bestFit="1" customWidth="1"/>
  </cols>
  <sheetData>
    <row r="1" spans="1:16" s="61" customFormat="1" x14ac:dyDescent="0.25">
      <c r="A1" s="69" t="s">
        <v>28</v>
      </c>
      <c r="B1" s="70" t="s">
        <v>29</v>
      </c>
      <c r="C1" s="71" t="s">
        <v>39</v>
      </c>
      <c r="D1" s="71" t="s">
        <v>30</v>
      </c>
      <c r="E1" s="71" t="s">
        <v>83</v>
      </c>
      <c r="F1" s="71" t="s">
        <v>84</v>
      </c>
      <c r="G1" s="71" t="s">
        <v>85</v>
      </c>
      <c r="H1" s="71" t="s">
        <v>86</v>
      </c>
      <c r="I1" s="71" t="s">
        <v>31</v>
      </c>
      <c r="J1" s="71" t="s">
        <v>32</v>
      </c>
      <c r="K1" s="71" t="s">
        <v>33</v>
      </c>
      <c r="L1" s="72" t="s">
        <v>40</v>
      </c>
      <c r="M1" s="73" t="s">
        <v>34</v>
      </c>
      <c r="N1" s="73" t="s">
        <v>82</v>
      </c>
      <c r="O1" s="74" t="s">
        <v>51</v>
      </c>
    </row>
    <row r="2" spans="1:16" x14ac:dyDescent="0.25">
      <c r="A2" s="75" t="s">
        <v>109</v>
      </c>
      <c r="B2" s="75" t="s">
        <v>119</v>
      </c>
      <c r="C2" s="76">
        <v>0.1</v>
      </c>
      <c r="D2" s="77">
        <f>$C$8*C2</f>
        <v>12000</v>
      </c>
      <c r="E2" s="78">
        <v>3000</v>
      </c>
      <c r="F2" s="78">
        <v>2700</v>
      </c>
      <c r="G2" s="78">
        <v>3100</v>
      </c>
      <c r="H2" s="78">
        <v>2000</v>
      </c>
      <c r="I2" s="79">
        <f>SUM(E2:H2)</f>
        <v>10800</v>
      </c>
      <c r="J2" s="77">
        <f>D2-I2</f>
        <v>1200</v>
      </c>
      <c r="K2" s="79">
        <v>26095</v>
      </c>
      <c r="L2" s="80">
        <v>0.1</v>
      </c>
      <c r="M2" s="79">
        <f>K2*(1+L2)</f>
        <v>28704.500000000004</v>
      </c>
      <c r="N2" s="79"/>
      <c r="O2" s="81">
        <f>(M2/I2)</f>
        <v>2.6578240740740746</v>
      </c>
    </row>
    <row r="3" spans="1:16" x14ac:dyDescent="0.25">
      <c r="A3" s="75" t="s">
        <v>110</v>
      </c>
      <c r="B3" s="75" t="s">
        <v>118</v>
      </c>
      <c r="C3" s="76">
        <v>0.15</v>
      </c>
      <c r="D3" s="77">
        <f t="shared" ref="D3:D7" si="0">$C$8*C3</f>
        <v>18000</v>
      </c>
      <c r="E3" s="78">
        <v>4000</v>
      </c>
      <c r="F3" s="78">
        <v>5000</v>
      </c>
      <c r="G3" s="78">
        <v>5000</v>
      </c>
      <c r="H3" s="78">
        <v>4000</v>
      </c>
      <c r="I3" s="79">
        <f t="shared" ref="I3:I7" si="1">SUM(E3:H3)</f>
        <v>18000</v>
      </c>
      <c r="J3" s="77">
        <f t="shared" ref="J3:J7" si="2">D3-I3</f>
        <v>0</v>
      </c>
      <c r="K3" s="77">
        <v>20500</v>
      </c>
      <c r="L3" s="80">
        <v>0.2</v>
      </c>
      <c r="M3" s="79">
        <f t="shared" ref="M3:M7" si="3">K3*(1+L3)</f>
        <v>24600</v>
      </c>
      <c r="N3" s="79"/>
      <c r="O3" s="81">
        <f t="shared" ref="O3:O7" si="4">(M3/I3)</f>
        <v>1.3666666666666667</v>
      </c>
    </row>
    <row r="4" spans="1:16" x14ac:dyDescent="0.25">
      <c r="A4" s="75" t="s">
        <v>61</v>
      </c>
      <c r="B4" s="75" t="s">
        <v>120</v>
      </c>
      <c r="C4" s="76">
        <v>0.05</v>
      </c>
      <c r="D4" s="77">
        <f t="shared" si="0"/>
        <v>6000</v>
      </c>
      <c r="E4" s="78">
        <v>1500</v>
      </c>
      <c r="F4" s="78">
        <v>1500</v>
      </c>
      <c r="G4" s="78">
        <v>1500</v>
      </c>
      <c r="H4" s="78">
        <v>1500</v>
      </c>
      <c r="I4" s="79">
        <f t="shared" si="1"/>
        <v>6000</v>
      </c>
      <c r="J4" s="77">
        <f t="shared" si="2"/>
        <v>0</v>
      </c>
      <c r="K4" s="77">
        <v>12080</v>
      </c>
      <c r="L4" s="80">
        <v>0.15</v>
      </c>
      <c r="M4" s="79">
        <f t="shared" si="3"/>
        <v>13891.999999999998</v>
      </c>
      <c r="N4" s="79"/>
      <c r="O4" s="81">
        <f t="shared" si="4"/>
        <v>2.3153333333333332</v>
      </c>
    </row>
    <row r="5" spans="1:16" x14ac:dyDescent="0.25">
      <c r="A5" s="75" t="s">
        <v>62</v>
      </c>
      <c r="B5" s="75" t="s">
        <v>121</v>
      </c>
      <c r="C5" s="82">
        <v>0.15</v>
      </c>
      <c r="D5" s="77">
        <f t="shared" si="0"/>
        <v>18000</v>
      </c>
      <c r="E5" s="78">
        <v>4000</v>
      </c>
      <c r="F5" s="78">
        <v>4000</v>
      </c>
      <c r="G5" s="78">
        <v>3000</v>
      </c>
      <c r="H5" s="78">
        <v>4300</v>
      </c>
      <c r="I5" s="79">
        <f t="shared" si="1"/>
        <v>15300</v>
      </c>
      <c r="J5" s="77">
        <f t="shared" si="2"/>
        <v>2700</v>
      </c>
      <c r="K5" s="77">
        <v>10000</v>
      </c>
      <c r="L5" s="80">
        <v>0.05</v>
      </c>
      <c r="M5" s="79">
        <f t="shared" si="3"/>
        <v>10500</v>
      </c>
      <c r="N5" s="79"/>
      <c r="O5" s="81">
        <f t="shared" si="4"/>
        <v>0.68627450980392157</v>
      </c>
    </row>
    <row r="6" spans="1:16" x14ac:dyDescent="0.25">
      <c r="A6" s="75" t="s">
        <v>116</v>
      </c>
      <c r="B6" s="75" t="s">
        <v>113</v>
      </c>
      <c r="C6" s="82">
        <v>0.3</v>
      </c>
      <c r="D6" s="77">
        <f t="shared" si="0"/>
        <v>36000</v>
      </c>
      <c r="E6" s="78">
        <v>8000</v>
      </c>
      <c r="F6" s="78">
        <v>8000</v>
      </c>
      <c r="G6" s="78">
        <v>7000</v>
      </c>
      <c r="H6" s="78">
        <v>5800</v>
      </c>
      <c r="I6" s="79">
        <f t="shared" si="1"/>
        <v>28800</v>
      </c>
      <c r="J6" s="77">
        <f t="shared" si="2"/>
        <v>7200</v>
      </c>
      <c r="K6" s="77">
        <v>4500</v>
      </c>
      <c r="L6" s="80">
        <v>0.4</v>
      </c>
      <c r="M6" s="79">
        <f t="shared" si="3"/>
        <v>6300</v>
      </c>
      <c r="N6" s="79"/>
      <c r="O6" s="81">
        <f t="shared" si="4"/>
        <v>0.21875</v>
      </c>
    </row>
    <row r="7" spans="1:16" x14ac:dyDescent="0.25">
      <c r="A7" s="75" t="s">
        <v>117</v>
      </c>
      <c r="B7" s="75" t="s">
        <v>114</v>
      </c>
      <c r="C7" s="83">
        <v>0.25</v>
      </c>
      <c r="D7" s="77">
        <f t="shared" si="0"/>
        <v>30000</v>
      </c>
      <c r="E7" s="78">
        <v>7000</v>
      </c>
      <c r="F7" s="78">
        <v>7000</v>
      </c>
      <c r="G7" s="78">
        <v>6500</v>
      </c>
      <c r="H7" s="78">
        <v>8000</v>
      </c>
      <c r="I7" s="79">
        <f t="shared" si="1"/>
        <v>28500</v>
      </c>
      <c r="J7" s="77">
        <f t="shared" si="2"/>
        <v>1500</v>
      </c>
      <c r="K7" s="77">
        <v>4000</v>
      </c>
      <c r="L7" s="81">
        <v>0.6</v>
      </c>
      <c r="M7" s="79">
        <f t="shared" si="3"/>
        <v>6400</v>
      </c>
      <c r="N7" s="79"/>
      <c r="O7" s="81">
        <f t="shared" si="4"/>
        <v>0.22456140350877193</v>
      </c>
    </row>
    <row r="8" spans="1:16" x14ac:dyDescent="0.25">
      <c r="A8" s="84"/>
      <c r="B8" s="84"/>
      <c r="C8" s="85">
        <f>'GL Code'!C5</f>
        <v>120000</v>
      </c>
      <c r="D8" s="85">
        <f>SUM(D2:D7)</f>
        <v>120000</v>
      </c>
      <c r="E8" s="41"/>
      <c r="F8" s="41"/>
      <c r="G8" s="86"/>
      <c r="H8" s="86"/>
      <c r="I8" s="85">
        <f>SUM(I2:I7)</f>
        <v>107400</v>
      </c>
      <c r="J8" s="85">
        <f>SUM(J2:J5)</f>
        <v>3900</v>
      </c>
      <c r="K8" s="86"/>
      <c r="L8" s="86"/>
      <c r="M8" s="86"/>
      <c r="N8" s="86"/>
      <c r="O8" s="86"/>
      <c r="P8" s="9"/>
    </row>
    <row r="10" spans="1:16" x14ac:dyDescent="0.25">
      <c r="E10" s="39"/>
    </row>
    <row r="11" spans="1:16" x14ac:dyDescent="0.25">
      <c r="A11" s="35" t="s">
        <v>28</v>
      </c>
      <c r="B11" s="36" t="s">
        <v>88</v>
      </c>
      <c r="C11" s="36" t="s">
        <v>87</v>
      </c>
      <c r="D11" s="36" t="s">
        <v>89</v>
      </c>
      <c r="E11" s="36" t="s">
        <v>90</v>
      </c>
    </row>
    <row r="12" spans="1:16" x14ac:dyDescent="0.25">
      <c r="A12" s="41" t="s">
        <v>61</v>
      </c>
      <c r="B12" s="36">
        <v>6000</v>
      </c>
      <c r="C12" s="36">
        <v>6000</v>
      </c>
      <c r="D12" s="38">
        <v>0.15</v>
      </c>
      <c r="E12" s="38">
        <v>2.3153333333333332</v>
      </c>
      <c r="F12" s="6"/>
      <c r="G12" s="6"/>
      <c r="H12" s="6"/>
    </row>
    <row r="13" spans="1:16" x14ac:dyDescent="0.25">
      <c r="A13" s="41" t="s">
        <v>62</v>
      </c>
      <c r="B13" s="36">
        <v>18000</v>
      </c>
      <c r="C13" s="36">
        <v>15300</v>
      </c>
      <c r="D13" s="38">
        <v>0.05</v>
      </c>
      <c r="E13" s="38">
        <v>0.68627450980392157</v>
      </c>
      <c r="F13" s="6"/>
      <c r="G13" s="6"/>
      <c r="H13" s="6"/>
      <c r="J13" s="4"/>
    </row>
    <row r="14" spans="1:16" x14ac:dyDescent="0.25">
      <c r="A14" s="41" t="s">
        <v>109</v>
      </c>
      <c r="B14" s="36">
        <v>12000</v>
      </c>
      <c r="C14" s="36">
        <v>10800</v>
      </c>
      <c r="D14" s="38">
        <v>0.1</v>
      </c>
      <c r="E14" s="38">
        <v>2.6578240740740746</v>
      </c>
      <c r="F14" s="6"/>
      <c r="G14" s="6"/>
      <c r="H14" s="6"/>
      <c r="J14" s="4"/>
    </row>
    <row r="15" spans="1:16" x14ac:dyDescent="0.25">
      <c r="A15" s="41" t="s">
        <v>117</v>
      </c>
      <c r="B15" s="36">
        <v>30000</v>
      </c>
      <c r="C15" s="36">
        <v>28500</v>
      </c>
      <c r="D15" s="38">
        <v>0.6</v>
      </c>
      <c r="E15" s="38">
        <v>0.22456140350877193</v>
      </c>
      <c r="F15" s="6"/>
      <c r="G15" s="6"/>
      <c r="H15" s="6"/>
      <c r="J15" s="4"/>
    </row>
    <row r="16" spans="1:16" x14ac:dyDescent="0.25">
      <c r="A16" s="41" t="s">
        <v>116</v>
      </c>
      <c r="B16" s="36">
        <v>36000</v>
      </c>
      <c r="C16" s="36">
        <v>28800</v>
      </c>
      <c r="D16" s="38">
        <v>0.4</v>
      </c>
      <c r="E16" s="38">
        <v>0.21875</v>
      </c>
      <c r="F16" s="6"/>
      <c r="G16" s="6"/>
      <c r="H16" s="6"/>
      <c r="J16" s="4"/>
    </row>
    <row r="17" spans="1:8" x14ac:dyDescent="0.25">
      <c r="A17" s="41" t="s">
        <v>110</v>
      </c>
      <c r="B17" s="36">
        <v>18000</v>
      </c>
      <c r="C17" s="36">
        <v>18000</v>
      </c>
      <c r="D17" s="38">
        <v>0.2</v>
      </c>
      <c r="E17" s="38">
        <v>1.3666666666666667</v>
      </c>
      <c r="F17" s="6"/>
      <c r="G17" s="6"/>
      <c r="H17" s="6"/>
    </row>
    <row r="18" spans="1:8" x14ac:dyDescent="0.25">
      <c r="A18" s="37" t="s">
        <v>16</v>
      </c>
      <c r="B18" s="36">
        <v>120000</v>
      </c>
      <c r="C18" s="36">
        <v>107400</v>
      </c>
      <c r="D18" s="38">
        <v>1.5</v>
      </c>
      <c r="E18" s="38">
        <v>7.4694099873867685</v>
      </c>
      <c r="F18" s="6"/>
      <c r="G18" s="6"/>
      <c r="H18" s="6"/>
    </row>
    <row r="20" spans="1:8" x14ac:dyDescent="0.25">
      <c r="D20" s="34"/>
      <c r="E20" s="34"/>
      <c r="F20" s="34"/>
      <c r="G20" s="34"/>
      <c r="H20" s="34"/>
    </row>
  </sheetData>
  <autoFilter ref="A1:P5" xr:uid="{ABD2D7DA-CDDC-4571-9471-9EC230D5000B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4F1F8-1404-447C-92F6-135DAA3B0F99}">
  <dimension ref="A1:U33"/>
  <sheetViews>
    <sheetView workbookViewId="0">
      <selection activeCell="H19" sqref="H19"/>
    </sheetView>
  </sheetViews>
  <sheetFormatPr defaultRowHeight="15" x14ac:dyDescent="0.25"/>
  <cols>
    <col min="1" max="1" width="19.7109375" bestFit="1" customWidth="1"/>
    <col min="2" max="2" width="13.7109375" bestFit="1" customWidth="1"/>
    <col min="3" max="3" width="11.140625" bestFit="1" customWidth="1"/>
    <col min="4" max="4" width="16.42578125" customWidth="1"/>
    <col min="5" max="5" width="20.140625" bestFit="1" customWidth="1"/>
    <col min="6" max="6" width="15.5703125" bestFit="1" customWidth="1"/>
    <col min="7" max="8" width="20.28515625" bestFit="1" customWidth="1"/>
    <col min="9" max="9" width="12" hidden="1" customWidth="1"/>
    <col min="10" max="10" width="11.140625" hidden="1" customWidth="1"/>
    <col min="11" max="11" width="13.85546875" bestFit="1" customWidth="1"/>
    <col min="12" max="12" width="14.7109375" bestFit="1" customWidth="1"/>
    <col min="13" max="13" width="14.42578125" bestFit="1" customWidth="1"/>
    <col min="14" max="14" width="13" bestFit="1" customWidth="1"/>
    <col min="15" max="15" width="11.7109375" bestFit="1" customWidth="1"/>
    <col min="16" max="16" width="11.28515625" bestFit="1" customWidth="1"/>
    <col min="17" max="17" width="16" bestFit="1" customWidth="1"/>
    <col min="18" max="18" width="8.5703125" bestFit="1" customWidth="1"/>
    <col min="19" max="19" width="17" bestFit="1" customWidth="1"/>
    <col min="20" max="20" width="12.85546875" bestFit="1" customWidth="1"/>
    <col min="21" max="21" width="8.28515625" bestFit="1" customWidth="1"/>
  </cols>
  <sheetData>
    <row r="1" spans="1:21" s="61" customFormat="1" x14ac:dyDescent="0.25">
      <c r="A1" s="64" t="s">
        <v>1</v>
      </c>
      <c r="B1" s="64" t="s">
        <v>2</v>
      </c>
      <c r="C1" s="64" t="s">
        <v>3</v>
      </c>
      <c r="D1" s="64" t="s">
        <v>4</v>
      </c>
      <c r="E1" s="65" t="s">
        <v>5</v>
      </c>
      <c r="F1" s="65" t="s">
        <v>101</v>
      </c>
      <c r="G1" s="65" t="s">
        <v>115</v>
      </c>
      <c r="H1" s="64" t="s">
        <v>29</v>
      </c>
      <c r="I1" s="63" t="s">
        <v>42</v>
      </c>
      <c r="J1" s="63" t="s">
        <v>43</v>
      </c>
      <c r="K1" s="63" t="s">
        <v>60</v>
      </c>
      <c r="L1" s="63" t="s">
        <v>44</v>
      </c>
      <c r="M1" s="63" t="s">
        <v>45</v>
      </c>
      <c r="N1" s="63" t="s">
        <v>34</v>
      </c>
      <c r="O1" s="63" t="s">
        <v>46</v>
      </c>
      <c r="P1" s="63" t="s">
        <v>47</v>
      </c>
      <c r="Q1" s="63" t="s">
        <v>67</v>
      </c>
      <c r="R1" s="63" t="s">
        <v>20</v>
      </c>
      <c r="S1" s="63" t="s">
        <v>49</v>
      </c>
      <c r="T1" s="63" t="s">
        <v>50</v>
      </c>
      <c r="U1" s="63" t="s">
        <v>51</v>
      </c>
    </row>
    <row r="2" spans="1:21" x14ac:dyDescent="0.25">
      <c r="A2" s="53" t="s">
        <v>169</v>
      </c>
      <c r="B2" s="53" t="s">
        <v>6</v>
      </c>
      <c r="C2" s="53" t="s">
        <v>7</v>
      </c>
      <c r="D2" s="53" t="s">
        <v>8</v>
      </c>
      <c r="E2" s="53" t="s">
        <v>9</v>
      </c>
      <c r="F2" s="53">
        <v>250</v>
      </c>
      <c r="G2" s="54" t="s">
        <v>109</v>
      </c>
      <c r="H2" s="53" t="s">
        <v>123</v>
      </c>
      <c r="I2" s="125"/>
      <c r="J2" s="125"/>
      <c r="K2" s="40">
        <f>'Pricing Arch'!D2</f>
        <v>14</v>
      </c>
      <c r="L2" s="40">
        <f>'Pricing Arch'!F2</f>
        <v>23</v>
      </c>
      <c r="M2" s="40">
        <f>'Value Chain Str'!O2</f>
        <v>21429</v>
      </c>
      <c r="N2" s="55">
        <f>M2*(1+B15)</f>
        <v>27857.7</v>
      </c>
      <c r="O2" s="11">
        <f>(N2-M2)/M2</f>
        <v>0.30000000000000004</v>
      </c>
      <c r="P2" s="40">
        <f>L2*M2</f>
        <v>492867</v>
      </c>
      <c r="Q2" s="40">
        <f>N2*B14</f>
        <v>585011.70000000007</v>
      </c>
      <c r="R2" s="40">
        <v>24642.2</v>
      </c>
      <c r="S2" s="40">
        <f>(B13-B14)*(N2-M2)</f>
        <v>12857.400000000001</v>
      </c>
      <c r="T2" s="11">
        <f>(Q2-P2)/Q2</f>
        <v>0.15750915750915762</v>
      </c>
      <c r="U2" s="11">
        <f>R2/S2</f>
        <v>1.9165772240110752</v>
      </c>
    </row>
    <row r="3" spans="1:21" x14ac:dyDescent="0.25">
      <c r="A3" s="53" t="s">
        <v>169</v>
      </c>
      <c r="B3" s="53" t="s">
        <v>6</v>
      </c>
      <c r="C3" s="53" t="s">
        <v>7</v>
      </c>
      <c r="D3" s="53" t="s">
        <v>8</v>
      </c>
      <c r="E3" s="53" t="s">
        <v>10</v>
      </c>
      <c r="F3" s="53">
        <v>250</v>
      </c>
      <c r="G3" s="54" t="s">
        <v>110</v>
      </c>
      <c r="H3" s="53" t="s">
        <v>52</v>
      </c>
      <c r="I3" s="125"/>
      <c r="J3" s="125"/>
      <c r="K3" s="40">
        <f>'Pricing Arch'!D3</f>
        <v>23</v>
      </c>
      <c r="L3" s="40">
        <f>'Pricing Arch'!F3</f>
        <v>27</v>
      </c>
      <c r="M3" s="40">
        <f>'Value Chain Str'!O3</f>
        <v>9783</v>
      </c>
      <c r="N3" s="40"/>
      <c r="O3" s="11"/>
      <c r="P3" s="40">
        <f t="shared" ref="P3:P9" si="0">L3*M3</f>
        <v>264141</v>
      </c>
      <c r="Q3" s="40">
        <v>780</v>
      </c>
      <c r="R3" s="40"/>
      <c r="S3" s="40"/>
      <c r="T3" s="11"/>
      <c r="U3" s="11"/>
    </row>
    <row r="4" spans="1:21" x14ac:dyDescent="0.25">
      <c r="A4" s="53" t="s">
        <v>169</v>
      </c>
      <c r="B4" s="53" t="s">
        <v>6</v>
      </c>
      <c r="C4" s="53" t="s">
        <v>7</v>
      </c>
      <c r="D4" s="53" t="s">
        <v>8</v>
      </c>
      <c r="E4" s="53" t="s">
        <v>11</v>
      </c>
      <c r="F4" s="53">
        <v>250</v>
      </c>
      <c r="G4" s="54" t="s">
        <v>62</v>
      </c>
      <c r="H4" s="53" t="s">
        <v>122</v>
      </c>
      <c r="I4" s="125"/>
      <c r="J4" s="125"/>
      <c r="K4" s="40">
        <f>'Pricing Arch'!D4</f>
        <v>16</v>
      </c>
      <c r="L4" s="40">
        <f>'Pricing Arch'!F4</f>
        <v>23</v>
      </c>
      <c r="M4" s="40">
        <f>'Value Chain Str'!O4</f>
        <v>18750</v>
      </c>
      <c r="N4" s="40"/>
      <c r="O4" s="11"/>
      <c r="P4" s="40">
        <f t="shared" si="0"/>
        <v>431250</v>
      </c>
      <c r="Q4" s="40"/>
      <c r="R4" s="40"/>
      <c r="S4" s="40"/>
      <c r="T4" s="11"/>
      <c r="U4" s="11"/>
    </row>
    <row r="5" spans="1:21" x14ac:dyDescent="0.25">
      <c r="A5" s="53" t="s">
        <v>169</v>
      </c>
      <c r="B5" s="53" t="s">
        <v>6</v>
      </c>
      <c r="C5" s="53" t="s">
        <v>7</v>
      </c>
      <c r="D5" s="53" t="s">
        <v>8</v>
      </c>
      <c r="E5" s="53" t="s">
        <v>9</v>
      </c>
      <c r="F5" s="53">
        <v>500</v>
      </c>
      <c r="G5" s="54" t="s">
        <v>111</v>
      </c>
      <c r="H5" s="53"/>
      <c r="I5" s="125"/>
      <c r="J5" s="125"/>
      <c r="K5" s="40">
        <f>'Pricing Arch'!D5</f>
        <v>31</v>
      </c>
      <c r="L5" s="40">
        <f>'Pricing Arch'!F5</f>
        <v>37</v>
      </c>
      <c r="M5" s="40">
        <f>'Value Chain Str'!O5</f>
        <v>7258</v>
      </c>
      <c r="N5" s="40"/>
      <c r="O5" s="11"/>
      <c r="P5" s="40">
        <f t="shared" si="0"/>
        <v>268546</v>
      </c>
      <c r="Q5" s="40"/>
      <c r="R5" s="40"/>
      <c r="S5" s="40"/>
      <c r="T5" s="11"/>
      <c r="U5" s="11"/>
    </row>
    <row r="6" spans="1:21" x14ac:dyDescent="0.25">
      <c r="A6" s="53" t="s">
        <v>169</v>
      </c>
      <c r="B6" s="53" t="s">
        <v>6</v>
      </c>
      <c r="C6" s="53" t="s">
        <v>7</v>
      </c>
      <c r="D6" s="53" t="s">
        <v>8</v>
      </c>
      <c r="E6" s="53" t="s">
        <v>10</v>
      </c>
      <c r="F6" s="53">
        <v>500</v>
      </c>
      <c r="G6" s="54" t="s">
        <v>109</v>
      </c>
      <c r="H6" s="53"/>
      <c r="I6" s="125"/>
      <c r="J6" s="125"/>
      <c r="K6" s="40">
        <f>'Pricing Arch'!D6</f>
        <v>36.5</v>
      </c>
      <c r="L6" s="40">
        <f>'Pricing Arch'!F6</f>
        <v>45</v>
      </c>
      <c r="M6" s="40">
        <f>'Value Chain Str'!O6</f>
        <v>4110</v>
      </c>
      <c r="N6" s="40"/>
      <c r="O6" s="11"/>
      <c r="P6" s="40">
        <f t="shared" si="0"/>
        <v>184950</v>
      </c>
      <c r="Q6" s="40"/>
      <c r="R6" s="40"/>
      <c r="S6" s="40"/>
      <c r="T6" s="11"/>
      <c r="U6" s="11"/>
    </row>
    <row r="7" spans="1:21" x14ac:dyDescent="0.25">
      <c r="A7" s="53" t="s">
        <v>169</v>
      </c>
      <c r="B7" s="53" t="s">
        <v>6</v>
      </c>
      <c r="C7" s="53" t="s">
        <v>7</v>
      </c>
      <c r="D7" s="53" t="s">
        <v>8</v>
      </c>
      <c r="E7" s="53" t="s">
        <v>11</v>
      </c>
      <c r="F7" s="53">
        <v>500</v>
      </c>
      <c r="G7" s="54" t="s">
        <v>109</v>
      </c>
      <c r="H7" s="53"/>
      <c r="I7" s="125"/>
      <c r="J7" s="125"/>
      <c r="K7" s="40">
        <f>'Pricing Arch'!D7</f>
        <v>32.75</v>
      </c>
      <c r="L7" s="40">
        <f>'Pricing Arch'!F7</f>
        <v>40</v>
      </c>
      <c r="M7" s="40">
        <f>'Value Chain Str'!O7</f>
        <v>4580</v>
      </c>
      <c r="N7" s="40"/>
      <c r="O7" s="11"/>
      <c r="P7" s="40">
        <f t="shared" si="0"/>
        <v>183200</v>
      </c>
      <c r="Q7" s="40"/>
      <c r="R7" s="40"/>
      <c r="S7" s="40"/>
      <c r="T7" s="11"/>
      <c r="U7" s="11"/>
    </row>
    <row r="8" spans="1:21" x14ac:dyDescent="0.25">
      <c r="A8" s="53" t="s">
        <v>169</v>
      </c>
      <c r="B8" s="53" t="s">
        <v>6</v>
      </c>
      <c r="C8" s="53" t="s">
        <v>7</v>
      </c>
      <c r="D8" s="53" t="s">
        <v>8</v>
      </c>
      <c r="E8" s="53" t="s">
        <v>9</v>
      </c>
      <c r="F8" s="53">
        <v>750</v>
      </c>
      <c r="G8" s="54" t="s">
        <v>110</v>
      </c>
      <c r="H8" s="53"/>
      <c r="I8" s="125"/>
      <c r="J8" s="125"/>
      <c r="K8" s="40">
        <f>'Pricing Arch'!D8</f>
        <v>49.5</v>
      </c>
      <c r="L8" s="40">
        <f>'Pricing Arch'!F8</f>
        <v>70</v>
      </c>
      <c r="M8" s="40">
        <f>'Value Chain Str'!O8</f>
        <v>1515</v>
      </c>
      <c r="N8" s="40"/>
      <c r="O8" s="11"/>
      <c r="P8" s="40">
        <f t="shared" si="0"/>
        <v>106050</v>
      </c>
      <c r="Q8" s="40"/>
      <c r="R8" s="40"/>
      <c r="S8" s="40"/>
      <c r="T8" s="11"/>
      <c r="U8" s="11"/>
    </row>
    <row r="9" spans="1:21" x14ac:dyDescent="0.25">
      <c r="A9" s="53" t="s">
        <v>169</v>
      </c>
      <c r="B9" s="53" t="s">
        <v>6</v>
      </c>
      <c r="C9" s="53" t="s">
        <v>7</v>
      </c>
      <c r="D9" s="53" t="s">
        <v>8</v>
      </c>
      <c r="E9" s="53" t="s">
        <v>9</v>
      </c>
      <c r="F9" s="53">
        <v>1000</v>
      </c>
      <c r="G9" s="54" t="s">
        <v>110</v>
      </c>
      <c r="H9" s="53"/>
      <c r="I9" s="125"/>
      <c r="J9" s="125"/>
      <c r="K9" s="40">
        <f>'Pricing Arch'!D9</f>
        <v>60</v>
      </c>
      <c r="L9" s="40">
        <f>'Pricing Arch'!F9</f>
        <v>80</v>
      </c>
      <c r="M9" s="40">
        <f>'Value Chain Str'!O9</f>
        <v>1250</v>
      </c>
      <c r="N9" s="40"/>
      <c r="O9" s="11"/>
      <c r="P9" s="40">
        <f t="shared" si="0"/>
        <v>100000</v>
      </c>
      <c r="Q9" s="40"/>
      <c r="R9" s="40"/>
      <c r="S9" s="40"/>
      <c r="T9" s="11"/>
      <c r="U9" s="11"/>
    </row>
    <row r="10" spans="1:21" x14ac:dyDescent="0.25">
      <c r="A10" s="4"/>
      <c r="B10" s="4"/>
      <c r="C10" s="4"/>
      <c r="D10" s="4"/>
      <c r="E10" s="4"/>
      <c r="F10" s="4"/>
      <c r="G10" s="4"/>
      <c r="H10" s="4"/>
      <c r="I10" s="125"/>
      <c r="J10" s="125"/>
      <c r="K10" s="125"/>
      <c r="L10" s="40"/>
      <c r="M10" s="40"/>
      <c r="N10" s="40" t="s">
        <v>53</v>
      </c>
      <c r="O10" s="11"/>
      <c r="P10" s="40">
        <f>SUM(P2:P9)</f>
        <v>2031004</v>
      </c>
      <c r="Q10" s="40">
        <f>SUM(Q2:Q9)</f>
        <v>585791.70000000007</v>
      </c>
      <c r="R10" s="40">
        <f>SUM(R2:R9)</f>
        <v>24642.2</v>
      </c>
      <c r="S10" s="40"/>
      <c r="T10" s="11"/>
      <c r="U10" s="11"/>
    </row>
    <row r="12" spans="1:21" x14ac:dyDescent="0.25">
      <c r="A12" s="91" t="s">
        <v>41</v>
      </c>
      <c r="B12" s="103" t="s">
        <v>36</v>
      </c>
      <c r="C12" s="103" t="s">
        <v>77</v>
      </c>
      <c r="D12" s="104" t="s">
        <v>38</v>
      </c>
      <c r="E12" s="103" t="s">
        <v>54</v>
      </c>
      <c r="F12" s="4"/>
      <c r="G12" s="4"/>
      <c r="H12" s="8"/>
      <c r="I12" s="126"/>
      <c r="J12" s="126"/>
      <c r="K12" s="126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x14ac:dyDescent="0.25">
      <c r="A13" s="92" t="s">
        <v>55</v>
      </c>
      <c r="B13" s="94">
        <f>L2</f>
        <v>23</v>
      </c>
      <c r="C13" s="93">
        <v>115</v>
      </c>
      <c r="D13" s="93"/>
      <c r="E13" s="95"/>
      <c r="I13" s="126"/>
      <c r="J13" s="126"/>
      <c r="K13" s="126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x14ac:dyDescent="0.25">
      <c r="A14" s="94" t="s">
        <v>56</v>
      </c>
      <c r="B14" s="94">
        <v>21</v>
      </c>
      <c r="C14" s="93">
        <v>97.75</v>
      </c>
      <c r="D14" s="94"/>
      <c r="E14" s="95"/>
      <c r="I14" s="126"/>
      <c r="J14" s="126"/>
      <c r="K14" s="126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ht="26.25" x14ac:dyDescent="0.25">
      <c r="A15" s="94" t="s">
        <v>57</v>
      </c>
      <c r="B15" s="96">
        <v>0.3</v>
      </c>
      <c r="C15" s="97">
        <v>0.2</v>
      </c>
      <c r="D15" s="94"/>
      <c r="E15" s="95"/>
      <c r="I15" s="126"/>
      <c r="J15" s="126"/>
      <c r="K15" s="126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ht="26.25" x14ac:dyDescent="0.25">
      <c r="A16" s="94" t="s">
        <v>58</v>
      </c>
      <c r="B16" s="94">
        <f>M2</f>
        <v>21429</v>
      </c>
      <c r="C16" s="98">
        <v>2381</v>
      </c>
      <c r="D16" s="94"/>
      <c r="E16" s="95"/>
      <c r="I16" s="126"/>
      <c r="J16" s="126"/>
      <c r="K16" s="126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x14ac:dyDescent="0.25">
      <c r="A17" s="99" t="s">
        <v>47</v>
      </c>
      <c r="B17" s="94">
        <f>B13*B16</f>
        <v>492867</v>
      </c>
      <c r="C17" s="98">
        <v>482140</v>
      </c>
      <c r="D17" s="94"/>
      <c r="E17" s="95"/>
      <c r="I17" s="126"/>
      <c r="J17" s="126"/>
      <c r="K17" s="126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 x14ac:dyDescent="0.25">
      <c r="A18" s="94" t="s">
        <v>48</v>
      </c>
      <c r="B18" s="100">
        <f>B14*N2</f>
        <v>585011.70000000007</v>
      </c>
      <c r="C18" s="93"/>
      <c r="D18" s="94"/>
      <c r="E18" s="95"/>
      <c r="I18" s="126"/>
      <c r="J18" s="126"/>
      <c r="K18" s="126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x14ac:dyDescent="0.25">
      <c r="A19" s="94" t="s">
        <v>59</v>
      </c>
      <c r="B19" s="101">
        <f>B18-B17</f>
        <v>92144.70000000007</v>
      </c>
      <c r="C19" s="93"/>
      <c r="D19" s="93"/>
      <c r="E19" s="95"/>
      <c r="I19" s="126"/>
      <c r="J19" s="126"/>
      <c r="K19" s="126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x14ac:dyDescent="0.25">
      <c r="A20" s="102"/>
      <c r="B20" s="102"/>
      <c r="C20" s="93"/>
      <c r="D20" s="93"/>
      <c r="E20" s="95"/>
      <c r="H20" s="5"/>
      <c r="I20" s="126"/>
      <c r="J20" s="126"/>
      <c r="K20" s="126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ht="15.75" thickBot="1" x14ac:dyDescent="0.3">
      <c r="A21" s="44"/>
      <c r="B21" s="45"/>
      <c r="C21" s="4"/>
      <c r="D21" s="4"/>
      <c r="H21" s="4"/>
      <c r="I21" s="126"/>
      <c r="J21" s="126"/>
      <c r="K21" s="126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ht="15.75" thickBot="1" x14ac:dyDescent="0.3">
      <c r="A22" s="14"/>
      <c r="B22" s="15"/>
      <c r="C22" s="4"/>
      <c r="D22" s="4"/>
      <c r="H22" s="4"/>
      <c r="I22" s="126"/>
      <c r="J22" s="126"/>
      <c r="K22" s="126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ht="15.75" thickBot="1" x14ac:dyDescent="0.3">
      <c r="A23" s="12"/>
      <c r="B23" s="15"/>
      <c r="C23" s="4"/>
      <c r="D23" s="4"/>
      <c r="H23" s="4"/>
      <c r="I23" s="126"/>
      <c r="J23" s="126"/>
      <c r="K23" s="126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 ht="15.75" thickBot="1" x14ac:dyDescent="0.3">
      <c r="A24" s="12"/>
      <c r="B24" s="15"/>
      <c r="C24" s="4"/>
      <c r="D24" s="4"/>
      <c r="H24" s="4"/>
      <c r="I24" s="126"/>
      <c r="J24" s="126"/>
      <c r="K24" s="126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 ht="15.75" thickBot="1" x14ac:dyDescent="0.3">
      <c r="A25" s="12"/>
      <c r="B25" s="14"/>
      <c r="C25" s="4"/>
      <c r="D25" s="4"/>
      <c r="H25" s="4"/>
      <c r="I25" s="126"/>
      <c r="J25" s="126"/>
      <c r="K25" s="126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 ht="15.75" thickBot="1" x14ac:dyDescent="0.3">
      <c r="A26" s="12"/>
      <c r="B26" s="13"/>
      <c r="C26" s="4"/>
      <c r="D26" s="4"/>
      <c r="H26" s="4"/>
      <c r="I26" s="126"/>
      <c r="J26" s="126"/>
      <c r="K26" s="126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 ht="15.75" thickBot="1" x14ac:dyDescent="0.3">
      <c r="A27" s="14"/>
      <c r="B27" s="14"/>
      <c r="C27" s="4"/>
      <c r="D27" s="4"/>
      <c r="H27" s="4"/>
      <c r="I27" s="126"/>
      <c r="J27" s="126"/>
      <c r="K27" s="126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 ht="15.75" thickBot="1" x14ac:dyDescent="0.3">
      <c r="A28" s="16"/>
      <c r="B28" s="14"/>
      <c r="C28" s="4"/>
      <c r="D28" s="4"/>
      <c r="H28" s="4"/>
      <c r="I28" s="126"/>
      <c r="J28" s="126"/>
      <c r="K28" s="126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ht="15.75" thickBot="1" x14ac:dyDescent="0.3">
      <c r="A29" s="14"/>
      <c r="B29" s="14"/>
      <c r="C29" s="4"/>
      <c r="D29" s="4"/>
      <c r="H29" s="4"/>
      <c r="I29" s="126"/>
      <c r="J29" s="126"/>
      <c r="K29" s="126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 ht="15.75" thickBot="1" x14ac:dyDescent="0.3">
      <c r="A30" s="12"/>
      <c r="B30" s="14"/>
      <c r="C30" s="4"/>
      <c r="D30" s="4"/>
      <c r="H30" s="4"/>
      <c r="I30" s="126"/>
      <c r="J30" s="126"/>
      <c r="K30" s="126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ht="15.75" thickBot="1" x14ac:dyDescent="0.3">
      <c r="A31" s="12"/>
      <c r="B31" s="14"/>
      <c r="C31" s="4"/>
      <c r="D31" s="4"/>
      <c r="E31" s="4"/>
      <c r="F31" s="4"/>
      <c r="G31" s="4"/>
      <c r="H31" s="4"/>
      <c r="I31" s="126"/>
      <c r="J31" s="126"/>
      <c r="K31" s="126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 ht="15.75" thickBot="1" x14ac:dyDescent="0.3">
      <c r="A32" s="12"/>
      <c r="B32" s="17"/>
      <c r="C32" s="4"/>
      <c r="D32" s="4"/>
      <c r="E32" s="4"/>
      <c r="F32" s="4"/>
      <c r="G32" s="4"/>
      <c r="H32" s="4"/>
      <c r="I32" s="126"/>
      <c r="J32" s="126"/>
      <c r="K32" s="126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ht="15.75" thickBot="1" x14ac:dyDescent="0.3">
      <c r="A33" s="14"/>
      <c r="B33" s="14"/>
      <c r="C33" s="4"/>
      <c r="D33" s="4"/>
      <c r="E33" s="4"/>
      <c r="F33" s="4"/>
      <c r="G33" s="4"/>
      <c r="H33" s="4"/>
      <c r="I33" s="126"/>
      <c r="J33" s="126"/>
      <c r="K33" s="126"/>
      <c r="L33" s="4"/>
      <c r="M33" s="4"/>
      <c r="N33" s="4"/>
      <c r="O33" s="4"/>
      <c r="P33" s="4"/>
      <c r="Q33" s="4"/>
      <c r="R33" s="4"/>
      <c r="S33" s="4"/>
      <c r="T33" s="4"/>
      <c r="U33" s="4"/>
    </row>
  </sheetData>
  <autoFilter ref="A1:U1" xr:uid="{3A24F1F8-1404-447C-92F6-135DAA3B0F99}"/>
  <mergeCells count="31">
    <mergeCell ref="I30:K30"/>
    <mergeCell ref="I31:K31"/>
    <mergeCell ref="I32:K32"/>
    <mergeCell ref="I33:K33"/>
    <mergeCell ref="I24:K24"/>
    <mergeCell ref="I25:K25"/>
    <mergeCell ref="I26:K26"/>
    <mergeCell ref="I27:K27"/>
    <mergeCell ref="I28:K28"/>
    <mergeCell ref="I29:K29"/>
    <mergeCell ref="I19:K19"/>
    <mergeCell ref="I20:K20"/>
    <mergeCell ref="I21:K21"/>
    <mergeCell ref="I22:K22"/>
    <mergeCell ref="I23:K23"/>
    <mergeCell ref="I15:K15"/>
    <mergeCell ref="I16:K16"/>
    <mergeCell ref="I17:K17"/>
    <mergeCell ref="I18:K18"/>
    <mergeCell ref="I8:J8"/>
    <mergeCell ref="I9:J9"/>
    <mergeCell ref="I10:K10"/>
    <mergeCell ref="I12:K12"/>
    <mergeCell ref="I13:K13"/>
    <mergeCell ref="I14:K14"/>
    <mergeCell ref="I7:J7"/>
    <mergeCell ref="I2:J2"/>
    <mergeCell ref="I3:J3"/>
    <mergeCell ref="I4:J4"/>
    <mergeCell ref="I5:J5"/>
    <mergeCell ref="I6:J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9D7BD-01A1-4E68-84A5-09D51DAF9D0D}">
  <dimension ref="A1:Q29"/>
  <sheetViews>
    <sheetView workbookViewId="0">
      <selection activeCell="I24" sqref="I24"/>
    </sheetView>
  </sheetViews>
  <sheetFormatPr defaultRowHeight="15" x14ac:dyDescent="0.25"/>
  <cols>
    <col min="1" max="1" width="20.140625" bestFit="1" customWidth="1"/>
    <col min="2" max="2" width="23.140625" bestFit="1" customWidth="1"/>
    <col min="3" max="3" width="20.42578125" bestFit="1" customWidth="1"/>
    <col min="4" max="4" width="13.7109375" bestFit="1" customWidth="1"/>
    <col min="5" max="5" width="14" customWidth="1"/>
    <col min="6" max="7" width="20.140625" bestFit="1" customWidth="1"/>
    <col min="8" max="8" width="11" customWidth="1"/>
    <col min="9" max="9" width="10.7109375" bestFit="1" customWidth="1"/>
    <col min="10" max="10" width="12.5703125" bestFit="1" customWidth="1"/>
    <col min="11" max="11" width="9.7109375" customWidth="1"/>
    <col min="12" max="12" width="10.7109375" bestFit="1" customWidth="1"/>
    <col min="13" max="13" width="12.5703125" bestFit="1" customWidth="1"/>
    <col min="14" max="14" width="11.5703125" customWidth="1"/>
    <col min="15" max="15" width="10.7109375" bestFit="1" customWidth="1"/>
    <col min="16" max="16" width="9.42578125" customWidth="1"/>
    <col min="17" max="17" width="10.42578125" customWidth="1"/>
    <col min="18" max="18" width="15.7109375" bestFit="1" customWidth="1"/>
  </cols>
  <sheetData>
    <row r="1" spans="1:17" s="61" customFormat="1" x14ac:dyDescent="0.25">
      <c r="A1" s="64" t="s">
        <v>1</v>
      </c>
      <c r="B1" s="64" t="s">
        <v>2</v>
      </c>
      <c r="C1" s="64" t="s">
        <v>3</v>
      </c>
      <c r="D1" s="64" t="s">
        <v>4</v>
      </c>
      <c r="E1" s="65" t="s">
        <v>5</v>
      </c>
      <c r="F1" s="65" t="s">
        <v>101</v>
      </c>
      <c r="G1" s="65" t="s">
        <v>115</v>
      </c>
      <c r="H1" s="66" t="s">
        <v>44</v>
      </c>
      <c r="I1" s="66" t="s">
        <v>45</v>
      </c>
      <c r="J1" s="66" t="s">
        <v>34</v>
      </c>
      <c r="K1" s="63" t="s">
        <v>46</v>
      </c>
      <c r="L1" s="63" t="s">
        <v>47</v>
      </c>
      <c r="M1" s="63" t="s">
        <v>67</v>
      </c>
      <c r="N1" s="63" t="s">
        <v>20</v>
      </c>
      <c r="O1" s="63" t="s">
        <v>49</v>
      </c>
      <c r="P1" s="63" t="s">
        <v>50</v>
      </c>
      <c r="Q1" s="63" t="s">
        <v>51</v>
      </c>
    </row>
    <row r="2" spans="1:17" x14ac:dyDescent="0.25">
      <c r="A2" s="53" t="s">
        <v>169</v>
      </c>
      <c r="B2" s="53" t="s">
        <v>6</v>
      </c>
      <c r="C2" s="53" t="s">
        <v>7</v>
      </c>
      <c r="D2" s="53" t="s">
        <v>8</v>
      </c>
      <c r="E2" s="53" t="s">
        <v>9</v>
      </c>
      <c r="F2" s="53">
        <v>250</v>
      </c>
      <c r="G2" s="54" t="s">
        <v>109</v>
      </c>
      <c r="H2" s="40">
        <f>'Pricing Arch'!F2</f>
        <v>23</v>
      </c>
      <c r="I2" s="40">
        <f>'Value Chain Str'!O2</f>
        <v>21429</v>
      </c>
      <c r="J2" s="55">
        <f>I2*(1+TPM!B15)</f>
        <v>27857.7</v>
      </c>
      <c r="K2" s="11">
        <v>0.3</v>
      </c>
      <c r="L2" s="40">
        <f t="shared" ref="L2:L9" si="0">H2*I2</f>
        <v>492867</v>
      </c>
      <c r="M2" s="40">
        <f t="shared" ref="M2:M9" si="1">H2*J2</f>
        <v>640727.1</v>
      </c>
      <c r="N2" s="40">
        <f>M2-L2</f>
        <v>147860.09999999998</v>
      </c>
      <c r="O2" s="40">
        <f>TPM!S2</f>
        <v>12857.400000000001</v>
      </c>
      <c r="P2" s="11">
        <f>(M2-L2)/M2</f>
        <v>0.23076923076923075</v>
      </c>
      <c r="Q2" s="11">
        <f>N2/O2</f>
        <v>11.499999999999996</v>
      </c>
    </row>
    <row r="3" spans="1:17" x14ac:dyDescent="0.25">
      <c r="A3" s="53" t="s">
        <v>169</v>
      </c>
      <c r="B3" s="53" t="s">
        <v>6</v>
      </c>
      <c r="C3" s="53" t="s">
        <v>7</v>
      </c>
      <c r="D3" s="53" t="s">
        <v>8</v>
      </c>
      <c r="E3" s="53" t="s">
        <v>10</v>
      </c>
      <c r="F3" s="53">
        <v>250</v>
      </c>
      <c r="G3" s="54" t="s">
        <v>110</v>
      </c>
      <c r="H3" s="40">
        <f>'Pricing Arch'!F3</f>
        <v>27</v>
      </c>
      <c r="I3" s="40">
        <f>'Value Chain Str'!O3</f>
        <v>9783</v>
      </c>
      <c r="J3" s="55">
        <f t="shared" ref="J3:J9" si="2">I3*(1+K3)</f>
        <v>12717.9</v>
      </c>
      <c r="K3" s="11">
        <v>0.3</v>
      </c>
      <c r="L3" s="40">
        <f t="shared" si="0"/>
        <v>264141</v>
      </c>
      <c r="M3" s="40">
        <f t="shared" si="1"/>
        <v>343383.3</v>
      </c>
      <c r="N3" s="40">
        <f t="shared" ref="N3:N9" si="3">M3-L3</f>
        <v>79242.299999999988</v>
      </c>
      <c r="O3" s="40">
        <v>25000</v>
      </c>
      <c r="P3" s="11">
        <f t="shared" ref="P3:P9" si="4">(M3-L3)/M3</f>
        <v>0.23076923076923075</v>
      </c>
      <c r="Q3" s="11">
        <f t="shared" ref="Q3:Q9" si="5">N3/O3</f>
        <v>3.1696919999999995</v>
      </c>
    </row>
    <row r="4" spans="1:17" x14ac:dyDescent="0.25">
      <c r="A4" s="53" t="s">
        <v>169</v>
      </c>
      <c r="B4" s="53" t="s">
        <v>6</v>
      </c>
      <c r="C4" s="53" t="s">
        <v>7</v>
      </c>
      <c r="D4" s="53" t="s">
        <v>8</v>
      </c>
      <c r="E4" s="53" t="s">
        <v>11</v>
      </c>
      <c r="F4" s="53">
        <v>250</v>
      </c>
      <c r="G4" s="54" t="s">
        <v>112</v>
      </c>
      <c r="H4" s="40">
        <f>'Pricing Arch'!F4</f>
        <v>23</v>
      </c>
      <c r="I4" s="40">
        <f>'Value Chain Str'!O4</f>
        <v>18750</v>
      </c>
      <c r="J4" s="55">
        <f t="shared" si="2"/>
        <v>24375</v>
      </c>
      <c r="K4" s="11">
        <v>0.3</v>
      </c>
      <c r="L4" s="40">
        <f t="shared" si="0"/>
        <v>431250</v>
      </c>
      <c r="M4" s="40">
        <f t="shared" si="1"/>
        <v>560625</v>
      </c>
      <c r="N4" s="40">
        <f t="shared" si="3"/>
        <v>129375</v>
      </c>
      <c r="O4" s="40">
        <v>40000</v>
      </c>
      <c r="P4" s="11">
        <f t="shared" si="4"/>
        <v>0.23076923076923078</v>
      </c>
      <c r="Q4" s="11">
        <f t="shared" si="5"/>
        <v>3.234375</v>
      </c>
    </row>
    <row r="5" spans="1:17" x14ac:dyDescent="0.25">
      <c r="A5" s="53" t="s">
        <v>169</v>
      </c>
      <c r="B5" s="53" t="s">
        <v>6</v>
      </c>
      <c r="C5" s="53" t="s">
        <v>7</v>
      </c>
      <c r="D5" s="53" t="s">
        <v>8</v>
      </c>
      <c r="E5" s="53" t="s">
        <v>9</v>
      </c>
      <c r="F5" s="53">
        <v>500</v>
      </c>
      <c r="G5" s="54" t="s">
        <v>111</v>
      </c>
      <c r="H5" s="40">
        <f>'Pricing Arch'!F5</f>
        <v>37</v>
      </c>
      <c r="I5" s="40">
        <f>'Value Chain Str'!O5</f>
        <v>7258</v>
      </c>
      <c r="J5" s="55">
        <f t="shared" si="2"/>
        <v>9435.4</v>
      </c>
      <c r="K5" s="11">
        <v>0.3</v>
      </c>
      <c r="L5" s="40">
        <f t="shared" si="0"/>
        <v>268546</v>
      </c>
      <c r="M5" s="40">
        <f t="shared" si="1"/>
        <v>349109.8</v>
      </c>
      <c r="N5" s="40">
        <f t="shared" si="3"/>
        <v>80563.799999999988</v>
      </c>
      <c r="O5" s="40">
        <v>10000</v>
      </c>
      <c r="P5" s="11">
        <f t="shared" si="4"/>
        <v>0.23076923076923075</v>
      </c>
      <c r="Q5" s="11">
        <f t="shared" si="5"/>
        <v>8.056379999999999</v>
      </c>
    </row>
    <row r="6" spans="1:17" x14ac:dyDescent="0.25">
      <c r="A6" s="53" t="s">
        <v>169</v>
      </c>
      <c r="B6" s="53" t="s">
        <v>6</v>
      </c>
      <c r="C6" s="53" t="s">
        <v>7</v>
      </c>
      <c r="D6" s="53" t="s">
        <v>8</v>
      </c>
      <c r="E6" s="53" t="s">
        <v>10</v>
      </c>
      <c r="F6" s="53">
        <v>500</v>
      </c>
      <c r="G6" s="54" t="s">
        <v>109</v>
      </c>
      <c r="H6" s="40">
        <f>'Pricing Arch'!F6</f>
        <v>45</v>
      </c>
      <c r="I6" s="40">
        <f>'Value Chain Str'!O6</f>
        <v>4110</v>
      </c>
      <c r="J6" s="55">
        <f t="shared" si="2"/>
        <v>5343</v>
      </c>
      <c r="K6" s="11">
        <v>0.3</v>
      </c>
      <c r="L6" s="40">
        <f t="shared" si="0"/>
        <v>184950</v>
      </c>
      <c r="M6" s="40">
        <f t="shared" si="1"/>
        <v>240435</v>
      </c>
      <c r="N6" s="40">
        <f t="shared" si="3"/>
        <v>55485</v>
      </c>
      <c r="O6" s="40">
        <v>20000</v>
      </c>
      <c r="P6" s="11">
        <f t="shared" si="4"/>
        <v>0.23076923076923078</v>
      </c>
      <c r="Q6" s="11">
        <f t="shared" si="5"/>
        <v>2.7742499999999999</v>
      </c>
    </row>
    <row r="7" spans="1:17" x14ac:dyDescent="0.25">
      <c r="A7" s="53" t="s">
        <v>169</v>
      </c>
      <c r="B7" s="53" t="s">
        <v>6</v>
      </c>
      <c r="C7" s="53" t="s">
        <v>7</v>
      </c>
      <c r="D7" s="53" t="s">
        <v>8</v>
      </c>
      <c r="E7" s="53" t="s">
        <v>11</v>
      </c>
      <c r="F7" s="53">
        <v>500</v>
      </c>
      <c r="G7" s="54" t="s">
        <v>109</v>
      </c>
      <c r="H7" s="40">
        <f>'Pricing Arch'!F7</f>
        <v>40</v>
      </c>
      <c r="I7" s="40">
        <f>'Value Chain Str'!O7</f>
        <v>4580</v>
      </c>
      <c r="J7" s="55">
        <f t="shared" si="2"/>
        <v>5954</v>
      </c>
      <c r="K7" s="11">
        <v>0.3</v>
      </c>
      <c r="L7" s="40">
        <f t="shared" si="0"/>
        <v>183200</v>
      </c>
      <c r="M7" s="40">
        <f t="shared" si="1"/>
        <v>238160</v>
      </c>
      <c r="N7" s="40">
        <f t="shared" si="3"/>
        <v>54960</v>
      </c>
      <c r="O7" s="40">
        <v>10000</v>
      </c>
      <c r="P7" s="11">
        <f t="shared" si="4"/>
        <v>0.23076923076923078</v>
      </c>
      <c r="Q7" s="11">
        <f t="shared" si="5"/>
        <v>5.4960000000000004</v>
      </c>
    </row>
    <row r="8" spans="1:17" x14ac:dyDescent="0.25">
      <c r="A8" s="53" t="s">
        <v>169</v>
      </c>
      <c r="B8" s="53" t="s">
        <v>6</v>
      </c>
      <c r="C8" s="53" t="s">
        <v>7</v>
      </c>
      <c r="D8" s="53" t="s">
        <v>8</v>
      </c>
      <c r="E8" s="53" t="s">
        <v>9</v>
      </c>
      <c r="F8" s="53">
        <v>750</v>
      </c>
      <c r="G8" s="54" t="s">
        <v>110</v>
      </c>
      <c r="H8" s="40">
        <f>'Pricing Arch'!F8</f>
        <v>70</v>
      </c>
      <c r="I8" s="40">
        <f>'Value Chain Str'!O8</f>
        <v>1515</v>
      </c>
      <c r="J8" s="55">
        <f t="shared" si="2"/>
        <v>1969.5</v>
      </c>
      <c r="K8" s="11">
        <v>0.3</v>
      </c>
      <c r="L8" s="40">
        <f t="shared" si="0"/>
        <v>106050</v>
      </c>
      <c r="M8" s="40">
        <f t="shared" si="1"/>
        <v>137865</v>
      </c>
      <c r="N8" s="40">
        <f t="shared" si="3"/>
        <v>31815</v>
      </c>
      <c r="O8" s="40">
        <v>5000</v>
      </c>
      <c r="P8" s="11">
        <f t="shared" si="4"/>
        <v>0.23076923076923078</v>
      </c>
      <c r="Q8" s="11">
        <f t="shared" si="5"/>
        <v>6.3630000000000004</v>
      </c>
    </row>
    <row r="9" spans="1:17" x14ac:dyDescent="0.25">
      <c r="A9" s="53" t="s">
        <v>169</v>
      </c>
      <c r="B9" s="53" t="s">
        <v>6</v>
      </c>
      <c r="C9" s="53" t="s">
        <v>7</v>
      </c>
      <c r="D9" s="53" t="s">
        <v>8</v>
      </c>
      <c r="E9" s="53" t="s">
        <v>9</v>
      </c>
      <c r="F9" s="53">
        <v>1000</v>
      </c>
      <c r="G9" s="54" t="s">
        <v>110</v>
      </c>
      <c r="H9" s="40">
        <f>'Pricing Arch'!F9</f>
        <v>80</v>
      </c>
      <c r="I9" s="40">
        <f>'Value Chain Str'!O9</f>
        <v>1250</v>
      </c>
      <c r="J9" s="55">
        <f t="shared" si="2"/>
        <v>1625</v>
      </c>
      <c r="K9" s="11">
        <v>0.3</v>
      </c>
      <c r="L9" s="40">
        <f t="shared" si="0"/>
        <v>100000</v>
      </c>
      <c r="M9" s="40">
        <f t="shared" si="1"/>
        <v>130000</v>
      </c>
      <c r="N9" s="40">
        <f t="shared" si="3"/>
        <v>30000</v>
      </c>
      <c r="O9" s="40">
        <v>5000</v>
      </c>
      <c r="P9" s="11">
        <f t="shared" si="4"/>
        <v>0.23076923076923078</v>
      </c>
      <c r="Q9" s="11">
        <f t="shared" si="5"/>
        <v>6</v>
      </c>
    </row>
    <row r="11" spans="1:17" x14ac:dyDescent="0.25">
      <c r="A11" s="23" t="s">
        <v>28</v>
      </c>
      <c r="B11" s="23" t="s">
        <v>71</v>
      </c>
      <c r="C11" s="23" t="s">
        <v>70</v>
      </c>
      <c r="F11" s="21" t="s">
        <v>28</v>
      </c>
      <c r="G11" s="21" t="s">
        <v>69</v>
      </c>
      <c r="H11" s="21" t="s">
        <v>68</v>
      </c>
    </row>
    <row r="12" spans="1:17" x14ac:dyDescent="0.25">
      <c r="A12" s="24" t="s">
        <v>63</v>
      </c>
      <c r="B12" s="58">
        <v>349109.8</v>
      </c>
      <c r="C12" s="56">
        <v>8.056379999999999</v>
      </c>
      <c r="F12" s="22" t="s">
        <v>63</v>
      </c>
      <c r="G12" s="57">
        <v>10000</v>
      </c>
      <c r="H12" s="57">
        <v>80563.799999999988</v>
      </c>
    </row>
    <row r="13" spans="1:17" x14ac:dyDescent="0.25">
      <c r="A13" s="24" t="s">
        <v>62</v>
      </c>
      <c r="B13" s="58">
        <v>560625</v>
      </c>
      <c r="C13" s="56">
        <v>3.234375</v>
      </c>
      <c r="F13" s="22" t="s">
        <v>62</v>
      </c>
      <c r="G13" s="57">
        <v>40000</v>
      </c>
      <c r="H13" s="57">
        <v>129375</v>
      </c>
    </row>
    <row r="14" spans="1:17" x14ac:dyDescent="0.25">
      <c r="A14" s="24" t="s">
        <v>35</v>
      </c>
      <c r="B14" s="58">
        <v>1119322.1000000001</v>
      </c>
      <c r="C14" s="56">
        <v>19.770249999999997</v>
      </c>
      <c r="F14" s="22" t="s">
        <v>35</v>
      </c>
      <c r="G14" s="57">
        <v>42857.4</v>
      </c>
      <c r="H14" s="57">
        <v>258305.09999999998</v>
      </c>
    </row>
    <row r="15" spans="1:17" x14ac:dyDescent="0.25">
      <c r="A15" s="24" t="s">
        <v>37</v>
      </c>
      <c r="B15" s="58">
        <v>481248.3</v>
      </c>
      <c r="C15" s="56">
        <v>9.5326920000000008</v>
      </c>
      <c r="F15" s="22" t="s">
        <v>37</v>
      </c>
      <c r="G15" s="57">
        <v>35000</v>
      </c>
      <c r="H15" s="57">
        <v>141057.29999999999</v>
      </c>
    </row>
    <row r="16" spans="1:17" x14ac:dyDescent="0.25">
      <c r="A16" s="24" t="s">
        <v>16</v>
      </c>
      <c r="B16" s="58">
        <v>2510305.2000000002</v>
      </c>
      <c r="C16" s="56">
        <v>40.593696999999992</v>
      </c>
      <c r="F16" s="22" t="s">
        <v>16</v>
      </c>
      <c r="G16" s="57">
        <v>127857.4</v>
      </c>
      <c r="H16" s="57">
        <v>609301.19999999995</v>
      </c>
    </row>
    <row r="19" spans="1:13" x14ac:dyDescent="0.25">
      <c r="A19" s="27" t="s">
        <v>73</v>
      </c>
      <c r="B19" s="25"/>
      <c r="C19" s="25"/>
      <c r="D19" s="25"/>
      <c r="E19" s="25"/>
    </row>
    <row r="20" spans="1:13" x14ac:dyDescent="0.25">
      <c r="A20" s="19"/>
    </row>
    <row r="21" spans="1:13" x14ac:dyDescent="0.25">
      <c r="A21" s="28" t="s">
        <v>28</v>
      </c>
      <c r="B21" s="28" t="s">
        <v>44</v>
      </c>
      <c r="C21" s="28" t="s">
        <v>45</v>
      </c>
      <c r="D21" s="28" t="s">
        <v>34</v>
      </c>
      <c r="E21" s="28" t="s">
        <v>47</v>
      </c>
      <c r="F21" s="28" t="s">
        <v>72</v>
      </c>
      <c r="G21" s="28" t="s">
        <v>67</v>
      </c>
      <c r="H21" s="26"/>
    </row>
    <row r="22" spans="1:13" x14ac:dyDescent="0.25">
      <c r="A22" s="29" t="s">
        <v>35</v>
      </c>
      <c r="B22" s="59">
        <f>H2</f>
        <v>23</v>
      </c>
      <c r="C22" s="59">
        <f>I2</f>
        <v>21429</v>
      </c>
      <c r="D22" s="60">
        <v>27857.695652173912</v>
      </c>
      <c r="E22" s="59">
        <f>B22*C22</f>
        <v>492867</v>
      </c>
      <c r="F22" s="30">
        <v>0.3</v>
      </c>
      <c r="G22" s="59">
        <f>E22*(1+F22)</f>
        <v>640727.1</v>
      </c>
      <c r="H22">
        <f>B22*D22</f>
        <v>640727</v>
      </c>
    </row>
    <row r="23" spans="1:13" x14ac:dyDescent="0.25">
      <c r="A23" s="29" t="s">
        <v>37</v>
      </c>
      <c r="B23" s="59">
        <f t="shared" ref="B23:B29" si="6">H3</f>
        <v>27</v>
      </c>
      <c r="C23" s="59">
        <f t="shared" ref="C23:C29" si="7">I3</f>
        <v>9783</v>
      </c>
      <c r="D23" s="60"/>
      <c r="E23" s="59">
        <f t="shared" ref="E23:E29" si="8">L3</f>
        <v>264141</v>
      </c>
      <c r="F23" s="30">
        <v>0.3</v>
      </c>
      <c r="G23" s="59"/>
    </row>
    <row r="24" spans="1:13" x14ac:dyDescent="0.25">
      <c r="A24" s="29" t="s">
        <v>62</v>
      </c>
      <c r="B24" s="59">
        <f t="shared" si="6"/>
        <v>23</v>
      </c>
      <c r="C24" s="59">
        <f t="shared" si="7"/>
        <v>18750</v>
      </c>
      <c r="D24" s="60"/>
      <c r="E24" s="59">
        <f t="shared" si="8"/>
        <v>431250</v>
      </c>
      <c r="F24" s="30">
        <v>0.3</v>
      </c>
      <c r="G24" s="59"/>
      <c r="M24">
        <v>8</v>
      </c>
    </row>
    <row r="25" spans="1:13" x14ac:dyDescent="0.25">
      <c r="A25" s="31" t="s">
        <v>63</v>
      </c>
      <c r="B25" s="59">
        <f t="shared" si="6"/>
        <v>37</v>
      </c>
      <c r="C25" s="59">
        <f t="shared" si="7"/>
        <v>7258</v>
      </c>
      <c r="D25" s="60"/>
      <c r="E25" s="59">
        <f t="shared" si="8"/>
        <v>268546</v>
      </c>
      <c r="F25" s="30">
        <v>0.2</v>
      </c>
      <c r="G25" s="59"/>
    </row>
    <row r="26" spans="1:13" x14ac:dyDescent="0.25">
      <c r="A26" s="29" t="s">
        <v>35</v>
      </c>
      <c r="B26" s="59">
        <f t="shared" si="6"/>
        <v>45</v>
      </c>
      <c r="C26" s="59">
        <f t="shared" si="7"/>
        <v>4110</v>
      </c>
      <c r="D26" s="60"/>
      <c r="E26" s="59">
        <f t="shared" si="8"/>
        <v>184950</v>
      </c>
      <c r="F26" s="30">
        <v>0.3</v>
      </c>
      <c r="G26" s="59"/>
    </row>
    <row r="27" spans="1:13" x14ac:dyDescent="0.25">
      <c r="A27" s="29" t="s">
        <v>35</v>
      </c>
      <c r="B27" s="59">
        <f t="shared" si="6"/>
        <v>40</v>
      </c>
      <c r="C27" s="59">
        <f t="shared" si="7"/>
        <v>4580</v>
      </c>
      <c r="D27" s="60"/>
      <c r="E27" s="59">
        <f t="shared" si="8"/>
        <v>183200</v>
      </c>
      <c r="F27" s="30">
        <v>0.3</v>
      </c>
      <c r="G27" s="59"/>
    </row>
    <row r="28" spans="1:13" x14ac:dyDescent="0.25">
      <c r="A28" s="29" t="s">
        <v>37</v>
      </c>
      <c r="B28" s="59">
        <f t="shared" si="6"/>
        <v>70</v>
      </c>
      <c r="C28" s="59">
        <f t="shared" si="7"/>
        <v>1515</v>
      </c>
      <c r="D28" s="60"/>
      <c r="E28" s="59">
        <f t="shared" si="8"/>
        <v>106050</v>
      </c>
      <c r="F28" s="30">
        <v>0.3</v>
      </c>
      <c r="G28" s="59"/>
    </row>
    <row r="29" spans="1:13" x14ac:dyDescent="0.25">
      <c r="A29" s="29" t="s">
        <v>35</v>
      </c>
      <c r="B29" s="59">
        <f t="shared" si="6"/>
        <v>80</v>
      </c>
      <c r="C29" s="59">
        <f t="shared" si="7"/>
        <v>1250</v>
      </c>
      <c r="D29" s="60"/>
      <c r="E29" s="59">
        <f t="shared" si="8"/>
        <v>100000</v>
      </c>
      <c r="F29" s="30">
        <v>0.3</v>
      </c>
      <c r="G29" s="59"/>
    </row>
  </sheetData>
  <autoFilter ref="A1:Q1" xr:uid="{3219D7BD-01A1-4E68-84A5-09D51DAF9D0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Problem</vt:lpstr>
      <vt:lpstr>Value Chain</vt:lpstr>
      <vt:lpstr>Hyperdrive Value Chain</vt:lpstr>
      <vt:lpstr>Value Chain Str</vt:lpstr>
      <vt:lpstr>Pricing Arch</vt:lpstr>
      <vt:lpstr>GL Code</vt:lpstr>
      <vt:lpstr>TFM</vt:lpstr>
      <vt:lpstr>TPM</vt:lpstr>
      <vt:lpstr>RGM</vt:lpstr>
      <vt:lpstr>Dashboard</vt:lpstr>
      <vt:lpstr>Link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CHD1</dc:creator>
  <cp:lastModifiedBy>Rahul Kumar</cp:lastModifiedBy>
  <dcterms:created xsi:type="dcterms:W3CDTF">2015-06-05T18:17:20Z</dcterms:created>
  <dcterms:modified xsi:type="dcterms:W3CDTF">2025-03-25T04:34:42Z</dcterms:modified>
</cp:coreProperties>
</file>