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        数学建模\2021-7-19暑期训练\2106-数据分析-疫苗生产问题\"/>
    </mc:Choice>
  </mc:AlternateContent>
  <xr:revisionPtr revIDLastSave="0" documentId="13_ncr:1_{F73D6A67-17E9-4BAC-AEEA-21BB999F89E1}" xr6:coauthVersionLast="47" xr6:coauthVersionMax="47" xr10:uidLastSave="{00000000-0000-0000-0000-000000000000}"/>
  <bookViews>
    <workbookView xWindow="-108" yWindow="-108" windowWidth="23256" windowHeight="12576" xr2:uid="{D8C77B7A-561D-4125-9337-184BE8C38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T31" i="1"/>
  <c r="N35" i="1"/>
  <c r="M35" i="1"/>
  <c r="M34" i="1"/>
  <c r="U10" i="1"/>
  <c r="U8" i="1"/>
  <c r="L34" i="1"/>
  <c r="L35" i="1"/>
  <c r="L36" i="1"/>
  <c r="L33" i="1"/>
  <c r="S23" i="1"/>
  <c r="S28" i="1" s="1"/>
  <c r="S20" i="1"/>
  <c r="T20" i="1" s="1"/>
  <c r="T21" i="1" s="1"/>
  <c r="T22" i="1" s="1"/>
  <c r="T27" i="1" s="1"/>
  <c r="P15" i="1"/>
  <c r="P16" i="1" s="1"/>
  <c r="P17" i="1" s="1"/>
  <c r="Q17" i="1" s="1"/>
  <c r="F29" i="1"/>
  <c r="G29" i="1"/>
  <c r="H29" i="1"/>
  <c r="I29" i="1"/>
  <c r="J29" i="1"/>
  <c r="K29" i="1"/>
  <c r="L29" i="1"/>
  <c r="M29" i="1"/>
  <c r="N29" i="1"/>
  <c r="E29" i="1"/>
  <c r="T23" i="1" l="1"/>
  <c r="T28" i="1" s="1"/>
  <c r="T25" i="1"/>
  <c r="T26" i="1"/>
  <c r="U20" i="1"/>
  <c r="S21" i="1"/>
  <c r="B13" i="1"/>
  <c r="U21" i="1" l="1"/>
  <c r="V20" i="1"/>
  <c r="U25" i="1"/>
  <c r="S22" i="1"/>
  <c r="S27" i="1" s="1"/>
  <c r="S26" i="1"/>
  <c r="V21" i="1" l="1"/>
  <c r="U22" i="1"/>
  <c r="U26" i="1"/>
  <c r="W20" i="1"/>
  <c r="V25" i="1"/>
  <c r="U27" i="1" l="1"/>
  <c r="V22" i="1"/>
  <c r="U23" i="1"/>
  <c r="W21" i="1"/>
  <c r="V26" i="1"/>
  <c r="X20" i="1"/>
  <c r="W25" i="1"/>
  <c r="V27" i="1" l="1"/>
  <c r="W22" i="1"/>
  <c r="U28" i="1"/>
  <c r="V23" i="1"/>
  <c r="Y20" i="1"/>
  <c r="X25" i="1"/>
  <c r="X21" i="1"/>
  <c r="W26" i="1"/>
  <c r="W27" i="1" l="1"/>
  <c r="X22" i="1"/>
  <c r="Y21" i="1"/>
  <c r="X26" i="1"/>
  <c r="Y25" i="1"/>
  <c r="R36" i="1" s="1"/>
  <c r="R31" i="1"/>
  <c r="V28" i="1"/>
  <c r="W23" i="1"/>
  <c r="X23" i="1" l="1"/>
  <c r="W28" i="1"/>
  <c r="Y26" i="1"/>
  <c r="R37" i="1" s="1"/>
  <c r="R32" i="1"/>
  <c r="S32" i="1" s="1"/>
  <c r="S36" i="1"/>
  <c r="T36" i="1" s="1"/>
  <c r="U36" i="1" s="1"/>
  <c r="V36" i="1" s="1"/>
  <c r="W36" i="1" s="1"/>
  <c r="U31" i="1"/>
  <c r="V31" i="1" s="1"/>
  <c r="W31" i="1" s="1"/>
  <c r="X31" i="1" s="1"/>
  <c r="Y31" i="1" s="1"/>
  <c r="R42" i="1" s="1"/>
  <c r="R47" i="1" s="1"/>
  <c r="Y22" i="1"/>
  <c r="X27" i="1"/>
  <c r="X28" i="1" l="1"/>
  <c r="Y23" i="1"/>
  <c r="Y27" i="1"/>
  <c r="R38" i="1" s="1"/>
  <c r="R33" i="1"/>
  <c r="S37" i="1"/>
  <c r="T37" i="1" s="1"/>
  <c r="U37" i="1" s="1"/>
  <c r="T32" i="1"/>
  <c r="U32" i="1" s="1"/>
  <c r="V32" i="1" s="1"/>
  <c r="S33" i="1"/>
  <c r="Y28" i="1" l="1"/>
  <c r="R39" i="1" s="1"/>
  <c r="R34" i="1"/>
  <c r="S34" i="1" s="1"/>
  <c r="S38" i="1"/>
  <c r="T38" i="1" s="1"/>
  <c r="U38" i="1" s="1"/>
  <c r="T33" i="1"/>
  <c r="U33" i="1" s="1"/>
  <c r="V33" i="1" s="1"/>
  <c r="V37" i="1"/>
  <c r="W37" i="1" s="1"/>
  <c r="W32" i="1"/>
  <c r="X32" i="1" s="1"/>
  <c r="X37" i="1" l="1"/>
  <c r="Y32" i="1"/>
  <c r="R43" i="1" s="1"/>
  <c r="S39" i="1"/>
  <c r="T39" i="1" s="1"/>
  <c r="U39" i="1" s="1"/>
  <c r="T34" i="1"/>
  <c r="U34" i="1" s="1"/>
  <c r="V34" i="1" s="1"/>
  <c r="V38" i="1"/>
  <c r="W38" i="1" s="1"/>
  <c r="W33" i="1"/>
  <c r="X33" i="1" s="1"/>
  <c r="Y33" i="1" l="1"/>
  <c r="R44" i="1" s="1"/>
  <c r="Y37" i="1"/>
  <c r="R48" i="1" s="1"/>
  <c r="V39" i="1"/>
  <c r="W39" i="1" s="1"/>
  <c r="W34" i="1"/>
  <c r="X34" i="1" s="1"/>
  <c r="X38" i="1"/>
  <c r="Y34" i="1" l="1"/>
  <c r="R45" i="1" s="1"/>
  <c r="Y38" i="1"/>
  <c r="R49" i="1" s="1"/>
  <c r="X39" i="1"/>
  <c r="Y39" i="1" l="1"/>
  <c r="R50" i="1" s="1"/>
</calcChain>
</file>

<file path=xl/sharedStrings.xml><?xml version="1.0" encoding="utf-8"?>
<sst xmlns="http://schemas.openxmlformats.org/spreadsheetml/2006/main" count="95" uniqueCount="63">
  <si>
    <t>The vaccine type</t>
  </si>
  <si>
    <t>Number of tasks (10000 doses)</t>
    <phoneticPr fontId="3" type="noConversion"/>
  </si>
  <si>
    <t>Ex-factory price(USD/dose)</t>
    <phoneticPr fontId="3" type="noConversion"/>
  </si>
  <si>
    <t>疫苗类型</t>
    <phoneticPr fontId="3" type="noConversion"/>
  </si>
  <si>
    <t>任务数量（万剂）</t>
    <phoneticPr fontId="3" type="noConversion"/>
  </si>
  <si>
    <t>出厂价格（美元/剂）</t>
    <phoneticPr fontId="3" type="noConversion"/>
  </si>
  <si>
    <r>
      <t>Y</t>
    </r>
    <r>
      <rPr>
        <sz val="12"/>
        <rFont val="宋体"/>
        <charset val="134"/>
      </rPr>
      <t>M1</t>
    </r>
    <phoneticPr fontId="3" type="noConversion"/>
  </si>
  <si>
    <r>
      <t>Y</t>
    </r>
    <r>
      <rPr>
        <sz val="12"/>
        <rFont val="宋体"/>
        <charset val="134"/>
      </rPr>
      <t>M2</t>
    </r>
    <phoneticPr fontId="3" type="noConversion"/>
  </si>
  <si>
    <t>YM3</t>
    <phoneticPr fontId="3" type="noConversion"/>
  </si>
  <si>
    <t>YM4</t>
    <phoneticPr fontId="3" type="noConversion"/>
  </si>
  <si>
    <t>YM5</t>
    <phoneticPr fontId="3" type="noConversion"/>
  </si>
  <si>
    <t>YM6</t>
    <phoneticPr fontId="3" type="noConversion"/>
  </si>
  <si>
    <t>YM7</t>
    <phoneticPr fontId="3" type="noConversion"/>
  </si>
  <si>
    <t>YM8</t>
    <phoneticPr fontId="3" type="noConversion"/>
  </si>
  <si>
    <t>YM9</t>
    <phoneticPr fontId="3" type="noConversion"/>
  </si>
  <si>
    <t>YM10</t>
    <phoneticPr fontId="3" type="noConversion"/>
  </si>
  <si>
    <t xml:space="preserve">合计Total </t>
    <phoneticPr fontId="3" type="noConversion"/>
  </si>
  <si>
    <t>quantities（doses）</t>
    <phoneticPr fontId="2" type="noConversion"/>
  </si>
  <si>
    <t>每工位的多余时间</t>
    <phoneticPr fontId="2" type="noConversion"/>
  </si>
  <si>
    <t>线性规划结果：产量（剂）</t>
    <phoneticPr fontId="2" type="noConversion"/>
  </si>
  <si>
    <t>第 1 个工位剩余时间： 17.2175</t>
  </si>
  <si>
    <t>第 2 个工位剩余时间： 300.2219</t>
  </si>
  <si>
    <t>第 3 个工位剩余时间： 7910.1760</t>
  </si>
  <si>
    <t>第 4 个工位剩余时间： 13.2403</t>
  </si>
  <si>
    <t>加粗的存在小数</t>
    <phoneticPr fontId="2" type="noConversion"/>
  </si>
  <si>
    <t>工位1</t>
    <phoneticPr fontId="2" type="noConversion"/>
  </si>
  <si>
    <t>工位2</t>
    <phoneticPr fontId="2" type="noConversion"/>
  </si>
  <si>
    <t>工位3</t>
  </si>
  <si>
    <t>工位4</t>
  </si>
  <si>
    <t>未产满</t>
    <phoneticPr fontId="2" type="noConversion"/>
  </si>
  <si>
    <t>剩余时间</t>
    <phoneticPr fontId="2" type="noConversion"/>
  </si>
  <si>
    <t>头</t>
    <phoneticPr fontId="2" type="noConversion"/>
  </si>
  <si>
    <t>尾</t>
    <phoneticPr fontId="2" type="noConversion"/>
  </si>
  <si>
    <t>第 1 个工位剩余时间： 28.3776</t>
  </si>
  <si>
    <t>第 2 个工位剩余时间： 316.7180</t>
  </si>
  <si>
    <t>第 3 个工位剩余时间： 7922.1897</t>
  </si>
  <si>
    <t>第 4 个工位剩余时间： 32.3279</t>
  </si>
  <si>
    <t>——</t>
    <phoneticPr fontId="2" type="noConversion"/>
  </si>
  <si>
    <t>减产一</t>
    <phoneticPr fontId="2" type="noConversion"/>
  </si>
  <si>
    <t>第一个是10号</t>
    <phoneticPr fontId="2" type="noConversion"/>
  </si>
  <si>
    <t>时间序列：</t>
    <phoneticPr fontId="2" type="noConversion"/>
  </si>
  <si>
    <t>结束当前工作的时间</t>
    <phoneticPr fontId="2" type="noConversion"/>
  </si>
  <si>
    <t>初始</t>
    <phoneticPr fontId="2" type="noConversion"/>
  </si>
  <si>
    <t>1个2</t>
    <phoneticPr fontId="2" type="noConversion"/>
  </si>
  <si>
    <t>浪费的时间</t>
    <phoneticPr fontId="2" type="noConversion"/>
  </si>
  <si>
    <t>7个10号</t>
    <phoneticPr fontId="2" type="noConversion"/>
  </si>
  <si>
    <t>1个3</t>
    <phoneticPr fontId="2" type="noConversion"/>
  </si>
  <si>
    <t>1个7</t>
    <phoneticPr fontId="2" type="noConversion"/>
  </si>
  <si>
    <t>490个(5,7)</t>
    <phoneticPr fontId="2" type="noConversion"/>
  </si>
  <si>
    <t>840个10</t>
    <phoneticPr fontId="2" type="noConversion"/>
  </si>
  <si>
    <t>499个(2,3)</t>
    <phoneticPr fontId="2" type="noConversion"/>
  </si>
  <si>
    <t>100个3</t>
    <phoneticPr fontId="2" type="noConversion"/>
  </si>
  <si>
    <t>600个(5,9)</t>
    <phoneticPr fontId="2" type="noConversion"/>
  </si>
  <si>
    <t>110个(5,8)</t>
    <phoneticPr fontId="2" type="noConversion"/>
  </si>
  <si>
    <t>550个(6,8)</t>
    <phoneticPr fontId="2" type="noConversion"/>
  </si>
  <si>
    <t>做完后还剩996个6，140个8</t>
    <phoneticPr fontId="2" type="noConversion"/>
  </si>
  <si>
    <t>465个6</t>
    <phoneticPr fontId="2" type="noConversion"/>
  </si>
  <si>
    <t>140个8</t>
    <phoneticPr fontId="2" type="noConversion"/>
  </si>
  <si>
    <t>300个6</t>
    <phoneticPr fontId="2" type="noConversion"/>
  </si>
  <si>
    <t>最后的6</t>
    <phoneticPr fontId="2" type="noConversion"/>
  </si>
  <si>
    <t>53个10</t>
    <phoneticPr fontId="2" type="noConversion"/>
  </si>
  <si>
    <t>理论结果：产量（剂）</t>
    <phoneticPr fontId="2" type="noConversion"/>
  </si>
  <si>
    <t>实际：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</si>
</sst>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3" fontId="6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671E-0502-47D7-A9C8-8ABEA72FCE2C}">
  <dimension ref="A1:AF51"/>
  <sheetViews>
    <sheetView tabSelected="1" workbookViewId="0">
      <selection activeCell="F16" sqref="F16"/>
    </sheetView>
  </sheetViews>
  <sheetFormatPr defaultRowHeight="13.8" x14ac:dyDescent="0.25"/>
  <cols>
    <col min="1" max="1" width="30.88671875" customWidth="1"/>
    <col min="2" max="2" width="28.33203125" customWidth="1"/>
    <col min="3" max="3" width="32.44140625" customWidth="1"/>
    <col min="4" max="4" width="36.6640625" customWidth="1"/>
    <col min="15" max="15" width="25.33203125" customWidth="1"/>
    <col min="16" max="16" width="11.109375" customWidth="1"/>
    <col min="17" max="17" width="12.21875" customWidth="1"/>
    <col min="18" max="18" width="14.21875" bestFit="1" customWidth="1"/>
    <col min="19" max="19" width="12.77734375" bestFit="1" customWidth="1"/>
    <col min="22" max="25" width="14.21875" bestFit="1" customWidth="1"/>
  </cols>
  <sheetData>
    <row r="1" spans="1:23" x14ac:dyDescent="0.25">
      <c r="A1" s="1" t="s">
        <v>0</v>
      </c>
      <c r="B1" s="1" t="s">
        <v>1</v>
      </c>
      <c r="C1" s="2" t="s">
        <v>2</v>
      </c>
      <c r="D1" t="s">
        <v>17</v>
      </c>
    </row>
    <row r="2" spans="1:23" ht="15.6" x14ac:dyDescent="0.25">
      <c r="A2" s="3" t="s">
        <v>3</v>
      </c>
      <c r="B2" s="3" t="s">
        <v>4</v>
      </c>
      <c r="C2" s="3" t="s">
        <v>5</v>
      </c>
      <c r="D2" s="6" t="s">
        <v>19</v>
      </c>
      <c r="O2" s="6" t="s">
        <v>61</v>
      </c>
      <c r="W2" t="s">
        <v>62</v>
      </c>
    </row>
    <row r="3" spans="1:23" ht="15.6" x14ac:dyDescent="0.25">
      <c r="A3" s="3" t="s">
        <v>6</v>
      </c>
      <c r="B3" s="4">
        <v>10</v>
      </c>
      <c r="C3" s="4">
        <v>42</v>
      </c>
      <c r="D3" s="8">
        <v>0</v>
      </c>
      <c r="O3" s="8">
        <v>0</v>
      </c>
      <c r="R3">
        <v>0</v>
      </c>
      <c r="S3">
        <v>0</v>
      </c>
      <c r="T3">
        <v>0</v>
      </c>
      <c r="U3">
        <v>0</v>
      </c>
      <c r="W3" s="16">
        <v>0</v>
      </c>
    </row>
    <row r="4" spans="1:23" ht="15.6" x14ac:dyDescent="0.25">
      <c r="A4" s="3" t="s">
        <v>7</v>
      </c>
      <c r="B4" s="4">
        <v>5</v>
      </c>
      <c r="C4" s="3">
        <v>54</v>
      </c>
      <c r="D4" s="8">
        <v>500</v>
      </c>
      <c r="O4" s="8">
        <v>500</v>
      </c>
      <c r="R4">
        <v>499</v>
      </c>
      <c r="S4">
        <v>0</v>
      </c>
      <c r="T4">
        <v>0</v>
      </c>
      <c r="U4">
        <v>0</v>
      </c>
      <c r="W4" s="16">
        <v>500</v>
      </c>
    </row>
    <row r="5" spans="1:23" ht="15.6" x14ac:dyDescent="0.25">
      <c r="A5" s="3" t="s">
        <v>8</v>
      </c>
      <c r="B5" s="4">
        <v>6</v>
      </c>
      <c r="C5" s="4">
        <v>50</v>
      </c>
      <c r="D5" s="8">
        <v>600</v>
      </c>
      <c r="O5" s="8">
        <v>600</v>
      </c>
      <c r="R5">
        <v>599</v>
      </c>
      <c r="S5">
        <v>0</v>
      </c>
      <c r="T5">
        <v>0</v>
      </c>
      <c r="U5">
        <v>0</v>
      </c>
      <c r="W5" s="16">
        <v>600</v>
      </c>
    </row>
    <row r="6" spans="1:23" ht="15.6" x14ac:dyDescent="0.25">
      <c r="A6" s="3" t="s">
        <v>9</v>
      </c>
      <c r="B6" s="4">
        <v>10</v>
      </c>
      <c r="C6" s="4">
        <v>43</v>
      </c>
      <c r="D6" s="8">
        <v>0</v>
      </c>
      <c r="O6" s="8">
        <v>0</v>
      </c>
      <c r="R6">
        <v>0</v>
      </c>
      <c r="S6">
        <v>0</v>
      </c>
      <c r="T6">
        <v>0</v>
      </c>
      <c r="U6">
        <v>0</v>
      </c>
      <c r="W6" s="16">
        <v>0</v>
      </c>
    </row>
    <row r="7" spans="1:23" ht="15.6" x14ac:dyDescent="0.25">
      <c r="A7" s="3" t="s">
        <v>10</v>
      </c>
      <c r="B7" s="4">
        <v>12</v>
      </c>
      <c r="C7" s="4">
        <v>42</v>
      </c>
      <c r="D7" s="8">
        <v>1200</v>
      </c>
      <c r="O7" s="8">
        <v>1200</v>
      </c>
      <c r="R7">
        <v>710</v>
      </c>
      <c r="S7">
        <v>110</v>
      </c>
      <c r="T7">
        <v>0</v>
      </c>
      <c r="U7">
        <v>0</v>
      </c>
      <c r="W7" s="16">
        <v>1200</v>
      </c>
    </row>
    <row r="8" spans="1:23" ht="15.6" x14ac:dyDescent="0.25">
      <c r="A8" s="3" t="s">
        <v>11</v>
      </c>
      <c r="B8" s="4">
        <v>16</v>
      </c>
      <c r="C8" s="4">
        <v>45</v>
      </c>
      <c r="D8" s="9">
        <v>1546</v>
      </c>
      <c r="O8" s="9">
        <v>1546</v>
      </c>
      <c r="R8">
        <v>1546</v>
      </c>
      <c r="S8">
        <v>1546</v>
      </c>
      <c r="T8">
        <v>1546</v>
      </c>
      <c r="U8">
        <f>T8-550</f>
        <v>996</v>
      </c>
      <c r="W8" s="16">
        <v>1533</v>
      </c>
    </row>
    <row r="9" spans="1:23" ht="15.6" x14ac:dyDescent="0.25">
      <c r="A9" s="3" t="s">
        <v>12</v>
      </c>
      <c r="B9" s="4">
        <v>18</v>
      </c>
      <c r="C9" s="4">
        <v>48</v>
      </c>
      <c r="D9" s="9">
        <v>492</v>
      </c>
      <c r="O9" s="9">
        <v>491</v>
      </c>
      <c r="R9">
        <v>0</v>
      </c>
      <c r="S9">
        <v>0</v>
      </c>
      <c r="T9">
        <v>0</v>
      </c>
      <c r="U9">
        <v>0</v>
      </c>
      <c r="W9" s="16">
        <v>491</v>
      </c>
    </row>
    <row r="10" spans="1:23" ht="15.6" x14ac:dyDescent="0.25">
      <c r="A10" s="3" t="s">
        <v>13</v>
      </c>
      <c r="B10" s="4">
        <v>8</v>
      </c>
      <c r="C10" s="4">
        <v>51</v>
      </c>
      <c r="D10" s="8">
        <v>800</v>
      </c>
      <c r="O10" s="8">
        <v>800</v>
      </c>
      <c r="R10">
        <v>800</v>
      </c>
      <c r="S10">
        <v>800</v>
      </c>
      <c r="T10">
        <v>690</v>
      </c>
      <c r="U10">
        <f>T10-550</f>
        <v>140</v>
      </c>
      <c r="W10" s="16">
        <v>800</v>
      </c>
    </row>
    <row r="11" spans="1:23" ht="15.6" x14ac:dyDescent="0.25">
      <c r="A11" s="3" t="s">
        <v>14</v>
      </c>
      <c r="B11" s="4">
        <v>6</v>
      </c>
      <c r="C11" s="4">
        <v>46</v>
      </c>
      <c r="D11" s="8">
        <v>600</v>
      </c>
      <c r="O11" s="8">
        <v>600</v>
      </c>
      <c r="R11">
        <v>600</v>
      </c>
      <c r="S11">
        <v>0</v>
      </c>
      <c r="T11">
        <v>0</v>
      </c>
      <c r="U11">
        <v>0</v>
      </c>
      <c r="W11" s="16">
        <v>600</v>
      </c>
    </row>
    <row r="12" spans="1:23" ht="15.6" x14ac:dyDescent="0.25">
      <c r="A12" s="3" t="s">
        <v>15</v>
      </c>
      <c r="B12" s="4">
        <v>9</v>
      </c>
      <c r="C12" s="4">
        <v>48</v>
      </c>
      <c r="D12" s="8">
        <v>900</v>
      </c>
      <c r="O12" s="8">
        <v>900</v>
      </c>
      <c r="P12" t="s">
        <v>39</v>
      </c>
      <c r="R12">
        <v>900</v>
      </c>
      <c r="S12">
        <v>60</v>
      </c>
      <c r="T12">
        <v>0</v>
      </c>
      <c r="U12">
        <v>0</v>
      </c>
      <c r="W12" s="16">
        <v>900</v>
      </c>
    </row>
    <row r="13" spans="1:23" ht="15.6" x14ac:dyDescent="0.25">
      <c r="A13" s="3" t="s">
        <v>16</v>
      </c>
      <c r="B13" s="4">
        <f>SUM(B3:B12)</f>
        <v>100</v>
      </c>
      <c r="C13" s="5"/>
      <c r="D13" t="s">
        <v>24</v>
      </c>
      <c r="O13" t="s">
        <v>30</v>
      </c>
      <c r="P13" t="s">
        <v>31</v>
      </c>
      <c r="Q13" t="s">
        <v>32</v>
      </c>
    </row>
    <row r="14" spans="1:23" x14ac:dyDescent="0.25">
      <c r="O14" t="s">
        <v>25</v>
      </c>
      <c r="P14">
        <v>0</v>
      </c>
      <c r="Q14">
        <v>28.377600000000001</v>
      </c>
    </row>
    <row r="15" spans="1:23" x14ac:dyDescent="0.25">
      <c r="D15" t="s">
        <v>18</v>
      </c>
      <c r="O15" t="s">
        <v>26</v>
      </c>
      <c r="P15">
        <f>N23</f>
        <v>12.982200000000001</v>
      </c>
      <c r="Q15" t="s">
        <v>37</v>
      </c>
    </row>
    <row r="16" spans="1:23" x14ac:dyDescent="0.25">
      <c r="D16" t="s">
        <v>20</v>
      </c>
      <c r="O16" t="s">
        <v>27</v>
      </c>
      <c r="P16">
        <f>P15+N24</f>
        <v>19.993200000000002</v>
      </c>
      <c r="Q16" t="s">
        <v>37</v>
      </c>
    </row>
    <row r="17" spans="4:32" x14ac:dyDescent="0.25">
      <c r="D17" t="s">
        <v>21</v>
      </c>
      <c r="O17" t="s">
        <v>28</v>
      </c>
      <c r="P17">
        <f>P16+N25</f>
        <v>29.042400000000001</v>
      </c>
      <c r="Q17">
        <f>32.2279-P17</f>
        <v>3.1854999999999976</v>
      </c>
    </row>
    <row r="18" spans="4:32" x14ac:dyDescent="0.25">
      <c r="D18" t="s">
        <v>22</v>
      </c>
      <c r="R18" t="s">
        <v>40</v>
      </c>
      <c r="S18" t="s">
        <v>41</v>
      </c>
      <c r="AF18">
        <v>1</v>
      </c>
    </row>
    <row r="19" spans="4:32" x14ac:dyDescent="0.25">
      <c r="D19" t="s">
        <v>23</v>
      </c>
      <c r="I19" s="12"/>
      <c r="O19" t="s">
        <v>33</v>
      </c>
      <c r="R19" t="s">
        <v>42</v>
      </c>
      <c r="S19" t="s">
        <v>45</v>
      </c>
      <c r="T19" t="s">
        <v>43</v>
      </c>
      <c r="U19" t="s">
        <v>46</v>
      </c>
      <c r="V19" s="11" t="s">
        <v>47</v>
      </c>
      <c r="W19" t="s">
        <v>48</v>
      </c>
      <c r="X19" t="s">
        <v>49</v>
      </c>
      <c r="Y19" t="s">
        <v>50</v>
      </c>
    </row>
    <row r="20" spans="4:32" x14ac:dyDescent="0.25">
      <c r="F20" s="12"/>
      <c r="I20" s="12"/>
      <c r="N20" s="12"/>
      <c r="O20" t="s">
        <v>34</v>
      </c>
      <c r="Q20" t="s">
        <v>25</v>
      </c>
      <c r="R20">
        <v>0</v>
      </c>
      <c r="S20">
        <f>7*N23</f>
        <v>90.875399999999999</v>
      </c>
      <c r="T20">
        <f>S20+F23</f>
        <v>100.74630000000001</v>
      </c>
      <c r="U20">
        <f>T20+G23</f>
        <v>120.8047</v>
      </c>
      <c r="V20">
        <f>U20+K23</f>
        <v>131.9648</v>
      </c>
      <c r="W20">
        <f>V20+490*I23+490*K23</f>
        <v>9897.7627999999986</v>
      </c>
      <c r="X20">
        <f>W20+840*N23</f>
        <v>20802.810799999999</v>
      </c>
      <c r="Y20">
        <f>X20+F23*499+G23*499</f>
        <v>35737.531499999997</v>
      </c>
    </row>
    <row r="21" spans="4:32" x14ac:dyDescent="0.25">
      <c r="F21" s="12"/>
      <c r="G21" s="12"/>
      <c r="I21" s="12"/>
      <c r="K21" s="12"/>
      <c r="M21" s="12"/>
      <c r="N21" s="12"/>
      <c r="O21" t="s">
        <v>35</v>
      </c>
      <c r="Q21" t="s">
        <v>26</v>
      </c>
      <c r="R21">
        <v>12.982200000000001</v>
      </c>
      <c r="S21">
        <f>S20+N24</f>
        <v>97.886399999999995</v>
      </c>
      <c r="T21">
        <f>T20+F24</f>
        <v>120.6538</v>
      </c>
      <c r="U21">
        <f>MAX(U20,T21)+G24</f>
        <v>136.7773</v>
      </c>
      <c r="V21">
        <f>MAX(U21,V20)+K24</f>
        <v>153.27339999999998</v>
      </c>
      <c r="W21">
        <f>V21+490*I24+490*K24</f>
        <v>14960.142399999999</v>
      </c>
      <c r="X21">
        <f>W21+840*N24</f>
        <v>20849.382399999999</v>
      </c>
      <c r="Y21">
        <f>X21+F24*499+G24*499</f>
        <v>38753.552299999996</v>
      </c>
    </row>
    <row r="22" spans="4:32" x14ac:dyDescent="0.25">
      <c r="E22">
        <v>1</v>
      </c>
      <c r="F22" s="12">
        <v>2</v>
      </c>
      <c r="G22" s="12">
        <v>3</v>
      </c>
      <c r="H22">
        <v>4</v>
      </c>
      <c r="I22" s="12">
        <v>5</v>
      </c>
      <c r="J22" s="10">
        <v>6</v>
      </c>
      <c r="K22" s="13">
        <v>7</v>
      </c>
      <c r="L22" s="7">
        <v>8</v>
      </c>
      <c r="M22" s="12">
        <v>9</v>
      </c>
      <c r="N22" s="12">
        <v>10</v>
      </c>
      <c r="O22" t="s">
        <v>36</v>
      </c>
      <c r="Q22" t="s">
        <v>27</v>
      </c>
      <c r="R22">
        <v>19.993200000000002</v>
      </c>
      <c r="S22">
        <f>S21+N25</f>
        <v>106.93559999999999</v>
      </c>
      <c r="T22">
        <f>T21+F25</f>
        <v>138.58199999999999</v>
      </c>
      <c r="U22">
        <f>MAX(U21,T22)+G25</f>
        <v>153.55240000000001</v>
      </c>
      <c r="V22">
        <f>MAX(U22,V21)+K25</f>
        <v>165.56610000000001</v>
      </c>
      <c r="W22">
        <f>MAX(V22+490*I25+490*K25,W21+K25)</f>
        <v>14972.156099999998</v>
      </c>
      <c r="X22">
        <f t="shared" ref="X22:X23" si="0">W22+840*N25</f>
        <v>22573.484099999998</v>
      </c>
      <c r="Y22">
        <f>X22+F25*499+G25*499</f>
        <v>38989.885499999997</v>
      </c>
    </row>
    <row r="23" spans="4:32" x14ac:dyDescent="0.25">
      <c r="D23" t="s">
        <v>25</v>
      </c>
      <c r="E23">
        <v>13.284000000000001</v>
      </c>
      <c r="F23" s="12">
        <v>9.8709000000000007</v>
      </c>
      <c r="G23" s="12">
        <v>20.058399999999999</v>
      </c>
      <c r="H23">
        <v>7.9886999999999997</v>
      </c>
      <c r="I23" s="12">
        <v>8.7700999999999993</v>
      </c>
      <c r="J23" s="10">
        <v>19.074100000000001</v>
      </c>
      <c r="K23" s="13">
        <v>11.1601</v>
      </c>
      <c r="L23" s="7">
        <v>16.020099999999999</v>
      </c>
      <c r="M23" s="12">
        <v>15.0146</v>
      </c>
      <c r="N23" s="12">
        <v>12.982200000000001</v>
      </c>
      <c r="Q23" t="s">
        <v>28</v>
      </c>
      <c r="R23">
        <v>29.042400000000001</v>
      </c>
      <c r="S23">
        <f>R23+7*N26</f>
        <v>141.4092</v>
      </c>
      <c r="T23">
        <f>S23+F26</f>
        <v>160.35159999999999</v>
      </c>
      <c r="U23">
        <f>MAX(U22,T23)+G26</f>
        <v>175.46799999999999</v>
      </c>
      <c r="V23">
        <f>MAX(U23,V22)+K26</f>
        <v>194.5556</v>
      </c>
      <c r="W23">
        <f>MAX(V23+490*I26+490*K26,W22+K26)</f>
        <v>15059.7346</v>
      </c>
      <c r="X23">
        <f t="shared" si="0"/>
        <v>28543.750599999999</v>
      </c>
      <c r="Y23">
        <f>X23+F26*499+G26*499</f>
        <v>45539.091799999995</v>
      </c>
    </row>
    <row r="24" spans="4:32" x14ac:dyDescent="0.25">
      <c r="D24" t="s">
        <v>26</v>
      </c>
      <c r="E24">
        <v>14.9621</v>
      </c>
      <c r="F24" s="12">
        <v>19.907499999999999</v>
      </c>
      <c r="G24" s="12">
        <v>15.9726</v>
      </c>
      <c r="H24">
        <v>9.9366000000000003</v>
      </c>
      <c r="I24" s="12">
        <v>13.722</v>
      </c>
      <c r="J24" s="10">
        <v>20.0944</v>
      </c>
      <c r="K24" s="13">
        <v>16.496099999999998</v>
      </c>
      <c r="L24" s="7">
        <v>8.7288999999999994</v>
      </c>
      <c r="M24" s="12">
        <v>12.0351</v>
      </c>
      <c r="N24" s="12">
        <v>7.0110000000000001</v>
      </c>
      <c r="S24" t="s">
        <v>44</v>
      </c>
    </row>
    <row r="25" spans="4:32" x14ac:dyDescent="0.25">
      <c r="D25" t="s">
        <v>27</v>
      </c>
      <c r="E25">
        <v>19.846</v>
      </c>
      <c r="F25" s="12">
        <v>17.9282</v>
      </c>
      <c r="G25" s="12">
        <v>14.9704</v>
      </c>
      <c r="H25">
        <v>5.9359000000000002</v>
      </c>
      <c r="I25" s="12">
        <v>13.0052</v>
      </c>
      <c r="J25" s="10">
        <v>14.1485</v>
      </c>
      <c r="K25" s="13">
        <v>12.0137</v>
      </c>
      <c r="L25" s="7">
        <v>17.979399999999998</v>
      </c>
      <c r="M25" s="12">
        <v>7.0419</v>
      </c>
      <c r="N25" s="12">
        <v>9.0492000000000008</v>
      </c>
      <c r="Q25" t="s">
        <v>25</v>
      </c>
      <c r="R25">
        <v>0</v>
      </c>
      <c r="S25">
        <v>0</v>
      </c>
      <c r="T25">
        <f>T20-7*N23-F23</f>
        <v>0</v>
      </c>
      <c r="U25">
        <f>U20-7*N23-G23-F23</f>
        <v>0</v>
      </c>
      <c r="V25">
        <f>V20-7*N23-F23-G23-K23</f>
        <v>0</v>
      </c>
      <c r="W25">
        <f>W20-V20-490*I23-490*K23+V25</f>
        <v>0</v>
      </c>
      <c r="X25">
        <f>X20-W20-840*N23+W25</f>
        <v>0</v>
      </c>
      <c r="Y25">
        <f>Y20-X20-499*F23-499*G23+X25</f>
        <v>0</v>
      </c>
    </row>
    <row r="26" spans="4:32" x14ac:dyDescent="0.25">
      <c r="D26" t="s">
        <v>28</v>
      </c>
      <c r="E26">
        <v>20.012899999999998</v>
      </c>
      <c r="F26" s="12">
        <v>18.942399999999999</v>
      </c>
      <c r="G26" s="12">
        <v>15.116400000000001</v>
      </c>
      <c r="H26">
        <v>18.128399999999999</v>
      </c>
      <c r="I26" s="12">
        <v>11.249499999999999</v>
      </c>
      <c r="J26" s="10">
        <v>13.7601</v>
      </c>
      <c r="K26" s="13">
        <v>19.087599999999998</v>
      </c>
      <c r="L26" s="7">
        <v>16.831399999999999</v>
      </c>
      <c r="M26" s="12">
        <v>8.9497</v>
      </c>
      <c r="N26" s="12">
        <v>16.052399999999999</v>
      </c>
      <c r="Q26" t="s">
        <v>26</v>
      </c>
      <c r="R26">
        <v>12.982200000000001</v>
      </c>
      <c r="S26">
        <f>S21-7*N24</f>
        <v>48.809399999999997</v>
      </c>
      <c r="T26">
        <f t="shared" ref="T26:T28" si="1">T21-7*N24-F24</f>
        <v>51.669300000000007</v>
      </c>
      <c r="U26">
        <f t="shared" ref="U26:U28" si="2">U21-7*N24-G24-F24</f>
        <v>51.8202</v>
      </c>
      <c r="V26">
        <f t="shared" ref="V26:V28" si="3">V21-7*N24-F24-G24-K24</f>
        <v>51.820199999999986</v>
      </c>
      <c r="W26">
        <f t="shared" ref="W26:W28" si="4">W21-V21-490*I24-490*K24+V26</f>
        <v>51.820199999999986</v>
      </c>
      <c r="X26">
        <f t="shared" ref="X26:X28" si="5">X21-W21-840*N24+W26</f>
        <v>51.820199999999986</v>
      </c>
      <c r="Y26">
        <f t="shared" ref="Y26:Y28" si="6">Y21-X21-499*F24-499*G24+X26</f>
        <v>51.820199999998167</v>
      </c>
    </row>
    <row r="27" spans="4:32" x14ac:dyDescent="0.25">
      <c r="F27" s="12"/>
      <c r="G27" s="12"/>
      <c r="J27" t="s">
        <v>29</v>
      </c>
      <c r="K27" t="s">
        <v>29</v>
      </c>
      <c r="N27" s="12"/>
      <c r="Q27" t="s">
        <v>27</v>
      </c>
      <c r="R27">
        <v>19.993200000000002</v>
      </c>
      <c r="S27">
        <f>S22-7*N25</f>
        <v>43.591199999999986</v>
      </c>
      <c r="T27">
        <f t="shared" si="1"/>
        <v>57.309399999999982</v>
      </c>
      <c r="U27">
        <f t="shared" si="2"/>
        <v>57.309399999999997</v>
      </c>
      <c r="V27">
        <f t="shared" si="3"/>
        <v>57.309399999999997</v>
      </c>
      <c r="W27">
        <f t="shared" si="4"/>
        <v>2604.638399999998</v>
      </c>
      <c r="X27">
        <f t="shared" si="5"/>
        <v>2604.6383999999971</v>
      </c>
      <c r="Y27">
        <f t="shared" si="6"/>
        <v>2604.6383999999962</v>
      </c>
    </row>
    <row r="28" spans="4:32" x14ac:dyDescent="0.25">
      <c r="K28" t="s">
        <v>38</v>
      </c>
      <c r="Q28" t="s">
        <v>28</v>
      </c>
      <c r="R28">
        <v>29.042400000000001</v>
      </c>
      <c r="S28">
        <f>S23-7*N26</f>
        <v>29.042400000000015</v>
      </c>
      <c r="T28">
        <f t="shared" si="1"/>
        <v>29.042400000000008</v>
      </c>
      <c r="U28">
        <f t="shared" si="2"/>
        <v>29.042400000000008</v>
      </c>
      <c r="V28">
        <f t="shared" si="3"/>
        <v>29.042400000000018</v>
      </c>
      <c r="W28">
        <f t="shared" si="4"/>
        <v>29.042400000000018</v>
      </c>
      <c r="X28">
        <f t="shared" si="5"/>
        <v>29.042400000000018</v>
      </c>
      <c r="Y28">
        <f t="shared" si="6"/>
        <v>29.04239999999638</v>
      </c>
    </row>
    <row r="29" spans="4:32" x14ac:dyDescent="0.25">
      <c r="E29">
        <f>E23+E24+E25</f>
        <v>48.092100000000002</v>
      </c>
      <c r="F29">
        <f t="shared" ref="F29:N29" si="7">F23+F24+F25</f>
        <v>47.706599999999995</v>
      </c>
      <c r="G29">
        <f t="shared" si="7"/>
        <v>51.001399999999997</v>
      </c>
      <c r="H29">
        <f t="shared" si="7"/>
        <v>23.8612</v>
      </c>
      <c r="I29">
        <f t="shared" si="7"/>
        <v>35.497300000000003</v>
      </c>
      <c r="J29">
        <f t="shared" si="7"/>
        <v>53.317</v>
      </c>
      <c r="K29">
        <f t="shared" si="7"/>
        <v>39.669899999999998</v>
      </c>
      <c r="L29">
        <f t="shared" si="7"/>
        <v>42.728399999999993</v>
      </c>
      <c r="M29">
        <f t="shared" si="7"/>
        <v>34.0916</v>
      </c>
      <c r="N29">
        <f t="shared" si="7"/>
        <v>29.042400000000001</v>
      </c>
    </row>
    <row r="30" spans="4:32" x14ac:dyDescent="0.25">
      <c r="R30" t="s">
        <v>51</v>
      </c>
      <c r="S30" t="s">
        <v>52</v>
      </c>
      <c r="T30" t="s">
        <v>60</v>
      </c>
      <c r="U30" t="s">
        <v>53</v>
      </c>
      <c r="V30" t="s">
        <v>54</v>
      </c>
      <c r="W30" t="s">
        <v>56</v>
      </c>
      <c r="X30" t="s">
        <v>58</v>
      </c>
      <c r="Y30" t="s">
        <v>57</v>
      </c>
    </row>
    <row r="31" spans="4:32" x14ac:dyDescent="0.25">
      <c r="Q31" t="s">
        <v>25</v>
      </c>
      <c r="R31" s="12">
        <f>Y20+100*G23</f>
        <v>37743.371499999994</v>
      </c>
      <c r="S31">
        <f>R31+600*I23+600*M23</f>
        <v>52014.191499999994</v>
      </c>
      <c r="T31">
        <f>S31+N23*53</f>
        <v>52702.248099999997</v>
      </c>
      <c r="U31">
        <f>T31+110*I23+110*L23</f>
        <v>55429.170100000003</v>
      </c>
      <c r="V31">
        <f>U31+$V$40*J23+$V$40*L23</f>
        <v>74730.980100000015</v>
      </c>
      <c r="W31">
        <f>V31+$W$40*J23</f>
        <v>83600.436600000015</v>
      </c>
      <c r="X31">
        <f>W31+$X$40*J23</f>
        <v>89322.666600000011</v>
      </c>
      <c r="Y31">
        <f>X31+$Y$40*L23</f>
        <v>91565.48060000001</v>
      </c>
    </row>
    <row r="32" spans="4:32" x14ac:dyDescent="0.25">
      <c r="Q32" t="s">
        <v>26</v>
      </c>
      <c r="R32" s="12">
        <f t="shared" ref="R32:R34" si="8">Y21+100*G24</f>
        <v>40350.812299999998</v>
      </c>
      <c r="S32">
        <f>R32+600*I24+600*M24</f>
        <v>55805.072299999993</v>
      </c>
      <c r="T32">
        <f t="shared" ref="T32:T34" si="9">S32+N24*10</f>
        <v>55875.182299999993</v>
      </c>
      <c r="U32">
        <f t="shared" ref="U32:U34" si="10">T32+110*I24+110*L24</f>
        <v>58344.781299999988</v>
      </c>
      <c r="V32">
        <f t="shared" ref="V32:V34" si="11">U32+$V$40*J24+$V$40*L24</f>
        <v>74197.59629999999</v>
      </c>
      <c r="W32">
        <f t="shared" ref="W32:W34" si="12">V32+$W$40*J24</f>
        <v>83541.492299999984</v>
      </c>
      <c r="X32">
        <f t="shared" ref="X32:X34" si="13">MAX(W32+$X$40*J24,X31+J24)</f>
        <v>89569.812299999991</v>
      </c>
      <c r="Y32">
        <f t="shared" ref="Y32:Y34" si="14">MAX(X32+$Y$40*L24,Y31+L24)</f>
        <v>91574.209500000012</v>
      </c>
    </row>
    <row r="33" spans="10:25" x14ac:dyDescent="0.25">
      <c r="J33" s="7">
        <v>16.020099999999999</v>
      </c>
      <c r="K33" s="10">
        <v>19.074100000000001</v>
      </c>
      <c r="L33" s="7">
        <f>K33+J33</f>
        <v>35.094200000000001</v>
      </c>
      <c r="Q33" t="s">
        <v>27</v>
      </c>
      <c r="R33" s="12">
        <f t="shared" si="8"/>
        <v>40486.925499999998</v>
      </c>
      <c r="S33">
        <f>S32+I25</f>
        <v>55818.077499999992</v>
      </c>
      <c r="T33">
        <f t="shared" si="9"/>
        <v>55908.569499999991</v>
      </c>
      <c r="U33">
        <f t="shared" si="10"/>
        <v>59316.875499999987</v>
      </c>
      <c r="V33">
        <f t="shared" si="11"/>
        <v>76987.220499999981</v>
      </c>
      <c r="W33">
        <f t="shared" si="12"/>
        <v>83566.272999999986</v>
      </c>
      <c r="X33">
        <f t="shared" si="13"/>
        <v>89583.960799999986</v>
      </c>
      <c r="Y33">
        <f t="shared" si="14"/>
        <v>92101.076799999981</v>
      </c>
    </row>
    <row r="34" spans="10:25" x14ac:dyDescent="0.25">
      <c r="J34" s="7">
        <v>8.7288999999999994</v>
      </c>
      <c r="K34" s="10">
        <v>20.0944</v>
      </c>
      <c r="L34" s="7">
        <f t="shared" ref="L34:L36" si="15">K34+J34</f>
        <v>28.8233</v>
      </c>
      <c r="M34">
        <f>K34-K35</f>
        <v>5.9459</v>
      </c>
      <c r="Q34" t="s">
        <v>28</v>
      </c>
      <c r="R34" s="12">
        <f t="shared" si="8"/>
        <v>47050.731799999994</v>
      </c>
      <c r="S34">
        <f>R34+600*I26+600*M26</f>
        <v>59170.251799999991</v>
      </c>
      <c r="T34">
        <f t="shared" si="9"/>
        <v>59330.775799999989</v>
      </c>
      <c r="U34">
        <f t="shared" si="10"/>
        <v>62419.674799999986</v>
      </c>
      <c r="V34">
        <f t="shared" si="11"/>
        <v>79244.999799999991</v>
      </c>
      <c r="W34">
        <f t="shared" si="12"/>
        <v>85643.446299999996</v>
      </c>
      <c r="X34">
        <f t="shared" si="13"/>
        <v>89771.476299999995</v>
      </c>
      <c r="Y34">
        <f t="shared" si="14"/>
        <v>92127.872299999988</v>
      </c>
    </row>
    <row r="35" spans="10:25" x14ac:dyDescent="0.25">
      <c r="J35" s="7">
        <v>17.979399999999998</v>
      </c>
      <c r="K35" s="10">
        <v>14.1485</v>
      </c>
      <c r="L35" s="7">
        <f t="shared" si="15"/>
        <v>32.127899999999997</v>
      </c>
      <c r="M35">
        <f>J35-J36</f>
        <v>1.1479999999999997</v>
      </c>
      <c r="N35">
        <f>M35*140</f>
        <v>160.71999999999997</v>
      </c>
      <c r="R35" t="s">
        <v>44</v>
      </c>
      <c r="V35" s="7" t="s">
        <v>55</v>
      </c>
      <c r="X35" s="15">
        <v>231140</v>
      </c>
    </row>
    <row r="36" spans="10:25" x14ac:dyDescent="0.25">
      <c r="J36" s="7">
        <v>16.831399999999999</v>
      </c>
      <c r="K36" s="10">
        <v>13.7601</v>
      </c>
      <c r="L36" s="7">
        <f t="shared" si="15"/>
        <v>30.591499999999996</v>
      </c>
      <c r="Q36" t="s">
        <v>25</v>
      </c>
      <c r="R36">
        <f>Y25</f>
        <v>0</v>
      </c>
      <c r="S36">
        <f>S31-R31-600*I23-600*M23+R36</f>
        <v>0</v>
      </c>
      <c r="T36">
        <f>S36</f>
        <v>0</v>
      </c>
      <c r="U36">
        <f>T36</f>
        <v>0</v>
      </c>
      <c r="V36">
        <f>U36</f>
        <v>0</v>
      </c>
      <c r="W36">
        <f>V36</f>
        <v>0</v>
      </c>
      <c r="X36">
        <v>0</v>
      </c>
      <c r="Y36">
        <v>0</v>
      </c>
    </row>
    <row r="37" spans="10:25" x14ac:dyDescent="0.25">
      <c r="Q37" t="s">
        <v>26</v>
      </c>
      <c r="R37">
        <f t="shared" ref="R37:R39" si="16">Y26</f>
        <v>51.820199999998167</v>
      </c>
      <c r="S37">
        <f t="shared" ref="S37:S39" si="17">S32-R32-600*I24-600*M24+R37</f>
        <v>51.820199999994529</v>
      </c>
      <c r="T37">
        <f t="shared" ref="T37:U39" si="18">S37</f>
        <v>51.820199999994529</v>
      </c>
      <c r="U37">
        <f t="shared" si="18"/>
        <v>51.820199999994529</v>
      </c>
      <c r="V37">
        <f>V32-U32-$V$40*J24-$V$40*L24+U37</f>
        <v>51.820199999997257</v>
      </c>
      <c r="W37">
        <f t="shared" ref="W37:W39" si="19">V37</f>
        <v>51.820199999997257</v>
      </c>
      <c r="X37">
        <f t="shared" ref="X37:X39" si="20">X32-W32-$X$40*J24+W37</f>
        <v>51.820200000004533</v>
      </c>
      <c r="Y37">
        <f t="shared" ref="Y37:Y39" si="21">Y32-X32-$Y$40*L24+X37</f>
        <v>834.17140000002598</v>
      </c>
    </row>
    <row r="38" spans="10:25" x14ac:dyDescent="0.25">
      <c r="Q38" t="s">
        <v>27</v>
      </c>
      <c r="R38">
        <f t="shared" si="16"/>
        <v>2604.6383999999962</v>
      </c>
      <c r="S38">
        <f t="shared" si="17"/>
        <v>5907.5303999999905</v>
      </c>
      <c r="T38">
        <f t="shared" si="18"/>
        <v>5907.5303999999905</v>
      </c>
      <c r="U38">
        <f t="shared" si="18"/>
        <v>5907.5303999999905</v>
      </c>
      <c r="V38">
        <f t="shared" ref="V38:V39" si="22">V33-U33-$V$40*J25-$V$40*L25+U38</f>
        <v>5907.5303999999869</v>
      </c>
      <c r="W38">
        <f t="shared" si="19"/>
        <v>5907.5303999999869</v>
      </c>
      <c r="X38">
        <f t="shared" si="20"/>
        <v>7680.6681999999864</v>
      </c>
      <c r="Y38">
        <f t="shared" si="21"/>
        <v>7680.668199999981</v>
      </c>
    </row>
    <row r="39" spans="10:25" x14ac:dyDescent="0.25">
      <c r="Q39" t="s">
        <v>28</v>
      </c>
      <c r="R39">
        <f t="shared" si="16"/>
        <v>29.04239999999638</v>
      </c>
      <c r="S39">
        <f t="shared" si="17"/>
        <v>29.042399999993652</v>
      </c>
      <c r="T39">
        <f t="shared" si="18"/>
        <v>29.042399999993652</v>
      </c>
      <c r="U39">
        <f t="shared" si="18"/>
        <v>29.042399999993652</v>
      </c>
      <c r="V39">
        <f t="shared" si="22"/>
        <v>29.042399999999109</v>
      </c>
      <c r="W39">
        <f t="shared" si="19"/>
        <v>29.042399999999109</v>
      </c>
      <c r="X39">
        <f t="shared" si="20"/>
        <v>29.042399999998199</v>
      </c>
      <c r="Y39">
        <f t="shared" si="21"/>
        <v>29.042399999991833</v>
      </c>
    </row>
    <row r="40" spans="10:25" x14ac:dyDescent="0.25">
      <c r="L40" s="7"/>
      <c r="V40" s="14">
        <v>550</v>
      </c>
      <c r="W40" s="14">
        <v>465</v>
      </c>
      <c r="X40" s="14">
        <v>300</v>
      </c>
      <c r="Y40" s="14">
        <v>140</v>
      </c>
    </row>
    <row r="41" spans="10:25" x14ac:dyDescent="0.25">
      <c r="L41" s="7"/>
      <c r="R41" t="s">
        <v>59</v>
      </c>
    </row>
    <row r="42" spans="10:25" x14ac:dyDescent="0.25">
      <c r="L42" s="7"/>
      <c r="Q42" t="s">
        <v>25</v>
      </c>
      <c r="R42">
        <f>Y31+J23*$R$51</f>
        <v>95723.63440000001</v>
      </c>
    </row>
    <row r="43" spans="10:25" x14ac:dyDescent="0.25">
      <c r="L43" s="7"/>
      <c r="Q43" t="s">
        <v>26</v>
      </c>
      <c r="R43">
        <f t="shared" ref="R43:R45" si="23">MAX(Y32+J24*$R$51,R42+J24)</f>
        <v>95954.788700000005</v>
      </c>
    </row>
    <row r="44" spans="10:25" x14ac:dyDescent="0.25">
      <c r="Q44" t="s">
        <v>27</v>
      </c>
      <c r="R44">
        <f t="shared" si="23"/>
        <v>95968.9372</v>
      </c>
    </row>
    <row r="45" spans="10:25" x14ac:dyDescent="0.25">
      <c r="Q45" t="s">
        <v>28</v>
      </c>
      <c r="R45">
        <f t="shared" si="23"/>
        <v>95982.6973</v>
      </c>
    </row>
    <row r="46" spans="10:25" x14ac:dyDescent="0.25">
      <c r="R46" t="s">
        <v>44</v>
      </c>
    </row>
    <row r="47" spans="10:25" x14ac:dyDescent="0.25">
      <c r="Q47" t="s">
        <v>25</v>
      </c>
      <c r="R47">
        <f>R42-Y31-$R$51*J23+Y36</f>
        <v>0</v>
      </c>
    </row>
    <row r="48" spans="10:25" x14ac:dyDescent="0.25">
      <c r="Q48" t="s">
        <v>26</v>
      </c>
      <c r="R48">
        <f t="shared" ref="R48:R50" si="24">R43-Y32-$R$51*J24+Y37</f>
        <v>834.17140000001871</v>
      </c>
    </row>
    <row r="49" spans="17:18" x14ac:dyDescent="0.25">
      <c r="Q49" t="s">
        <v>27</v>
      </c>
      <c r="R49">
        <f t="shared" si="24"/>
        <v>8464.1556</v>
      </c>
    </row>
    <row r="50" spans="17:18" x14ac:dyDescent="0.25">
      <c r="Q50" t="s">
        <v>28</v>
      </c>
      <c r="R50">
        <f t="shared" si="24"/>
        <v>884.16560000000368</v>
      </c>
    </row>
    <row r="51" spans="17:18" x14ac:dyDescent="0.25">
      <c r="R51">
        <v>218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S33 V37:V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2021-08-21T07:48:23Z</dcterms:created>
  <dcterms:modified xsi:type="dcterms:W3CDTF">2021-08-21T12:22:38Z</dcterms:modified>
</cp:coreProperties>
</file>