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<sst xmlns="http://schemas.openxmlformats.org/spreadsheetml/2006/main" count="309" uniqueCount="140">
  <si>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</si>
  <si>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</si>
  <si>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</si>
  <si>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</si>
  <si>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</si>
  <si>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</si>
  <si>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</si>
  <si>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</si>
  <si>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</si>
  <si>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</si>
  <si>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</si>
  <si>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</si>
  <si>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</si>
  <si>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</si>
  <si>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</si>
  <si>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</si>
  <si>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</si>
  <si>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</si>
  <si>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</si>
  <si>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</si>
  <si>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</si>
  <si>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</si>
  <si>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</si>
  <si>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</si>
  <si>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</si>
  <si>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</si>
  <si>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</si>
  <si>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</si>
  <si>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</si>
  <si>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</si>
  <si>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</si>
  <si>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</si>
  <si>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</si>
  <si>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</si>
  <si>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</si>
  <si>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</si>
  <si>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</si>
  <si>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</si>
  <si>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</si>
  <si>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</si>
  <si>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</si>
  <si>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N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</si>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</sst>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R23" activeCellId="0" sqref="R23"/>
    </sheetView>
  </sheetViews>
  <sheetFormatPr defaultColWidth="9.13671875" defaultRowHeight="15" zeroHeight="false" outlineLevelRow="0" outlineLevelCol="0"/>
  <cols>
    <col collapsed="false" customWidth="true" hidden="false" outlineLevel="0" max="2" min="1" style="1" width="12.71"/>
    <col collapsed="false" customWidth="false" hidden="false" outlineLevel="0" max="3" min="3" style="1" width="9.13"/>
    <col collapsed="false" customWidth="true" hidden="false" outlineLevel="0" max="4" min="4" style="1" width="6.28"/>
    <col collapsed="false" customWidth="false" hidden="false" outlineLevel="0" max="5" min="5" style="1" width="9.13"/>
    <col collapsed="false" customWidth="true" hidden="false" outlineLevel="0" max="7" min="6" style="1" width="12.71"/>
    <col collapsed="false" customWidth="false" hidden="false" outlineLevel="0" max="8" min="8" style="1" width="9.13"/>
    <col collapsed="false" customWidth="true" hidden="false" outlineLevel="0" max="9" min="9" style="1" width="6.28"/>
    <col collapsed="false" customWidth="false" hidden="false" outlineLevel="0" max="10" min="10" style="1" width="9.13"/>
    <col collapsed="false" customWidth="true" hidden="false" outlineLevel="0" max="12" min="11" style="1" width="12.71"/>
    <col collapsed="false" customWidth="false" hidden="false" outlineLevel="0" max="13" min="13" style="1" width="9.13"/>
    <col collapsed="false" customWidth="true" hidden="false" outlineLevel="0" max="14" min="14" style="1" width="6.28"/>
    <col collapsed="false" customWidth="false" hidden="false" outlineLevel="0" max="15" min="15" style="1" width="9.13"/>
    <col collapsed="false" customWidth="true" hidden="false" outlineLevel="0" max="17" min="16" style="1" width="12.71"/>
    <col collapsed="false" customWidth="false" hidden="false" outlineLevel="0" max="18" min="18" style="1" width="9.13"/>
    <col collapsed="false" customWidth="true" hidden="false" outlineLevel="0" max="19" min="19" style="1" width="6.28"/>
    <col collapsed="false" customWidth="false" hidden="false" outlineLevel="0" max="1024" min="20" style="1" width="9.13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5.75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5.5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5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5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5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5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1</v>
      </c>
      <c r="I8" s="10" t="s">
        <v>13</v>
      </c>
      <c r="J8" s="10"/>
      <c r="K8" s="13" t="s">
        <v>11</v>
      </c>
      <c r="L8" s="13"/>
      <c r="M8" s="14" t="n">
        <v>0.574</v>
      </c>
      <c r="N8" s="10" t="s">
        <v>13</v>
      </c>
      <c r="O8" s="10"/>
      <c r="P8" s="13" t="s">
        <v>11</v>
      </c>
      <c r="Q8" s="13"/>
      <c r="R8" s="14" t="n">
        <v>2.821387982</v>
      </c>
      <c r="S8" s="10" t="s">
        <v>13</v>
      </c>
    </row>
    <row r="9" customFormat="false" ht="15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5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6000</v>
      </c>
      <c r="I10" s="10" t="s">
        <v>16</v>
      </c>
      <c r="J10" s="10"/>
      <c r="K10" s="13" t="s">
        <v>15</v>
      </c>
      <c r="L10" s="13"/>
      <c r="M10" s="14" t="n">
        <v>522</v>
      </c>
      <c r="N10" s="10" t="s">
        <v>16</v>
      </c>
      <c r="O10" s="10"/>
      <c r="P10" s="13" t="s">
        <v>15</v>
      </c>
      <c r="Q10" s="13"/>
      <c r="R10" s="14" t="n">
        <v>1251</v>
      </c>
      <c r="S10" s="10" t="s">
        <v>16</v>
      </c>
    </row>
    <row r="11" customFormat="false" ht="15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5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1.2</v>
      </c>
      <c r="I12" s="10" t="s">
        <v>19</v>
      </c>
      <c r="J12" s="10"/>
      <c r="K12" s="13" t="s">
        <v>18</v>
      </c>
      <c r="L12" s="13"/>
      <c r="M12" s="14" t="n">
        <v>0.8</v>
      </c>
      <c r="N12" s="10" t="s">
        <v>19</v>
      </c>
      <c r="O12" s="10"/>
      <c r="P12" s="13" t="s">
        <v>18</v>
      </c>
      <c r="Q12" s="13"/>
      <c r="R12" s="14" t="n">
        <v>1.27</v>
      </c>
      <c r="S12" s="10" t="s">
        <v>19</v>
      </c>
    </row>
    <row r="13" customFormat="false" ht="15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5</v>
      </c>
      <c r="I13" s="10" t="s">
        <v>13</v>
      </c>
      <c r="J13" s="10"/>
      <c r="K13" s="13" t="s">
        <v>11</v>
      </c>
      <c r="L13" s="13"/>
      <c r="M13" s="14" t="n">
        <v>0.6293</v>
      </c>
      <c r="N13" s="10" t="s">
        <v>13</v>
      </c>
      <c r="O13" s="10"/>
      <c r="P13" s="13" t="s">
        <v>11</v>
      </c>
      <c r="Q13" s="13"/>
      <c r="R13" s="14" t="n">
        <v>25.648</v>
      </c>
      <c r="S13" s="10" t="s">
        <v>13</v>
      </c>
    </row>
    <row r="14" customFormat="false" ht="15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0.4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0.6</v>
      </c>
      <c r="S14" s="4"/>
    </row>
    <row r="15" customFormat="false" ht="15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54.4</v>
      </c>
      <c r="I15" s="4" t="s">
        <v>10</v>
      </c>
      <c r="J15" s="10"/>
      <c r="K15" s="13" t="s">
        <v>27</v>
      </c>
      <c r="L15" s="13"/>
      <c r="M15" s="17" t="n">
        <f aca="false">M7/(M13/M8)^2</f>
        <v>1131.48090635869</v>
      </c>
      <c r="N15" s="4" t="s">
        <v>10</v>
      </c>
      <c r="O15" s="10"/>
      <c r="P15" s="13" t="s">
        <v>27</v>
      </c>
      <c r="Q15" s="13"/>
      <c r="R15" s="17" t="n">
        <f aca="false">R7/(R13/R8)^2</f>
        <v>16.4572597018358</v>
      </c>
      <c r="S15" s="4" t="s">
        <v>10</v>
      </c>
    </row>
    <row r="16" customFormat="false" ht="15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109.526476301257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211.352983819255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73.3982924717517</v>
      </c>
      <c r="S16" s="4" t="s">
        <v>23</v>
      </c>
    </row>
    <row r="17" customFormat="false" ht="15" hidden="false" customHeight="false" outlineLevel="0" collapsed="false">
      <c r="E17" s="10"/>
      <c r="F17" s="13" t="s">
        <v>25</v>
      </c>
      <c r="G17" s="12"/>
      <c r="H17" s="14" t="n">
        <v>15</v>
      </c>
      <c r="I17" s="4" t="s">
        <v>31</v>
      </c>
      <c r="J17" s="10"/>
      <c r="K17" s="13" t="s">
        <v>25</v>
      </c>
      <c r="L17" s="12"/>
      <c r="M17" s="14" t="n">
        <v>2</v>
      </c>
      <c r="N17" s="4" t="s">
        <v>31</v>
      </c>
      <c r="O17" s="10"/>
      <c r="P17" s="13" t="s">
        <v>25</v>
      </c>
      <c r="Q17" s="12"/>
      <c r="R17" s="14" t="n">
        <v>100</v>
      </c>
      <c r="S17" s="4" t="s">
        <v>31</v>
      </c>
    </row>
    <row r="18" customFormat="false" ht="15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5</v>
      </c>
      <c r="I18" s="4" t="s">
        <v>23</v>
      </c>
      <c r="J18" s="10"/>
      <c r="K18" s="13" t="s">
        <v>34</v>
      </c>
      <c r="L18" s="12"/>
      <c r="M18" s="14" t="n">
        <v>42</v>
      </c>
      <c r="N18" s="4" t="s">
        <v>23</v>
      </c>
      <c r="O18" s="10"/>
      <c r="P18" s="13" t="s">
        <v>34</v>
      </c>
      <c r="Q18" s="12"/>
      <c r="R18" s="14" t="n">
        <v>19</v>
      </c>
      <c r="S18" s="4" t="s">
        <v>23</v>
      </c>
    </row>
    <row r="19" customFormat="false" ht="15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1</v>
      </c>
      <c r="I19" s="4" t="s">
        <v>23</v>
      </c>
      <c r="J19" s="10"/>
      <c r="K19" s="13" t="s">
        <v>33</v>
      </c>
      <c r="L19" s="12"/>
      <c r="M19" s="14" t="n">
        <v>11</v>
      </c>
      <c r="N19" s="4" t="s">
        <v>23</v>
      </c>
      <c r="O19" s="10"/>
      <c r="P19" s="13" t="s">
        <v>33</v>
      </c>
      <c r="Q19" s="12"/>
      <c r="R19" s="14" t="n">
        <v>5</v>
      </c>
      <c r="S19" s="4" t="s">
        <v>23</v>
      </c>
    </row>
    <row r="20" customFormat="false" ht="15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2.2</v>
      </c>
      <c r="I20" s="4" t="s">
        <v>29</v>
      </c>
      <c r="J20" s="10"/>
      <c r="K20" s="13" t="s">
        <v>35</v>
      </c>
      <c r="L20" s="12"/>
      <c r="M20" s="14" t="n">
        <v>3</v>
      </c>
      <c r="N20" s="4" t="s">
        <v>23</v>
      </c>
      <c r="O20" s="10"/>
      <c r="P20" s="13" t="s">
        <v>35</v>
      </c>
      <c r="Q20" s="12"/>
      <c r="R20" s="14" t="n">
        <v>1</v>
      </c>
      <c r="S20" s="4" t="s">
        <v>23</v>
      </c>
    </row>
    <row r="21" customFormat="false" ht="15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29.03</v>
      </c>
      <c r="N21" s="4" t="s">
        <v>29</v>
      </c>
      <c r="O21" s="10"/>
      <c r="P21" s="13" t="s">
        <v>37</v>
      </c>
      <c r="Q21" s="10"/>
      <c r="R21" s="14" t="n">
        <v>4</v>
      </c>
      <c r="S21" s="4" t="s">
        <v>23</v>
      </c>
    </row>
    <row r="22" customFormat="false" ht="15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4.91</v>
      </c>
      <c r="S22" s="4" t="s">
        <v>29</v>
      </c>
    </row>
    <row r="23" customFormat="false" ht="15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5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1.20105984650781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0.738896475912844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5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4.82464128107036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41.5092189782881</v>
      </c>
      <c r="N25" s="19" t="s">
        <v>23</v>
      </c>
      <c r="O25" s="10"/>
      <c r="P25" s="10"/>
      <c r="Q25" s="10"/>
      <c r="R25" s="10"/>
      <c r="S25" s="10"/>
    </row>
    <row r="26" customFormat="false" ht="15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1.38989098426295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11.4952404450613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5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4.30219998911337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3.28435441287467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2.468477079219</v>
      </c>
      <c r="S27" s="19" t="s">
        <v>19</v>
      </c>
    </row>
    <row r="28" customFormat="false" ht="15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27.5885770681472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0.818723533264821</v>
      </c>
      <c r="S28" s="19" t="s">
        <v>19</v>
      </c>
    </row>
    <row r="29" customFormat="false" ht="15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19.0353669704499</v>
      </c>
      <c r="S29" s="19" t="s">
        <v>23</v>
      </c>
    </row>
    <row r="30" customFormat="false" ht="15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1.32962396753037</v>
      </c>
      <c r="S30" s="19" t="s">
        <v>23</v>
      </c>
    </row>
    <row r="31" customFormat="false" ht="1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0.38780699052969</v>
      </c>
      <c r="S31" s="19" t="s">
        <v>23</v>
      </c>
    </row>
    <row r="32" customFormat="false" ht="1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1.19112147091262</v>
      </c>
      <c r="S32" s="19" t="s">
        <v>23</v>
      </c>
    </row>
    <row r="33" customFormat="false" ht="15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5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5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5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5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5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316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249</v>
      </c>
      <c r="M38" s="4"/>
      <c r="N38" s="10"/>
      <c r="O38" s="10"/>
      <c r="P38" s="28" t="n">
        <f aca="false">Sheet2!AV4</f>
        <v>0</v>
      </c>
      <c r="Q38" s="28" t="n">
        <f aca="false">ROUND(Sheet2!AQ4,0)</f>
        <v>91</v>
      </c>
      <c r="R38" s="4"/>
      <c r="S38" s="10"/>
    </row>
    <row r="39" customFormat="false" ht="15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116000</v>
      </c>
      <c r="G39" s="28" t="n">
        <f aca="false">ROUND(Sheet2!AD5,0)</f>
        <v>199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9600</v>
      </c>
      <c r="L39" s="28" t="n">
        <f aca="false">ROUND(Sheet2!AH10,0)</f>
        <v>206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36700</v>
      </c>
      <c r="Q39" s="28" t="n">
        <f aca="false">ROUND(Sheet2!AQ19,0)</f>
        <v>79</v>
      </c>
      <c r="R39" s="4"/>
      <c r="S39" s="10"/>
    </row>
    <row r="40" customFormat="false" ht="15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210000</v>
      </c>
      <c r="G40" s="28" t="n">
        <f aca="false">ROUND(Sheet2!AD6,0)</f>
        <v>113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14500</v>
      </c>
      <c r="L40" s="28" t="n">
        <f aca="false">ROUND(Sheet2!AH13,0)</f>
        <v>191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70000</v>
      </c>
      <c r="Q40" s="28" t="n">
        <f aca="false">ROUND(Sheet2!AQ31,0)</f>
        <v>76</v>
      </c>
      <c r="R40" s="4"/>
      <c r="S40" s="10"/>
    </row>
    <row r="41" customFormat="false" ht="15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280000</v>
      </c>
      <c r="G41" s="28" t="n">
        <f aca="false">ROUND(Sheet2!AD7,0)</f>
        <v>111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22400</v>
      </c>
      <c r="L41" s="28" t="n">
        <f aca="false">ROUND(Sheet2!AH18,0)</f>
        <v>187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102000</v>
      </c>
      <c r="Q41" s="28" t="n">
        <f aca="false">ROUND(Sheet2!AQ41,0)</f>
        <v>74</v>
      </c>
      <c r="R41" s="4"/>
      <c r="S41" s="10"/>
    </row>
    <row r="42" customFormat="false" ht="15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489000</v>
      </c>
      <c r="G42" s="28" t="n">
        <f aca="false">ROUND(Sheet2!AD8,0)</f>
        <v>188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31500</v>
      </c>
      <c r="L42" s="28" t="n">
        <f aca="false">ROUND(Sheet2!AH25,0)</f>
        <v>196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134000</v>
      </c>
      <c r="Q42" s="28" t="n">
        <f aca="false">ROUND(Sheet2!AQ51,0)</f>
        <v>73</v>
      </c>
      <c r="R42" s="4"/>
      <c r="S42" s="10"/>
    </row>
    <row r="43" customFormat="false" ht="15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639000</v>
      </c>
      <c r="G43" s="28" t="n">
        <f aca="false">ROUND(Sheet2!AD9,0)</f>
        <v>187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45800</v>
      </c>
      <c r="L43" s="28" t="n">
        <f aca="false">ROUND(Sheet2!AH35,0)</f>
        <v>221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167000</v>
      </c>
      <c r="Q43" s="28" t="n">
        <f aca="false">ROUND(Sheet2!AQ61,0)</f>
        <v>73</v>
      </c>
      <c r="R43" s="4"/>
      <c r="S43" s="10"/>
    </row>
    <row r="44" customFormat="false" ht="15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773000</v>
      </c>
      <c r="G44" s="28" t="n">
        <f aca="false">ROUND(Sheet2!AD10,0)</f>
        <v>231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48900</v>
      </c>
      <c r="L44" s="28" t="n">
        <f aca="false">ROUND(Sheet2!AH37,0)</f>
        <v>221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186000</v>
      </c>
      <c r="Q44" s="28" t="n">
        <f aca="false">ROUND(Sheet2!AQ69,0)</f>
        <v>73</v>
      </c>
      <c r="R44" s="4"/>
      <c r="S44" s="10"/>
    </row>
    <row r="45" customFormat="false" ht="15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1420000</v>
      </c>
      <c r="G45" s="28" t="n">
        <f aca="false">ROUND(Sheet2!AD11,0)</f>
        <v>631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66700</v>
      </c>
      <c r="L45" s="28" t="n">
        <f aca="false">ROUND(Sheet2!AH50,0)</f>
        <v>177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201000</v>
      </c>
      <c r="Q45" s="28" t="n">
        <f aca="false">ROUND(Sheet2!AQ77,0)</f>
        <v>76</v>
      </c>
      <c r="R45" s="4"/>
      <c r="S45" s="10"/>
    </row>
    <row r="46" customFormat="false" ht="15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2100000</v>
      </c>
      <c r="G46" s="28" t="n">
        <f aca="false">ROUND(Sheet2!AD12,0)</f>
        <v>741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80500</v>
      </c>
      <c r="L46" s="28" t="n">
        <f aca="false">ROUND(Sheet2!AH62,0)</f>
        <v>155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219000</v>
      </c>
      <c r="Q46" s="28" t="n">
        <f aca="false">ROUND(Sheet2!AQ86,0)</f>
        <v>92</v>
      </c>
      <c r="R46" s="4"/>
      <c r="S46" s="10"/>
    </row>
    <row r="47" customFormat="false" ht="15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2890000</v>
      </c>
      <c r="G47" s="28" t="n">
        <f aca="false">ROUND(Sheet2!AD13,0)</f>
        <v>783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89600</v>
      </c>
      <c r="L47" s="28" t="n">
        <f aca="false">ROUND(Sheet2!AH70,0)</f>
        <v>169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242000</v>
      </c>
      <c r="Q47" s="28" t="n">
        <f aca="false">ROUND(Sheet2!AQ96,0)</f>
        <v>124</v>
      </c>
      <c r="R47" s="4"/>
      <c r="S47" s="10"/>
    </row>
    <row r="48" customFormat="false" ht="15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3720000</v>
      </c>
      <c r="G48" s="28" t="n">
        <f aca="false">ROUND(Sheet2!AD14,0)</f>
        <v>783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96200</v>
      </c>
      <c r="L48" s="28" t="n">
        <f aca="false">ROUND(Sheet2!AH75,0)</f>
        <v>203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270000</v>
      </c>
      <c r="Q48" s="28" t="n">
        <f aca="false">ROUND(Sheet2!AQ106,0)</f>
        <v>140</v>
      </c>
      <c r="R48" s="4"/>
      <c r="S48" s="10"/>
    </row>
    <row r="49" customFormat="false" ht="15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0</v>
      </c>
      <c r="G49" s="28" t="n">
        <f aca="false">ROUND(Sheet2!AD15,0)</f>
        <v>0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105000</v>
      </c>
      <c r="L49" s="28" t="n">
        <f aca="false">ROUND(Sheet2!AH80,0)</f>
        <v>303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300000</v>
      </c>
      <c r="Q49" s="28" t="n">
        <f aca="false">ROUND(Sheet2!AQ116,0)</f>
        <v>143</v>
      </c>
      <c r="R49" s="4"/>
      <c r="S49" s="10"/>
    </row>
    <row r="50" customFormat="false" ht="15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161000</v>
      </c>
      <c r="L50" s="28" t="n">
        <f aca="false">ROUND(Sheet2!AH95,0)</f>
        <v>828</v>
      </c>
      <c r="M50" s="4"/>
      <c r="N50" s="10"/>
      <c r="O50" s="10"/>
      <c r="P50" s="27"/>
      <c r="Q50" s="27"/>
      <c r="R50" s="4"/>
      <c r="S50" s="10"/>
    </row>
    <row r="51" customFormat="false" ht="15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5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5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5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5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5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210000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14500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70000</v>
      </c>
      <c r="Q56" s="30" t="n">
        <f aca="false">Sheet2!AR31</f>
        <v>-0.5</v>
      </c>
      <c r="R56" s="4"/>
      <c r="S56" s="10"/>
    </row>
    <row r="57" customFormat="false" ht="15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280000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38400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134000</v>
      </c>
      <c r="Q57" s="30" t="n">
        <f aca="false">Sheet2!AR51</f>
        <v>0</v>
      </c>
      <c r="R57" s="4"/>
      <c r="S57" s="10"/>
    </row>
    <row r="58" customFormat="false" ht="15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773000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66700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300000</v>
      </c>
      <c r="Q58" s="30" t="n">
        <f aca="false">Sheet2!AR116</f>
        <v>1.3</v>
      </c>
      <c r="R58" s="4"/>
      <c r="S58" s="10"/>
    </row>
    <row r="59" customFormat="false" ht="15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3720000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80500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5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161000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5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5" zeroHeight="false" outlineLevelRow="0" outlineLevelCol="0"/>
  <cols>
    <col collapsed="false" customWidth="true" hidden="false" outlineLevel="0" max="1" min="1" style="31" width="6.57"/>
    <col collapsed="false" customWidth="true" hidden="false" outlineLevel="0" max="2" min="2" style="31" width="7.57"/>
    <col collapsed="false" customWidth="true" hidden="false" outlineLevel="0" max="4" min="3" style="31" width="6.57"/>
    <col collapsed="false" customWidth="true" hidden="false" outlineLevel="0" max="5" min="5" style="0" width="7.57"/>
    <col collapsed="false" customWidth="true" hidden="false" outlineLevel="0" max="9" min="6" style="0" width="6.57"/>
    <col collapsed="false" customWidth="true" hidden="false" outlineLevel="0" max="10" min="10" style="32" width="6.85"/>
    <col collapsed="false" customWidth="true" hidden="false" outlineLevel="0" max="11" min="11" style="32" width="9.58"/>
    <col collapsed="false" customWidth="true" hidden="false" outlineLevel="0" max="12" min="12" style="32" width="8"/>
    <col collapsed="false" customWidth="true" hidden="false" outlineLevel="0" max="13" min="13" style="32" width="8.57"/>
    <col collapsed="false" customWidth="true" hidden="false" outlineLevel="0" max="15" min="14" style="32" width="9.58"/>
    <col collapsed="false" customWidth="true" hidden="false" outlineLevel="0" max="17" min="17" style="32" width="6.85"/>
    <col collapsed="false" customWidth="true" hidden="false" outlineLevel="0" max="18" min="18" style="32" width="9.58"/>
    <col collapsed="false" customWidth="true" hidden="false" outlineLevel="0" max="19" min="19" style="32" width="6.57"/>
    <col collapsed="false" customWidth="true" hidden="false" outlineLevel="0" max="20" min="20" style="0" width="6.57"/>
    <col collapsed="false" customWidth="true" hidden="false" outlineLevel="0" max="21" min="21" style="32" width="6.57"/>
    <col collapsed="false" customWidth="true" hidden="false" outlineLevel="0" max="22" min="22" style="32" width="8.57"/>
    <col collapsed="false" customWidth="true" hidden="false" outlineLevel="0" max="24" min="23" style="32" width="9.58"/>
    <col collapsed="false" customWidth="true" hidden="false" outlineLevel="0" max="25" min="25" style="32" width="6.85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8"/>
    <col collapsed="false" customWidth="true" hidden="false" outlineLevel="0" max="30" min="30" style="0" width="6.57"/>
    <col collapsed="false" customWidth="true" hidden="false" outlineLevel="0" max="32" min="32" style="32" width="6.85"/>
    <col collapsed="false" customWidth="true" hidden="false" outlineLevel="0" max="33" min="33" style="32" width="9.58"/>
    <col collapsed="false" customWidth="true" hidden="false" outlineLevel="0" max="34" min="34" style="32" width="6.57"/>
    <col collapsed="false" customWidth="true" hidden="false" outlineLevel="0" max="35" min="35" style="0" width="6.57"/>
    <col collapsed="false" customWidth="true" hidden="false" outlineLevel="0" max="36" min="36" style="32" width="6.57"/>
    <col collapsed="false" customWidth="true" hidden="false" outlineLevel="0" max="37" min="37" style="32" width="8.57"/>
    <col collapsed="false" customWidth="true" hidden="false" outlineLevel="0" max="39" min="38" style="32" width="9.58"/>
    <col collapsed="false" customWidth="true" hidden="false" outlineLevel="0" max="41" min="41" style="32" width="6.85"/>
    <col collapsed="false" customWidth="true" hidden="false" outlineLevel="0" max="42" min="42" style="32" width="9.58"/>
    <col collapsed="false" customWidth="true" hidden="false" outlineLevel="0" max="43" min="43" style="32" width="6.57"/>
    <col collapsed="false" customWidth="true" hidden="false" outlineLevel="0" max="44" min="44" style="0" width="6.57"/>
    <col collapsed="false" customWidth="true" hidden="false" outlineLevel="0" max="45" min="45" style="32" width="6.57"/>
    <col collapsed="false" customWidth="true" hidden="false" outlineLevel="0" max="46" min="46" style="32" width="8.57"/>
    <col collapsed="false" customWidth="true" hidden="false" outlineLevel="0" max="48" min="47" style="32" width="9.58"/>
  </cols>
  <sheetData>
    <row r="1" customFormat="false" ht="15" hidden="false" customHeight="false" outlineLevel="0" collapsed="false">
      <c r="A1" s="31" t="s">
        <v>52</v>
      </c>
    </row>
    <row r="2" customFormat="false" ht="18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5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5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1335.16321708364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1335.16321708364</v>
      </c>
      <c r="V4" s="39" t="n">
        <f aca="false">8314.4621*U4/(Sheet1!H$20*Sheet1!H$12*9.80665)</f>
        <v>428789.275712415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1193810.60954343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315.560897995756</v>
      </c>
      <c r="AF4" s="37" t="n">
        <f aca="false">LOG(Sheet1!M17*101325)</f>
        <v>5.30674660807771</v>
      </c>
      <c r="AG4" s="40" t="n">
        <f aca="false">10^AF4</f>
        <v>202650</v>
      </c>
      <c r="AH4" s="39" t="n">
        <f aca="false">AJ4-AI4*((Sheet1!M$19-Sheet1!M$20)*COS(RADIANS(38))+Sheet1!M$20)/2</f>
        <v>248.700940804828</v>
      </c>
      <c r="AI4" s="37" t="n">
        <v>1</v>
      </c>
      <c r="AJ4" s="39" t="n">
        <f aca="false">Sheet1!M16+Sheet1!M18</f>
        <v>253.352983819255</v>
      </c>
      <c r="AK4" s="39" t="n">
        <f aca="false">8314.4621*AJ4/(Sheet1!M$21*Sheet1!M$12*9.80665)</f>
        <v>9249.16406272597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7.00571661241373</v>
      </c>
      <c r="AP4" s="40" t="n">
        <f aca="false">10^AO4</f>
        <v>10132500</v>
      </c>
      <c r="AQ4" s="39" t="n">
        <f aca="false">AS4-AR4*((Sheet1!R$19-Sheet1!R$20)*COS(RADIANS(38))+Sheet1!R$20)/2</f>
        <v>91.0877598154011</v>
      </c>
      <c r="AR4" s="37" t="n">
        <v>1</v>
      </c>
      <c r="AS4" s="39" t="n">
        <f aca="false">Sheet1!R16+Sheet1!R18-Sheet1!R23*(AS19-AS4)/((AV19-AV4)*Sheet1!R11^LOG(1.25)/1.25)</f>
        <v>93.1637813226146</v>
      </c>
      <c r="AT4" s="39" t="n">
        <f aca="false">8314.4621*AS4/(Sheet1!R$22*Sheet1!R$12*9.80665)</f>
        <v>12607.4347053044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5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1251.17299223834</v>
      </c>
      <c r="T5" s="37" t="n">
        <v>0</v>
      </c>
      <c r="U5" s="39" t="n">
        <f aca="false">(X5-X$4)/(X$14-X$4)*(U$14-U$4)+U$4</f>
        <v>1251.17299223834</v>
      </c>
      <c r="V5" s="39" t="n">
        <f aca="false">8314.4621*U5/(Sheet1!H$20*Sheet1!H$12*9.80665)</f>
        <v>401815.713815614</v>
      </c>
      <c r="W5" s="39" t="n">
        <f aca="false">W4-LN(R5/R4)*(V4+V5)/2</f>
        <v>95626.9333526855</v>
      </c>
      <c r="X5" s="39" t="n">
        <f aca="false">Sheet1!H$10*10/Sheet1!H$11*1000*W5/(Sheet1!H$10*10/Sheet1!H$11*1000-W5)</f>
        <v>95779.5851527844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1338588.41901616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198.591284379301</v>
      </c>
      <c r="AF5" s="37" t="n">
        <f aca="false">AF4+(AF$10-AF$4)/6</f>
        <v>5.20364703405939</v>
      </c>
      <c r="AG5" s="40" t="n">
        <f aca="false">10^AF5</f>
        <v>159825.854137914</v>
      </c>
      <c r="AH5" s="39" t="n">
        <f aca="false">AJ5-AI5*((Sheet1!M$19-Sheet1!M$20)*COS(RADIANS(38))+Sheet1!M$20)/2</f>
        <v>241.002700736835</v>
      </c>
      <c r="AI5" s="37" t="n">
        <f aca="false">(AM5-AM$4)/(AM$13-AM$4)*(AI$13-AI$4)+AI$4</f>
        <v>0.83313274322281</v>
      </c>
      <c r="AJ5" s="39" t="n">
        <f aca="false">(AM5-AM$4)/(AM$10-AM$4)*(AJ$10-AJ$4)+AJ$4</f>
        <v>244.878470095035</v>
      </c>
      <c r="AK5" s="39" t="n">
        <f aca="false">8314.4621*AJ5/(Sheet1!M$21*Sheet1!M$12*9.80665)</f>
        <v>8939.78476667214</v>
      </c>
      <c r="AL5" s="39" t="n">
        <f aca="false">AL4-LN(AG5/AG4)*(AK4+AK5)/2</f>
        <v>2158.98768496178</v>
      </c>
      <c r="AM5" s="39" t="n">
        <f aca="false">Sheet1!M$10*10/Sheet1!M$11*1000*AL5/(Sheet1!M$10*10/Sheet1!M$11*1000-AL5)</f>
        <v>2159.88100996207</v>
      </c>
      <c r="AN5" s="41"/>
      <c r="AO5" s="37" t="n">
        <f aca="false">AO4+(AO$19-AO$4)/15</f>
        <v>6.89230705758155</v>
      </c>
      <c r="AP5" s="40" t="n">
        <f aca="false">10^AO5</f>
        <v>7803816.6580976</v>
      </c>
      <c r="AQ5" s="39" t="n">
        <f aca="false">AS5-AR5*((Sheet1!R$19-Sheet1!R$20)*COS(RADIANS(38))+Sheet1!R$20)/2</f>
        <v>90.1993532438234</v>
      </c>
      <c r="AR5" s="37" t="n">
        <f aca="false">(AV5-AV$4)/(AV$31-AV$4)*(AR$31-AR$4)+AR$4</f>
        <v>0.943707721651855</v>
      </c>
      <c r="AS5" s="39" t="n">
        <f aca="false">(AV5-AV$4)/(AV$19-AV$4)*(AS$19-AS$4)+AS$4</f>
        <v>92.158510770496</v>
      </c>
      <c r="AT5" s="39" t="n">
        <f aca="false">8314.4621*AS5/(Sheet1!R$22*Sheet1!R$12*9.80665)</f>
        <v>12530.3648753024</v>
      </c>
      <c r="AU5" s="39" t="n">
        <f aca="false">AU4-LN(AP5/AP4)*(AT4+AT5)/2</f>
        <v>3282.18153659657</v>
      </c>
      <c r="AV5" s="39" t="n">
        <f aca="false">Sheet1!R$10*10/Sheet1!R$11*1000*AU5/(Sheet1!R$10*10/Sheet1!R$11*1000-AU5)</f>
        <v>3283.04289093394</v>
      </c>
    </row>
    <row r="6" customFormat="false" ht="15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1172.23024114283</v>
      </c>
      <c r="T6" s="37" t="n">
        <v>0</v>
      </c>
      <c r="U6" s="39" t="n">
        <f aca="false">(X6-X$4)/(X$14-X$4)*(U$14-U$4)+U$4</f>
        <v>1172.23024114283</v>
      </c>
      <c r="V6" s="39" t="n">
        <f aca="false">8314.4621*U6/(Sheet1!H$20*Sheet1!H$12*9.80665)</f>
        <v>376463.154194529</v>
      </c>
      <c r="W6" s="39" t="n">
        <f aca="false">W5-LN(R6/R5)*(V5+V6)/2</f>
        <v>185229.599336307</v>
      </c>
      <c r="X6" s="39" t="n">
        <f aca="false">Sheet1!H$10*10/Sheet1!H$11*1000*W6/(Sheet1!H$10*10/Sheet1!H$11*1000-W6)</f>
        <v>185803.203552129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1456090.21713462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112.812270590295</v>
      </c>
      <c r="AF6" s="37" t="n">
        <f aca="false">AF5+(AF$10-AF$4)/6</f>
        <v>5.10054746004107</v>
      </c>
      <c r="AG6" s="40" t="n">
        <f aca="false">10^AF6</f>
        <v>126051.338025728</v>
      </c>
      <c r="AH6" s="39" t="n">
        <f aca="false">AJ6-AI6*((Sheet1!M$19-Sheet1!M$20)*COS(RADIANS(38))+Sheet1!M$20)/2</f>
        <v>233.556827366997</v>
      </c>
      <c r="AI6" s="37" t="n">
        <f aca="false">(AM6-AM$4)/(AM$13-AM$4)*(AI$13-AI$4)+AI$4</f>
        <v>0.671717734671178</v>
      </c>
      <c r="AJ6" s="39" t="n">
        <f aca="false">(AM6-AM$4)/(AM$10-AM$4)*(AJ$10-AJ$4)+AJ$4</f>
        <v>236.681687162241</v>
      </c>
      <c r="AK6" s="39" t="n">
        <f aca="false">8314.4621*AJ6/(Sheet1!M$21*Sheet1!M$12*9.80665)</f>
        <v>8640.54459594635</v>
      </c>
      <c r="AL6" s="39" t="n">
        <f aca="false">AL5-LN(AG6/AG5)*(AK5+AK6)/2</f>
        <v>4245.73359576004</v>
      </c>
      <c r="AM6" s="39" t="n">
        <f aca="false">Sheet1!M$10*10/Sheet1!M$11*1000*AL6/(Sheet1!M$10*10/Sheet1!M$11*1000-AL6)</f>
        <v>4249.18971214234</v>
      </c>
      <c r="AN6" s="41"/>
      <c r="AO6" s="37" t="n">
        <f aca="false">AO5+(AO$19-AO$4)/15</f>
        <v>6.77889750274936</v>
      </c>
      <c r="AP6" s="40" t="n">
        <f aca="false">10^AO6</f>
        <v>6010318.72027652</v>
      </c>
      <c r="AQ6" s="39" t="n">
        <f aca="false">AS6-AR6*((Sheet1!R$19-Sheet1!R$20)*COS(RADIANS(38))+Sheet1!R$20)/2</f>
        <v>89.3185839458763</v>
      </c>
      <c r="AR6" s="37" t="n">
        <f aca="false">(AV6-AV$4)/(AV$31-AV$4)*(AR$31-AR$4)+AR$4</f>
        <v>0.887862320320624</v>
      </c>
      <c r="AS6" s="39" t="n">
        <f aca="false">(AV6-AV$4)/(AV$19-AV$4)*(AS$19-AS$4)+AS$4</f>
        <v>91.1618052183063</v>
      </c>
      <c r="AT6" s="39" t="n">
        <f aca="false">8314.4621*AS6/(Sheet1!R$22*Sheet1!R$12*9.80665)</f>
        <v>12394.8474484499</v>
      </c>
      <c r="AU6" s="39" t="n">
        <f aca="false">AU5-LN(AP6/AP5)*(AT5+AT6)/2</f>
        <v>6536.60607055152</v>
      </c>
      <c r="AV6" s="39" t="n">
        <f aca="false">Sheet1!R$10*10/Sheet1!R$11*1000*AU6/(Sheet1!R$10*10/Sheet1!R$11*1000-AU6)</f>
        <v>6540.02330124796</v>
      </c>
    </row>
    <row r="7" customFormat="false" ht="15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1098.06028921377</v>
      </c>
      <c r="T7" s="37" t="n">
        <v>0</v>
      </c>
      <c r="U7" s="39" t="n">
        <f aca="false">(X7-X$4)/(X$14-X$4)*(U$14-U$4)+U$4</f>
        <v>1098.06028921377</v>
      </c>
      <c r="V7" s="39" t="n">
        <f aca="false">8314.4621*U7/(Sheet1!H$20*Sheet1!H$12*9.80665)</f>
        <v>352643.384775812</v>
      </c>
      <c r="W7" s="39" t="n">
        <f aca="false">W6-LN(R7/R6)*(V6+V7)/2</f>
        <v>269171.091728186</v>
      </c>
      <c r="X7" s="39" t="n">
        <f aca="false">Sheet1!H$10*10/Sheet1!H$11*1000*W7/(Sheet1!H$10*10/Sheet1!H$11*1000-W7)</f>
        <v>270384.084716001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1543735.362009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110.736249083081</v>
      </c>
      <c r="AF7" s="37" t="n">
        <f aca="false">AF6+(AF$10-AF$4)/6</f>
        <v>4.99744788602275</v>
      </c>
      <c r="AG7" s="40" t="n">
        <f aca="false">10^AF7</f>
        <v>99414.0773016967</v>
      </c>
      <c r="AH7" s="39" t="n">
        <f aca="false">AJ7-AI7*((Sheet1!M$19-Sheet1!M$20)*COS(RADIANS(38))+Sheet1!M$20)/2</f>
        <v>226.354215604174</v>
      </c>
      <c r="AI7" s="37" t="n">
        <f aca="false">(AM7-AM$4)/(AM$13-AM$4)*(AI$13-AI$4)+AI$4</f>
        <v>0.515585146645427</v>
      </c>
      <c r="AJ7" s="39" t="n">
        <f aca="false">(AM7-AM$4)/(AM$10-AM$4)*(AJ$10-AJ$4)+AJ$4</f>
        <v>228.752739883969</v>
      </c>
      <c r="AK7" s="39" t="n">
        <f aca="false">8314.4621*AJ7/(Sheet1!M$21*Sheet1!M$12*9.80665)</f>
        <v>8351.08230852461</v>
      </c>
      <c r="AL7" s="39" t="n">
        <f aca="false">AL6-LN(AG7/AG6)*(AK6+AK7)/2</f>
        <v>6262.60183692667</v>
      </c>
      <c r="AM7" s="39" t="n">
        <f aca="false">Sheet1!M$10*10/Sheet1!M$11*1000*AL7/(Sheet1!M$10*10/Sheet1!M$11*1000-AL7)</f>
        <v>6270.1243066586</v>
      </c>
      <c r="AN7" s="41"/>
      <c r="AO7" s="37" t="n">
        <f aca="false">AO6+(AO$19-AO$4)/15</f>
        <v>6.66548794791718</v>
      </c>
      <c r="AP7" s="40" t="n">
        <f aca="false">10^AO7</f>
        <v>4629008.17663655</v>
      </c>
      <c r="AQ7" s="39" t="n">
        <f aca="false">AS7-AR7*((Sheet1!R$19-Sheet1!R$20)*COS(RADIANS(38))+Sheet1!R$20)/2</f>
        <v>88.445778507766</v>
      </c>
      <c r="AR7" s="37" t="n">
        <f aca="false">(AV7-AV$4)/(AV$31-AV$4)*(AR$31-AR$4)+AR$4</f>
        <v>0.832592779212748</v>
      </c>
      <c r="AS7" s="39" t="n">
        <f aca="false">(AV7-AV$4)/(AV$19-AV$4)*(AS$19-AS$4)+AS$4</f>
        <v>90.1742590241622</v>
      </c>
      <c r="AT7" s="39" t="n">
        <f aca="false">8314.4621*AS7/(Sheet1!R$22*Sheet1!R$12*9.80665)</f>
        <v>12260.5753769897</v>
      </c>
      <c r="AU7" s="39" t="n">
        <f aca="false">AU6-LN(AP7/AP6)*(AT6+AT7)/2</f>
        <v>9755.80484390279</v>
      </c>
      <c r="AV7" s="39" t="n">
        <f aca="false">Sheet1!R$10*10/Sheet1!R$11*1000*AU7/(Sheet1!R$10*10/Sheet1!R$11*1000-AU7)</f>
        <v>9763.41875341259</v>
      </c>
    </row>
    <row r="8" customFormat="false" ht="15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1028.39992248858</v>
      </c>
      <c r="T8" s="37" t="n">
        <v>0</v>
      </c>
      <c r="U8" s="39" t="n">
        <f aca="false">(X8-X$4)/(X$14-X$4)*(U$14-U$4)+U$4</f>
        <v>1028.39992248858</v>
      </c>
      <c r="V8" s="39" t="n">
        <f aca="false">8314.4621*U8/(Sheet1!H$20*Sheet1!H$12*9.80665)</f>
        <v>330271.874078267</v>
      </c>
      <c r="W8" s="39" t="n">
        <f aca="false">W7-LN(R8/R7)*(V7+V8)/2</f>
        <v>347794.616468964</v>
      </c>
      <c r="X8" s="39" t="n">
        <f aca="false">Sheet1!H$10*10/Sheet1!H$11*1000*W8/(Sheet1!H$10*10/Sheet1!H$11*1000-W8)</f>
        <v>349822.388861738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1804466.53848984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187.741567344106</v>
      </c>
      <c r="AF8" s="37" t="n">
        <f aca="false">AF7+(AF$10-AF$4)/6</f>
        <v>4.89434831200443</v>
      </c>
      <c r="AG8" s="40" t="n">
        <f aca="false">10^AF8</f>
        <v>78405.8219495499</v>
      </c>
      <c r="AH8" s="39" t="n">
        <f aca="false">AJ8-AI8*((Sheet1!M$19-Sheet1!M$20)*COS(RADIANS(38))+Sheet1!M$20)/2</f>
        <v>219.387685621498</v>
      </c>
      <c r="AI8" s="37" t="n">
        <f aca="false">(AM8-AM$4)/(AM$13-AM$4)*(AI$13-AI$4)+AI$4</f>
        <v>0.36457016271711</v>
      </c>
      <c r="AJ8" s="39" t="n">
        <f aca="false">(AM8-AM$4)/(AM$10-AM$4)*(AJ$10-AJ$4)+AJ$4</f>
        <v>221.083681700234</v>
      </c>
      <c r="AK8" s="39" t="n">
        <f aca="false">8314.4621*AJ8/(Sheet1!M$21*Sheet1!M$12*9.80665)</f>
        <v>8071.107799132</v>
      </c>
      <c r="AL8" s="39" t="n">
        <f aca="false">AL7-LN(AG8/AG7)*(AK7+AK8)/2</f>
        <v>8211.87919952097</v>
      </c>
      <c r="AM8" s="39" t="n">
        <f aca="false">Sheet1!M$10*10/Sheet1!M$11*1000*AL8/(Sheet1!M$10*10/Sheet1!M$11*1000-AL8)</f>
        <v>8224.81812919818</v>
      </c>
      <c r="AN8" s="41"/>
      <c r="AO8" s="37" t="n">
        <f aca="false">AO7+(AO$19-AO$4)/15</f>
        <v>6.552078393085</v>
      </c>
      <c r="AP8" s="40" t="n">
        <f aca="false">10^AO8</f>
        <v>3565154.81068902</v>
      </c>
      <c r="AQ8" s="39" t="n">
        <f aca="false">AS8-AR8*((Sheet1!R$19-Sheet1!R$20)*COS(RADIANS(38))+Sheet1!R$20)/2</f>
        <v>87.582534197372</v>
      </c>
      <c r="AR8" s="37" t="n">
        <f aca="false">(AV8-AV$4)/(AV$31-AV$4)*(AR$31-AR$4)+AR$4</f>
        <v>0.777893939118746</v>
      </c>
      <c r="AS8" s="39" t="n">
        <f aca="false">(AV8-AV$4)/(AV$19-AV$4)*(AS$19-AS$4)+AS$4</f>
        <v>89.1974587453135</v>
      </c>
      <c r="AT8" s="39" t="n">
        <f aca="false">8314.4621*AS8/(Sheet1!R$22*Sheet1!R$12*9.80665)</f>
        <v>12127.7643777457</v>
      </c>
      <c r="AU8" s="39" t="n">
        <f aca="false">AU7-LN(AP8/AP7)*(AT7+AT8)/2</f>
        <v>12940.1312283406</v>
      </c>
      <c r="AV8" s="39" t="n">
        <f aca="false">Sheet1!R$10*10/Sheet1!R$11*1000*AU8/(Sheet1!R$10*10/Sheet1!R$11*1000-AU8)</f>
        <v>12953.5301396018</v>
      </c>
    </row>
    <row r="9" customFormat="false" ht="15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962.997350311717</v>
      </c>
      <c r="T9" s="37" t="n">
        <v>0</v>
      </c>
      <c r="U9" s="39" t="n">
        <f aca="false">(X9-X$4)/(X$14-X$4)*(U$14-U$4)+U$4</f>
        <v>962.997350311717</v>
      </c>
      <c r="V9" s="39" t="n">
        <f aca="false">8314.4621*U9/(Sheet1!H$20*Sheet1!H$12*9.80665)</f>
        <v>309267.759229521</v>
      </c>
      <c r="W9" s="39" t="n">
        <f aca="false">W8-LN(R9/R8)*(V8+V9)/2</f>
        <v>421424.337770634</v>
      </c>
      <c r="X9" s="39" t="n">
        <f aca="false">Sheet1!H$10*10/Sheet1!H$11*1000*W9/(Sheet1!H$10*10/Sheet1!H$11*1000-W9)</f>
        <v>424405.249457282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1992065.37212061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187.10959626224</v>
      </c>
      <c r="AF9" s="37" t="n">
        <f aca="false">AF8+(AF$10-AF$4)/6</f>
        <v>4.79124873798611</v>
      </c>
      <c r="AG9" s="40" t="n">
        <f aca="false">10^AF9</f>
        <v>61837.0464469381</v>
      </c>
      <c r="AH9" s="39" t="n">
        <f aca="false">AJ9-AI9*((Sheet1!M$19-Sheet1!M$20)*COS(RADIANS(38))+Sheet1!M$20)/2</f>
        <v>212.649841142266</v>
      </c>
      <c r="AI9" s="37" t="n">
        <f aca="false">(AM9-AM$4)/(AM$13-AM$4)*(AI$13-AI$4)+AI$4</f>
        <v>0.218512454456679</v>
      </c>
      <c r="AJ9" s="39" t="n">
        <f aca="false">(AM9-AM$4)/(AM$10-AM$4)*(AJ$10-AJ$4)+AJ$4</f>
        <v>213.666370479586</v>
      </c>
      <c r="AK9" s="39" t="n">
        <f aca="false">8314.4621*AJ9/(Sheet1!M$21*Sheet1!M$12*9.80665)</f>
        <v>7800.32382276086</v>
      </c>
      <c r="AL9" s="39" t="n">
        <f aca="false">AL8-LN(AG9/AG8)*(AK8+AK9)/2</f>
        <v>10095.7827574328</v>
      </c>
      <c r="AM9" s="39" t="n">
        <f aca="false">Sheet1!M$10*10/Sheet1!M$11*1000*AL9/(Sheet1!M$10*10/Sheet1!M$11*1000-AL9)</f>
        <v>10115.3464241022</v>
      </c>
      <c r="AN9" s="41"/>
      <c r="AO9" s="37" t="n">
        <f aca="false">AO8+(AO$19-AO$4)/15</f>
        <v>6.43866883825282</v>
      </c>
      <c r="AP9" s="40" t="n">
        <f aca="false">10^AO9</f>
        <v>2745799.60526542</v>
      </c>
      <c r="AQ9" s="39" t="n">
        <f aca="false">AS9-AR9*((Sheet1!R$19-Sheet1!R$20)*COS(RADIANS(38))+Sheet1!R$20)/2</f>
        <v>86.7282102636997</v>
      </c>
      <c r="AR9" s="37" t="n">
        <f aca="false">(AV9-AV$4)/(AV$31-AV$4)*(AR$31-AR$4)+AR$4</f>
        <v>0.723760334585333</v>
      </c>
      <c r="AS9" s="39" t="n">
        <f aca="false">(AV9-AV$4)/(AV$19-AV$4)*(AS$19-AS$4)+AS$4</f>
        <v>88.2307522843669</v>
      </c>
      <c r="AT9" s="39" t="n">
        <f aca="false">8314.4621*AS9/(Sheet1!R$22*Sheet1!R$12*9.80665)</f>
        <v>11996.3257880625</v>
      </c>
      <c r="AU9" s="39" t="n">
        <f aca="false">AU8-LN(AP9/AP8)*(AT8+AT9)/2</f>
        <v>16089.95518471</v>
      </c>
      <c r="AV9" s="39" t="n">
        <f aca="false">Sheet1!R$10*10/Sheet1!R$11*1000*AU9/(Sheet1!R$10*10/Sheet1!R$11*1000-AU9)</f>
        <v>16110.6762125481</v>
      </c>
    </row>
    <row r="10" customFormat="false" ht="15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901.612100350176</v>
      </c>
      <c r="T10" s="37" t="n">
        <v>0</v>
      </c>
      <c r="U10" s="39" t="n">
        <f aca="false">(X10-X$4)/(X$14-X$4)*(U$14-U$4)+U$4</f>
        <v>901.612100350176</v>
      </c>
      <c r="V10" s="39" t="n">
        <f aca="false">8314.4621*U10/(Sheet1!H$20*Sheet1!H$12*9.80665)</f>
        <v>289553.812250119</v>
      </c>
      <c r="W10" s="39" t="n">
        <f aca="false">W9-LN(R10/R9)*(V9+V10)/2</f>
        <v>490366.218963248</v>
      </c>
      <c r="X10" s="39" t="n">
        <f aca="false">Sheet1!H$10*10/Sheet1!H$11*1000*W10/(Sheet1!H$10*10/Sheet1!H$11*1000-W10)</f>
        <v>494406.892941936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2159996.49249656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231.048825072807</v>
      </c>
      <c r="AF10" s="37" t="n">
        <f aca="false">AF4+0.385*(AF18-AF4)</f>
        <v>4.68814916396779</v>
      </c>
      <c r="AG10" s="40" t="n">
        <f aca="false">10^AF10</f>
        <v>48769.5966728235</v>
      </c>
      <c r="AH10" s="39" t="n">
        <f aca="false">AJ10-AI10*((Sheet1!M$19-Sheet1!M$20)*COS(RADIANS(38))+Sheet1!M$20)/2</f>
        <v>206.133702819557</v>
      </c>
      <c r="AI10" s="37" t="n">
        <f aca="false">(AM10-AM$4)/(AM$13-AM$4)*(AI$13-AI$4)+AI$4</f>
        <v>0.0772315882912457</v>
      </c>
      <c r="AJ10" s="39" t="n">
        <f aca="false">AJ4+0.73*(AJ13-AJ4)</f>
        <v>206.492987490361</v>
      </c>
      <c r="AK10" s="39" t="n">
        <f aca="false">8314.4621*AJ10/(Sheet1!M$21*Sheet1!M$12*9.80665)</f>
        <v>7538.4449407681</v>
      </c>
      <c r="AL10" s="39" t="n">
        <f aca="false">AL9-LN(AG10/AG9)*(AK9+AK10)/2</f>
        <v>11916.4604213015</v>
      </c>
      <c r="AM10" s="39" t="n">
        <f aca="false">Sheet1!M$10*10/Sheet1!M$11*1000*AL10/(Sheet1!M$10*10/Sheet1!M$11*1000-AL10)</f>
        <v>11943.726118538</v>
      </c>
      <c r="AN10" s="41"/>
      <c r="AO10" s="37" t="n">
        <f aca="false">AO9+(AO$19-AO$4)/15</f>
        <v>6.32525928342063</v>
      </c>
      <c r="AP10" s="40" t="n">
        <f aca="false">10^AO10</f>
        <v>2114751.21632057</v>
      </c>
      <c r="AQ10" s="39" t="n">
        <f aca="false">AS10-AR10*((Sheet1!R$19-Sheet1!R$20)*COS(RADIANS(38))+Sheet1!R$20)/2</f>
        <v>85.8827237238858</v>
      </c>
      <c r="AR10" s="37" t="n">
        <f aca="false">(AV10-AV$4)/(AV$31-AV$4)*(AR$31-AR$4)+AR$4</f>
        <v>0.670186706577056</v>
      </c>
      <c r="AS10" s="39" t="n">
        <f aca="false">(AV10-AV$4)/(AV$19-AV$4)*(AS$19-AS$4)+AS$4</f>
        <v>87.2740457405883</v>
      </c>
      <c r="AT10" s="39" t="n">
        <f aca="false">8314.4621*AS10/(Sheet1!R$22*Sheet1!R$12*9.80665)</f>
        <v>11866.2468406934</v>
      </c>
      <c r="AU10" s="39" t="n">
        <f aca="false">AU9-LN(AP10/AP9)*(AT9+AT10)/2</f>
        <v>19205.6334303994</v>
      </c>
      <c r="AV10" s="39" t="n">
        <f aca="false">Sheet1!R$10*10/Sheet1!R$11*1000*AU10/(Sheet1!R$10*10/Sheet1!R$11*1000-AU10)</f>
        <v>19235.1636864134</v>
      </c>
    </row>
    <row r="11" customFormat="false" ht="15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844.014855920293</v>
      </c>
      <c r="T11" s="37" t="n">
        <v>0</v>
      </c>
      <c r="U11" s="39" t="n">
        <f aca="false">(X11-X$4)/(X$14-X$4)*(U$14-U$4)+U$4</f>
        <v>844.014855920293</v>
      </c>
      <c r="V11" s="39" t="n">
        <f aca="false">8314.4621*U11/(Sheet1!H$20*Sheet1!H$12*9.80665)</f>
        <v>271056.387810831</v>
      </c>
      <c r="W11" s="39" t="n">
        <f aca="false">W10-LN(R11/R10)*(V10+V11)/2</f>
        <v>554908.853445285</v>
      </c>
      <c r="X11" s="39" t="n">
        <f aca="false">Sheet1!H$10*10/Sheet1!H$11*1000*W11/(Sheet1!H$10*10/Sheet1!H$11*1000-W11)</f>
        <v>560088.824233332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2968060.69894743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630.681822201791</v>
      </c>
      <c r="AF11" s="37" t="n">
        <f aca="false">AF10+(AF$13-AF$10)/3</f>
        <v>4.5649652573485</v>
      </c>
      <c r="AG11" s="40" t="n">
        <f aca="false">10^AF11</f>
        <v>36725.291985635</v>
      </c>
      <c r="AH11" s="39" t="n">
        <f aca="false">AJ11-AI11*((Sheet1!M$19-Sheet1!M$20)*COS(RADIANS(38))+Sheet1!M$20)/2</f>
        <v>200.952538648372</v>
      </c>
      <c r="AI11" s="37" t="n">
        <f aca="false">(AM11-AM$4)/(AM$13-AM$4)*(AI$13-AI$4)+AI$4</f>
        <v>-0.0863724624107252</v>
      </c>
      <c r="AJ11" s="39" t="n">
        <f aca="false">(AM11-AM$10)/(AM$13-AM$10)*(AJ$13-AJ$10)+AJ$10</f>
        <v>200.550730237975</v>
      </c>
      <c r="AK11" s="39" t="n">
        <f aca="false">8314.4621*AJ11/(Sheet1!M$21*Sheet1!M$12*9.80665)</f>
        <v>7321.51079852233</v>
      </c>
      <c r="AL11" s="39" t="n">
        <f aca="false">AL10-LN(AG11/AG10)*(AK10+AK11)/2</f>
        <v>14023.9099474083</v>
      </c>
      <c r="AM11" s="39" t="n">
        <f aca="false">Sheet1!M$10*10/Sheet1!M$11*1000*AL11/(Sheet1!M$10*10/Sheet1!M$11*1000-AL11)</f>
        <v>14061.6876949067</v>
      </c>
      <c r="AN11" s="41"/>
      <c r="AO11" s="37" t="n">
        <f aca="false">AO10+(AO$19-AO$4)/15</f>
        <v>6.21184972858845</v>
      </c>
      <c r="AP11" s="40" t="n">
        <f aca="false">10^AO11</f>
        <v>1628732.37302291</v>
      </c>
      <c r="AQ11" s="39" t="n">
        <f aca="false">AS11-AR11*((Sheet1!R$19-Sheet1!R$20)*COS(RADIANS(38))+Sheet1!R$20)/2</f>
        <v>85.0459921716863</v>
      </c>
      <c r="AR11" s="37" t="n">
        <f aca="false">(AV11-AV$4)/(AV$31-AV$4)*(AR$31-AR$4)+AR$4</f>
        <v>0.617167832610983</v>
      </c>
      <c r="AS11" s="39" t="n">
        <f aca="false">(AV11-AV$4)/(AV$19-AV$4)*(AS$19-AS$4)+AS$4</f>
        <v>86.327245865747</v>
      </c>
      <c r="AT11" s="39" t="n">
        <f aca="false">8314.4621*AS11/(Sheet1!R$22*Sheet1!R$12*9.80665)</f>
        <v>11737.5148571092</v>
      </c>
      <c r="AU11" s="39" t="n">
        <f aca="false">AU10-LN(AP11/AP10)*(AT10+AT11)/2</f>
        <v>22287.5193604042</v>
      </c>
      <c r="AV11" s="39" t="n">
        <f aca="false">Sheet1!R$10*10/Sheet1!R$11*1000*AU11/(Sheet1!R$10*10/Sheet1!R$11*1000-AU11)</f>
        <v>22327.2971435659</v>
      </c>
    </row>
    <row r="12" customFormat="false" ht="15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789.98724476135</v>
      </c>
      <c r="T12" s="37" t="n">
        <v>0</v>
      </c>
      <c r="U12" s="39" t="n">
        <f aca="false">(X12-X$4)/(X$14-X$4)*(U$14-U$4)+U$4</f>
        <v>789.98724476135</v>
      </c>
      <c r="V12" s="39" t="n">
        <f aca="false">8314.4621*U12/(Sheet1!H$20*Sheet1!H$12*9.80665)</f>
        <v>253705.355397044</v>
      </c>
      <c r="W12" s="39" t="n">
        <f aca="false">W11-LN(R12/R11)*(V11+V12)/2</f>
        <v>615324.281809486</v>
      </c>
      <c r="X12" s="39" t="n">
        <f aca="false">Sheet1!H$10*10/Sheet1!H$11*1000*W12/(Sheet1!H$10*10/Sheet1!H$11*1000-W12)</f>
        <v>621700.067602796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3822000.29845111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740.98093193219</v>
      </c>
      <c r="AF12" s="37" t="n">
        <f aca="false">AF11+(AF$13-AF$10)/3</f>
        <v>4.44178135072921</v>
      </c>
      <c r="AG12" s="40" t="n">
        <f aca="false">10^AF12</f>
        <v>27655.4895558881</v>
      </c>
      <c r="AH12" s="39" t="n">
        <f aca="false">AJ12-AI12*((Sheet1!M$19-Sheet1!M$20)*COS(RADIANS(38))+Sheet1!M$20)/2</f>
        <v>195.916624925207</v>
      </c>
      <c r="AI12" s="37" t="n">
        <f aca="false">(AM12-AM$4)/(AM$13-AM$4)*(AI$13-AI$4)+AI$4</f>
        <v>-0.245417411741329</v>
      </c>
      <c r="AJ12" s="39" t="n">
        <f aca="false">(AM12-AM$10)/(AM$13-AM$10)*(AJ$13-AJ$10)+AJ$10</f>
        <v>194.774932569297</v>
      </c>
      <c r="AK12" s="39" t="n">
        <f aca="false">8314.4621*AJ12/(Sheet1!M$21*Sheet1!M$12*9.80665)</f>
        <v>7110.6536006895</v>
      </c>
      <c r="AL12" s="39" t="n">
        <f aca="false">AL11-LN(AG12/AG11)*(AK11+AK12)/2</f>
        <v>16070.6898004192</v>
      </c>
      <c r="AM12" s="39" t="n">
        <f aca="false">Sheet1!M$10*10/Sheet1!M$11*1000*AL12/(Sheet1!M$10*10/Sheet1!M$11*1000-AL12)</f>
        <v>16120.319043106</v>
      </c>
      <c r="AN12" s="41"/>
      <c r="AO12" s="37" t="n">
        <f aca="false">AO11+(AO$19-AO$4)/15</f>
        <v>6.09844017375627</v>
      </c>
      <c r="AP12" s="40" t="n">
        <f aca="false">10^AO12</f>
        <v>1254411.92441935</v>
      </c>
      <c r="AQ12" s="39" t="n">
        <f aca="false">AS12-AR12*((Sheet1!R$19-Sheet1!R$20)*COS(RADIANS(38))+Sheet1!R$20)/2</f>
        <v>84.2179337777703</v>
      </c>
      <c r="AR12" s="37" t="n">
        <f aca="false">(AV12-AV$4)/(AV$31-AV$4)*(AR$31-AR$4)+AR$4</f>
        <v>0.564698526774529</v>
      </c>
      <c r="AS12" s="39" t="n">
        <f aca="false">(AV12-AV$4)/(AV$19-AV$4)*(AS$19-AS$4)+AS$4</f>
        <v>85.3902600644459</v>
      </c>
      <c r="AT12" s="39" t="n">
        <f aca="false">8314.4621*AS12/(Sheet1!R$22*Sheet1!R$12*9.80665)</f>
        <v>11610.1172475437</v>
      </c>
      <c r="AU12" s="39" t="n">
        <f aca="false">AU11-LN(AP12/AP11)*(AT11+AT12)/2</f>
        <v>25335.9630704996</v>
      </c>
      <c r="AV12" s="39" t="n">
        <f aca="false">Sheet1!R$10*10/Sheet1!R$11*1000*AU12/(Sheet1!R$10*10/Sheet1!R$11*1000-AU12)</f>
        <v>25387.3790335412</v>
      </c>
    </row>
    <row r="13" customFormat="false" ht="15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739.321587553947</v>
      </c>
      <c r="T13" s="37" t="n">
        <v>0</v>
      </c>
      <c r="U13" s="39" t="n">
        <f aca="false">(X13-X$4)/(X$14-X$4)*(U$14-U$4)+U$4</f>
        <v>739.321587553947</v>
      </c>
      <c r="V13" s="39" t="n">
        <f aca="false">8314.4621*U13/(Sheet1!H$20*Sheet1!H$12*9.80665)</f>
        <v>237434.018545128</v>
      </c>
      <c r="W13" s="39" t="n">
        <f aca="false">W12-LN(R13/R12)*(V12+V13)/2</f>
        <v>671868.79186057</v>
      </c>
      <c r="X13" s="39" t="n">
        <f aca="false">Sheet1!H$10*10/Sheet1!H$11*1000*W13/(Sheet1!H$10*10/Sheet1!H$11*1000-W13)</f>
        <v>679477.453456407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4801112.68948652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783.208588862648</v>
      </c>
      <c r="AF13" s="37" t="n">
        <f aca="false">AF4+0.615*(AF18-AF4)</f>
        <v>4.31859744410992</v>
      </c>
      <c r="AG13" s="40" t="n">
        <f aca="false">10^AF13</f>
        <v>20825.5962369201</v>
      </c>
      <c r="AH13" s="39" t="n">
        <f aca="false">AJ13-AI13*((Sheet1!M$19-Sheet1!M$20)*COS(RADIANS(38))+Sheet1!M$20)/2</f>
        <v>191.02202523202</v>
      </c>
      <c r="AI13" s="37" t="n">
        <v>-0.4</v>
      </c>
      <c r="AJ13" s="39" t="n">
        <f aca="false">IF(0.74*Sheet1!M16+0.78*Sheet1!M18&gt;AJ18,0.74*Sheet1!M16+0.78*Sheet1!M18,AJ18)</f>
        <v>189.161208026249</v>
      </c>
      <c r="AK13" s="39" t="n">
        <f aca="false">8314.4621*AJ13/(Sheet1!M$21*Sheet1!M$12*9.80665)</f>
        <v>6905.71321072889</v>
      </c>
      <c r="AL13" s="39" t="n">
        <f aca="false">AL12-LN(AG13/AG12)*(AK12+AK13)/2</f>
        <v>18058.5009428413</v>
      </c>
      <c r="AM13" s="39" t="n">
        <f aca="false">Sheet1!M$10*10/Sheet1!M$11*1000*AL13/(Sheet1!M$10*10/Sheet1!M$11*1000-AL13)</f>
        <v>18121.1908935764</v>
      </c>
      <c r="AN13" s="41"/>
      <c r="AO13" s="37" t="n">
        <f aca="false">AO12+(AO$19-AO$4)/15</f>
        <v>5.98503061892408</v>
      </c>
      <c r="AP13" s="40" t="n">
        <f aca="false">10^AO13</f>
        <v>966118.990565017</v>
      </c>
      <c r="AQ13" s="39" t="n">
        <f aca="false">AS13-AR13*((Sheet1!R$19-Sheet1!R$20)*COS(RADIANS(38))+Sheet1!R$20)/2</f>
        <v>83.3984672898978</v>
      </c>
      <c r="AR13" s="37" t="n">
        <f aca="false">(AV13-AV$4)/(AV$31-AV$4)*(AR$31-AR$4)+AR$4</f>
        <v>0.512773639735929</v>
      </c>
      <c r="AS13" s="39" t="n">
        <f aca="false">(AV13-AV$4)/(AV$19-AV$4)*(AS$19-AS$4)+AS$4</f>
        <v>84.4629963943217</v>
      </c>
      <c r="AT13" s="39" t="n">
        <f aca="false">8314.4621*AS13/(Sheet1!R$22*Sheet1!R$12*9.80665)</f>
        <v>11484.0415110205</v>
      </c>
      <c r="AU13" s="39" t="n">
        <f aca="false">AU12-LN(AP13/AP12)*(AT12+AT13)/2</f>
        <v>28351.3113804236</v>
      </c>
      <c r="AV13" s="39" t="n">
        <f aca="false">Sheet1!R$10*10/Sheet1!R$11*1000*AU13/(Sheet1!R$10*10/Sheet1!R$11*1000-AU13)</f>
        <v>28415.7096724315</v>
      </c>
    </row>
    <row r="14" customFormat="false" ht="15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691.82061366609</v>
      </c>
      <c r="T14" s="37" t="n">
        <v>0</v>
      </c>
      <c r="U14" s="39" t="n">
        <f aca="false">600/1140*(U$44-U$4)+U$4</f>
        <v>691.82061366609</v>
      </c>
      <c r="V14" s="39" t="n">
        <f aca="false">8314.4621*U14/(Sheet1!H$20*Sheet1!H$12*9.80665)</f>
        <v>222179.023553955</v>
      </c>
      <c r="W14" s="39" t="n">
        <f aca="false">W13-LN(R14/R13)*(V13+V14)/2</f>
        <v>724783.698824719</v>
      </c>
      <c r="X14" s="39" t="n">
        <f aca="false">Sheet1!H$10*10/Sheet1!H$11*1000*W14/(Sheet1!H$10*10/Sheet1!H$11*1000-W14)</f>
        <v>733645.942488461</v>
      </c>
      <c r="Y14" s="37" t="n">
        <f aca="false">IF(Q14&lt;LOG(Sheet1!H$17*101325),Q14,IF(Q24&lt;LOG(Sheet1!H$17*101325),LOG(Sheet1!H$17*101325),0))</f>
        <v>0</v>
      </c>
      <c r="Z14" s="39" t="n">
        <f aca="false">IF(Y14=LOG(Sheet1!H$17*101325),(LOG(Sheet1!H$17*101325)-Q24)/(Q14-Q24)*(S14-S24)+S24,IF(Y14=0,0,S14))</f>
        <v>0</v>
      </c>
      <c r="AA14" s="39" t="n">
        <f aca="false">IF(Y14=LOG(Sheet1!H$17*101325),(LOG(Sheet1!H$17*101325)-Q24)/(Q14-Q24)*(X14-X24)+X24,IF(Y14=0,0,X14))</f>
        <v>0</v>
      </c>
      <c r="AB14" s="32" t="n">
        <f aca="false">IF(Y14=0,0,AB4+1)</f>
        <v>0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5840856.02780725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783.208588862648</v>
      </c>
      <c r="AF14" s="37" t="n">
        <f aca="false">AF13+(AF$18-AF$13)/5</f>
        <v>4.19487795528794</v>
      </c>
      <c r="AG14" s="40" t="n">
        <f aca="false">10^AF14</f>
        <v>15663.1084618996</v>
      </c>
      <c r="AH14" s="39" t="n">
        <f aca="false">AJ14-AI14*((Sheet1!M$19-Sheet1!M$20)*COS(RADIANS(38))+Sheet1!M$20)/2</f>
        <v>190.193227260168</v>
      </c>
      <c r="AI14" s="37" t="n">
        <f aca="false">(AM14-AM$13)/(AM$30-AM$13)*(AI$30-AI$13)+AI$13</f>
        <v>-0.347079273489329</v>
      </c>
      <c r="AJ14" s="39" t="n">
        <f aca="false">(AM14-AM$13)/(AM$18-AM$13)*(AJ$18-AJ$13)+AJ$13</f>
        <v>188.578599550479</v>
      </c>
      <c r="AK14" s="39" t="n">
        <f aca="false">8314.4621*AJ14/(Sheet1!M$21*Sheet1!M$12*9.80665)</f>
        <v>6884.44390773709</v>
      </c>
      <c r="AL14" s="39" t="n">
        <f aca="false">AL13-LN(AG14/AG13)*(AK13+AK14)/2</f>
        <v>20022.734038775</v>
      </c>
      <c r="AM14" s="39" t="n">
        <f aca="false">Sheet1!M$10*10/Sheet1!M$11*1000*AL14/(Sheet1!M$10*10/Sheet1!M$11*1000-AL14)</f>
        <v>20099.8324293799</v>
      </c>
      <c r="AN14" s="41"/>
      <c r="AO14" s="37" t="n">
        <f aca="false">AO13+(AO$19-AO$4)/15</f>
        <v>5.8716210640919</v>
      </c>
      <c r="AP14" s="40" t="n">
        <f aca="false">10^AO14</f>
        <v>744082.454702763</v>
      </c>
      <c r="AQ14" s="39" t="n">
        <f aca="false">AS14-AR14*((Sheet1!R$19-Sheet1!R$20)*COS(RADIANS(38))+Sheet1!R$20)/2</f>
        <v>82.5875120329838</v>
      </c>
      <c r="AR14" s="37" t="n">
        <f aca="false">(AV14-AV$4)/(AV$31-AV$4)*(AR$31-AR$4)+AR$4</f>
        <v>0.461388058747539</v>
      </c>
      <c r="AS14" s="39" t="n">
        <f aca="false">(AV14-AV$4)/(AV$19-AV$4)*(AS$19-AS$4)+AS$4</f>
        <v>83.5453635661151</v>
      </c>
      <c r="AT14" s="39" t="n">
        <f aca="false">8314.4621*AS14/(Sheet1!R$22*Sheet1!R$12*9.80665)</f>
        <v>11359.2752353629</v>
      </c>
      <c r="AU14" s="39" t="n">
        <f aca="false">AU13-LN(AP14/AP13)*(AT13+AT14)/2</f>
        <v>31333.9078570638</v>
      </c>
      <c r="AV14" s="39" t="n">
        <f aca="false">Sheet1!R$10*10/Sheet1!R$11*1000*AU14/(Sheet1!R$10*10/Sheet1!R$11*1000-AU14)</f>
        <v>31412.5872426925</v>
      </c>
    </row>
    <row r="15" customFormat="false" ht="15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650.132132987373</v>
      </c>
      <c r="T15" s="37" t="n">
        <v>0</v>
      </c>
      <c r="U15" s="39" t="n">
        <f aca="false">(X15-X$14)/(X$24-X$14)*(U$24-U$14)+U$14</f>
        <v>650.132132987373</v>
      </c>
      <c r="V15" s="39" t="n">
        <f aca="false">8314.4621*U15/(Sheet1!H$20*Sheet1!H$12*9.80665)</f>
        <v>208790.717759535</v>
      </c>
      <c r="W15" s="39" t="n">
        <f aca="false">W14-LN(R15/R14)*(V14+V15)/2</f>
        <v>774400.923918716</v>
      </c>
      <c r="X15" s="39" t="n">
        <f aca="false">Sheet1!H$10*10/Sheet1!H$11*1000*W15/(Sheet1!H$10*10/Sheet1!H$11*1000-W15)</f>
        <v>784526.558784744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0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0</v>
      </c>
      <c r="AF15" s="37" t="n">
        <f aca="false">AF14+(AF$18-AF$13)/5</f>
        <v>4.07115846646595</v>
      </c>
      <c r="AG15" s="40" t="n">
        <f aca="false">10^AF15</f>
        <v>11780.3573976095</v>
      </c>
      <c r="AH15" s="39" t="n">
        <f aca="false">AJ15-AI15*((Sheet1!M$19-Sheet1!M$20)*COS(RADIANS(38))+Sheet1!M$20)/2</f>
        <v>189.366359408019</v>
      </c>
      <c r="AI15" s="37" t="n">
        <f aca="false">(AM15-AM$13)/(AM$30-AM$13)*(AI$30-AI$13)+AI$13</f>
        <v>-0.294281791049393</v>
      </c>
      <c r="AJ15" s="39" t="n">
        <f aca="false">(AM15-AM$13)/(AM$18-AM$13)*(AJ$18-AJ$13)+AJ$13</f>
        <v>187.997347857695</v>
      </c>
      <c r="AK15" s="39" t="n">
        <f aca="false">8314.4621*AJ15/(Sheet1!M$21*Sheet1!M$12*9.80665)</f>
        <v>6863.2241368575</v>
      </c>
      <c r="AL15" s="39" t="n">
        <f aca="false">AL14-LN(AG15/AG14)*(AK14+AK15)/2</f>
        <v>21980.9151046704</v>
      </c>
      <c r="AM15" s="39" t="n">
        <f aca="false">Sheet1!M$10*10/Sheet1!M$11*1000*AL15/(Sheet1!M$10*10/Sheet1!M$11*1000-AL15)</f>
        <v>22073.8660194222</v>
      </c>
      <c r="AN15" s="41"/>
      <c r="AO15" s="37" t="n">
        <f aca="false">AO14+(AO$19-AO$4)/15</f>
        <v>5.75821150925972</v>
      </c>
      <c r="AP15" s="40" t="n">
        <f aca="false">10^AO15</f>
        <v>573075.060943261</v>
      </c>
      <c r="AQ15" s="39" t="n">
        <f aca="false">AS15-AR15*((Sheet1!R$19-Sheet1!R$20)*COS(RADIANS(38))+Sheet1!R$20)/2</f>
        <v>81.7849879090518</v>
      </c>
      <c r="AR15" s="37" t="n">
        <f aca="false">(AV15-AV$4)/(AV$31-AV$4)*(AR$31-AR$4)+AR$4</f>
        <v>0.410536707642124</v>
      </c>
      <c r="AS15" s="39" t="n">
        <f aca="false">(AV15-AV$4)/(AV$19-AV$4)*(AS$19-AS$4)+AS$4</f>
        <v>82.6372709436174</v>
      </c>
      <c r="AT15" s="39" t="n">
        <f aca="false">8314.4621*AS15/(Sheet1!R$22*Sheet1!R$12*9.80665)</f>
        <v>11235.8060971864</v>
      </c>
      <c r="AU15" s="39" t="n">
        <f aca="false">AU14-LN(AP15/AP14)*(AT14+AT15)/2</f>
        <v>34284.092837646</v>
      </c>
      <c r="AV15" s="39" t="n">
        <f aca="false">Sheet1!R$10*10/Sheet1!R$11*1000*AU15/(Sheet1!R$10*10/Sheet1!R$11*1000-AU15)</f>
        <v>34378.3077933605</v>
      </c>
    </row>
    <row r="16" customFormat="false" ht="15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610.893972660457</v>
      </c>
      <c r="T16" s="37" t="n">
        <v>0</v>
      </c>
      <c r="U16" s="39" t="n">
        <f aca="false">(X16-X$14)/(X$24-X$14)*(U$24-U$14)+U$14</f>
        <v>610.893972660457</v>
      </c>
      <c r="V16" s="39" t="n">
        <f aca="false">8314.4621*U16/(Sheet1!H$20*Sheet1!H$12*9.80665)</f>
        <v>196189.335298134</v>
      </c>
      <c r="W16" s="39" t="n">
        <f aca="false">W15-LN(R16/R15)*(V15+V16)/2</f>
        <v>821025.975575242</v>
      </c>
      <c r="X16" s="39" t="n">
        <f aca="false">Sheet1!H$10*10/Sheet1!H$11*1000*W16/(Sheet1!H$10*10/Sheet1!H$11*1000-W16)</f>
        <v>832416.569340708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3.94743897764397</v>
      </c>
      <c r="AG16" s="40" t="n">
        <f aca="false">10^AF16</f>
        <v>8860.10722284069</v>
      </c>
      <c r="AH16" s="39" t="n">
        <f aca="false">AJ16-AI16*((Sheet1!M$19-Sheet1!M$20)*COS(RADIANS(38))+Sheet1!M$20)/2</f>
        <v>188.54142077241</v>
      </c>
      <c r="AI16" s="37" t="n">
        <f aca="false">(AM16-AM$13)/(AM$30-AM$13)*(AI$30-AI$13)+AI$13</f>
        <v>-0.241607495708954</v>
      </c>
      <c r="AJ16" s="39" t="n">
        <f aca="false">(AM16-AM$13)/(AM$18-AM$13)*(AJ$18-AJ$13)+AJ$13</f>
        <v>187.417452309764</v>
      </c>
      <c r="AK16" s="39" t="n">
        <f aca="false">8314.4621*AJ16/(Sheet1!M$21*Sheet1!M$12*9.80665)</f>
        <v>6842.05387479389</v>
      </c>
      <c r="AL16" s="39" t="n">
        <f aca="false">AL15-LN(AG16/AG15)*(AK15+AK16)/2</f>
        <v>23933.0582476523</v>
      </c>
      <c r="AM16" s="39" t="n">
        <f aca="false">Sheet1!M$10*10/Sheet1!M$11*1000*AL16/(Sheet1!M$10*10/Sheet1!M$11*1000-AL16)</f>
        <v>24043.2937937888</v>
      </c>
      <c r="AN16" s="41"/>
      <c r="AO16" s="37" t="n">
        <f aca="false">AO15+(AO$19-AO$4)/15</f>
        <v>5.64480195442754</v>
      </c>
      <c r="AP16" s="40" t="n">
        <f aca="false">10^AO16</f>
        <v>441369.129724089</v>
      </c>
      <c r="AQ16" s="39" t="n">
        <f aca="false">AS16-AR16*((Sheet1!R$19-Sheet1!R$20)*COS(RADIANS(38))+Sheet1!R$20)/2</f>
        <v>80.9908153970791</v>
      </c>
      <c r="AR16" s="37" t="n">
        <f aca="false">(AV16-AV$4)/(AV$31-AV$4)*(AR$31-AR$4)+AR$4</f>
        <v>0.360214546822312</v>
      </c>
      <c r="AS16" s="39" t="n">
        <f aca="false">(AV16-AV$4)/(AV$19-AV$4)*(AS$19-AS$4)+AS$4</f>
        <v>81.7386285434933</v>
      </c>
      <c r="AT16" s="39" t="n">
        <f aca="false">8314.4621*AS16/(Sheet1!R$22*Sheet1!R$12*9.80665)</f>
        <v>11113.6218618745</v>
      </c>
      <c r="AU16" s="39" t="n">
        <f aca="false">AU15-LN(AP16/AP15)*(AT15+AT16)/2</f>
        <v>37202.203452917</v>
      </c>
      <c r="AV16" s="39" t="n">
        <f aca="false">Sheet1!R$10*10/Sheet1!R$11*1000*AU16/(Sheet1!R$10*10/Sheet1!R$11*1000-AU16)</f>
        <v>37313.1652406673</v>
      </c>
    </row>
    <row r="17" customFormat="false" ht="15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573.969317049126</v>
      </c>
      <c r="T17" s="37" t="n">
        <v>0</v>
      </c>
      <c r="U17" s="39" t="n">
        <f aca="false">(X17-X$14)/(X$24-X$14)*(U$24-U$14)+U$14</f>
        <v>573.969317049126</v>
      </c>
      <c r="V17" s="39" t="n">
        <f aca="false">8314.4621*U17/(Sheet1!H$20*Sheet1!H$12*9.80665)</f>
        <v>184330.937663351</v>
      </c>
      <c r="W17" s="39" t="n">
        <f aca="false">W16-LN(R17/R16)*(V16+V17)/2</f>
        <v>864834.990980399</v>
      </c>
      <c r="X17" s="39" t="n">
        <f aca="false">Sheet1!H$10*10/Sheet1!H$11*1000*W17/(Sheet1!H$10*10/Sheet1!H$11*1000-W17)</f>
        <v>877482.957068089</v>
      </c>
      <c r="Y17" s="37"/>
      <c r="Z17" s="39"/>
      <c r="AF17" s="37" t="n">
        <f aca="false">AF16+(AF$18-AF$13)/5</f>
        <v>3.82371948882198</v>
      </c>
      <c r="AG17" s="40" t="n">
        <f aca="false">10^AF17</f>
        <v>6663.76217211909</v>
      </c>
      <c r="AH17" s="39" t="n">
        <f aca="false">AJ17-AI17*((Sheet1!M$19-Sheet1!M$20)*COS(RADIANS(38))+Sheet1!M$20)/2</f>
        <v>187.718410429233</v>
      </c>
      <c r="AI17" s="37" t="n">
        <f aca="false">(AM17-AM$13)/(AM$30-AM$13)*(AI$30-AI$13)+AI$13</f>
        <v>-0.18905632916022</v>
      </c>
      <c r="AJ17" s="39" t="n">
        <f aca="false">(AM17-AM$13)/(AM$18-AM$13)*(AJ$18-AJ$13)+AJ$13</f>
        <v>186.83891225383</v>
      </c>
      <c r="AK17" s="39" t="n">
        <f aca="false">8314.4621*AJ17/(Sheet1!M$21*Sheet1!M$12*9.80665)</f>
        <v>6820.93309771231</v>
      </c>
      <c r="AL17" s="39" t="n">
        <f aca="false">AL16-LN(AG17/AG16)*(AK16+AK17)/2</f>
        <v>25879.1775681327</v>
      </c>
      <c r="AM17" s="39" t="n">
        <f aca="false">Sheet1!M$10*10/Sheet1!M$11*1000*AL17/(Sheet1!M$10*10/Sheet1!M$11*1000-AL17)</f>
        <v>26008.1179325368</v>
      </c>
      <c r="AN17" s="41"/>
      <c r="AO17" s="37" t="n">
        <f aca="false">AO16+(AO$19-AO$4)/15</f>
        <v>5.53139239959535</v>
      </c>
      <c r="AP17" s="40" t="n">
        <f aca="false">10^AO17</f>
        <v>339932.274059798</v>
      </c>
      <c r="AQ17" s="39" t="n">
        <f aca="false">AS17-AR17*((Sheet1!R$19-Sheet1!R$20)*COS(RADIANS(38))+Sheet1!R$20)/2</f>
        <v>80.2049155527364</v>
      </c>
      <c r="AR17" s="37" t="n">
        <f aca="false">(AV17-AV$4)/(AV$31-AV$4)*(AR$31-AR$4)+AR$4</f>
        <v>0.310416573243371</v>
      </c>
      <c r="AS17" s="39" t="n">
        <f aca="false">(AV17-AV$4)/(AV$19-AV$4)*(AS$19-AS$4)+AS$4</f>
        <v>80.8493470349851</v>
      </c>
      <c r="AT17" s="39" t="n">
        <f aca="false">8314.4621*AS17/(Sheet1!R$22*Sheet1!R$12*9.80665)</f>
        <v>10992.7103835389</v>
      </c>
      <c r="AU17" s="39" t="n">
        <f aca="false">AU16-LN(AP17/AP16)*(AT16+AT17)/2</f>
        <v>40088.5736503205</v>
      </c>
      <c r="AV17" s="39" t="n">
        <f aca="false">Sheet1!R$10*10/Sheet1!R$11*1000*AU17/(Sheet1!R$10*10/Sheet1!R$11*1000-AU17)</f>
        <v>40217.4513690444</v>
      </c>
    </row>
    <row r="18" customFormat="false" ht="15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539.228148695278</v>
      </c>
      <c r="T18" s="37" t="n">
        <v>0</v>
      </c>
      <c r="U18" s="39" t="n">
        <f aca="false">(X18-X$14)/(X$24-X$14)*(U$24-U$14)+U$14</f>
        <v>539.228148695278</v>
      </c>
      <c r="V18" s="39" t="n">
        <f aca="false">8314.4621*U18/(Sheet1!H$20*Sheet1!H$12*9.80665)</f>
        <v>173173.769591879</v>
      </c>
      <c r="W18" s="39" t="n">
        <f aca="false">W17-LN(R18/R17)*(V17+V18)/2</f>
        <v>905994.241460454</v>
      </c>
      <c r="X18" s="39" t="n">
        <f aca="false">Sheet1!H$10*10/Sheet1!H$11*1000*W18/(Sheet1!H$10*10/Sheet1!H$11*1000-W18)</f>
        <v>919884.407730674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186.897395352794</v>
      </c>
      <c r="AI18" s="37" t="n">
        <f aca="false">(AM18-AM$13)/(AM$30-AM$13)*(AI$30-AI$13)+AI$13</f>
        <v>-0.136627673045133</v>
      </c>
      <c r="AJ18" s="39" t="n">
        <f aca="false">0.77*Sheet1!M16+0.56*Sheet1!M18</f>
        <v>186.261797540827</v>
      </c>
      <c r="AK18" s="39" t="n">
        <f aca="false">8314.4621*AJ18/(Sheet1!M$21*Sheet1!M$12*9.80665)</f>
        <v>6799.86435566274</v>
      </c>
      <c r="AL18" s="39" t="n">
        <f aca="false">AL17-LN(AG18/AG17)*(AK17+AK18)/2</f>
        <v>27819.2875263508</v>
      </c>
      <c r="AM18" s="39" t="n">
        <f aca="false">Sheet1!M$10*10/Sheet1!M$11*1000*AL18/(Sheet1!M$10*10/Sheet1!M$11*1000-AL18)</f>
        <v>27968.3410361053</v>
      </c>
      <c r="AN18" s="41"/>
      <c r="AO18" s="37" t="n">
        <f aca="false">AO17+(AO$19-AO$4)/15</f>
        <v>5.41798284476317</v>
      </c>
      <c r="AP18" s="40" t="n">
        <f aca="false">10^AO18</f>
        <v>261807.958838673</v>
      </c>
      <c r="AQ18" s="39" t="n">
        <f aca="false">AS18-AR18*((Sheet1!R$19-Sheet1!R$20)*COS(RADIANS(38))+Sheet1!R$20)/2</f>
        <v>79.427210008025</v>
      </c>
      <c r="AR18" s="37" t="n">
        <f aca="false">(AV18-AV$4)/(AV$31-AV$4)*(AR$31-AR$4)+AR$4</f>
        <v>0.261137820389469</v>
      </c>
      <c r="AS18" s="39" t="n">
        <f aca="false">(AV18-AV$4)/(AV$19-AV$4)*(AS$19-AS$4)+AS$4</f>
        <v>79.9693377395004</v>
      </c>
      <c r="AT18" s="39" t="n">
        <f aca="false">8314.4621*AS18/(Sheet1!R$22*Sheet1!R$12*9.80665)</f>
        <v>10873.059604963</v>
      </c>
      <c r="AU18" s="39" t="n">
        <f aca="false">AU17-LN(AP18/AP17)*(AT17+AT18)/2</f>
        <v>42943.5342171592</v>
      </c>
      <c r="AV18" s="39" t="n">
        <f aca="false">Sheet1!R$10*10/Sheet1!R$11*1000*AU18/(Sheet1!R$10*10/Sheet1!R$11*1000-AU18)</f>
        <v>43091.4558325078</v>
      </c>
    </row>
    <row r="19" customFormat="false" ht="15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506.547010326301</v>
      </c>
      <c r="T19" s="37" t="n">
        <v>0</v>
      </c>
      <c r="U19" s="39" t="n">
        <f aca="false">(X19-X$14)/(X$24-X$14)*(U$24-U$14)+U$14</f>
        <v>506.547010326301</v>
      </c>
      <c r="V19" s="39" t="n">
        <f aca="false">8314.4621*U19/(Sheet1!H$20*Sheet1!H$12*9.80665)</f>
        <v>162678.182631882</v>
      </c>
      <c r="W19" s="39" t="n">
        <f aca="false">W18-LN(R19/R18)*(V18+V19)/2</f>
        <v>944660.626392623</v>
      </c>
      <c r="X19" s="39" t="n">
        <f aca="false">Sheet1!H$10*10/Sheet1!H$11*1000*W19/(Sheet1!H$10*10/Sheet1!H$11*1000-W19)</f>
        <v>959771.600413293</v>
      </c>
      <c r="Y19" s="37"/>
      <c r="Z19" s="39"/>
      <c r="AC19" s="39" t="n">
        <f aca="false">AC4</f>
        <v>1193810.60954343</v>
      </c>
      <c r="AD19" s="4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188.121343744896</v>
      </c>
      <c r="AI19" s="37" t="n">
        <f aca="false">(AM19-AM$13)/(AM$30-AM$13)*(AI$30-AI$13)+AI$13</f>
        <v>-0.0941269672898238</v>
      </c>
      <c r="AJ19" s="39" t="n">
        <f aca="false">(AM19-AM$18)/(AM$25-AM$18)*(AJ$25-AJ$18)+AJ$18</f>
        <v>187.683461044246</v>
      </c>
      <c r="AK19" s="39" t="n">
        <f aca="false">8314.4621*AJ19/(Sheet1!M$21*Sheet1!M$12*9.80665)</f>
        <v>6851.76506267988</v>
      </c>
      <c r="AL19" s="39" t="n">
        <f aca="false">AL18-LN(AG19/AG18)*(AK18+AK19)/2</f>
        <v>29390.9894460386</v>
      </c>
      <c r="AM19" s="39" t="n">
        <f aca="false">Sheet1!M$10*10/Sheet1!M$11*1000*AL19/(Sheet1!M$10*10/Sheet1!M$11*1000-AL19)</f>
        <v>29557.4112009542</v>
      </c>
      <c r="AN19" s="41"/>
      <c r="AO19" s="37" t="n">
        <f aca="false">AO4+0.2*(AO61-AO4)</f>
        <v>5.30457328993098</v>
      </c>
      <c r="AP19" s="40" t="n">
        <f aca="false">10^AO19</f>
        <v>201638.421949939</v>
      </c>
      <c r="AQ19" s="39" t="n">
        <f aca="false">AS19-AR19*((Sheet1!R$19-Sheet1!R$20)*COS(RADIANS(38))+Sheet1!R$20)/2</f>
        <v>78.6573695633591</v>
      </c>
      <c r="AR19" s="37" t="n">
        <f aca="false">(AV19-AV$4)/(AV$31-AV$4)*(AR$31-AR$4)+AR$4</f>
        <v>0.212388410650113</v>
      </c>
      <c r="AS19" s="39" t="n">
        <f aca="false">Sheet1!R16+0.36*(AS61-Sheet1!R16)+0.3*Sheet1!R18</f>
        <v>79.0982924717517</v>
      </c>
      <c r="AT19" s="39" t="n">
        <f aca="false">8314.4621*AS19/(Sheet1!R$22*Sheet1!R$12*9.80665)</f>
        <v>10754.6276236241</v>
      </c>
      <c r="AU19" s="39" t="n">
        <f aca="false">AU18-LN(AP19/AP18)*(AT18+AT19)/2</f>
        <v>45767.4088953439</v>
      </c>
      <c r="AV19" s="39" t="n">
        <f aca="false">Sheet1!R$10*10/Sheet1!R$11*1000*AU19/(Sheet1!R$10*10/Sheet1!R$11*1000-AU19)</f>
        <v>45935.4622192596</v>
      </c>
    </row>
    <row r="20" customFormat="false" ht="15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475.808762487235</v>
      </c>
      <c r="T20" s="37" t="n">
        <v>0</v>
      </c>
      <c r="U20" s="39" t="n">
        <f aca="false">(X20-X$14)/(X$24-X$14)*(U$24-U$14)+U$14</f>
        <v>475.808762487235</v>
      </c>
      <c r="V20" s="39" t="n">
        <f aca="false">8314.4621*U20/(Sheet1!H$20*Sheet1!H$12*9.80665)</f>
        <v>152806.557306275</v>
      </c>
      <c r="W20" s="39" t="n">
        <f aca="false">W19-LN(R20/R19)*(V19+V20)/2</f>
        <v>980982.149355058</v>
      </c>
      <c r="X20" s="39" t="n">
        <f aca="false">Sheet1!H$10*10/Sheet1!H$11*1000*W20/(Sheet1!H$10*10/Sheet1!H$11*1000-W20)</f>
        <v>997287.503330763</v>
      </c>
      <c r="Y20" s="37"/>
      <c r="Z20" s="39"/>
      <c r="AC20" s="39" t="n">
        <f aca="false">IF(AD20=0,AA44,IF(AD20=1,AA54,IF(AD20=2,AA100,AA170)))</f>
        <v>1456090.21713462</v>
      </c>
      <c r="AD20" s="4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189.355384295033</v>
      </c>
      <c r="AI20" s="37" t="n">
        <f aca="false">(AM20-AM$13)/(AM$30-AM$13)*(AI$30-AI$13)+AI$13</f>
        <v>-0.051275175892282</v>
      </c>
      <c r="AJ20" s="39" t="n">
        <f aca="false">(AM20-AM$18)/(AM$25-AM$18)*(AJ$25-AJ$18)+AJ$18</f>
        <v>189.11684997121</v>
      </c>
      <c r="AK20" s="39" t="n">
        <f aca="false">8314.4621*AJ20/(Sheet1!M$21*Sheet1!M$12*9.80665)</f>
        <v>6904.09383004359</v>
      </c>
      <c r="AL20" s="39" t="n">
        <f aca="false">AL19-LN(AG20/AG19)*(AK19+AK20)/2</f>
        <v>30974.6912274243</v>
      </c>
      <c r="AM20" s="39" t="n">
        <f aca="false">Sheet1!M$10*10/Sheet1!M$11*1000*AL20/(Sheet1!M$10*10/Sheet1!M$11*1000-AL20)</f>
        <v>31159.5875113203</v>
      </c>
      <c r="AN20" s="41"/>
      <c r="AO20" s="37" t="n">
        <f aca="false">AO19+(AO$31-AO$19)/12</f>
        <v>5.16281134639076</v>
      </c>
      <c r="AP20" s="40" t="n">
        <f aca="false">10^AO20</f>
        <v>145482.697957283</v>
      </c>
      <c r="AQ20" s="39" t="n">
        <f aca="false">AS20-AR20*((Sheet1!R$19-Sheet1!R$20)*COS(RADIANS(38))+Sheet1!R$20)/2</f>
        <v>78.4601953482168</v>
      </c>
      <c r="AR20" s="37" t="n">
        <f aca="false">(AV20-AV$4)/(AV$31-AV$4)*(AR$31-AR$4)+AR$4</f>
        <v>0.151844725147468</v>
      </c>
      <c r="AS20" s="39" t="n">
        <f aca="false">(AV20-AV$19)/(AV$31-AV$19)*(AS$31-AS$19)+AS$19</f>
        <v>78.7754282633799</v>
      </c>
      <c r="AT20" s="39" t="n">
        <f aca="false">8314.4621*AS20/(Sheet1!R$22*Sheet1!R$12*9.80665)</f>
        <v>10710.7292760678</v>
      </c>
      <c r="AU20" s="39" t="n">
        <f aca="false">AU19-LN(AP20/AP19)*(AT19+AT20)/2</f>
        <v>49270.7583962971</v>
      </c>
      <c r="AV20" s="39" t="n">
        <f aca="false">Sheet1!R$10*10/Sheet1!R$11*1000*AU20/(Sheet1!R$10*10/Sheet1!R$11*1000-AU20)</f>
        <v>49465.5790673732</v>
      </c>
    </row>
    <row r="21" customFormat="false" ht="15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446.902338910617</v>
      </c>
      <c r="T21" s="37" t="n">
        <v>0</v>
      </c>
      <c r="U21" s="39" t="n">
        <f aca="false">(X21-X$14)/(X$24-X$14)*(U$24-U$14)+U$14</f>
        <v>446.902338910617</v>
      </c>
      <c r="V21" s="39" t="n">
        <f aca="false">8314.4621*U21/(Sheet1!H$20*Sheet1!H$12*9.80665)</f>
        <v>143523.224549455</v>
      </c>
      <c r="W21" s="39" t="n">
        <f aca="false">W20-LN(R21/R20)*(V20+V21)/2</f>
        <v>1015098.37627062</v>
      </c>
      <c r="X21" s="39" t="n">
        <f aca="false">Sheet1!H$10*10/Sheet1!H$11*1000*W21/(Sheet1!H$10*10/Sheet1!H$11*1000-W21)</f>
        <v>1032567.67239796</v>
      </c>
      <c r="Y21" s="37"/>
      <c r="Z21" s="39"/>
      <c r="AC21" s="39" t="n">
        <f aca="false">IF(AD21=0,0,IF(AD21=1,AA54,IF(AD21=2,AA100,AA170)))</f>
        <v>1543735.362009</v>
      </c>
      <c r="AD21" s="4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190.599614597924</v>
      </c>
      <c r="AI21" s="37" t="n">
        <f aca="false">(AM21-AM$13)/(AM$30-AM$13)*(AI$30-AI$13)+AI$13</f>
        <v>-0.0080695472446129</v>
      </c>
      <c r="AJ21" s="39" t="n">
        <f aca="false">(AM21-AM$18)/(AM$25-AM$18)*(AJ$25-AJ$18)+AJ$18</f>
        <v>190.562074717035</v>
      </c>
      <c r="AK21" s="39" t="n">
        <f aca="false">8314.4621*AJ21/(Sheet1!M$21*Sheet1!M$12*9.80665)</f>
        <v>6956.85468795868</v>
      </c>
      <c r="AL21" s="39" t="n">
        <f aca="false">AL20-LN(AG21/AG20)*(AK20+AK21)/2</f>
        <v>32570.4918990398</v>
      </c>
      <c r="AM21" s="39" t="n">
        <f aca="false">Sheet1!M$10*10/Sheet1!M$11*1000*AL21/(Sheet1!M$10*10/Sheet1!M$11*1000-AL21)</f>
        <v>32774.9933656889</v>
      </c>
      <c r="AN21" s="41"/>
      <c r="AO21" s="37" t="n">
        <f aca="false">AO20+(AO$31-AO$19)/12</f>
        <v>5.02104940285053</v>
      </c>
      <c r="AP21" s="40" t="n">
        <f aca="false">10^AO21</f>
        <v>104966.182537297</v>
      </c>
      <c r="AQ21" s="39" t="n">
        <f aca="false">AS21-AR21*((Sheet1!R$19-Sheet1!R$20)*COS(RADIANS(38))+Sheet1!R$20)/2</f>
        <v>78.2636849190402</v>
      </c>
      <c r="AR21" s="37" t="n">
        <f aca="false">(AV21-AV$4)/(AV$31-AV$4)*(AR$31-AR$4)+AR$4</f>
        <v>0.0915293235292076</v>
      </c>
      <c r="AS21" s="39" t="n">
        <f aca="false">(AV21-AV$19)/(AV$31-AV$19)*(AS$31-AS$19)+AS$19</f>
        <v>78.4537017632275</v>
      </c>
      <c r="AT21" s="39" t="n">
        <f aca="false">8314.4621*AS21/(Sheet1!R$22*Sheet1!R$12*9.80665)</f>
        <v>10666.9856174164</v>
      </c>
      <c r="AU21" s="39" t="n">
        <f aca="false">AU20-LN(AP21/AP20)*(AT20+AT21)/2</f>
        <v>52759.8038919573</v>
      </c>
      <c r="AV21" s="39" t="n">
        <f aca="false">Sheet1!R$10*10/Sheet1!R$11*1000*AU21/(Sheet1!R$10*10/Sheet1!R$11*1000-AU21)</f>
        <v>52983.2560260494</v>
      </c>
    </row>
    <row r="22" customFormat="false" ht="15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419.722501455338</v>
      </c>
      <c r="T22" s="37" t="n">
        <v>0</v>
      </c>
      <c r="U22" s="39" t="n">
        <f aca="false">(X22-X$14)/(X$24-X$14)*(U$24-U$14)+U$14</f>
        <v>419.722501455338</v>
      </c>
      <c r="V22" s="39" t="n">
        <f aca="false">8314.4621*U22/(Sheet1!H$20*Sheet1!H$12*9.80665)</f>
        <v>134794.387005617</v>
      </c>
      <c r="W22" s="39" t="n">
        <f aca="false">W21-LN(R22/R21)*(V21+V22)/2</f>
        <v>1047140.87544484</v>
      </c>
      <c r="X22" s="39" t="n">
        <f aca="false">Sheet1!H$10*10/Sheet1!H$11*1000*W22/(Sheet1!H$10*10/Sheet1!H$11*1000-W22)</f>
        <v>1065740.55032593</v>
      </c>
      <c r="Y22" s="37"/>
      <c r="Z22" s="39"/>
      <c r="AC22" s="39" t="n">
        <f aca="false">IF(AD22=0,0,IF(AD22=2,AA100,AA170))</f>
        <v>2159996.49249656</v>
      </c>
      <c r="AD22" s="4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191.854130777347</v>
      </c>
      <c r="AI22" s="37" t="n">
        <f aca="false">(AM22-AM$13)/(AM$30-AM$13)*(AI$30-AI$13)+AI$13</f>
        <v>0.0354932566462782</v>
      </c>
      <c r="AJ22" s="39" t="n">
        <f aca="false">(AM22-AM$18)/(AM$25-AM$18)*(AJ$25-AJ$18)+AJ$18</f>
        <v>192.019246933987</v>
      </c>
      <c r="AK22" s="39" t="n">
        <f aca="false">8314.4621*AJ22/(Sheet1!M$21*Sheet1!M$12*9.80665)</f>
        <v>7010.0517125173</v>
      </c>
      <c r="AL22" s="39" t="n">
        <f aca="false">AL21-LN(AG22/AG21)*(AK21+AK22)/2</f>
        <v>34178.4914226888</v>
      </c>
      <c r="AM22" s="39" t="n">
        <f aca="false">Sheet1!M$10*10/Sheet1!M$11*1000*AL22/(Sheet1!M$10*10/Sheet1!M$11*1000-AL22)</f>
        <v>34403.7535675579</v>
      </c>
      <c r="AN22" s="41"/>
      <c r="AO22" s="37" t="n">
        <f aca="false">AO21+(AO$31-AO$19)/12</f>
        <v>4.8792874593103</v>
      </c>
      <c r="AP22" s="40" t="n">
        <f aca="false">10^AO22</f>
        <v>75733.4008177961</v>
      </c>
      <c r="AQ22" s="39" t="n">
        <f aca="false">AS22-AR22*((Sheet1!R$19-Sheet1!R$20)*COS(RADIANS(38))+Sheet1!R$20)/2</f>
        <v>78.0678678076971</v>
      </c>
      <c r="AR22" s="37" t="n">
        <f aca="false">(AV22-AV$4)/(AV$31-AV$4)*(AR$31-AR$4)+AR$4</f>
        <v>0.0314267353768929</v>
      </c>
      <c r="AS22" s="39" t="n">
        <f aca="false">(AV22-AV$19)/(AV$31-AV$19)*(AS$31-AS$19)+AS$19</f>
        <v>78.133110386241</v>
      </c>
      <c r="AT22" s="39" t="n">
        <f aca="false">8314.4621*AS22/(Sheet1!R$22*Sheet1!R$12*9.80665)</f>
        <v>10623.3962961923</v>
      </c>
      <c r="AU22" s="39" t="n">
        <f aca="false">AU21-LN(AP22/AP21)*(AT21+AT22)/2</f>
        <v>56234.595818348</v>
      </c>
      <c r="AV22" s="39" t="n">
        <f aca="false">Sheet1!R$10*10/Sheet1!R$11*1000*AU22/(Sheet1!R$10*10/Sheet1!R$11*1000-AU22)</f>
        <v>56488.5214114695</v>
      </c>
    </row>
    <row r="23" customFormat="false" ht="15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394.169596189208</v>
      </c>
      <c r="T23" s="37" t="n">
        <v>0</v>
      </c>
      <c r="U23" s="39" t="n">
        <f aca="false">(X23-X$14)/(X$24-X$14)*(U$24-U$14)+U$14</f>
        <v>394.169596189208</v>
      </c>
      <c r="V23" s="39" t="n">
        <f aca="false">8314.4621*U23/(Sheet1!H$20*Sheet1!H$12*9.80665)</f>
        <v>126588.040694382</v>
      </c>
      <c r="W23" s="39" t="n">
        <f aca="false">W22-LN(R23/R22)*(V22+V23)/2</f>
        <v>1077233.63952447</v>
      </c>
      <c r="X23" s="39" t="n">
        <f aca="false">Sheet1!H$10*10/Sheet1!H$11*1000*W23/(Sheet1!H$10*10/Sheet1!H$11*1000-W23)</f>
        <v>1096927.76432207</v>
      </c>
      <c r="Y23" s="37"/>
      <c r="Z23" s="39"/>
      <c r="AC23" s="39" t="n">
        <f aca="false">IF(AD23=0,0,AA170)</f>
        <v>5840856.02780725</v>
      </c>
      <c r="AD23" s="4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193.119030054532</v>
      </c>
      <c r="AI23" s="37" t="n">
        <f aca="false">(AM23-AM$13)/(AM$30-AM$13)*(AI$30-AI$13)+AI$13</f>
        <v>0.0794166118839894</v>
      </c>
      <c r="AJ23" s="39" t="n">
        <f aca="false">(AM23-AM$18)/(AM$25-AM$18)*(AJ$25-AJ$18)+AJ$18</f>
        <v>193.488479549076</v>
      </c>
      <c r="AK23" s="39" t="n">
        <f aca="false">8314.4621*AJ23/(Sheet1!M$21*Sheet1!M$12*9.80665)</f>
        <v>7063.68902634882</v>
      </c>
      <c r="AL23" s="39" t="n">
        <f aca="false">AL22-LN(AG23/AG22)*(AK22+AK23)/2</f>
        <v>35798.7907040876</v>
      </c>
      <c r="AM23" s="39" t="n">
        <f aca="false">Sheet1!M$10*10/Sheet1!M$11*1000*AL23/(Sheet1!M$10*10/Sheet1!M$11*1000-AL23)</f>
        <v>36045.9943453307</v>
      </c>
      <c r="AN23" s="41"/>
      <c r="AO23" s="37" t="n">
        <f aca="false">AO22+(AO$31-AO$19)/12</f>
        <v>4.73752551577007</v>
      </c>
      <c r="AP23" s="40" t="n">
        <f aca="false">10^AO23</f>
        <v>54641.8652254117</v>
      </c>
      <c r="AQ23" s="39" t="n">
        <f aca="false">AS23-AR23*((Sheet1!R$19-Sheet1!R$20)*COS(RADIANS(38))+Sheet1!R$20)/2</f>
        <v>77.8727424338226</v>
      </c>
      <c r="AR23" s="37" t="n">
        <f aca="false">(AV23-AV$4)/(AV$31-AV$4)*(AR$31-AR$4)+AR$4</f>
        <v>-0.0284635258217274</v>
      </c>
      <c r="AS23" s="39" t="n">
        <f aca="false">(AV23-AV$19)/(AV$31-AV$19)*(AS$31-AS$19)+AS$19</f>
        <v>77.8136515420456</v>
      </c>
      <c r="AT23" s="39" t="n">
        <f aca="false">8314.4621*AS23/(Sheet1!R$22*Sheet1!R$12*9.80665)</f>
        <v>10579.960960194</v>
      </c>
      <c r="AU23" s="39" t="n">
        <f aca="false">AU22-LN(AP23/AP22)*(AT22+AT23)/2</f>
        <v>59695.1844966457</v>
      </c>
      <c r="AV23" s="39" t="n">
        <f aca="false">Sheet1!R$10*10/Sheet1!R$11*1000*AU23/(Sheet1!R$10*10/Sheet1!R$11*1000-AU23)</f>
        <v>59981.4035976955</v>
      </c>
    </row>
    <row r="24" customFormat="false" ht="15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370.149311957315</v>
      </c>
      <c r="T24" s="37" t="n">
        <v>0</v>
      </c>
      <c r="U24" s="39" t="n">
        <f aca="false">900/1140*(U$44-U$4)+U$4</f>
        <v>370.149311957315</v>
      </c>
      <c r="V24" s="39" t="n">
        <f aca="false">8314.4621*U24/(Sheet1!H$20*Sheet1!H$12*9.80665)</f>
        <v>118873.897474726</v>
      </c>
      <c r="W24" s="39" t="n">
        <f aca="false">W23-LN(R24/R23)*(V23+V24)/2</f>
        <v>1105493.48951075</v>
      </c>
      <c r="X24" s="39" t="n">
        <f aca="false">Sheet1!H$10*10/Sheet1!H$11*1000*W24/(Sheet1!H$10*10/Sheet1!H$11*1000-W24)</f>
        <v>1126244.42075648</v>
      </c>
      <c r="Y24" s="37" t="n">
        <f aca="false">IF(Q24&lt;LOG(Sheet1!H$17*101325),Q24,IF(Q34&lt;LOG(Sheet1!H$17*101325),LOG(Sheet1!H$17*101325),0))</f>
        <v>6.18180787146941</v>
      </c>
      <c r="Z24" s="39" t="n">
        <f aca="false">IF(Y24=LOG(Sheet1!H$17*101325),(LOG(Sheet1!H$17*101325)-Q34)/(Q24-Q34)*(S24-S34)+S34,IF(Y24=0,0,S24))</f>
        <v>315.560897995756</v>
      </c>
      <c r="AA24" s="39" t="n">
        <f aca="false">IF(Y24=LOG(Sheet1!H$17*101325),(LOG(Sheet1!H$17*101325)-Q34)/(Q24-Q34)*(X24-X34)+X34,IF(Y24=0,0,X24))</f>
        <v>1193810.60954343</v>
      </c>
      <c r="AB24" s="32" t="n">
        <f aca="false">IF(Y24=0,0,AB14+1)</f>
        <v>1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194.394410763758</v>
      </c>
      <c r="AI24" s="37" t="n">
        <f aca="false">(AM24-AM$13)/(AM$30-AM$13)*(AI$30-AI$13)+AI$13</f>
        <v>0.123703933223911</v>
      </c>
      <c r="AJ24" s="39" t="n">
        <f aca="false">(AM24-AM$18)/(AM$25-AM$18)*(AJ$25-AJ$18)+AJ$18</f>
        <v>194.969886782169</v>
      </c>
      <c r="AK24" s="39" t="n">
        <f aca="false">8314.4621*AJ24/(Sheet1!M$21*Sheet1!M$12*9.80665)</f>
        <v>7117.77079928094</v>
      </c>
      <c r="AL24" s="39" t="n">
        <f aca="false">AL23-LN(AG24/AG23)*(AK23+AK24)/2</f>
        <v>37431.491603657</v>
      </c>
      <c r="AM24" s="39" t="n">
        <f aca="false">Sheet1!M$10*10/Sheet1!M$11*1000*AL24/(Sheet1!M$10*10/Sheet1!M$11*1000-AL24)</f>
        <v>37701.843372554</v>
      </c>
      <c r="AN24" s="41"/>
      <c r="AO24" s="37" t="n">
        <f aca="false">AO23+(AO$31-AO$19)/12</f>
        <v>4.59576357222984</v>
      </c>
      <c r="AP24" s="40" t="n">
        <f aca="false">10^AO24</f>
        <v>39424.2619910243</v>
      </c>
      <c r="AQ24" s="39" t="n">
        <f aca="false">AS24-AR24*((Sheet1!R$19-Sheet1!R$20)*COS(RADIANS(38))+Sheet1!R$20)/2</f>
        <v>77.6783072138566</v>
      </c>
      <c r="AR24" s="37" t="n">
        <f aca="false">(AV24-AV$4)/(AV$31-AV$4)*(AR$31-AR$4)+AR$4</f>
        <v>-0.088141947551752</v>
      </c>
      <c r="AS24" s="39" t="n">
        <f aca="false">(AV24-AV$19)/(AV$31-AV$19)*(AS$31-AS$19)+AS$19</f>
        <v>77.4953226350515</v>
      </c>
      <c r="AT24" s="39" t="n">
        <f aca="false">8314.4621*AS24/(Sheet1!R$22*Sheet1!R$12*9.80665)</f>
        <v>10536.6792565115</v>
      </c>
      <c r="AU24" s="39" t="n">
        <f aca="false">AU23-LN(AP24/AP23)*(AT23+AT24)/2</f>
        <v>63141.6201329461</v>
      </c>
      <c r="AV24" s="39" t="n">
        <f aca="false">Sheet1!R$10*10/Sheet1!R$11*1000*AU24/(Sheet1!R$10*10/Sheet1!R$11*1000-AU24)</f>
        <v>63461.9310155269</v>
      </c>
    </row>
    <row r="25" customFormat="false" ht="15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347.877492369836</v>
      </c>
      <c r="T25" s="37" t="n">
        <v>0</v>
      </c>
      <c r="U25" s="39" t="n">
        <f aca="false">(X25-X$24)/(X$34-X$24)*(U$34-U$24)+U$24</f>
        <v>347.877492369836</v>
      </c>
      <c r="V25" s="39" t="n">
        <f aca="false">8314.4621*U25/(Sheet1!H$20*Sheet1!H$12*9.80665)</f>
        <v>111721.275782097</v>
      </c>
      <c r="W25" s="39" t="n">
        <f aca="false">W24-LN(R25/R24)*(V24+V25)/2</f>
        <v>1132041.73993363</v>
      </c>
      <c r="X25" s="39" t="n">
        <f aca="false">Sheet1!H$10*10/Sheet1!H$11*1000*W25/(Sheet1!H$10*10/Sheet1!H$11*1000-W25)</f>
        <v>1153811.11225142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195.680354297955</v>
      </c>
      <c r="AI25" s="37" t="n">
        <f aca="false">(AM25-AM$13)/(AM$30-AM$13)*(AI$30-AI$13)+AI$13</f>
        <v>0.168358672560737</v>
      </c>
      <c r="AJ25" s="39" t="n">
        <f aca="false">0.86*Sheet1!M16+0.35*Sheet1!M18</f>
        <v>196.46356608456</v>
      </c>
      <c r="AK25" s="39" t="n">
        <f aca="false">8314.4621*AJ25/(Sheet1!M$21*Sheet1!M$12*9.80665)</f>
        <v>7172.30058897057</v>
      </c>
      <c r="AL25" s="39" t="n">
        <f aca="false">AL24-LN(AG25/AG24)*(AK24+AK25)/2</f>
        <v>39076.6968714775</v>
      </c>
      <c r="AM25" s="39" t="n">
        <f aca="false">Sheet1!M$10*10/Sheet1!M$11*1000*AL25/(Sheet1!M$10*10/Sheet1!M$11*1000-AL25)</f>
        <v>39371.4297113678</v>
      </c>
      <c r="AN25" s="41"/>
      <c r="AO25" s="37" t="n">
        <f aca="false">AO24+(AO$31-AO$19)/12</f>
        <v>4.45400162868961</v>
      </c>
      <c r="AP25" s="40" t="n">
        <f aca="false">10^AO25</f>
        <v>28444.7177475577</v>
      </c>
      <c r="AQ25" s="39" t="n">
        <f aca="false">AS25-AR25*((Sheet1!R$19-Sheet1!R$20)*COS(RADIANS(38))+Sheet1!R$20)/2</f>
        <v>77.4844867795821</v>
      </c>
      <c r="AR25" s="37" t="n">
        <f aca="false">(AV25-AV$4)/(AV$31-AV$4)*(AR$31-AR$4)+AR$4</f>
        <v>-0.147608989899766</v>
      </c>
      <c r="AS25" s="39" t="n">
        <f aca="false">(AV25-AV$19)/(AV$31-AV$19)*(AS$31-AS$19)+AS$19</f>
        <v>77.1780473418922</v>
      </c>
      <c r="AT25" s="39" t="n">
        <f aca="false">8314.4621*AS25/(Sheet1!R$22*Sheet1!R$12*9.80665)</f>
        <v>10493.5408078108</v>
      </c>
      <c r="AU25" s="39" t="n">
        <f aca="false">AU24-LN(AP25/AP24)*(AT24+AT25)/2</f>
        <v>66573.9511820673</v>
      </c>
      <c r="AV25" s="39" t="n">
        <f aca="false">Sheet1!R$10*10/Sheet1!R$11*1000*AU25/(Sheet1!R$10*10/Sheet1!R$11*1000-AU25)</f>
        <v>66930.1304978445</v>
      </c>
    </row>
    <row r="26" customFormat="false" ht="15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326.927996774945</v>
      </c>
      <c r="T26" s="37" t="n">
        <v>0</v>
      </c>
      <c r="U26" s="39" t="n">
        <f aca="false">(X26-X$24)/(X$34-X$24)*(U$34-U$24)+U$24</f>
        <v>326.927996774945</v>
      </c>
      <c r="V26" s="39" t="n">
        <f aca="false">8314.4621*U26/(Sheet1!H$20*Sheet1!H$12*9.80665)</f>
        <v>104993.320032766</v>
      </c>
      <c r="W26" s="39" t="n">
        <f aca="false">W25-LN(R26/R25)*(V25+V26)/2</f>
        <v>1156991.9298215</v>
      </c>
      <c r="X26" s="39" t="n">
        <f aca="false">Sheet1!H$10*10/Sheet1!H$11*1000*W26/(Sheet1!H$10*10/Sheet1!H$11*1000-W26)</f>
        <v>1179741.11225751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197.907207096007</v>
      </c>
      <c r="AI26" s="37" t="n">
        <f aca="false">(AM26-AM$13)/(AM$30-AM$13)*(AI$30-AI$13)+AI$13</f>
        <v>0.213490600157064</v>
      </c>
      <c r="AJ26" s="39" t="n">
        <f aca="false">(AM26-AM$25)/(AM$35-AM$25)*(AJ$35-AJ$25)+AJ$25</f>
        <v>198.900374551114</v>
      </c>
      <c r="AK26" s="39" t="n">
        <f aca="false">8314.4621*AJ26/(Sheet1!M$21*Sheet1!M$12*9.80665)</f>
        <v>7261.2612199323</v>
      </c>
      <c r="AL26" s="39" t="n">
        <f aca="false">AL25-LN(AG26/AG25)*(AK25+AK26)/2</f>
        <v>40738.4220844769</v>
      </c>
      <c r="AM26" s="39" t="n">
        <f aca="false">Sheet1!M$10*10/Sheet1!M$11*1000*AL26/(Sheet1!M$10*10/Sheet1!M$11*1000-AL26)</f>
        <v>41058.8575382507</v>
      </c>
      <c r="AN26" s="41"/>
      <c r="AO26" s="37" t="n">
        <f aca="false">AO25+(AO$31-AO$19)/12</f>
        <v>4.31223968514938</v>
      </c>
      <c r="AP26" s="40" t="n">
        <f aca="false">10^AO26</f>
        <v>20522.945183411</v>
      </c>
      <c r="AQ26" s="39" t="n">
        <f aca="false">AS26-AR26*((Sheet1!R$19-Sheet1!R$20)*COS(RADIANS(38))+Sheet1!R$20)/2</f>
        <v>77.2914150899917</v>
      </c>
      <c r="AR26" s="37" t="n">
        <f aca="false">(AV26-AV$4)/(AV$31-AV$4)*(AR$31-AR$4)+AR$4</f>
        <v>-0.206865137617463</v>
      </c>
      <c r="AS26" s="39" t="n">
        <f aca="false">(AV26-AV$19)/(AV$31-AV$19)*(AS$31-AS$19)+AS$19</f>
        <v>76.8619586152052</v>
      </c>
      <c r="AT26" s="39" t="n">
        <f aca="false">8314.4621*AS26/(Sheet1!R$22*Sheet1!R$12*9.80665)</f>
        <v>10450.5636910449</v>
      </c>
      <c r="AU26" s="39" t="n">
        <f aca="false">AU25-LN(AP26/AP25)*(AT25+AT26)/2</f>
        <v>69992.2273554782</v>
      </c>
      <c r="AV26" s="39" t="n">
        <f aca="false">Sheet1!R$10*10/Sheet1!R$11*1000*AU26/(Sheet1!R$10*10/Sheet1!R$11*1000-AU26)</f>
        <v>70386.0303160321</v>
      </c>
    </row>
    <row r="27" customFormat="false" ht="15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307.224387430439</v>
      </c>
      <c r="T27" s="37" t="n">
        <v>0</v>
      </c>
      <c r="U27" s="39" t="n">
        <f aca="false">(X27-X$24)/(X$34-X$24)*(U$34-U$24)+U$24</f>
        <v>307.224387430439</v>
      </c>
      <c r="V27" s="39" t="n">
        <f aca="false">8314.4621*U27/(Sheet1!H$20*Sheet1!H$12*9.80665)</f>
        <v>98665.4821537341</v>
      </c>
      <c r="W27" s="39" t="n">
        <f aca="false">W26-LN(R27/R26)*(V26+V27)/2</f>
        <v>1180439.01592008</v>
      </c>
      <c r="X27" s="39" t="n">
        <f aca="false">Sheet1!H$10*10/Sheet1!H$11*1000*W27/(Sheet1!H$10*10/Sheet1!H$11*1000-W27)</f>
        <v>1204129.03072117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200.164373642761</v>
      </c>
      <c r="AI27" s="37" t="n">
        <f aca="false">(AM27-AM$13)/(AM$30-AM$13)*(AI$30-AI$13)+AI$13</f>
        <v>0.259212150002433</v>
      </c>
      <c r="AJ27" s="39" t="n">
        <f aca="false">(AM27-AM$25)/(AM$35-AM$25)*(AJ$35-AJ$25)+AJ$25</f>
        <v>201.370239714435</v>
      </c>
      <c r="AK27" s="39" t="n">
        <f aca="false">8314.4621*AJ27/(Sheet1!M$21*Sheet1!M$12*9.80665)</f>
        <v>7351.42865259481</v>
      </c>
      <c r="AL27" s="39" t="n">
        <f aca="false">AL26-LN(AG27/AG26)*(AK26+AK27)/2</f>
        <v>42420.7701779282</v>
      </c>
      <c r="AM27" s="39" t="n">
        <f aca="false">Sheet1!M$10*10/Sheet1!M$11*1000*AL27/(Sheet1!M$10*10/Sheet1!M$11*1000-AL27)</f>
        <v>42768.3306231887</v>
      </c>
      <c r="AN27" s="41"/>
      <c r="AO27" s="37" t="n">
        <f aca="false">AO26+(AO$31-AO$19)/12</f>
        <v>4.17047774160915</v>
      </c>
      <c r="AP27" s="40" t="n">
        <f aca="false">10^AO27</f>
        <v>14807.363628611</v>
      </c>
      <c r="AQ27" s="39" t="n">
        <f aca="false">AS27-AR27*((Sheet1!R$19-Sheet1!R$20)*COS(RADIANS(38))+Sheet1!R$20)/2</f>
        <v>77.0990288490284</v>
      </c>
      <c r="AR27" s="37" t="n">
        <f aca="false">(AV27-AV$4)/(AV$31-AV$4)*(AR$31-AR$4)+AR$4</f>
        <v>-0.265910904776397</v>
      </c>
      <c r="AS27" s="39" t="n">
        <f aca="false">(AV27-AV$19)/(AV$31-AV$19)*(AS$31-AS$19)+AS$19</f>
        <v>76.54699209171</v>
      </c>
      <c r="AT27" s="39" t="n">
        <f aca="false">8314.4621*AS27/(Sheet1!R$22*Sheet1!R$12*9.80665)</f>
        <v>10407.7391550373</v>
      </c>
      <c r="AU27" s="39" t="n">
        <f aca="false">AU26-LN(AP27/AP26)*(AT26+AT27)/2</f>
        <v>73396.4998867028</v>
      </c>
      <c r="AV27" s="39" t="n">
        <f aca="false">Sheet1!R$10*10/Sheet1!R$11*1000*AU27/(Sheet1!R$10*10/Sheet1!R$11*1000-AU27)</f>
        <v>73829.6604514478</v>
      </c>
    </row>
    <row r="28" customFormat="false" ht="15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288.694403590314</v>
      </c>
      <c r="T28" s="37" t="n">
        <v>0</v>
      </c>
      <c r="U28" s="39" t="n">
        <f aca="false">(X28-X$24)/(X$34-X$24)*(U$34-U$24)+U$24</f>
        <v>288.694403590314</v>
      </c>
      <c r="V28" s="39" t="n">
        <f aca="false">8314.4621*U28/(Sheet1!H$20*Sheet1!H$12*9.80665)</f>
        <v>92714.5555193675</v>
      </c>
      <c r="W28" s="39" t="n">
        <f aca="false">W27-LN(R28/R27)*(V27+V28)/2</f>
        <v>1202472.45701222</v>
      </c>
      <c r="X28" s="39" t="n">
        <f aca="false">Sheet1!H$10*10/Sheet1!H$11*1000*W28/(Sheet1!H$10*10/Sheet1!H$11*1000-W28)</f>
        <v>1227064.30755927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202.450454996464</v>
      </c>
      <c r="AI28" s="37" t="n">
        <f aca="false">(AM28-AM$13)/(AM$30-AM$13)*(AI$30-AI$13)+AI$13</f>
        <v>0.305531847480167</v>
      </c>
      <c r="AJ28" s="39" t="n">
        <f aca="false">(AM28-AM$25)/(AM$35-AM$25)*(AJ$35-AJ$25)+AJ$25</f>
        <v>203.871802293219</v>
      </c>
      <c r="AK28" s="39" t="n">
        <f aca="false">8314.4621*AJ28/(Sheet1!M$21*Sheet1!M$12*9.80665)</f>
        <v>7442.75326363969</v>
      </c>
      <c r="AL28" s="39" t="n">
        <f aca="false">AL27-LN(AG28/AG27)*(AK27+AK28)/2</f>
        <v>44124.0133150963</v>
      </c>
      <c r="AM28" s="39" t="n">
        <f aca="false">Sheet1!M$10*10/Sheet1!M$11*1000*AL28/(Sheet1!M$10*10/Sheet1!M$11*1000-AL28)</f>
        <v>44500.1677198849</v>
      </c>
      <c r="AN28" s="41"/>
      <c r="AO28" s="37" t="n">
        <f aca="false">AO27+(AO$31-AO$19)/12</f>
        <v>4.02871579806892</v>
      </c>
      <c r="AP28" s="40" t="n">
        <f aca="false">10^AO28</f>
        <v>10683.5551949504</v>
      </c>
      <c r="AQ28" s="39" t="n">
        <f aca="false">AS28-AR28*((Sheet1!R$19-Sheet1!R$20)*COS(RADIANS(38))+Sheet1!R$20)/2</f>
        <v>76.9073246533698</v>
      </c>
      <c r="AR28" s="37" t="n">
        <f aca="false">(AV28-AV$4)/(AV$31-AV$4)*(AR$31-AR$4)+AR$4</f>
        <v>-0.324746781912572</v>
      </c>
      <c r="AS28" s="39" t="n">
        <f aca="false">(AV28-AV$19)/(AV$31-AV$19)*(AS$31-AS$19)+AS$19</f>
        <v>76.2331433497209</v>
      </c>
      <c r="AT28" s="39" t="n">
        <f aca="false">8314.4621*AS28/(Sheet1!R$22*Sheet1!R$12*9.80665)</f>
        <v>10365.0665985919</v>
      </c>
      <c r="AU28" s="39" t="n">
        <f aca="false">AU27-LN(AP28/AP27)*(AT27+AT28)/2</f>
        <v>76786.8184828692</v>
      </c>
      <c r="AV28" s="39" t="n">
        <f aca="false">Sheet1!R$10*10/Sheet1!R$11*1000*AU28/(Sheet1!R$10*10/Sheet1!R$11*1000-AU28)</f>
        <v>77261.0495128242</v>
      </c>
    </row>
    <row r="29" customFormat="false" ht="15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271.269761634397</v>
      </c>
      <c r="T29" s="37" t="n">
        <v>0</v>
      </c>
      <c r="U29" s="39" t="n">
        <f aca="false">(X29-X$24)/(X$34-X$24)*(U$34-U$24)+U$24</f>
        <v>271.269761634397</v>
      </c>
      <c r="V29" s="39" t="n">
        <f aca="false">8314.4621*U29/(Sheet1!H$20*Sheet1!H$12*9.80665)</f>
        <v>87118.6107627812</v>
      </c>
      <c r="W29" s="39" t="n">
        <f aca="false">W28-LN(R29/R28)*(V28+V29)/2</f>
        <v>1223176.51540758</v>
      </c>
      <c r="X29" s="39" t="n">
        <f aca="false">Sheet1!H$10*10/Sheet1!H$11*1000*W29/(Sheet1!H$10*10/Sheet1!H$11*1000-W29)</f>
        <v>1248631.46004638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204.766478559545</v>
      </c>
      <c r="AI29" s="37" t="n">
        <f aca="false">(AM29-AM$13)/(AM$30-AM$13)*(AI$30-AI$13)+AI$13</f>
        <v>0.352458219874098</v>
      </c>
      <c r="AJ29" s="39" t="n">
        <f aca="false">(AM29-AM$25)/(AM$35-AM$25)*(AJ$35-AJ$25)+AJ$25</f>
        <v>206.406129359188</v>
      </c>
      <c r="AK29" s="39" t="n">
        <f aca="false">8314.4621*AJ29/(Sheet1!M$21*Sheet1!M$12*9.80665)</f>
        <v>7535.2740086824</v>
      </c>
      <c r="AL29" s="39" t="n">
        <f aca="false">AL28-LN(AG29/AG28)*(AK28+AK29)/2</f>
        <v>45848.4224310817</v>
      </c>
      <c r="AM29" s="39" t="n">
        <f aca="false">Sheet1!M$10*10/Sheet1!M$11*1000*AL29/(Sheet1!M$10*10/Sheet1!M$11*1000-AL29)</f>
        <v>46254.6876531003</v>
      </c>
      <c r="AN29" s="41"/>
      <c r="AO29" s="37" t="n">
        <f aca="false">AO28+(AO$31-AO$19)/12</f>
        <v>3.88695385452869</v>
      </c>
      <c r="AP29" s="40" t="n">
        <f aca="false">10^AO29</f>
        <v>7708.21561935655</v>
      </c>
      <c r="AQ29" s="39" t="n">
        <f aca="false">AS29-AR29*((Sheet1!R$19-Sheet1!R$20)*COS(RADIANS(38))+Sheet1!R$20)/2</f>
        <v>76.7163044763759</v>
      </c>
      <c r="AR29" s="37" t="n">
        <f aca="false">(AV29-AV$4)/(AV$31-AV$4)*(AR$31-AR$4)+AR$4</f>
        <v>-0.3833732611175</v>
      </c>
      <c r="AS29" s="39" t="n">
        <f aca="false">(AV29-AV$19)/(AV$31-AV$19)*(AS$31-AS$19)+AS$19</f>
        <v>75.9204133410054</v>
      </c>
      <c r="AT29" s="39" t="n">
        <f aca="false">8314.4621*AS29/(Sheet1!R$22*Sheet1!R$12*9.80665)</f>
        <v>10322.5461511161</v>
      </c>
      <c r="AU29" s="39" t="n">
        <f aca="false">AU28-LN(AP29/AP28)*(AT28+AT29)/2</f>
        <v>80163.2327741053</v>
      </c>
      <c r="AV29" s="39" t="n">
        <f aca="false">Sheet1!R$10*10/Sheet1!R$11*1000*AU29/(Sheet1!R$10*10/Sheet1!R$11*1000-AU29)</f>
        <v>80680.2261996134</v>
      </c>
    </row>
    <row r="30" customFormat="false" ht="15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254.885961325559</v>
      </c>
      <c r="T30" s="37" t="n">
        <v>0</v>
      </c>
      <c r="U30" s="39" t="n">
        <f aca="false">(X30-X$24)/(X$34-X$24)*(U$34-U$24)+U$24</f>
        <v>254.885961325559</v>
      </c>
      <c r="V30" s="39" t="n">
        <f aca="false">8314.4621*U30/(Sheet1!H$20*Sheet1!H$12*9.80665)</f>
        <v>81856.933555115</v>
      </c>
      <c r="W30" s="39" t="n">
        <f aca="false">W29-LN(R30/R29)*(V29+V30)/2</f>
        <v>1242630.54387893</v>
      </c>
      <c r="X30" s="39" t="n">
        <f aca="false">Sheet1!H$10*10/Sheet1!H$11*1000*W30/(Sheet1!H$10*10/Sheet1!H$11*1000-W30)</f>
        <v>1268910.32261773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207.112817652492</v>
      </c>
      <c r="AI30" s="37" t="n">
        <v>0.4</v>
      </c>
      <c r="AJ30" s="39" t="n">
        <f aca="false">(AM30-AM$25)/(AM$35-AM$25)*(AJ$35-AJ$25)+AJ$25</f>
        <v>208.973634858263</v>
      </c>
      <c r="AK30" s="39" t="n">
        <f aca="false">8314.4621*AJ30/(Sheet1!M$21*Sheet1!M$12*9.80665)</f>
        <v>7629.00599965764</v>
      </c>
      <c r="AL30" s="39" t="n">
        <f aca="false">AL29-LN(AG30/AG29)*(AK29+AK30)/2</f>
        <v>47594.2746857413</v>
      </c>
      <c r="AM30" s="39" t="n">
        <f aca="false">Sheet1!M$10*10/Sheet1!M$11*1000*AL30/(Sheet1!M$10*10/Sheet1!M$11*1000-AL30)</f>
        <v>48032.2169321849</v>
      </c>
      <c r="AN30" s="41"/>
      <c r="AO30" s="37" t="n">
        <f aca="false">AO29+(AO$31-AO$19)/12</f>
        <v>3.74519191098847</v>
      </c>
      <c r="AP30" s="40" t="n">
        <f aca="false">10^AO30</f>
        <v>5561.49960853627</v>
      </c>
      <c r="AQ30" s="39" t="n">
        <f aca="false">AS30-AR30*((Sheet1!R$19-Sheet1!R$20)*COS(RADIANS(38))+Sheet1!R$20)/2</f>
        <v>76.5259649633451</v>
      </c>
      <c r="AR30" s="37" t="n">
        <f aca="false">(AV30-AV$4)/(AV$31-AV$4)*(AR$31-AR$4)+AR$4</f>
        <v>-0.441790836040869</v>
      </c>
      <c r="AS30" s="39" t="n">
        <f aca="false">(AV30-AV$19)/(AV$31-AV$19)*(AS$31-AS$19)+AS$19</f>
        <v>75.6087976860344</v>
      </c>
      <c r="AT30" s="39" t="n">
        <f aca="false">8314.4621*AS30/(Sheet1!R$22*Sheet1!R$12*9.80665)</f>
        <v>10280.1772171457</v>
      </c>
      <c r="AU30" s="39" t="n">
        <f aca="false">AU29-LN(AP30/AP29)*(AT29+AT30)/2</f>
        <v>83525.7923144739</v>
      </c>
      <c r="AV30" s="39" t="n">
        <f aca="false">Sheet1!R$10*10/Sheet1!R$11*1000*AU30/(Sheet1!R$10*10/Sheet1!R$11*1000-AU30)</f>
        <v>84087.2193021424</v>
      </c>
    </row>
    <row r="31" customFormat="false" ht="15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239.482098466003</v>
      </c>
      <c r="T31" s="37" t="n">
        <v>0</v>
      </c>
      <c r="U31" s="39" t="n">
        <f aca="false">(X31-X$24)/(X$34-X$24)*(U$34-U$24)+U$24</f>
        <v>239.482098466003</v>
      </c>
      <c r="V31" s="39" t="n">
        <f aca="false">8314.4621*U31/(Sheet1!H$20*Sheet1!H$12*9.80665)</f>
        <v>76909.964439871</v>
      </c>
      <c r="W31" s="39" t="n">
        <f aca="false">W30-LN(R31/R30)*(V30+V31)/2</f>
        <v>1260909.25850814</v>
      </c>
      <c r="X31" s="39" t="n">
        <f aca="false">Sheet1!H$10*10/Sheet1!H$11*1000*W31/(Sheet1!H$10*10/Sheet1!H$11*1000-W31)</f>
        <v>1287976.27875175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209.904123759203</v>
      </c>
      <c r="AI31" s="37" t="n">
        <f aca="false">(AM31-AM$30)/(AM$50-AM$30)*(AI$50-AI$30)+AI$30</f>
        <v>0.359165859393211</v>
      </c>
      <c r="AJ31" s="39" t="n">
        <f aca="false">(AM31-AM$25)/(AM$35-AM$25)*(AJ$35-AJ$25)+AJ$25</f>
        <v>211.574978786414</v>
      </c>
      <c r="AK31" s="39" t="n">
        <f aca="false">8314.4621*AJ31/(Sheet1!M$21*Sheet1!M$12*9.80665)</f>
        <v>7723.97333105569</v>
      </c>
      <c r="AL31" s="39" t="n">
        <f aca="false">AL30-LN(AG31/AG30)*(AK30+AK31)/2</f>
        <v>49361.8517527386</v>
      </c>
      <c r="AM31" s="39" t="n">
        <f aca="false">Sheet1!M$10*10/Sheet1!M$11*1000*AL31/(Sheet1!M$10*10/Sheet1!M$11*1000-AL31)</f>
        <v>49833.0880563823</v>
      </c>
      <c r="AN31" s="41"/>
      <c r="AO31" s="37" t="n">
        <f aca="false">AO4+0.4*(AO61-AO4)</f>
        <v>3.60342996744824</v>
      </c>
      <c r="AP31" s="40" t="n">
        <f aca="false">10^AO31</f>
        <v>4012.63786888346</v>
      </c>
      <c r="AQ31" s="39" t="n">
        <f aca="false">AS31-AR31*((Sheet1!R$19-Sheet1!R$20)*COS(RADIANS(38))+Sheet1!R$20)/2</f>
        <v>76.3363032253584</v>
      </c>
      <c r="AR31" s="37" t="n">
        <f aca="false">ROUND(-MIN(Sheet1!R21+Sheet1!R19,5.7*LOG(Sheet1!R15)+4.8)/(Sheet1!R21+Sheet1!R19)/2/0.05,0)*0.05</f>
        <v>-0.5</v>
      </c>
      <c r="AS31" s="39" t="n">
        <f aca="false">Sheet1!R16+0.64*(AS61-Sheet1!R16)+0.1*Sheet1!R18</f>
        <v>75.2982924717517</v>
      </c>
      <c r="AT31" s="39" t="n">
        <f aca="false">8314.4621*AS31/(Sheet1!R$22*Sheet1!R$12*9.80665)</f>
        <v>10237.9592646407</v>
      </c>
      <c r="AU31" s="39" t="n">
        <f aca="false">AU30-LN(AP31/AP30)*(AT30+AT31)/2</f>
        <v>86874.5464740187</v>
      </c>
      <c r="AV31" s="39" t="n">
        <f aca="false">Sheet1!R$10*10/Sheet1!R$11*1000*AU31/(Sheet1!R$10*10/Sheet1!R$11*1000-AU31)</f>
        <v>87482.0575913539</v>
      </c>
    </row>
    <row r="32" customFormat="false" ht="15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225.000684142947</v>
      </c>
      <c r="T32" s="37" t="n">
        <v>0</v>
      </c>
      <c r="U32" s="39" t="n">
        <f aca="false">(X32-X$24)/(X$34-X$24)*(U$34-U$24)+U$24</f>
        <v>225.000684142947</v>
      </c>
      <c r="V32" s="39" t="n">
        <f aca="false">8314.4621*U32/(Sheet1!H$20*Sheet1!H$12*9.80665)</f>
        <v>72259.2407834498</v>
      </c>
      <c r="W32" s="39" t="n">
        <f aca="false">W31-LN(R32/R31)*(V31+V32)/2</f>
        <v>1278082.99792218</v>
      </c>
      <c r="X32" s="39" t="n">
        <f aca="false">Sheet1!H$10*10/Sheet1!H$11*1000*W32/(Sheet1!H$10*10/Sheet1!H$11*1000-W32)</f>
        <v>1305900.48469667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212.732067622604</v>
      </c>
      <c r="AI32" s="37" t="n">
        <f aca="false">(AM32-AM$30)/(AM$50-AM$30)*(AI$50-AI$30)+AI$30</f>
        <v>0.317794785180383</v>
      </c>
      <c r="AJ32" s="39" t="n">
        <f aca="false">(AM32-AM$25)/(AM$35-AM$25)*(AJ$35-AJ$25)+AJ$25</f>
        <v>214.210462633024</v>
      </c>
      <c r="AK32" s="39" t="n">
        <f aca="false">8314.4621*AJ32/(Sheet1!M$21*Sheet1!M$12*9.80665)</f>
        <v>7820.18700935736</v>
      </c>
      <c r="AL32" s="39" t="n">
        <f aca="false">AL31-LN(AG32/AG31)*(AK31+AK32)/2</f>
        <v>51151.4393468858</v>
      </c>
      <c r="AM32" s="39" t="n">
        <f aca="false">Sheet1!M$10*10/Sheet1!M$11*1000*AL32/(Sheet1!M$10*10/Sheet1!M$11*1000-AL32)</f>
        <v>51657.6390771653</v>
      </c>
      <c r="AN32" s="41"/>
      <c r="AO32" s="37" t="n">
        <f aca="false">AO31+(AO$41-AO$31)/10</f>
        <v>3.43331563519996</v>
      </c>
      <c r="AP32" s="40" t="n">
        <f aca="false">10^AO32</f>
        <v>2712.16205252181</v>
      </c>
      <c r="AQ32" s="39" t="n">
        <f aca="false">AS32-AR32*((Sheet1!R$19-Sheet1!R$20)*COS(RADIANS(38))+Sheet1!R$20)/2</f>
        <v>76.1502873522481</v>
      </c>
      <c r="AR32" s="37" t="n">
        <f aca="false">(AV32-AV$31)/(AV$51-AV$31)*(AR$51-AR$31)+AR$31</f>
        <v>-0.474791124398659</v>
      </c>
      <c r="AS32" s="39" t="n">
        <f aca="false">(AV32-AV$31)/(AV$41-AV$31)*(AS$41-AS$31)+AS$31</f>
        <v>75.1646107665625</v>
      </c>
      <c r="AT32" s="39" t="n">
        <f aca="false">8314.4621*AS32/(Sheet1!R$22*Sheet1!R$12*9.80665)</f>
        <v>10219.7831837864</v>
      </c>
      <c r="AU32" s="39" t="n">
        <f aca="false">AU31-LN(AP32/AP31)*(AT31+AT32)/2</f>
        <v>90881.2232117358</v>
      </c>
      <c r="AV32" s="39" t="n">
        <f aca="false">Sheet1!R$10*10/Sheet1!R$11*1000*AU32/(Sheet1!R$10*10/Sheet1!R$11*1000-AU32)</f>
        <v>91546.2781871258</v>
      </c>
    </row>
    <row r="33" customFormat="false" ht="15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211.387470683698</v>
      </c>
      <c r="T33" s="37" t="n">
        <v>0</v>
      </c>
      <c r="U33" s="39" t="n">
        <f aca="false">(X33-X$24)/(X$34-X$24)*(U$34-U$24)+U$24</f>
        <v>211.387470683698</v>
      </c>
      <c r="V33" s="39" t="n">
        <f aca="false">8314.4621*U33/(Sheet1!H$20*Sheet1!H$12*9.80665)</f>
        <v>67887.3408804101</v>
      </c>
      <c r="W33" s="39" t="n">
        <f aca="false">W32-LN(R33/R32)*(V32+V33)/2</f>
        <v>1294217.96941085</v>
      </c>
      <c r="X33" s="39" t="n">
        <f aca="false">Sheet1!H$10*10/Sheet1!H$11*1000*W33/(Sheet1!H$10*10/Sheet1!H$11*1000-W33)</f>
        <v>1322750.08489264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215.597246018049</v>
      </c>
      <c r="AI33" s="37" t="n">
        <f aca="false">(AM33-AM$30)/(AM$50-AM$30)*(AI$50-AI$30)+AI$30</f>
        <v>0.275878994940759</v>
      </c>
      <c r="AJ33" s="39" t="n">
        <f aca="false">(AM33-AM$25)/(AM$35-AM$25)*(AJ$35-AJ$25)+AJ$25</f>
        <v>216.88064696929</v>
      </c>
      <c r="AK33" s="39" t="n">
        <f aca="false">8314.4621*AJ33/(Sheet1!M$21*Sheet1!M$12*9.80665)</f>
        <v>7917.6674993502</v>
      </c>
      <c r="AL33" s="39" t="n">
        <f aca="false">AL32-LN(AG33/AG32)*(AK32+AK33)/2</f>
        <v>52963.3268062588</v>
      </c>
      <c r="AM33" s="39" t="n">
        <f aca="false">Sheet1!M$10*10/Sheet1!M$11*1000*AL33/(Sheet1!M$10*10/Sheet1!M$11*1000-AL33)</f>
        <v>53506.2132155888</v>
      </c>
      <c r="AN33" s="41"/>
      <c r="AO33" s="37" t="n">
        <f aca="false">AO32+(AO$41-AO$31)/10</f>
        <v>3.26320130295169</v>
      </c>
      <c r="AP33" s="40" t="n">
        <f aca="false">10^AO33</f>
        <v>1833.16392844244</v>
      </c>
      <c r="AQ33" s="39" t="n">
        <f aca="false">AS33-AR33*((Sheet1!R$19-Sheet1!R$20)*COS(RADIANS(38))+Sheet1!R$20)/2</f>
        <v>75.9644820852482</v>
      </c>
      <c r="AR33" s="37" t="n">
        <f aca="false">(AV33-AV$31)/(AV$51-AV$31)*(AR$51-AR$31)+AR$31</f>
        <v>-0.449610790295213</v>
      </c>
      <c r="AS33" s="39" t="n">
        <f aca="false">(AV33-AV$31)/(AV$41-AV$31)*(AS$41-AS$31)+AS$31</f>
        <v>75.0310804147201</v>
      </c>
      <c r="AT33" s="39" t="n">
        <f aca="false">8314.4621*AS33/(Sheet1!R$22*Sheet1!R$12*9.80665)</f>
        <v>10201.6276817441</v>
      </c>
      <c r="AU33" s="39" t="n">
        <f aca="false">AU32-LN(AP33/AP32)*(AT32+AT33)/2</f>
        <v>94880.7843594311</v>
      </c>
      <c r="AV33" s="39" t="n">
        <f aca="false">Sheet1!R$10*10/Sheet1!R$11*1000*AU33/(Sheet1!R$10*10/Sheet1!R$11*1000-AU33)</f>
        <v>95605.8972708979</v>
      </c>
    </row>
    <row r="34" customFormat="false" ht="15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198.591284379301</v>
      </c>
      <c r="T34" s="37" t="n">
        <v>0</v>
      </c>
      <c r="U34" s="39" t="n">
        <f aca="false">1060/1140*(U$44-U$4)+U$4</f>
        <v>198.591284379301</v>
      </c>
      <c r="V34" s="39" t="n">
        <f aca="false">8314.4621*U34/(Sheet1!H$20*Sheet1!H$12*9.80665)</f>
        <v>63777.8302324699</v>
      </c>
      <c r="W34" s="39" t="n">
        <f aca="false">W33-LN(R34/R33)*(V33+V34)/2</f>
        <v>1309376.4824244</v>
      </c>
      <c r="X34" s="39" t="n">
        <f aca="false">Sheet1!H$10*10/Sheet1!H$11*1000*W34/(Sheet1!H$10*10/Sheet1!H$11*1000-W34)</f>
        <v>1338588.41901616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198.591284379301</v>
      </c>
      <c r="AA34" s="39" t="n">
        <f aca="false">IF(Y34=LOG(Sheet1!H$17*101325),(LOG(Sheet1!H$17*101325)-Q44)/(Q34-Q44)*(X34-X44)+X44,IF(Y34=0,0,X34))</f>
        <v>1338588.41901616</v>
      </c>
      <c r="AB34" s="32" t="n">
        <f aca="false">IF(Y34=0,0,AB24+1)</f>
        <v>2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218.500155131726</v>
      </c>
      <c r="AI34" s="37" t="n">
        <f aca="false">(AM34-AM$30)/(AM$50-AM$30)*(AI$50-AI$30)+AI$30</f>
        <v>0.233410572683654</v>
      </c>
      <c r="AJ34" s="39" t="n">
        <f aca="false">(AM34-AM$25)/(AM$35-AM$25)*(AJ$35-AJ$25)+AJ$25</f>
        <v>219.585991155872</v>
      </c>
      <c r="AK34" s="39" t="n">
        <f aca="false">8314.4621*AJ34/(Sheet1!M$21*Sheet1!M$12*9.80665)</f>
        <v>8016.43157092589</v>
      </c>
      <c r="AL34" s="39" t="n">
        <f aca="false">AL33-LN(AG34/AG33)*(AK33+AK34)/2</f>
        <v>54797.8077557342</v>
      </c>
      <c r="AM34" s="39" t="n">
        <f aca="false">Sheet1!M$10*10/Sheet1!M$11*1000*AL34/(Sheet1!M$10*10/Sheet1!M$11*1000-AL34)</f>
        <v>55379.1595834212</v>
      </c>
      <c r="AN34" s="41"/>
      <c r="AO34" s="37" t="n">
        <f aca="false">AO33+(AO$41-AO$31)/10</f>
        <v>3.09308697070341</v>
      </c>
      <c r="AP34" s="40" t="n">
        <f aca="false">10^AO34</f>
        <v>1239.04468961134</v>
      </c>
      <c r="AQ34" s="39" t="n">
        <f aca="false">AS34-AR34*((Sheet1!R$19-Sheet1!R$20)*COS(RADIANS(38))+Sheet1!R$20)/2</f>
        <v>75.7788875727055</v>
      </c>
      <c r="AR34" s="37" t="n">
        <f aca="false">(AV34-AV$31)/(AV$51-AV$31)*(AR$51-AR$31)+AR$31</f>
        <v>-0.424459017776362</v>
      </c>
      <c r="AS34" s="39" t="n">
        <f aca="false">(AV34-AV$31)/(AV$41-AV$31)*(AS$41-AS$31)+AS$31</f>
        <v>74.8977015228711</v>
      </c>
      <c r="AT34" s="39" t="n">
        <f aca="false">8314.4621*AS34/(Sheet1!R$22*Sheet1!R$12*9.80665)</f>
        <v>10183.4927730139</v>
      </c>
      <c r="AU34" s="39" t="n">
        <f aca="false">AU33-LN(AP34/AP33)*(AT33+AT34)/2</f>
        <v>98873.2379807211</v>
      </c>
      <c r="AV34" s="39" t="n">
        <f aca="false">Sheet1!R$10*10/Sheet1!R$11*1000*AU34/(Sheet1!R$10*10/Sheet1!R$11*1000-AU34)</f>
        <v>99660.9116042561</v>
      </c>
    </row>
    <row r="35" customFormat="false" ht="15" hidden="false" customHeight="false" outlineLevel="0" collapsed="false">
      <c r="A35" s="31" t="s">
        <v>99</v>
      </c>
      <c r="B35" s="43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187.691744482389</v>
      </c>
      <c r="T35" s="37" t="n">
        <v>0</v>
      </c>
      <c r="U35" s="39" t="n">
        <f aca="false">(X35-X$34)/(X$44-X$34)*(U$44-U$34)+U$34</f>
        <v>187.691744482389</v>
      </c>
      <c r="V35" s="39" t="n">
        <f aca="false">8314.4621*U35/(Sheet1!H$20*Sheet1!H$12*9.80665)</f>
        <v>60277.4298632897</v>
      </c>
      <c r="W35" s="39" t="n">
        <f aca="false">W34-LN(R35/R34)*(V34+V35)/2</f>
        <v>1323658.8720546</v>
      </c>
      <c r="X35" s="39" t="n">
        <f aca="false">Sheet1!H$10*10/Sheet1!H$11*1000*W35/(Sheet1!H$10*10/Sheet1!H$11*1000-W35)</f>
        <v>1353518.82541721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221.44252506631</v>
      </c>
      <c r="AI35" s="37" t="n">
        <f aca="false">(AM35-AM$30)/(AM$50-AM$30)*(AI$50-AI$30)+AI$30</f>
        <v>0.19014830752251</v>
      </c>
      <c r="AJ35" s="39" t="n">
        <f aca="false">1.04*Sheet1!M16+0.06*Sheet1!M18</f>
        <v>222.327103172026</v>
      </c>
      <c r="AK35" s="39" t="n">
        <f aca="false">8314.4621*AJ35/(Sheet1!M$21*Sheet1!M$12*9.80665)</f>
        <v>8116.50141959916</v>
      </c>
      <c r="AL35" s="39" t="n">
        <f aca="false">AL34-LN(AG35/AG34)*(AK34+AK35)/2</f>
        <v>56655.1803062469</v>
      </c>
      <c r="AM35" s="39" t="n">
        <f aca="false">Sheet1!M$10*10/Sheet1!M$11*1000*AL35/(Sheet1!M$10*10/Sheet1!M$11*1000-AL35)</f>
        <v>57276.8334337488</v>
      </c>
      <c r="AN35" s="41"/>
      <c r="AO35" s="37" t="n">
        <f aca="false">AO34+(AO$41-AO$31)/10</f>
        <v>2.92297263845514</v>
      </c>
      <c r="AP35" s="40" t="n">
        <f aca="false">10^AO35</f>
        <v>837.476517530251</v>
      </c>
      <c r="AQ35" s="39" t="n">
        <f aca="false">AS35-AR35*((Sheet1!R$19-Sheet1!R$20)*COS(RADIANS(38))+Sheet1!R$20)/2</f>
        <v>75.5935039616876</v>
      </c>
      <c r="AR35" s="37" t="n">
        <f aca="false">(AV35-AV$31)/(AV$51-AV$31)*(AR$51-AR$31)+AR$31</f>
        <v>-0.39933582675543</v>
      </c>
      <c r="AS35" s="39" t="n">
        <f aca="false">(AV35-AV$31)/(AV$41-AV$31)*(AS$41-AS$31)+AS$31</f>
        <v>74.7644741967424</v>
      </c>
      <c r="AT35" s="39" t="n">
        <f aca="false">8314.4621*AS35/(Sheet1!R$22*Sheet1!R$12*9.80665)</f>
        <v>10165.3784719711</v>
      </c>
      <c r="AU35" s="39" t="n">
        <f aca="false">AU34-LN(AP35/AP34)*(AT34+AT35)/2</f>
        <v>102858.592144878</v>
      </c>
      <c r="AV35" s="39" t="n">
        <f aca="false">Sheet1!R$10*10/Sheet1!R$11*1000*AU35/(Sheet1!R$10*10/Sheet1!R$11*1000-AU35)</f>
        <v>103711.317976738</v>
      </c>
    </row>
    <row r="36" customFormat="false" ht="15" hidden="false" customHeight="false" outlineLevel="0" collapsed="false">
      <c r="A36" s="31" t="s">
        <v>100</v>
      </c>
      <c r="B36" s="43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177.385673574913</v>
      </c>
      <c r="T36" s="37" t="n">
        <v>0</v>
      </c>
      <c r="U36" s="39" t="n">
        <f aca="false">(X36-X$34)/(X$44-X$34)*(U$44-U$34)+U$34</f>
        <v>177.385673574913</v>
      </c>
      <c r="V36" s="39" t="n">
        <f aca="false">8314.4621*U36/(Sheet1!H$20*Sheet1!H$12*9.80665)</f>
        <v>56967.6227750521</v>
      </c>
      <c r="W36" s="39" t="n">
        <f aca="false">W35-LN(R36/R35)*(V35+V36)/2</f>
        <v>1337157.20757622</v>
      </c>
      <c r="X36" s="39" t="n">
        <f aca="false">Sheet1!H$10*10/Sheet1!H$11*1000*W36/(Sheet1!H$10*10/Sheet1!H$11*1000-W36)</f>
        <v>1367636.28620014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221.439649137971</v>
      </c>
      <c r="AI36" s="37" t="n">
        <f aca="false">(AM36-AM$30)/(AM$50-AM$30)*(AI$50-AI$30)+AI$30</f>
        <v>0.147074007177023</v>
      </c>
      <c r="AJ36" s="39" t="n">
        <f aca="false">(AM36-AM$35)/(AM$37-AM$35)*(AJ$37-AJ$35)+AJ$35</f>
        <v>222.123843745663</v>
      </c>
      <c r="AK36" s="39" t="n">
        <f aca="false">8314.4621*AJ36/(Sheet1!M$21*Sheet1!M$12*9.80665)</f>
        <v>8109.08102235976</v>
      </c>
      <c r="AL36" s="39" t="n">
        <f aca="false">AL35-LN(AG36/AG35)*(AK35+AK36)/2</f>
        <v>58523.2195190469</v>
      </c>
      <c r="AM36" s="39" t="n">
        <f aca="false">Sheet1!M$10*10/Sheet1!M$11*1000*AL36/(Sheet1!M$10*10/Sheet1!M$11*1000-AL36)</f>
        <v>59186.7829464417</v>
      </c>
      <c r="AN36" s="41"/>
      <c r="AO36" s="37" t="n">
        <f aca="false">AO35+(AO$41-AO$31)/10</f>
        <v>2.75285830620686</v>
      </c>
      <c r="AP36" s="40" t="n">
        <f aca="false">10^AO36</f>
        <v>566.054576800295</v>
      </c>
      <c r="AQ36" s="39" t="n">
        <f aca="false">AS36-AR36*((Sheet1!R$19-Sheet1!R$20)*COS(RADIANS(38))+Sheet1!R$20)/2</f>
        <v>75.4083313979829</v>
      </c>
      <c r="AR36" s="37" t="n">
        <f aca="false">(AV36-AV$31)/(AV$51-AV$31)*(AR$51-AR$31)+AR$31</f>
        <v>-0.374241236972405</v>
      </c>
      <c r="AS36" s="39" t="n">
        <f aca="false">(AV36-AV$31)/(AV$41-AV$31)*(AS$41-AS$31)+AS$31</f>
        <v>74.6313985411421</v>
      </c>
      <c r="AT36" s="39" t="n">
        <f aca="false">8314.4621*AS36/(Sheet1!R$22*Sheet1!R$12*9.80665)</f>
        <v>10147.2847928659</v>
      </c>
      <c r="AU36" s="39" t="n">
        <f aca="false">AU35-LN(AP36/AP35)*(AT35+AT36)/2</f>
        <v>106836.854926779</v>
      </c>
      <c r="AV36" s="39" t="n">
        <f aca="false">Sheet1!R$10*10/Sheet1!R$11*1000*AU36/(Sheet1!R$10*10/Sheet1!R$11*1000-AU36)</f>
        <v>107757.113205828</v>
      </c>
    </row>
    <row r="37" customFormat="false" ht="15" hidden="false" customHeight="false" outlineLevel="0" collapsed="false">
      <c r="A37" s="31" t="s">
        <v>101</v>
      </c>
      <c r="B37" s="43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167.641263949382</v>
      </c>
      <c r="T37" s="37" t="n">
        <v>0</v>
      </c>
      <c r="U37" s="39" t="n">
        <f aca="false">(X37-X$34)/(X$44-X$34)*(U$44-U$34)+U$34</f>
        <v>167.641263949382</v>
      </c>
      <c r="V37" s="39" t="n">
        <f aca="false">8314.4621*U37/(Sheet1!H$20*Sheet1!H$12*9.80665)</f>
        <v>53838.193884176</v>
      </c>
      <c r="W37" s="39" t="n">
        <f aca="false">W36-LN(R37/R36)*(V36+V37)/2</f>
        <v>1349914.19865904</v>
      </c>
      <c r="X37" s="39" t="n">
        <f aca="false">Sheet1!H$10*10/Sheet1!H$11*1000*W37/(Sheet1!H$10*10/Sheet1!H$11*1000-W37)</f>
        <v>1380984.37219491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221.437867982247</v>
      </c>
      <c r="AI37" s="37" t="n">
        <f aca="false">(AM37-AM$30)/(AM$50-AM$30)*(AI$50-AI$30)+AI$30</f>
        <v>0.103774841821929</v>
      </c>
      <c r="AJ37" s="39" t="n">
        <f aca="false">1.05*Sheet1!M16</f>
        <v>221.920633010218</v>
      </c>
      <c r="AK37" s="39" t="n">
        <f aca="false">8314.4621*AJ37/(Sheet1!M$21*Sheet1!M$12*9.80665)</f>
        <v>8101.662402681</v>
      </c>
      <c r="AL37" s="39" t="n">
        <f aca="false">AL36-LN(AG37/AG36)*(AK36+AK37)/2</f>
        <v>60389.5503268894</v>
      </c>
      <c r="AM37" s="39" t="n">
        <f aca="false">Sheet1!M$10*10/Sheet1!M$11*1000*AL37/(Sheet1!M$10*10/Sheet1!M$11*1000-AL37)</f>
        <v>61096.3668248122</v>
      </c>
      <c r="AN37" s="41"/>
      <c r="AO37" s="37" t="n">
        <f aca="false">AO36+(AO$41-AO$31)/10</f>
        <v>2.58274397395859</v>
      </c>
      <c r="AP37" s="40" t="n">
        <f aca="false">10^AO37</f>
        <v>382.599126315188</v>
      </c>
      <c r="AQ37" s="39" t="n">
        <f aca="false">AS37-AR37*((Sheet1!R$19-Sheet1!R$20)*COS(RADIANS(38))+Sheet1!R$20)/2</f>
        <v>75.2233700261017</v>
      </c>
      <c r="AR37" s="37" t="n">
        <f aca="false">(AV37-AV$31)/(AV$51-AV$31)*(AR$51-AR$31)+AR$31</f>
        <v>-0.349175267993989</v>
      </c>
      <c r="AS37" s="39" t="n">
        <f aca="false">(AV37-AV$31)/(AV$41-AV$31)*(AS$41-AS$31)+AS$31</f>
        <v>74.4984746599592</v>
      </c>
      <c r="AT37" s="39" t="n">
        <f aca="false">8314.4621*AS37/(Sheet1!R$22*Sheet1!R$12*9.80665)</f>
        <v>10129.2117498237</v>
      </c>
      <c r="AU37" s="39" t="n">
        <f aca="false">AU36-LN(AP37/AP36)*(AT36+AT37)/2</f>
        <v>110808.034406861</v>
      </c>
      <c r="AV37" s="39" t="n">
        <f aca="false">Sheet1!R$10*10/Sheet1!R$11*1000*AU37/(Sheet1!R$10*10/Sheet1!R$11*1000-AU37)</f>
        <v>111798.294136946</v>
      </c>
    </row>
    <row r="38" customFormat="false" ht="15" hidden="false" customHeight="false" outlineLevel="0" collapsed="false">
      <c r="A38" s="31" t="s">
        <v>102</v>
      </c>
      <c r="B38" s="43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158.428358688476</v>
      </c>
      <c r="T38" s="37" t="n">
        <v>0</v>
      </c>
      <c r="U38" s="39" t="n">
        <f aca="false">(X38-X$34)/(X$44-X$34)*(U$44-U$34)+U$34</f>
        <v>158.428358688476</v>
      </c>
      <c r="V38" s="39" t="n">
        <f aca="false">8314.4621*U38/(Sheet1!H$20*Sheet1!H$12*9.80665)</f>
        <v>50879.4582603325</v>
      </c>
      <c r="W38" s="39" t="n">
        <f aca="false">W37-LN(R38/R37)*(V37+V38)/2</f>
        <v>1361970.26389911</v>
      </c>
      <c r="X38" s="39" t="n">
        <f aca="false">Sheet1!H$10*10/Sheet1!H$11*1000*W38/(Sheet1!H$10*10/Sheet1!H$11*1000-W38)</f>
        <v>1393604.39294631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217.675739333215</v>
      </c>
      <c r="AI38" s="37" t="n">
        <f aca="false">(AM38-AM$30)/(AM$50-AM$30)*(AI$50-AI$30)+AI$30</f>
        <v>0.0608507497199314</v>
      </c>
      <c r="AJ38" s="39" t="n">
        <f aca="false">(AM38-AM$37)/(AM$50-AM$37)*(AJ$50-AJ$37)+AJ$37</f>
        <v>217.958819638372</v>
      </c>
      <c r="AK38" s="39" t="n">
        <f aca="false">8314.4621*AJ38/(Sheet1!M$21*Sheet1!M$12*9.80665)</f>
        <v>7957.02837741825</v>
      </c>
      <c r="AL38" s="39" t="n">
        <f aca="false">AL37-LN(AG38/AG37)*(AK37+AK38)/2</f>
        <v>62238.3754270523</v>
      </c>
      <c r="AM38" s="39" t="n">
        <f aca="false">Sheet1!M$10*10/Sheet1!M$11*1000*AL38/(Sheet1!M$10*10/Sheet1!M$11*1000-AL38)</f>
        <v>62989.4018718077</v>
      </c>
      <c r="AN38" s="41"/>
      <c r="AO38" s="37" t="n">
        <f aca="false">AO37+(AO$41-AO$31)/10</f>
        <v>2.41262964171032</v>
      </c>
      <c r="AP38" s="40" t="n">
        <f aca="false">10^AO38</f>
        <v>258.600667597445</v>
      </c>
      <c r="AQ38" s="39" t="n">
        <f aca="false">AS38-AR38*((Sheet1!R$19-Sheet1!R$20)*COS(RADIANS(38))+Sheet1!R$20)/2</f>
        <v>75.0386199892758</v>
      </c>
      <c r="AR38" s="37" t="n">
        <f aca="false">(AV38-AV$31)/(AV$51-AV$31)*(AR$51-AR$31)+AR$31</f>
        <v>-0.324137939213648</v>
      </c>
      <c r="AS38" s="39" t="n">
        <f aca="false">(AV38-AV$31)/(AV$41-AV$31)*(AS$41-AS$31)+AS$31</f>
        <v>74.3657026561644</v>
      </c>
      <c r="AT38" s="39" t="n">
        <f aca="false">8314.4621*AS38/(Sheet1!R$22*Sheet1!R$12*9.80665)</f>
        <v>10111.1593568448</v>
      </c>
      <c r="AU38" s="39" t="n">
        <f aca="false">AU37-LN(AP38/AP37)*(AT37+AT38)/2</f>
        <v>114772.138671068</v>
      </c>
      <c r="AV38" s="39" t="n">
        <f aca="false">Sheet1!R$10*10/Sheet1!R$11*1000*AU38/(Sheet1!R$10*10/Sheet1!R$11*1000-AU38)</f>
        <v>115834.857643442</v>
      </c>
    </row>
    <row r="39" customFormat="false" ht="15" hidden="false" customHeight="false" outlineLevel="0" collapsed="false">
      <c r="A39" s="31" t="s">
        <v>103</v>
      </c>
      <c r="B39" s="43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149.718371773368</v>
      </c>
      <c r="T39" s="37" t="n">
        <v>0</v>
      </c>
      <c r="U39" s="39" t="n">
        <f aca="false">(X39-X$34)/(X$44-X$34)*(U$44-U$34)+U$34</f>
        <v>149.718371773368</v>
      </c>
      <c r="V39" s="39" t="n">
        <f aca="false">8314.4621*U39/(Sheet1!H$20*Sheet1!H$12*9.80665)</f>
        <v>48082.2354691359</v>
      </c>
      <c r="W39" s="39" t="n">
        <f aca="false">W38-LN(R39/R38)*(V38+V39)/2</f>
        <v>1373363.64993705</v>
      </c>
      <c r="X39" s="39" t="n">
        <f aca="false">Sheet1!H$10*10/Sheet1!H$11*1000*W39/(Sheet1!H$10*10/Sheet1!H$11*1000-W39)</f>
        <v>1405535.50615112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213.97755812648</v>
      </c>
      <c r="AI39" s="37" t="n">
        <f aca="false">(AM39-AM$30)/(AM$50-AM$30)*(AI$50-AI$30)+AI$30</f>
        <v>0.0186570717754163</v>
      </c>
      <c r="AJ39" s="39" t="n">
        <f aca="false">(AM39-AM$37)/(AM$50-AM$37)*(AJ$50-AJ$37)+AJ$37</f>
        <v>214.064351626902</v>
      </c>
      <c r="AK39" s="39" t="n">
        <f aca="false">8314.4621*AJ39/(Sheet1!M$21*Sheet1!M$12*9.80665)</f>
        <v>7814.85293100307</v>
      </c>
      <c r="AL39" s="39" t="n">
        <f aca="false">AL37-LN(AG39/AG37)*(AK37+AK39)/2</f>
        <v>64054.4634208646</v>
      </c>
      <c r="AM39" s="39" t="n">
        <f aca="false">Sheet1!M$10*10/Sheet1!M$11*1000*AL39/(Sheet1!M$10*10/Sheet1!M$11*1000-AL39)</f>
        <v>64850.238755384</v>
      </c>
      <c r="AN39" s="41"/>
      <c r="AO39" s="37" t="n">
        <f aca="false">AO38+(AO$41-AO$31)/10</f>
        <v>2.24251530946204</v>
      </c>
      <c r="AP39" s="40" t="n">
        <f aca="false">10^AO39</f>
        <v>174.78948769672</v>
      </c>
      <c r="AQ39" s="39" t="n">
        <f aca="false">AS39-AR39*((Sheet1!R$19-Sheet1!R$20)*COS(RADIANS(38))+Sheet1!R$20)/2</f>
        <v>74.8540814294591</v>
      </c>
      <c r="AR39" s="37" t="n">
        <f aca="false">(AV39-AV$31)/(AV$51-AV$31)*(AR$51-AR$31)+AR$31</f>
        <v>-0.299129269851661</v>
      </c>
      <c r="AS39" s="39" t="n">
        <f aca="false">(AV39-AV$31)/(AV$41-AV$31)*(AS$41-AS$31)+AS$31</f>
        <v>74.23308263181</v>
      </c>
      <c r="AT39" s="39" t="n">
        <f aca="false">8314.4621*AS39/(Sheet1!R$22*Sheet1!R$12*9.80665)</f>
        <v>10093.127627805</v>
      </c>
      <c r="AU39" s="39" t="n">
        <f aca="false">AU38-LN(AP39/AP38)*(AT38+AT39)/2</f>
        <v>118729.175810803</v>
      </c>
      <c r="AV39" s="39" t="n">
        <f aca="false">Sheet1!R$10*10/Sheet1!R$11*1000*AU39/(Sheet1!R$10*10/Sheet1!R$11*1000-AU39)</f>
        <v>119866.800626588</v>
      </c>
    </row>
    <row r="40" customFormat="false" ht="15" hidden="false" customHeight="false" outlineLevel="0" collapsed="false">
      <c r="A40" s="31" t="s">
        <v>104</v>
      </c>
      <c r="B40" s="43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141.484211429243</v>
      </c>
      <c r="T40" s="37" t="n">
        <v>0</v>
      </c>
      <c r="U40" s="39" t="n">
        <f aca="false">(X40-X$34)/(X$44-X$34)*(U$44-U$34)+U$34</f>
        <v>141.484211429243</v>
      </c>
      <c r="V40" s="39" t="n">
        <f aca="false">8314.4621*U40/(Sheet1!H$20*Sheet1!H$12*9.80665)</f>
        <v>45437.8249544652</v>
      </c>
      <c r="W40" s="39" t="n">
        <f aca="false">W39-LN(R40/R39)*(V39+V40)/2</f>
        <v>1384130.54478842</v>
      </c>
      <c r="X40" s="39" t="n">
        <f aca="false">Sheet1!H$10*10/Sheet1!H$11*1000*W40/(Sheet1!H$10*10/Sheet1!H$11*1000-W40)</f>
        <v>1416814.82266099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210.343523740735</v>
      </c>
      <c r="AI40" s="37" t="n">
        <f aca="false">(AM40-AM$30)/(AM$50-AM$30)*(AI$50-AI$30)+AI$30</f>
        <v>-0.0228051338670284</v>
      </c>
      <c r="AJ40" s="39" t="n">
        <f aca="false">(AM40-AM$37)/(AM$50-AM$37)*(AJ$50-AJ$37)+AJ$37</f>
        <v>210.237433277036</v>
      </c>
      <c r="AK40" s="39" t="n">
        <f aca="false">8314.4621*AJ40/(Sheet1!M$21*Sheet1!M$12*9.80665)</f>
        <v>7675.14352186572</v>
      </c>
      <c r="AL40" s="39" t="n">
        <f aca="false">AL39-LN(AG40/AG39)*(AK39+AK40)/2</f>
        <v>65837.81516701</v>
      </c>
      <c r="AM40" s="39" t="n">
        <f aca="false">Sheet1!M$10*10/Sheet1!M$11*1000*AL40/(Sheet1!M$10*10/Sheet1!M$11*1000-AL40)</f>
        <v>66678.8088630797</v>
      </c>
      <c r="AN40" s="41"/>
      <c r="AO40" s="37" t="n">
        <f aca="false">AO39+(AO$41-AO$31)/10</f>
        <v>2.07240097721377</v>
      </c>
      <c r="AP40" s="40" t="n">
        <f aca="false">10^AO40</f>
        <v>118.141091023168</v>
      </c>
      <c r="AQ40" s="39" t="n">
        <f aca="false">AS40-AR40*((Sheet1!R$19-Sheet1!R$20)*COS(RADIANS(38))+Sheet1!R$20)/2</f>
        <v>74.6697544873285</v>
      </c>
      <c r="AR40" s="37" t="n">
        <f aca="false">(AV40-AV$31)/(AV$51-AV$31)*(AR$51-AR$31)+AR$31</f>
        <v>-0.274149278955178</v>
      </c>
      <c r="AS40" s="39" t="n">
        <f aca="false">(AV40-AV$31)/(AV$41-AV$31)*(AS$41-AS$31)+AS$31</f>
        <v>74.1006146880305</v>
      </c>
      <c r="AT40" s="39" t="n">
        <f aca="false">8314.4621*AS40/(Sheet1!R$22*Sheet1!R$12*9.80665)</f>
        <v>10075.1165764548</v>
      </c>
      <c r="AU40" s="39" t="n">
        <f aca="false">AU39-LN(AP40/AP39)*(AT39+AT40)/2</f>
        <v>122679.15392288</v>
      </c>
      <c r="AV40" s="39" t="n">
        <f aca="false">Sheet1!R$10*10/Sheet1!R$11*1000*AU40/(Sheet1!R$10*10/Sheet1!R$11*1000-AU40)</f>
        <v>123894.120015569</v>
      </c>
    </row>
    <row r="41" customFormat="false" ht="15" hidden="false" customHeight="false" outlineLevel="0" collapsed="false">
      <c r="A41" s="31" t="s">
        <v>105</v>
      </c>
      <c r="B41" s="43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133.700206648631</v>
      </c>
      <c r="T41" s="37" t="n">
        <v>0</v>
      </c>
      <c r="U41" s="39" t="n">
        <f aca="false">(X41-X$34)/(X$44-X$34)*(U$44-U$34)+U$34</f>
        <v>133.700206648631</v>
      </c>
      <c r="V41" s="39" t="n">
        <f aca="false">8314.4621*U41/(Sheet1!H$20*Sheet1!H$12*9.80665)</f>
        <v>42937.9824413446</v>
      </c>
      <c r="W41" s="39" t="n">
        <f aca="false">W40-LN(R41/R40)*(V40+V41)/2</f>
        <v>1394305.18562296</v>
      </c>
      <c r="X41" s="39" t="n">
        <f aca="false">Sheet1!H$10*10/Sheet1!H$11*1000*W41/(Sheet1!H$10*10/Sheet1!H$11*1000-W41)</f>
        <v>1427477.50713221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206.77202980821</v>
      </c>
      <c r="AI41" s="37" t="n">
        <f aca="false">(AM41-AM$30)/(AM$50-AM$30)*(AI$50-AI$30)+AI$30</f>
        <v>-0.0635537889650647</v>
      </c>
      <c r="AJ41" s="39" t="n">
        <f aca="false">(AM41-AM$37)/(AM$50-AM$37)*(AJ$50-AJ$37)+AJ$37</f>
        <v>206.476374848215</v>
      </c>
      <c r="AK41" s="39" t="n">
        <f aca="false">8314.4621*AJ41/(Sheet1!M$21*Sheet1!M$12*9.80665)</f>
        <v>7537.8384626031</v>
      </c>
      <c r="AL41" s="39" t="n">
        <f aca="false">AL40-LN(AG41/AG40)*(AK40+AK41)/2</f>
        <v>67589.2744438812</v>
      </c>
      <c r="AM41" s="39" t="n">
        <f aca="false">Sheet1!M$10*10/Sheet1!M$11*1000*AL41/(Sheet1!M$10*10/Sheet1!M$11*1000-AL41)</f>
        <v>68475.9098972994</v>
      </c>
      <c r="AN41" s="41"/>
      <c r="AO41" s="37" t="n">
        <f aca="false">AO4+0.6*(AO61-AO4)</f>
        <v>1.90228664496549</v>
      </c>
      <c r="AP41" s="40" t="n">
        <f aca="false">10^AO41</f>
        <v>79.8521557106569</v>
      </c>
      <c r="AQ41" s="39" t="n">
        <f aca="false">AS41-AR41*((Sheet1!R$19-Sheet1!R$20)*COS(RADIANS(38))+Sheet1!R$20)/2</f>
        <v>74.4856336980736</v>
      </c>
      <c r="AR41" s="37" t="n">
        <f aca="false">(AV41-AV$31)/(AV$51-AV$31)*(AR$51-AR$31)+AR$31</f>
        <v>-0.249198394392556</v>
      </c>
      <c r="AS41" s="39" t="n">
        <f aca="false">Sheet1!R16+0.84*(AS61-Sheet1!R16)+0.03*Sheet1!R18</f>
        <v>73.9682924717516</v>
      </c>
      <c r="AT41" s="39" t="n">
        <f aca="false">8314.4621*AS41/(Sheet1!R$22*Sheet1!R$12*9.80665)</f>
        <v>10057.1253389965</v>
      </c>
      <c r="AU41" s="39" t="n">
        <f aca="false">AU40-LN(AP41/AP40)*(AT40+AT41)/2</f>
        <v>126622.080937632</v>
      </c>
      <c r="AV41" s="39" t="n">
        <f aca="false">Sheet1!R$10*10/Sheet1!R$11*1000*AU41/(Sheet1!R$10*10/Sheet1!R$11*1000-AU41)</f>
        <v>127916.812592094</v>
      </c>
    </row>
    <row r="42" customFormat="false" ht="15" hidden="false" customHeight="false" outlineLevel="0" collapsed="false">
      <c r="A42" s="31" t="s">
        <v>106</v>
      </c>
      <c r="B42" s="43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126.342036824745</v>
      </c>
      <c r="T42" s="37" t="n">
        <v>0</v>
      </c>
      <c r="U42" s="39" t="n">
        <f aca="false">(X42-X$34)/(X$44-X$34)*(U$44-U$34)+U$34</f>
        <v>126.342036824745</v>
      </c>
      <c r="V42" s="39" t="n">
        <f aca="false">8314.4621*U42/(Sheet1!H$20*Sheet1!H$12*9.80665)</f>
        <v>40574.897337604</v>
      </c>
      <c r="W42" s="39" t="n">
        <f aca="false">W41-LN(R42/R41)*(V41+V42)/2</f>
        <v>1403919.96122556</v>
      </c>
      <c r="X42" s="39" t="n">
        <f aca="false">Sheet1!H$10*10/Sheet1!H$11*1000*W42/(Sheet1!H$10*10/Sheet1!H$11*1000-W42)</f>
        <v>1437556.87441538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203.262085338295</v>
      </c>
      <c r="AI42" s="37" t="n">
        <f aca="false">(AM42-AM$30)/(AM$50-AM$30)*(AI$50-AI$30)+AI$30</f>
        <v>-0.103600199823023</v>
      </c>
      <c r="AJ42" s="39" t="n">
        <f aca="false">(AM42-AM$37)/(AM$50-AM$37)*(AJ$50-AJ$37)+AJ$37</f>
        <v>202.780132752415</v>
      </c>
      <c r="AK42" s="39" t="n">
        <f aca="false">8314.4621*AJ42/(Sheet1!M$21*Sheet1!M$12*9.80665)</f>
        <v>7402.89965491968</v>
      </c>
      <c r="AL42" s="39" t="n">
        <f aca="false">AL41-LN(AG42/AG41)*(AK41+AK42)/2</f>
        <v>69309.390487268</v>
      </c>
      <c r="AM42" s="39" t="n">
        <f aca="false">Sheet1!M$10*10/Sheet1!M$11*1000*AL42/(Sheet1!M$10*10/Sheet1!M$11*1000-AL42)</f>
        <v>70242.0404897443</v>
      </c>
      <c r="AN42" s="41"/>
      <c r="AO42" s="37" t="n">
        <f aca="false">AO41+(AO$51-AO$41)/10</f>
        <v>1.73217231271722</v>
      </c>
      <c r="AP42" s="40" t="n">
        <f aca="false">10^AO42</f>
        <v>53.9724723753277</v>
      </c>
      <c r="AQ42" s="39" t="n">
        <f aca="false">AS42-AR42*((Sheet1!R$19-Sheet1!R$20)*COS(RADIANS(38))+Sheet1!R$20)/2</f>
        <v>74.3768615066033</v>
      </c>
      <c r="AR42" s="37" t="n">
        <f aca="false">(AV42-AV$31)/(AV$51-AV$31)*(AR$51-AR$31)+AR$31</f>
        <v>-0.224262734035476</v>
      </c>
      <c r="AS42" s="39" t="n">
        <f aca="false">(AV42-AV$41)/(AV$51-AV$41)*(AS$51-AS$41)+AS$41</f>
        <v>73.9112872474792</v>
      </c>
      <c r="AT42" s="39" t="n">
        <f aca="false">8314.4621*AS42/(Sheet1!R$22*Sheet1!R$12*9.80665)</f>
        <v>10049.3746032916</v>
      </c>
      <c r="AU42" s="39" t="n">
        <f aca="false">AU41-LN(AP42/AP41)*(AT41+AT42)/2</f>
        <v>130559.966351859</v>
      </c>
      <c r="AV42" s="39" t="n">
        <f aca="false">Sheet1!R$10*10/Sheet1!R$11*1000*AU42/(Sheet1!R$10*10/Sheet1!R$11*1000-AU42)</f>
        <v>131936.919167775</v>
      </c>
    </row>
    <row r="43" customFormat="false" ht="15" hidden="false" customHeight="false" outlineLevel="0" collapsed="false">
      <c r="A43" s="31" t="s">
        <v>107</v>
      </c>
      <c r="B43" s="43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119.386664420113</v>
      </c>
      <c r="T43" s="37" t="n">
        <v>0</v>
      </c>
      <c r="U43" s="39" t="n">
        <f aca="false">(X43-X$34)/(X$44-X$34)*(U$44-U$34)+U$34</f>
        <v>119.386664420113</v>
      </c>
      <c r="V43" s="39" t="n">
        <f aca="false">8314.4621*U43/(Sheet1!H$20*Sheet1!H$12*9.80665)</f>
        <v>38341.1711103292</v>
      </c>
      <c r="W43" s="39" t="n">
        <f aca="false">W42-LN(R43/R42)*(V42+V43)/2</f>
        <v>1413005.50936586</v>
      </c>
      <c r="X43" s="39" t="n">
        <f aca="false">Sheet1!H$10*10/Sheet1!H$11*1000*W43/(Sheet1!H$10*10/Sheet1!H$11*1000-W43)</f>
        <v>1447084.48178725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199.81271204912</v>
      </c>
      <c r="AI43" s="37" t="n">
        <f aca="false">(AM43-AM$30)/(AM$50-AM$30)*(AI$50-AI$30)+AI$30</f>
        <v>-0.142955527753582</v>
      </c>
      <c r="AJ43" s="39" t="n">
        <f aca="false">(AM43-AM$37)/(AM$50-AM$37)*(AJ$50-AJ$37)+AJ$37</f>
        <v>199.147676784861</v>
      </c>
      <c r="AK43" s="39" t="n">
        <f aca="false">8314.4621*AJ43/(Sheet1!M$21*Sheet1!M$12*9.80665)</f>
        <v>7270.28948910254</v>
      </c>
      <c r="AL43" s="39" t="n">
        <f aca="false">AL42-LN(AG43/AG42)*(AK42+AK43)/2</f>
        <v>70998.7038167534</v>
      </c>
      <c r="AM43" s="39" t="n">
        <f aca="false">Sheet1!M$10*10/Sheet1!M$11*1000*AL43/(Sheet1!M$10*10/Sheet1!M$11*1000-AL43)</f>
        <v>71977.6928776797</v>
      </c>
      <c r="AN43" s="41"/>
      <c r="AO43" s="37" t="n">
        <f aca="false">AO42+(AO$51-AO$41)/10</f>
        <v>1.56205798046894</v>
      </c>
      <c r="AP43" s="40" t="n">
        <f aca="false">10^AO43</f>
        <v>36.4802646638724</v>
      </c>
      <c r="AQ43" s="39" t="n">
        <f aca="false">AS43-AR43*((Sheet1!R$19-Sheet1!R$20)*COS(RADIANS(38))+Sheet1!R$20)/2</f>
        <v>74.2680450231687</v>
      </c>
      <c r="AR43" s="37" t="n">
        <f aca="false">(AV43-AV$31)/(AV$51-AV$31)*(AR$51-AR$31)+AR$31</f>
        <v>-0.199330864227987</v>
      </c>
      <c r="AS43" s="39" t="n">
        <f aca="false">(AV43-AV$41)/(AV$51-AV$41)*(AS$51-AS$41)+AS$41</f>
        <v>73.85422986198</v>
      </c>
      <c r="AT43" s="39" t="n">
        <f aca="false">8314.4621*AS43/(Sheet1!R$22*Sheet1!R$12*9.80665)</f>
        <v>10041.616775467</v>
      </c>
      <c r="AU43" s="39" t="n">
        <f aca="false">AU42-LN(AP43/AP42)*(AT42+AT43)/2</f>
        <v>134494.814392784</v>
      </c>
      <c r="AV43" s="39" t="n">
        <f aca="false">Sheet1!R$10*10/Sheet1!R$11*1000*AU43/(Sheet1!R$10*10/Sheet1!R$11*1000-AU43)</f>
        <v>135956.480387607</v>
      </c>
    </row>
    <row r="44" customFormat="false" ht="15" hidden="false" customHeight="false" outlineLevel="0" collapsed="false">
      <c r="A44" s="31" t="s">
        <v>108</v>
      </c>
      <c r="B44" s="43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112.812270590295</v>
      </c>
      <c r="T44" s="37" t="n">
        <v>0</v>
      </c>
      <c r="U44" s="39" t="n">
        <f aca="false">Sheet1!H16*1.03</f>
        <v>112.812270590295</v>
      </c>
      <c r="V44" s="39" t="n">
        <f aca="false">8314.4621*U44/(Sheet1!H$20*Sheet1!H$12*9.80665)</f>
        <v>36229.796611342</v>
      </c>
      <c r="W44" s="39" t="n">
        <f aca="false">W43-LN(R44/R43)*(V43+V44)/2</f>
        <v>1421590.80929816</v>
      </c>
      <c r="X44" s="39" t="n">
        <f aca="false">Sheet1!H$10*10/Sheet1!H$11*1000*W44/(Sheet1!H$10*10/Sheet1!H$11*1000-W44)</f>
        <v>1456090.21713462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112.812270590295</v>
      </c>
      <c r="AA44" s="39" t="n">
        <f aca="false">IF(Y44=LOG(Sheet1!H$17*101325),(LOG(Sheet1!H$17*101325)-Q54)/(Q44-Q54)*(X44-X54)+X54,IF(Y44=0,0,X44))</f>
        <v>1456090.21713462</v>
      </c>
      <c r="AB44" s="32" t="n">
        <f aca="false">IF(Y44=0,0,AB34+1)</f>
        <v>3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196.422944312217</v>
      </c>
      <c r="AI44" s="37" t="n">
        <f aca="false">(AM44-AM$30)/(AM$50-AM$30)*(AI$50-AI$30)+AI$30</f>
        <v>-0.181630789708654</v>
      </c>
      <c r="AJ44" s="39" t="n">
        <f aca="false">(AM44-AM$37)/(AM$50-AM$37)*(AJ$50-AJ$37)+AJ$37</f>
        <v>195.577990065748</v>
      </c>
      <c r="AK44" s="39" t="n">
        <f aca="false">8314.4621*AJ44/(Sheet1!M$21*Sheet1!M$12*9.80665)</f>
        <v>7139.97084189386</v>
      </c>
      <c r="AL44" s="39" t="n">
        <f aca="false">AL43-LN(AG44/AG43)*(AK43+AK44)/2</f>
        <v>72657.7463479692</v>
      </c>
      <c r="AM44" s="39" t="n">
        <f aca="false">Sheet1!M$10*10/Sheet1!M$11*1000*AL44/(Sheet1!M$10*10/Sheet1!M$11*1000-AL44)</f>
        <v>73683.3529317592</v>
      </c>
      <c r="AN44" s="41"/>
      <c r="AO44" s="37" t="n">
        <f aca="false">AO43+(AO$51-AO$41)/10</f>
        <v>1.39194364822067</v>
      </c>
      <c r="AP44" s="40" t="n">
        <f aca="false">10^AO44</f>
        <v>24.6571937763319</v>
      </c>
      <c r="AQ44" s="39" t="n">
        <f aca="false">AS44-AR44*((Sheet1!R$19-Sheet1!R$20)*COS(RADIANS(38))+Sheet1!R$20)/2</f>
        <v>74.1592733303548</v>
      </c>
      <c r="AR44" s="37" t="n">
        <f aca="false">(AV44-AV$31)/(AV$51-AV$31)*(AR$51-AR$31)+AR$31</f>
        <v>-0.174402401093672</v>
      </c>
      <c r="AS44" s="39" t="n">
        <f aca="false">(AV44-AV$41)/(AV$51-AV$41)*(AS$51-AS$41)+AS$41</f>
        <v>73.7972101947747</v>
      </c>
      <c r="AT44" s="39" t="n">
        <f aca="false">8314.4621*AS44/(Sheet1!R$22*Sheet1!R$12*9.80665)</f>
        <v>10033.8640760236</v>
      </c>
      <c r="AU44" s="39" t="n">
        <f aca="false">AU43-LN(AP44/AP43)*(AT43+AT44)/2</f>
        <v>138426.624675807</v>
      </c>
      <c r="AV44" s="39" t="n">
        <f aca="false">Sheet1!R$10*10/Sheet1!R$11*1000*AU44/(Sheet1!R$10*10/Sheet1!R$11*1000-AU44)</f>
        <v>139975.492377417</v>
      </c>
    </row>
    <row r="45" customFormat="false" ht="15" hidden="false" customHeight="false" outlineLevel="0" collapsed="false">
      <c r="A45" s="31" t="s">
        <v>109</v>
      </c>
      <c r="B45" s="43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112.604934561232</v>
      </c>
      <c r="T45" s="37" t="n">
        <f aca="false">(X45-X$44)/(X$54-X$44)*(T$54-T$44)+T$44</f>
        <v>0.0998718117043013</v>
      </c>
      <c r="U45" s="39" t="n">
        <f aca="false">(X45-X$44)/(X$54-X$44)*(U$54-U$44)+U$44</f>
        <v>112.812270590295</v>
      </c>
      <c r="V45" s="39" t="n">
        <f aca="false">8314.4621*U45/(Sheet1!H$20*Sheet1!H$12*9.80665)</f>
        <v>36229.796611342</v>
      </c>
      <c r="W45" s="39" t="n">
        <f aca="false">W44-LN(R45/R44)*(V44+V45)/2</f>
        <v>1429933.02825811</v>
      </c>
      <c r="X45" s="39" t="n">
        <f aca="false">Sheet1!H$10*10/Sheet1!H$11*1000*W45/(Sheet1!H$10*10/Sheet1!H$11*1000-W45)</f>
        <v>1464843.49654031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193.091829092963</v>
      </c>
      <c r="AI45" s="37" t="n">
        <f aca="false">(AM45-AM$30)/(AM$50-AM$30)*(AI$50-AI$30)+AI$30</f>
        <v>-0.219636858958265</v>
      </c>
      <c r="AJ45" s="39" t="n">
        <f aca="false">(AM45-AM$37)/(AM$50-AM$37)*(AJ$50-AJ$37)+AJ$37</f>
        <v>192.070068977535</v>
      </c>
      <c r="AK45" s="39" t="n">
        <f aca="false">8314.4621*AJ45/(Sheet1!M$21*Sheet1!M$12*9.80665)</f>
        <v>7011.90707420158</v>
      </c>
      <c r="AL45" s="39" t="n">
        <f aca="false">AL44-LN(AG45/AG44)*(AK44+AK45)/2</f>
        <v>74287.0415043428</v>
      </c>
      <c r="AM45" s="39" t="n">
        <f aca="false">Sheet1!M$10*10/Sheet1!M$11*1000*AL45/(Sheet1!M$10*10/Sheet1!M$11*1000-AL45)</f>
        <v>75359.5001859637</v>
      </c>
      <c r="AN45" s="41"/>
      <c r="AO45" s="37" t="n">
        <f aca="false">AO44+(AO$51-AO$41)/10</f>
        <v>1.22182931597239</v>
      </c>
      <c r="AP45" s="40" t="n">
        <f aca="false">10^AO45</f>
        <v>16.6659208897045</v>
      </c>
      <c r="AQ45" s="39" t="n">
        <f aca="false">AS45-AR45*((Sheet1!R$19-Sheet1!R$20)*COS(RADIANS(38))+Sheet1!R$20)/2</f>
        <v>74.0505161160792</v>
      </c>
      <c r="AR45" s="37" t="n">
        <f aca="false">(AV45-AV$31)/(AV$51-AV$31)*(AR$51-AR$31)+AR$31</f>
        <v>-0.149477358629612</v>
      </c>
      <c r="AS45" s="39" t="n">
        <f aca="false">(AV45-AV$41)/(AV$51-AV$41)*(AS$51-AS$41)+AS$41</f>
        <v>73.7401979047227</v>
      </c>
      <c r="AT45" s="39" t="n">
        <f aca="false">8314.4621*AS45/(Sheet1!R$22*Sheet1!R$12*9.80665)</f>
        <v>10026.1123796175</v>
      </c>
      <c r="AU45" s="39" t="n">
        <f aca="false">AU44-LN(AP45/AP44)*(AT44+AT45)/2</f>
        <v>142355.398401773</v>
      </c>
      <c r="AV45" s="39" t="n">
        <f aca="false">Sheet1!R$10*10/Sheet1!R$11*1000*AU45/(Sheet1!R$10*10/Sheet1!R$11*1000-AU45)</f>
        <v>143993.952880571</v>
      </c>
    </row>
    <row r="46" customFormat="false" ht="15" hidden="false" customHeight="false" outlineLevel="0" collapsed="false">
      <c r="A46" s="31" t="s">
        <v>110</v>
      </c>
      <c r="B46" s="43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112.397539461418</v>
      </c>
      <c r="T46" s="37" t="n">
        <f aca="false">(X46-X$44)/(X$54-X$44)*(T$54-T$44)+T$44</f>
        <v>0.199772077233169</v>
      </c>
      <c r="U46" s="39" t="n">
        <f aca="false">(X46-X$44)/(X$54-X$44)*(U$54-U$44)+U$44</f>
        <v>112.812270590295</v>
      </c>
      <c r="V46" s="39" t="n">
        <f aca="false">8314.4621*U46/(Sheet1!H$20*Sheet1!H$12*9.80665)</f>
        <v>36229.796611342</v>
      </c>
      <c r="W46" s="39" t="n">
        <f aca="false">W45-LN(R46/R45)*(V45+V46)/2</f>
        <v>1438275.24721806</v>
      </c>
      <c r="X46" s="39" t="n">
        <f aca="false">Sheet1!H$10*10/Sheet1!H$11*1000*W46/(Sheet1!H$10*10/Sheet1!H$11*1000-W46)</f>
        <v>1473599.26978558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189.818425887034</v>
      </c>
      <c r="AI46" s="37" t="n">
        <f aca="false">(AM46-AM$30)/(AM$50-AM$30)*(AI$50-AI$30)+AI$30</f>
        <v>-0.256984465815114</v>
      </c>
      <c r="AJ46" s="39" t="n">
        <f aca="false">(AM46-AM$37)/(AM$50-AM$37)*(AJ$50-AJ$37)+AJ$37</f>
        <v>188.622923098023</v>
      </c>
      <c r="AK46" s="39" t="n">
        <f aca="false">8314.4621*AJ46/(Sheet1!M$21*Sheet1!M$12*9.80665)</f>
        <v>6886.06202865634</v>
      </c>
      <c r="AL46" s="39" t="n">
        <f aca="false">AL45-LN(AG46/AG45)*(AK45+AK46)/2</f>
        <v>75887.1043282994</v>
      </c>
      <c r="AM46" s="39" t="n">
        <f aca="false">Sheet1!M$10*10/Sheet1!M$11*1000*AL46/(Sheet1!M$10*10/Sheet1!M$11*1000-AL46)</f>
        <v>77006.6078695572</v>
      </c>
      <c r="AN46" s="41"/>
      <c r="AO46" s="37" t="n">
        <f aca="false">AO45+(AO$51-AO$41)/10</f>
        <v>1.05171498372412</v>
      </c>
      <c r="AP46" s="40" t="n">
        <f aca="false">10^AO46</f>
        <v>11.2645794822159</v>
      </c>
      <c r="AQ46" s="39" t="n">
        <f aca="false">AS46-AR46*((Sheet1!R$19-Sheet1!R$20)*COS(RADIANS(38))+Sheet1!R$20)/2</f>
        <v>73.9417742569854</v>
      </c>
      <c r="AR46" s="37" t="n">
        <f aca="false">(AV46-AV$31)/(AV$51-AV$31)*(AR$51-AR$31)+AR$31</f>
        <v>-0.124555755825116</v>
      </c>
      <c r="AS46" s="39" t="n">
        <f aca="false">(AV46-AV$41)/(AV$51-AV$41)*(AS$51-AS$41)+AS$41</f>
        <v>73.6831938290453</v>
      </c>
      <c r="AT46" s="39" t="n">
        <f aca="false">8314.4621*AS46/(Sheet1!R$22*Sheet1!R$12*9.80665)</f>
        <v>10018.3618000819</v>
      </c>
      <c r="AU46" s="39" t="n">
        <f aca="false">AU45-LN(AP46/AP45)*(AT45+AT46)/2</f>
        <v>146281.135985871</v>
      </c>
      <c r="AV46" s="39" t="n">
        <f aca="false">Sheet1!R$10*10/Sheet1!R$11*1000*AU46/(Sheet1!R$10*10/Sheet1!R$11*1000-AU46)</f>
        <v>148011.858835579</v>
      </c>
    </row>
    <row r="47" customFormat="false" ht="15" hidden="false" customHeight="false" outlineLevel="0" collapsed="false">
      <c r="A47" s="31" t="s">
        <v>111</v>
      </c>
      <c r="B47" s="43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112.190085265604</v>
      </c>
      <c r="T47" s="37" t="n">
        <f aca="false">(X47-X$44)/(X$54-X$44)*(T$54-T$44)+T$44</f>
        <v>0.299700808748228</v>
      </c>
      <c r="U47" s="39" t="n">
        <f aca="false">(X47-X$44)/(X$54-X$44)*(U$54-U$44)+U$44</f>
        <v>112.812270590295</v>
      </c>
      <c r="V47" s="39" t="n">
        <f aca="false">8314.4621*U47/(Sheet1!H$20*Sheet1!H$12*9.80665)</f>
        <v>36229.796611342</v>
      </c>
      <c r="W47" s="39" t="n">
        <f aca="false">W46-LN(R47/R46)*(V46+V47)/2</f>
        <v>1446617.46617801</v>
      </c>
      <c r="X47" s="39" t="n">
        <f aca="false">Sheet1!H$10*10/Sheet1!H$11*1000*W47/(Sheet1!H$10*10/Sheet1!H$11*1000-W47)</f>
        <v>1482357.53793633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186.601994255195</v>
      </c>
      <c r="AI47" s="37" t="n">
        <f aca="false">(AM47-AM$30)/(AM$50-AM$30)*(AI$50-AI$30)+AI$30</f>
        <v>-0.293684216815671</v>
      </c>
      <c r="AJ47" s="39" t="n">
        <f aca="false">(AM47-AM$37)/(AM$50-AM$37)*(AJ$50-AJ$37)+AJ$37</f>
        <v>185.23576264591</v>
      </c>
      <c r="AK47" s="39" t="n">
        <f aca="false">8314.4621*AJ47/(Sheet1!M$21*Sheet1!M$12*9.80665)</f>
        <v>6762.40687269135</v>
      </c>
      <c r="AL47" s="39" t="n">
        <f aca="false">AL46-LN(AG47/AG46)*(AK46+AK47)/2</f>
        <v>77458.4423800212</v>
      </c>
      <c r="AM47" s="39" t="n">
        <f aca="false">Sheet1!M$10*10/Sheet1!M$11*1000*AL47/(Sheet1!M$10*10/Sheet1!M$11*1000-AL47)</f>
        <v>78625.1437530124</v>
      </c>
      <c r="AN47" s="41"/>
      <c r="AO47" s="37" t="n">
        <f aca="false">AO46+(AO$51-AO$41)/10</f>
        <v>0.881600651475845</v>
      </c>
      <c r="AP47" s="40" t="n">
        <f aca="false">10^AO47</f>
        <v>7.61378574582978</v>
      </c>
      <c r="AQ47" s="39" t="n">
        <f aca="false">AS47-AR47*((Sheet1!R$19-Sheet1!R$20)*COS(RADIANS(38))+Sheet1!R$20)/2</f>
        <v>73.8330474888617</v>
      </c>
      <c r="AR47" s="37" t="n">
        <f aca="false">(AV47-AV$31)/(AV$51-AV$31)*(AR$51-AR$31)+AR$31</f>
        <v>-0.0996376115948976</v>
      </c>
      <c r="AS47" s="39" t="n">
        <f aca="false">(AV47-AV$41)/(AV$51-AV$41)*(AS$51-AS$41)+AS$41</f>
        <v>73.6261976642633</v>
      </c>
      <c r="AT47" s="39" t="n">
        <f aca="false">8314.4621*AS47/(Sheet1!R$22*Sheet1!R$12*9.80665)</f>
        <v>10010.6122961539</v>
      </c>
      <c r="AU47" s="39" t="n">
        <f aca="false">AU46-LN(AP47/AP46)*(AT46+AT47)/2</f>
        <v>150203.837857499</v>
      </c>
      <c r="AV47" s="39" t="n">
        <f aca="false">Sheet1!R$10*10/Sheet1!R$11*1000*AU47/(Sheet1!R$10*10/Sheet1!R$11*1000-AU47)</f>
        <v>152029.207192976</v>
      </c>
    </row>
    <row r="48" customFormat="false" ht="15" hidden="false" customHeight="false" outlineLevel="0" collapsed="false">
      <c r="A48" s="31" t="s">
        <v>112</v>
      </c>
      <c r="B48" s="43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111.982571948528</v>
      </c>
      <c r="T48" s="37" t="n">
        <f aca="false">(X48-X$44)/(X$54-X$44)*(T$54-T$44)+T$44</f>
        <v>0.399658018418022</v>
      </c>
      <c r="U48" s="39" t="n">
        <f aca="false">(X48-X$44)/(X$54-X$44)*(U$54-U$44)+U$44</f>
        <v>112.812270590295</v>
      </c>
      <c r="V48" s="39" t="n">
        <f aca="false">8314.4621*U48/(Sheet1!H$20*Sheet1!H$12*9.80665)</f>
        <v>36229.796611342</v>
      </c>
      <c r="W48" s="39" t="n">
        <f aca="false">W47-LN(R48/R47)*(V47+V48)/2</f>
        <v>1454959.68513796</v>
      </c>
      <c r="X48" s="39" t="n">
        <f aca="false">Sheet1!H$10*10/Sheet1!H$11*1000*W48/(Sheet1!H$10*10/Sheet1!H$11*1000-W48)</f>
        <v>1491118.30205908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183.441258013971</v>
      </c>
      <c r="AI48" s="37" t="n">
        <f aca="false">(AM48-AM$30)/(AM$50-AM$30)*(AI$50-AI$30)+AI$30</f>
        <v>-0.329746560160154</v>
      </c>
      <c r="AJ48" s="39" t="n">
        <f aca="false">(AM48-AM$37)/(AM$50-AM$37)*(AJ$50-AJ$37)+AJ$37</f>
        <v>181.907262832247</v>
      </c>
      <c r="AK48" s="39" t="n">
        <f aca="false">8314.4621*AJ48/(Sheet1!M$21*Sheet1!M$12*9.80665)</f>
        <v>6640.89324220145</v>
      </c>
      <c r="AL48" s="39" t="n">
        <f aca="false">AL47-LN(AG48/AG47)*(AK47+AK48)/2</f>
        <v>79001.5543320951</v>
      </c>
      <c r="AM48" s="39" t="n">
        <f aca="false">Sheet1!M$10*10/Sheet1!M$11*1000*AL48/(Sheet1!M$10*10/Sheet1!M$11*1000-AL48)</f>
        <v>80215.5686238415</v>
      </c>
      <c r="AN48" s="41"/>
      <c r="AO48" s="37" t="n">
        <f aca="false">AO47+(AO$51-AO$41)/10</f>
        <v>0.711486319227571</v>
      </c>
      <c r="AP48" s="40" t="n">
        <f aca="false">10^AO48</f>
        <v>5.14619595653094</v>
      </c>
      <c r="AQ48" s="39" t="n">
        <f aca="false">AS48-AR48*((Sheet1!R$19-Sheet1!R$20)*COS(RADIANS(38))+Sheet1!R$20)/2</f>
        <v>73.7243358945037</v>
      </c>
      <c r="AR48" s="37" t="n">
        <f aca="false">(AV48-AV$31)/(AV$51-AV$31)*(AR$51-AR$31)+AR$31</f>
        <v>-0.0747229449131697</v>
      </c>
      <c r="AS48" s="39" t="n">
        <f aca="false">(AV48-AV$41)/(AV$51-AV$41)*(AS$51-AS$41)+AS$41</f>
        <v>73.5692094537817</v>
      </c>
      <c r="AT48" s="39" t="n">
        <f aca="false">8314.4621*AS48/(Sheet1!R$22*Sheet1!R$12*9.80665)</f>
        <v>10002.8638737352</v>
      </c>
      <c r="AU48" s="39" t="n">
        <f aca="false">AU47-LN(AP48/AP47)*(AT47+AT48)/2</f>
        <v>154123.504439132</v>
      </c>
      <c r="AV48" s="39" t="n">
        <f aca="false">Sheet1!R$10*10/Sheet1!R$11*1000*AU48/(Sheet1!R$10*10/Sheet1!R$11*1000-AU48)</f>
        <v>156045.994893705</v>
      </c>
    </row>
    <row r="49" customFormat="false" ht="15" hidden="false" customHeight="false" outlineLevel="0" collapsed="false">
      <c r="A49" s="31" t="s">
        <v>113</v>
      </c>
      <c r="B49" s="43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111.774999484915</v>
      </c>
      <c r="T49" s="37" t="n">
        <f aca="false">(X49-X$44)/(X$54-X$44)*(T$54-T$44)+T$44</f>
        <v>0.499643718418049</v>
      </c>
      <c r="U49" s="39" t="n">
        <f aca="false">(X49-X$44)/(X$54-X$44)*(U$54-U$44)+U$44</f>
        <v>112.812270590295</v>
      </c>
      <c r="V49" s="39" t="n">
        <f aca="false">8314.4621*U49/(Sheet1!H$20*Sheet1!H$12*9.80665)</f>
        <v>36229.796611342</v>
      </c>
      <c r="W49" s="39" t="n">
        <f aca="false">W48-LN(R49/R48)*(V48+V49)/2</f>
        <v>1463301.9040979</v>
      </c>
      <c r="X49" s="39" t="n">
        <f aca="false">Sheet1!H$10*10/Sheet1!H$11*1000*W49/(Sheet1!H$10*10/Sheet1!H$11*1000-W49)</f>
        <v>1499881.56322095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180.335486458005</v>
      </c>
      <c r="AI49" s="37" t="n">
        <f aca="false">(AM49-AM$30)/(AM$50-AM$30)*(AI$50-AI$30)+AI$30</f>
        <v>-0.365181785052658</v>
      </c>
      <c r="AJ49" s="39" t="n">
        <f aca="false">(AM49-AM$37)/(AM$50-AM$37)*(AJ$50-AJ$37)+AJ$37</f>
        <v>178.636645085855</v>
      </c>
      <c r="AK49" s="39" t="n">
        <f aca="false">8314.4621*AJ49/(Sheet1!M$21*Sheet1!M$12*9.80665)</f>
        <v>6521.49271386814</v>
      </c>
      <c r="AL49" s="39" t="n">
        <f aca="false">AL48-LN(AG49/AG48)*(AK48+AK49)/2</f>
        <v>80516.9300166291</v>
      </c>
      <c r="AM49" s="39" t="n">
        <f aca="false">Sheet1!M$10*10/Sheet1!M$11*1000*AL49/(Sheet1!M$10*10/Sheet1!M$11*1000-AL49)</f>
        <v>81778.3362574952</v>
      </c>
      <c r="AN49" s="41"/>
      <c r="AO49" s="37" t="n">
        <f aca="false">AO48+(AO$51-AO$41)/10</f>
        <v>0.541371986979296</v>
      </c>
      <c r="AP49" s="40" t="n">
        <f aca="false">10^AO49</f>
        <v>3.47833964693856</v>
      </c>
      <c r="AQ49" s="39" t="n">
        <f aca="false">AS49-AR49*((Sheet1!R$19-Sheet1!R$20)*COS(RADIANS(38))+Sheet1!R$20)/2</f>
        <v>73.615639556711</v>
      </c>
      <c r="AR49" s="37" t="n">
        <f aca="false">(AV49-AV$31)/(AV$51-AV$31)*(AR$51-AR$31)+AR$31</f>
        <v>-0.0498117747549962</v>
      </c>
      <c r="AS49" s="39" t="n">
        <f aca="false">(AV49-AV$41)/(AV$51-AV$41)*(AS$51-AS$41)+AS$41</f>
        <v>73.5122292410072</v>
      </c>
      <c r="AT49" s="39" t="n">
        <f aca="false">8314.4621*AS49/(Sheet1!R$22*Sheet1!R$12*9.80665)</f>
        <v>9995.11653872767</v>
      </c>
      <c r="AU49" s="39" t="n">
        <f aca="false">AU48-LN(AP49/AP48)*(AT48+AT49)/2</f>
        <v>158040.136155555</v>
      </c>
      <c r="AV49" s="39" t="n">
        <f aca="false">Sheet1!R$10*10/Sheet1!R$11*1000*AU49/(Sheet1!R$10*10/Sheet1!R$11*1000-AU49)</f>
        <v>160062.218878571</v>
      </c>
    </row>
    <row r="50" customFormat="false" ht="15" hidden="false" customHeight="false" outlineLevel="0" collapsed="false">
      <c r="A50" s="31" t="s">
        <v>114</v>
      </c>
      <c r="B50" s="43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111.567367849471</v>
      </c>
      <c r="T50" s="37" t="n">
        <f aca="false">(X50-X$44)/(X$54-X$44)*(T$54-T$44)+T$44</f>
        <v>0.599657920930738</v>
      </c>
      <c r="U50" s="39" t="n">
        <f aca="false">(X50-X$44)/(X$54-X$44)*(U$54-U$44)+U$44</f>
        <v>112.812270590295</v>
      </c>
      <c r="V50" s="39" t="n">
        <f aca="false">8314.4621*U50/(Sheet1!H$20*Sheet1!H$12*9.80665)</f>
        <v>36229.796611342</v>
      </c>
      <c r="W50" s="39" t="n">
        <f aca="false">W49-LN(R50/R49)*(V49+V50)/2</f>
        <v>1471644.12305785</v>
      </c>
      <c r="X50" s="39" t="n">
        <f aca="false">Sheet1!H$10*10/Sheet1!H$11*1000*W50/(Sheet1!H$10*10/Sheet1!H$11*1000-W50)</f>
        <v>1508647.32248967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177.283793775753</v>
      </c>
      <c r="AI50" s="37" t="n">
        <v>-0.4</v>
      </c>
      <c r="AJ50" s="39" t="n">
        <f aca="false">0.83*Sheet1!M16</f>
        <v>175.422976569982</v>
      </c>
      <c r="AK50" s="39" t="n">
        <f aca="false">8314.4621*AJ50/(Sheet1!M$21*Sheet1!M$12*9.80665)</f>
        <v>6404.17123259546</v>
      </c>
      <c r="AL50" s="39" t="n">
        <f aca="false">AL49-LN(AG50/AG49)*(AK49+AK50)/2</f>
        <v>82005.0495711815</v>
      </c>
      <c r="AM50" s="39" t="n">
        <f aca="false">Sheet1!M$10*10/Sheet1!M$11*1000*AL50/(Sheet1!M$10*10/Sheet1!M$11*1000-AL50)</f>
        <v>83313.8924602954</v>
      </c>
      <c r="AN50" s="41"/>
      <c r="AO50" s="37" t="n">
        <f aca="false">AO49+(AO$51-AO$41)/10</f>
        <v>0.371257654731021</v>
      </c>
      <c r="AP50" s="40" t="n">
        <f aca="false">10^AO50</f>
        <v>2.35102720566057</v>
      </c>
      <c r="AQ50" s="39" t="n">
        <f aca="false">AS50-AR50*((Sheet1!R$19-Sheet1!R$20)*COS(RADIANS(38))+Sheet1!R$20)/2</f>
        <v>73.5069585582865</v>
      </c>
      <c r="AR50" s="37" t="n">
        <f aca="false">(AV50-AV$31)/(AV$51-AV$31)*(AR$51-AR$31)+AR$31</f>
        <v>-0.024904120096222</v>
      </c>
      <c r="AS50" s="39" t="n">
        <f aca="false">(AV50-AV$41)/(AV$51-AV$41)*(AS$51-AS$41)+AS$41</f>
        <v>73.4552570693485</v>
      </c>
      <c r="AT50" s="39" t="n">
        <f aca="false">8314.4621*AS50/(Sheet1!R$22*Sheet1!R$12*9.80665)</f>
        <v>9987.37029703329</v>
      </c>
      <c r="AU50" s="39" t="n">
        <f aca="false">AU49-LN(AP50/AP49)*(AT49+AT50)/2</f>
        <v>161953.733433868</v>
      </c>
      <c r="AV50" s="39" t="n">
        <f aca="false">Sheet1!R$10*10/Sheet1!R$11*1000*AU50/(Sheet1!R$10*10/Sheet1!R$11*1000-AU50)</f>
        <v>164077.876088256</v>
      </c>
    </row>
    <row r="51" customFormat="false" ht="15" hidden="false" customHeight="false" outlineLevel="0" collapsed="false">
      <c r="A51" s="31" t="s">
        <v>115</v>
      </c>
      <c r="B51" s="43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111.359677016894</v>
      </c>
      <c r="T51" s="37" t="n">
        <f aca="false">(X51-X$44)/(X$54-X$44)*(T$54-T$44)+T$44</f>
        <v>0.699700638145468</v>
      </c>
      <c r="U51" s="39" t="n">
        <f aca="false">(X51-X$44)/(X$54-X$44)*(U$54-U$44)+U$44</f>
        <v>112.812270590295</v>
      </c>
      <c r="V51" s="39" t="n">
        <f aca="false">8314.4621*U51/(Sheet1!H$20*Sheet1!H$12*9.80665)</f>
        <v>36229.796611342</v>
      </c>
      <c r="W51" s="39" t="n">
        <f aca="false">W50-LN(R51/R50)*(V50+V51)/2</f>
        <v>1479986.3420178</v>
      </c>
      <c r="X51" s="39" t="n">
        <f aca="false">Sheet1!H$10*10/Sheet1!H$11*1000*W51/(Sheet1!H$10*10/Sheet1!H$11*1000-W51)</f>
        <v>1517415.58093358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175.374610332178</v>
      </c>
      <c r="AI51" s="37" t="n">
        <f aca="false">(AM51-AM$50)/(AM$62-AM$50)*(AI$62-AI$50)+AI$50</f>
        <v>-0.347486905497009</v>
      </c>
      <c r="AJ51" s="39" t="n">
        <f aca="false">(AM51-AM$50)/(AM$62-AM$50)*(AJ$62-AJ$50)+AJ$50</f>
        <v>173.758086300855</v>
      </c>
      <c r="AK51" s="39" t="n">
        <f aca="false">8314.4621*AJ51/(Sheet1!M$21*Sheet1!M$12*9.80665)</f>
        <v>6343.39103962732</v>
      </c>
      <c r="AL51" s="39" t="n">
        <f aca="false">AL50-LN(AG51/AG50)*(AK50+AK51)/2</f>
        <v>83472.6669141832</v>
      </c>
      <c r="AM51" s="39" t="n">
        <f aca="false">Sheet1!M$10*10/Sheet1!M$11*1000*AL51/(Sheet1!M$10*10/Sheet1!M$11*1000-AL51)</f>
        <v>84829.1643432702</v>
      </c>
      <c r="AN51" s="41"/>
      <c r="AO51" s="37" t="n">
        <f aca="false">AO4+0.8*(AO61-AO4)</f>
        <v>0.201143322482746</v>
      </c>
      <c r="AP51" s="40" t="n">
        <f aca="false">10^AO51</f>
        <v>1.58907107493686</v>
      </c>
      <c r="AQ51" s="39" t="n">
        <f aca="false">AS51-AR51*((Sheet1!R$19-Sheet1!R$20)*COS(RADIANS(38))+Sheet1!R$20)/2</f>
        <v>73.3982924717517</v>
      </c>
      <c r="AR51" s="37" t="n">
        <v>0</v>
      </c>
      <c r="AS51" s="39" t="n">
        <f aca="false">Sheet1!R16+0.96*(AS61-Sheet1!R16)</f>
        <v>73.3982924717517</v>
      </c>
      <c r="AT51" s="39" t="n">
        <f aca="false">8314.4621*AS51/(Sheet1!R$22*Sheet1!R$12*9.80665)</f>
        <v>9979.62508514895</v>
      </c>
      <c r="AU51" s="39" t="n">
        <f aca="false">AU50-LN(AP51/AP50)*(AT50+AT51)/2</f>
        <v>165864.296689886</v>
      </c>
      <c r="AV51" s="39" t="n">
        <f aca="false">Sheet1!R$10*10/Sheet1!R$11*1000*AU51/(Sheet1!R$10*10/Sheet1!R$11*1000-AU51)</f>
        <v>168092.963449362</v>
      </c>
    </row>
    <row r="52" customFormat="false" ht="15" hidden="false" customHeight="false" outlineLevel="0" collapsed="false">
      <c r="A52" s="31" t="s">
        <v>116</v>
      </c>
      <c r="B52" s="43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111.151926961861</v>
      </c>
      <c r="T52" s="37" t="n">
        <f aca="false">(X52-X$44)/(X$54-X$44)*(T$54-T$44)+T$44</f>
        <v>0.799771882258574</v>
      </c>
      <c r="U52" s="39" t="n">
        <f aca="false">(X52-X$44)/(X$54-X$44)*(U$54-U$44)+U$44</f>
        <v>112.812270590295</v>
      </c>
      <c r="V52" s="39" t="n">
        <f aca="false">8314.4621*U52/(Sheet1!H$20*Sheet1!H$12*9.80665)</f>
        <v>36229.796611342</v>
      </c>
      <c r="W52" s="39" t="n">
        <f aca="false">W51-LN(R52/R51)*(V51+V52)/2</f>
        <v>1488328.56097775</v>
      </c>
      <c r="X52" s="39" t="n">
        <f aca="false">Sheet1!H$10*10/Sheet1!H$11*1000*W52/(Sheet1!H$10*10/Sheet1!H$11*1000-W52)</f>
        <v>1526186.33962163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173.482475664674</v>
      </c>
      <c r="AI52" s="37" t="n">
        <f aca="false">(AM52-AM$50)/(AM$62-AM$50)*(AI$62-AI$50)+AI$50</f>
        <v>-0.29544274780261</v>
      </c>
      <c r="AJ52" s="39" t="n">
        <f aca="false">(AM52-AM$50)/(AM$62-AM$50)*(AJ$62-AJ$50)+AJ$50</f>
        <v>172.108063293596</v>
      </c>
      <c r="AK52" s="39" t="n">
        <f aca="false">8314.4621*AJ52/(Sheet1!M$21*Sheet1!M$12*9.80665)</f>
        <v>6283.15360618029</v>
      </c>
      <c r="AL52" s="39" t="n">
        <f aca="false">AL51-LN(AG52/AG51)*(AK51+AK52)/2</f>
        <v>84926.3515880562</v>
      </c>
      <c r="AM52" s="39" t="n">
        <f aca="false">Sheet1!M$10*10/Sheet1!M$11*1000*AL52/(Sheet1!M$10*10/Sheet1!M$11*1000-AL52)</f>
        <v>86330.9049962218</v>
      </c>
      <c r="AN52" s="41"/>
      <c r="AO52" s="37" t="n">
        <f aca="false">AO51+(AO$61-AO$51)/10</f>
        <v>0.0310289902344717</v>
      </c>
      <c r="AP52" s="40" t="n">
        <f aca="false">10^AO52</f>
        <v>1.07406110619272</v>
      </c>
      <c r="AQ52" s="39" t="n">
        <f aca="false">AS52-AR52*((Sheet1!R$19-Sheet1!R$20)*COS(RADIANS(38))+Sheet1!R$20)/2</f>
        <v>73.346065081901</v>
      </c>
      <c r="AR52" s="37" t="n">
        <f aca="false">(AV52-AV$51)/(AV$116-AV$51)*(AR$116-AR$51)+AR$51</f>
        <v>0.0251574416108812</v>
      </c>
      <c r="AS52" s="39" t="n">
        <f aca="false">(AV52-AV$51)/(AV$61-AV$51)*(AS$61-AS$51)+AS$51</f>
        <v>73.3982924717517</v>
      </c>
      <c r="AT52" s="39" t="n">
        <f aca="false">8314.4621*AS52/(Sheet1!R$22*Sheet1!R$12*9.80665)</f>
        <v>9979.62508514895</v>
      </c>
      <c r="AU52" s="39" t="n">
        <f aca="false">AU51-LN(AP52/AP51)*(AT51+AT52)/2</f>
        <v>169773.343035601</v>
      </c>
      <c r="AV52" s="39" t="n">
        <f aca="false">Sheet1!R$10*10/Sheet1!R$11*1000*AU52/(Sheet1!R$10*10/Sheet1!R$11*1000-AU52)</f>
        <v>172109.036601587</v>
      </c>
    </row>
    <row r="53" customFormat="false" ht="15" hidden="false" customHeight="false" outlineLevel="0" collapsed="false">
      <c r="A53" s="31" t="s">
        <v>117</v>
      </c>
      <c r="B53" s="43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110.94411765904</v>
      </c>
      <c r="T53" s="37" t="n">
        <f aca="false">(X53-X$44)/(X$54-X$44)*(T$54-T$44)+T$44</f>
        <v>0.899871665473334</v>
      </c>
      <c r="U53" s="39" t="n">
        <f aca="false">(X53-X$44)/(X$54-X$44)*(U$54-U$44)+U$44</f>
        <v>112.812270590295</v>
      </c>
      <c r="V53" s="39" t="n">
        <f aca="false">8314.4621*U53/(Sheet1!H$20*Sheet1!H$12*9.80665)</f>
        <v>36229.796611342</v>
      </c>
      <c r="W53" s="39" t="n">
        <f aca="false">W52-LN(R53/R52)*(V52+V53)/2</f>
        <v>1496670.7799377</v>
      </c>
      <c r="X53" s="39" t="n">
        <f aca="false">Sheet1!H$10*10/Sheet1!H$11*1000*W53/(Sheet1!H$10*10/Sheet1!H$11*1000-W53)</f>
        <v>1534959.59962338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171.60725742932</v>
      </c>
      <c r="AI53" s="37" t="n">
        <f aca="false">(AM53-AM$50)/(AM$62-AM$50)*(AI$62-AI$50)+AI$50</f>
        <v>-0.243863888331172</v>
      </c>
      <c r="AJ53" s="39" t="n">
        <f aca="false">(AM53-AM$50)/(AM$62-AM$50)*(AJ$62-AJ$50)+AJ$50</f>
        <v>170.472792131138</v>
      </c>
      <c r="AK53" s="39" t="n">
        <f aca="false">8314.4621*AJ53/(Sheet1!M$21*Sheet1!M$12*9.80665)</f>
        <v>6223.45471872056</v>
      </c>
      <c r="AL53" s="39" t="n">
        <f aca="false">AL52-LN(AG53/AG52)*(AK52+AK53)/2</f>
        <v>86366.2280826978</v>
      </c>
      <c r="AM53" s="39" t="n">
        <f aca="false">Sheet1!M$10*10/Sheet1!M$11*1000*AL53/(Sheet1!M$10*10/Sheet1!M$11*1000-AL53)</f>
        <v>87819.2194109917</v>
      </c>
      <c r="AN53" s="41"/>
      <c r="AO53" s="37" t="n">
        <f aca="false">AO52+(AO$61-AO$51)/10</f>
        <v>-0.139085342013803</v>
      </c>
      <c r="AP53" s="40" t="n">
        <f aca="false">10^AO53</f>
        <v>0.725963286369539</v>
      </c>
      <c r="AQ53" s="39" t="n">
        <f aca="false">AS53-AR53*((Sheet1!R$19-Sheet1!R$20)*COS(RADIANS(38))+Sheet1!R$20)/2</f>
        <v>73.2938045931477</v>
      </c>
      <c r="AR53" s="37" t="n">
        <f aca="false">(AV53-AV$51)/(AV$116-AV$51)*(AR$116-AR$51)+AR$51</f>
        <v>0.0503308266512849</v>
      </c>
      <c r="AS53" s="39" t="n">
        <f aca="false">(AV53-AV$51)/(AV$61-AV$51)*(AS$61-AS$51)+AS$51</f>
        <v>73.3982924717517</v>
      </c>
      <c r="AT53" s="39" t="n">
        <f aca="false">8314.4621*AS53/(Sheet1!R$22*Sheet1!R$12*9.80665)</f>
        <v>9979.62508514895</v>
      </c>
      <c r="AU53" s="39" t="n">
        <f aca="false">AU52-LN(AP53/AP52)*(AT52+AT53)/2</f>
        <v>173682.389381316</v>
      </c>
      <c r="AV53" s="39" t="n">
        <f aca="false">Sheet1!R$10*10/Sheet1!R$11*1000*AU53/(Sheet1!R$10*10/Sheet1!R$11*1000-AU53)</f>
        <v>176127.654924353</v>
      </c>
    </row>
    <row r="54" customFormat="false" ht="15" hidden="false" customHeight="false" outlineLevel="0" collapsed="false">
      <c r="A54" s="31" t="s">
        <v>118</v>
      </c>
      <c r="B54" s="43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110.736249083081</v>
      </c>
      <c r="T54" s="37" t="n">
        <v>1</v>
      </c>
      <c r="U54" s="39" t="n">
        <f aca="false">Sheet1!H16*1.03</f>
        <v>112.812270590295</v>
      </c>
      <c r="V54" s="39" t="n">
        <f aca="false">8314.4621*U54/(Sheet1!H$20*Sheet1!H$12*9.80665)</f>
        <v>36229.796611342</v>
      </c>
      <c r="W54" s="39" t="n">
        <f aca="false">W53-LN(R54/R53)*(V53+V54)/2</f>
        <v>1505012.99889765</v>
      </c>
      <c r="X54" s="39" t="n">
        <f aca="false">Sheet1!H$10*10/Sheet1!H$11*1000*W54/(Sheet1!H$10*10/Sheet1!H$11*1000-W54)</f>
        <v>1543735.362009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110.736249083081</v>
      </c>
      <c r="AA54" s="39" t="n">
        <f aca="false">IF(Y54=LOG(Sheet1!H$17*101325),(LOG(Sheet1!H$17*101325)-Q64)/(Q54-Q64)*(X54-X64)+X64,IF(Y54=0,0,X54))</f>
        <v>1543735.362009</v>
      </c>
      <c r="AB54" s="32" t="n">
        <f aca="false">IF(Y54=0,0,AB44+1)</f>
        <v>4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169.748823939287</v>
      </c>
      <c r="AI54" s="37" t="n">
        <f aca="false">(AM54-AM$50)/(AM$62-AM$50)*(AI$62-AI$50)+AI$50</f>
        <v>-0.19274670655263</v>
      </c>
      <c r="AJ54" s="39" t="n">
        <f aca="false">(AM54-AM$50)/(AM$62-AM$50)*(AJ$62-AJ$50)+AJ$50</f>
        <v>168.852157969515</v>
      </c>
      <c r="AK54" s="39" t="n">
        <f aca="false">8314.4621*AJ54/(Sheet1!M$21*Sheet1!M$12*9.80665)</f>
        <v>6164.29018463635</v>
      </c>
      <c r="AL54" s="39" t="n">
        <f aca="false">AL53-LN(AG54/AG53)*(AK53+AK54)/2</f>
        <v>87792.4199202119</v>
      </c>
      <c r="AM54" s="39" t="n">
        <f aca="false">Sheet1!M$10*10/Sheet1!M$11*1000*AL54/(Sheet1!M$10*10/Sheet1!M$11*1000-AL54)</f>
        <v>89294.2120584261</v>
      </c>
      <c r="AN54" s="41"/>
      <c r="AO54" s="37" t="n">
        <f aca="false">AO53+(AO$61-AO$51)/10</f>
        <v>-0.309199674262077</v>
      </c>
      <c r="AP54" s="40" t="n">
        <f aca="false">10^AO54</f>
        <v>0.490682224798758</v>
      </c>
      <c r="AQ54" s="39" t="n">
        <f aca="false">AS54-AR54*((Sheet1!R$19-Sheet1!R$20)*COS(RADIANS(38))+Sheet1!R$20)/2</f>
        <v>73.2415109740175</v>
      </c>
      <c r="AR54" s="37" t="n">
        <f aca="false">(AV54-AV$51)/(AV$116-AV$51)*(AR$116-AR$51)+AR$51</f>
        <v>0.0755201702821442</v>
      </c>
      <c r="AS54" s="39" t="n">
        <f aca="false">(AV54-AV$51)/(AV$61-AV$51)*(AS$61-AS$51)+AS$51</f>
        <v>73.3982924717517</v>
      </c>
      <c r="AT54" s="39" t="n">
        <f aca="false">8314.4621*AS54/(Sheet1!R$22*Sheet1!R$12*9.80665)</f>
        <v>9979.62508514895</v>
      </c>
      <c r="AU54" s="39" t="n">
        <f aca="false">AU53-LN(AP54/AP53)*(AT53+AT54)/2</f>
        <v>177591.435727032</v>
      </c>
      <c r="AV54" s="39" t="n">
        <f aca="false">Sheet1!R$10*10/Sheet1!R$11*1000*AU54/(Sheet1!R$10*10/Sheet1!R$11*1000-AU54)</f>
        <v>180148.820837914</v>
      </c>
    </row>
    <row r="55" customFormat="false" ht="15" hidden="false" customHeight="false" outlineLevel="0" collapsed="false">
      <c r="A55" s="31" t="s">
        <v>119</v>
      </c>
      <c r="B55" s="43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113.359344516126</v>
      </c>
      <c r="T55" s="37" t="n">
        <f aca="false">(X55-X$54)/(X$100-X$54)*(T$100-T$54)+T$54</f>
        <v>1.01441191059139</v>
      </c>
      <c r="U55" s="39" t="n">
        <f aca="false">(X55-X$54)/(X$77-X$54)*(U$77-U$54)+U$54</f>
        <v>115.465285459687</v>
      </c>
      <c r="V55" s="39" t="n">
        <f aca="false">8314.4621*U55/(Sheet1!H$20*Sheet1!H$12*9.80665)</f>
        <v>37081.8155328833</v>
      </c>
      <c r="W55" s="39" t="n">
        <f aca="false">W54-LN(R55/R54)*(V54+V55)/2</f>
        <v>1513453.31016098</v>
      </c>
      <c r="X55" s="39" t="n">
        <f aca="false">Sheet1!H$10*10/Sheet1!H$11*1000*W55/(Sheet1!H$10*10/Sheet1!H$11*1000-W55)</f>
        <v>1552616.86232254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167.907381580036</v>
      </c>
      <c r="AI55" s="37" t="n">
        <f aca="false">(AM55-AM$50)/(AM$62-AM$50)*(AI$62-AI$50)+AI$50</f>
        <v>-0.142087549195</v>
      </c>
      <c r="AJ55" s="39" t="n">
        <f aca="false">(AM55-AM$50)/(AM$62-AM$50)*(AJ$62-AJ$50)+AJ$50</f>
        <v>167.246384189366</v>
      </c>
      <c r="AK55" s="39" t="n">
        <f aca="false">8314.4621*AJ55/(Sheet1!M$21*Sheet1!M$12*9.80665)</f>
        <v>6105.66815889058</v>
      </c>
      <c r="AL55" s="39" t="n">
        <f aca="false">AL54-LN(AG55/AG54)*(AK54+AK55)/2</f>
        <v>89205.0510788851</v>
      </c>
      <c r="AM55" s="39" t="n">
        <f aca="false">Sheet1!M$10*10/Sheet1!M$11*1000*AL55/(Sheet1!M$10*10/Sheet1!M$11*1000-AL55)</f>
        <v>90755.9883541429</v>
      </c>
      <c r="AN55" s="41"/>
      <c r="AO55" s="37" t="n">
        <f aca="false">AO54+(AO$61-AO$51)/10</f>
        <v>-0.479314006510352</v>
      </c>
      <c r="AP55" s="40" t="n">
        <f aca="false">10^AO55</f>
        <v>0.331654575725886</v>
      </c>
      <c r="AQ55" s="39" t="n">
        <f aca="false">AS55-AR55*((Sheet1!R$19-Sheet1!R$20)*COS(RADIANS(38))+Sheet1!R$20)/2</f>
        <v>73.1891841929959</v>
      </c>
      <c r="AR55" s="37" t="n">
        <f aca="false">(AV55-AV$51)/(AV$116-AV$51)*(AR$116-AR$51)+AR$51</f>
        <v>0.100725487683619</v>
      </c>
      <c r="AS55" s="39" t="n">
        <f aca="false">(AV55-AV$51)/(AV$61-AV$51)*(AS$61-AS$51)+AS$51</f>
        <v>73.3982924717517</v>
      </c>
      <c r="AT55" s="39" t="n">
        <f aca="false">8314.4621*AS55/(Sheet1!R$22*Sheet1!R$12*9.80665)</f>
        <v>9979.62508514895</v>
      </c>
      <c r="AU55" s="39" t="n">
        <f aca="false">AU54-LN(AP55/AP54)*(AT54+AT55)/2</f>
        <v>181500.482072747</v>
      </c>
      <c r="AV55" s="39" t="n">
        <f aca="false">Sheet1!R$10*10/Sheet1!R$11*1000*AU55/(Sheet1!R$10*10/Sheet1!R$11*1000-AU55)</f>
        <v>184172.536765594</v>
      </c>
    </row>
    <row r="56" customFormat="false" ht="15" hidden="false" customHeight="false" outlineLevel="0" collapsed="false">
      <c r="A56" s="31" t="s">
        <v>120</v>
      </c>
      <c r="B56" s="43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116.044920831312</v>
      </c>
      <c r="T56" s="37" t="n">
        <f aca="false">(X56-X$54)/(X$100-X$54)*(T$100-T$54)+T$54</f>
        <v>1.02916710601937</v>
      </c>
      <c r="U56" s="39" t="n">
        <f aca="false">(X56-X$54)/(X$77-X$54)*(U$77-U$54)+U$54</f>
        <v>118.181493877925</v>
      </c>
      <c r="V56" s="39" t="n">
        <f aca="false">8314.4621*U56/(Sheet1!H$20*Sheet1!H$12*9.80665)</f>
        <v>37954.129138769</v>
      </c>
      <c r="W56" s="39" t="n">
        <f aca="false">W55-LN(R56/R55)*(V55+V56)/2</f>
        <v>1522092.14254296</v>
      </c>
      <c r="X56" s="39" t="n">
        <f aca="false">Sheet1!H$10*10/Sheet1!H$11*1000*W56/(Sheet1!H$10*10/Sheet1!H$11*1000-W56)</f>
        <v>1561709.91573755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166.082187757568</v>
      </c>
      <c r="AI56" s="37" t="n">
        <f aca="false">(AM56-AM$50)/(AM$62-AM$50)*(AI$62-AI$50)+AI$50</f>
        <v>-0.0918828225590004</v>
      </c>
      <c r="AJ56" s="39" t="n">
        <f aca="false">(AM56-AM$50)/(AM$62-AM$50)*(AJ$62-AJ$50)+AJ$50</f>
        <v>165.654744914737</v>
      </c>
      <c r="AK56" s="39" t="n">
        <f aca="false">8314.4621*AJ56/(Sheet1!M$21*Sheet1!M$12*9.80665)</f>
        <v>6047.56214191062</v>
      </c>
      <c r="AL56" s="39" t="n">
        <f aca="false">AL55-LN(AG56/AG55)*(AK55+AK56)/2</f>
        <v>90604.2434250025</v>
      </c>
      <c r="AM56" s="39" t="n">
        <f aca="false">Sheet1!M$10*10/Sheet1!M$11*1000*AL56/(Sheet1!M$10*10/Sheet1!M$11*1000-AL56)</f>
        <v>92204.6519947827</v>
      </c>
      <c r="AN56" s="41"/>
      <c r="AO56" s="37" t="n">
        <f aca="false">AO55+(AO$61-AO$51)/10</f>
        <v>-0.649428338758627</v>
      </c>
      <c r="AP56" s="40" t="n">
        <f aca="false">10^AO56</f>
        <v>0.224166990448919</v>
      </c>
      <c r="AQ56" s="39" t="n">
        <f aca="false">AS56-AR56*((Sheet1!R$19-Sheet1!R$20)*COS(RADIANS(38))+Sheet1!R$20)/2</f>
        <v>73.1368242185286</v>
      </c>
      <c r="AR56" s="37" t="n">
        <f aca="false">(AV56-AV$51)/(AV$116-AV$51)*(AR$116-AR$51)+AR$51</f>
        <v>0.125946794055131</v>
      </c>
      <c r="AS56" s="39" t="n">
        <f aca="false">(AV56-AV$51)/(AV$61-AV$51)*(AS$61-AS$51)+AS$51</f>
        <v>73.3982924717517</v>
      </c>
      <c r="AT56" s="39" t="n">
        <f aca="false">8314.4621*AS56/(Sheet1!R$22*Sheet1!R$12*9.80665)</f>
        <v>9979.62508514895</v>
      </c>
      <c r="AU56" s="39" t="n">
        <f aca="false">AU55-LN(AP56/AP55)*(AT55+AT56)/2</f>
        <v>185409.528418462</v>
      </c>
      <c r="AV56" s="39" t="n">
        <f aca="false">Sheet1!R$10*10/Sheet1!R$11*1000*AU56/(Sheet1!R$10*10/Sheet1!R$11*1000-AU56)</f>
        <v>188198.805133792</v>
      </c>
    </row>
    <row r="57" customFormat="false" ht="15" hidden="false" customHeight="false" outlineLevel="0" collapsed="false">
      <c r="A57" s="31" t="s">
        <v>121</v>
      </c>
      <c r="B57" s="43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118.794504197694</v>
      </c>
      <c r="T57" s="37" t="n">
        <f aca="false">(X57-X$54)/(X$100-X$54)*(T$100-T$54)+T$54</f>
        <v>1.04427397141995</v>
      </c>
      <c r="U57" s="39" t="n">
        <f aca="false">(X57-X$54)/(X$77-X$54)*(U$77-U$54)+U$54</f>
        <v>120.962439421785</v>
      </c>
      <c r="V57" s="39" t="n">
        <f aca="false">8314.4621*U57/(Sheet1!H$20*Sheet1!H$12*9.80665)</f>
        <v>38847.2331505406</v>
      </c>
      <c r="W57" s="39" t="n">
        <f aca="false">W56-LN(R57/R56)*(V56+V57)/2</f>
        <v>1530934.22613941</v>
      </c>
      <c r="X57" s="39" t="n">
        <f aca="false">Sheet1!H$10*10/Sheet1!H$11*1000*W57/(Sheet1!H$10*10/Sheet1!H$11*1000-W57)</f>
        <v>1571019.68968744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164.273386640185</v>
      </c>
      <c r="AI57" s="37" t="n">
        <f aca="false">(AM57-AM$50)/(AM$62-AM$50)*(AI$62-AI$50)+AI$50</f>
        <v>-0.0421290023886385</v>
      </c>
      <c r="AJ57" s="39" t="n">
        <f aca="false">(AM57-AM$50)/(AM$62-AM$50)*(AJ$62-AJ$50)+AJ$50</f>
        <v>164.077400708918</v>
      </c>
      <c r="AK57" s="39" t="n">
        <f aca="false">8314.4621*AJ57/(Sheet1!M$21*Sheet1!M$12*9.80665)</f>
        <v>5989.97799538478</v>
      </c>
      <c r="AL57" s="39" t="n">
        <f aca="false">AL56-LN(AG57/AG56)*(AK56+AK57)/2</f>
        <v>91990.1164488252</v>
      </c>
      <c r="AM57" s="39" t="n">
        <f aca="false">Sheet1!M$10*10/Sheet1!M$11*1000*AL57/(Sheet1!M$10*10/Sheet1!M$11*1000-AL57)</f>
        <v>93640.3046731911</v>
      </c>
      <c r="AN57" s="41"/>
      <c r="AO57" s="37" t="n">
        <f aca="false">AO56+(AO$61-AO$51)/10</f>
        <v>-0.819542671006901</v>
      </c>
      <c r="AP57" s="40" t="n">
        <f aca="false">10^AO57</f>
        <v>0.151515592682364</v>
      </c>
      <c r="AQ57" s="39" t="n">
        <f aca="false">AS57-AR57*((Sheet1!R$19-Sheet1!R$20)*COS(RADIANS(38))+Sheet1!R$20)/2</f>
        <v>73.0844310190213</v>
      </c>
      <c r="AR57" s="37" t="n">
        <f aca="false">(AV57-AV$51)/(AV$116-AV$51)*(AR$116-AR$51)+AR$51</f>
        <v>0.151184104615389</v>
      </c>
      <c r="AS57" s="39" t="n">
        <f aca="false">(AV57-AV$51)/(AV$61-AV$51)*(AS$61-AS$51)+AS$51</f>
        <v>73.3982924717517</v>
      </c>
      <c r="AT57" s="39" t="n">
        <f aca="false">8314.4621*AS57/(Sheet1!R$22*Sheet1!R$12*9.80665)</f>
        <v>9979.62508514895</v>
      </c>
      <c r="AU57" s="39" t="n">
        <f aca="false">AU56-LN(AP57/AP56)*(AT56+AT57)/2</f>
        <v>189318.574764178</v>
      </c>
      <c r="AV57" s="39" t="n">
        <f aca="false">Sheet1!R$10*10/Sheet1!R$11*1000*AU57/(Sheet1!R$10*10/Sheet1!R$11*1000-AU57)</f>
        <v>192227.628371986</v>
      </c>
    </row>
    <row r="58" customFormat="false" ht="15" hidden="false" customHeight="false" outlineLevel="0" collapsed="false">
      <c r="A58" s="31" t="s">
        <v>122</v>
      </c>
      <c r="B58" s="43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121.609659878114</v>
      </c>
      <c r="T58" s="37" t="n">
        <f aca="false">(X58-X$54)/(X$100-X$54)*(T$100-T$54)+T$54</f>
        <v>1.0597411067197</v>
      </c>
      <c r="U58" s="39" t="n">
        <f aca="false">(X58-X$54)/(X$77-X$54)*(U$77-U$54)+U$54</f>
        <v>123.809705207743</v>
      </c>
      <c r="V58" s="39" t="n">
        <f aca="false">8314.4621*U58/(Sheet1!H$20*Sheet1!H$12*9.80665)</f>
        <v>39761.6359879617</v>
      </c>
      <c r="W58" s="39" t="n">
        <f aca="false">W57-LN(R58/R57)*(V57+V58)/2</f>
        <v>1539984.40665218</v>
      </c>
      <c r="X58" s="39" t="n">
        <f aca="false">Sheet1!H$10*10/Sheet1!H$11*1000*W58/(Sheet1!H$10*10/Sheet1!H$11*1000-W58)</f>
        <v>1580551.48397266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162.480849273751</v>
      </c>
      <c r="AI58" s="37" t="n">
        <f aca="false">(AM58-AM$50)/(AM$62-AM$50)*(AI$62-AI$50)+AI$50</f>
        <v>0.00717745835515099</v>
      </c>
      <c r="AJ58" s="39" t="n">
        <f aca="false">(AM58-AM$50)/(AM$62-AM$50)*(AJ$62-AJ$50)+AJ$50</f>
        <v>162.514239118754</v>
      </c>
      <c r="AK58" s="39" t="n">
        <f aca="false">8314.4621*AJ58/(Sheet1!M$21*Sheet1!M$12*9.80665)</f>
        <v>5932.9116139827</v>
      </c>
      <c r="AL58" s="39" t="n">
        <f aca="false">AL57-LN(AG58/AG57)*(AK57+AK58)/2</f>
        <v>93362.7898428223</v>
      </c>
      <c r="AM58" s="39" t="n">
        <f aca="false">Sheet1!M$10*10/Sheet1!M$11*1000*AL58/(Sheet1!M$10*10/Sheet1!M$11*1000-AL58)</f>
        <v>95063.0487396222</v>
      </c>
      <c r="AN58" s="41"/>
      <c r="AO58" s="37" t="n">
        <f aca="false">AO57+(AO$61-AO$51)/10</f>
        <v>-0.989657003255176</v>
      </c>
      <c r="AP58" s="40" t="n">
        <f aca="false">10^AO58</f>
        <v>0.102410148701708</v>
      </c>
      <c r="AQ58" s="39" t="n">
        <f aca="false">AS58-AR58*((Sheet1!R$19-Sheet1!R$20)*COS(RADIANS(38))+Sheet1!R$20)/2</f>
        <v>73.0320045628394</v>
      </c>
      <c r="AR58" s="37" t="n">
        <f aca="false">(AV58-AV$51)/(AV$116-AV$51)*(AR$116-AR$51)+AR$51</f>
        <v>0.176437434602424</v>
      </c>
      <c r="AS58" s="39" t="n">
        <f aca="false">(AV58-AV$51)/(AV$61-AV$51)*(AS$61-AS$51)+AS$51</f>
        <v>73.3982924717517</v>
      </c>
      <c r="AT58" s="39" t="n">
        <f aca="false">8314.4621*AS58/(Sheet1!R$22*Sheet1!R$12*9.80665)</f>
        <v>9979.62508514895</v>
      </c>
      <c r="AU58" s="39" t="n">
        <f aca="false">AU57-LN(AP58/AP57)*(AT57+AT58)/2</f>
        <v>193227.621109893</v>
      </c>
      <c r="AV58" s="39" t="n">
        <f aca="false">Sheet1!R$10*10/Sheet1!R$11*1000*AU58/(Sheet1!R$10*10/Sheet1!R$11*1000-AU58)</f>
        <v>196259.008912738</v>
      </c>
    </row>
    <row r="59" customFormat="false" ht="15" hidden="false" customHeight="false" outlineLevel="0" collapsed="false">
      <c r="A59" s="31" t="s">
        <v>123</v>
      </c>
      <c r="B59" s="43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124.491993317385</v>
      </c>
      <c r="T59" s="37" t="n">
        <f aca="false">(X59-X$54)/(X$100-X$54)*(T$100-T$54)+T$54</f>
        <v>1.07557733261451</v>
      </c>
      <c r="U59" s="39" t="n">
        <f aca="false">(X59-X$54)/(X$77-X$54)*(U$77-U$54)+U$54</f>
        <v>126.724914992564</v>
      </c>
      <c r="V59" s="39" t="n">
        <f aca="false">8314.4621*U59/(Sheet1!H$20*Sheet1!H$12*9.80665)</f>
        <v>40697.8591224736</v>
      </c>
      <c r="W59" s="39" t="n">
        <f aca="false">W58-LN(R59/R58)*(V58+V59)/2</f>
        <v>1549247.64835374</v>
      </c>
      <c r="X59" s="39" t="n">
        <f aca="false">Sheet1!H$10*10/Sheet1!H$11*1000*W59/(Sheet1!H$10*10/Sheet1!H$11*1000-W59)</f>
        <v>1590310.73444526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160.704447377989</v>
      </c>
      <c r="AI59" s="37" t="n">
        <f aca="false">(AM59-AM$50)/(AM$62-AM$50)*(AI$62-AI$50)+AI$50</f>
        <v>0.0560400881762885</v>
      </c>
      <c r="AJ59" s="39" t="n">
        <f aca="false">(AM59-AM$50)/(AM$62-AM$50)*(AJ$62-AJ$50)+AJ$50</f>
        <v>160.965148278718</v>
      </c>
      <c r="AK59" s="39" t="n">
        <f aca="false">8314.4621*AJ59/(Sheet1!M$21*Sheet1!M$12*9.80665)</f>
        <v>5876.35891382669</v>
      </c>
      <c r="AL59" s="39" t="n">
        <f aca="false">AL58-LN(AG59/AG58)*(AK58+AK59)/2</f>
        <v>94722.3823566457</v>
      </c>
      <c r="AM59" s="39" t="n">
        <f aca="false">Sheet1!M$10*10/Sheet1!M$11*1000*AL59/(Sheet1!M$10*10/Sheet1!M$11*1000-AL59)</f>
        <v>96472.9860094961</v>
      </c>
      <c r="AN59" s="41"/>
      <c r="AO59" s="37" t="n">
        <f aca="false">AO58+(AO$61-AO$51)/10</f>
        <v>-1.15977133550345</v>
      </c>
      <c r="AP59" s="40" t="n">
        <f aca="false">10^AO59</f>
        <v>0.0692195329301356</v>
      </c>
      <c r="AQ59" s="39" t="n">
        <f aca="false">AS59-AR59*((Sheet1!R$19-Sheet1!R$20)*COS(RADIANS(38))+Sheet1!R$20)/2</f>
        <v>72.9795448183084</v>
      </c>
      <c r="AR59" s="37" t="n">
        <f aca="false">(AV59-AV$51)/(AV$116-AV$51)*(AR$116-AR$51)+AR$51</f>
        <v>0.201706799273614</v>
      </c>
      <c r="AS59" s="39" t="n">
        <f aca="false">(AV59-AV$51)/(AV$61-AV$51)*(AS$61-AS$51)+AS$51</f>
        <v>73.3982924717517</v>
      </c>
      <c r="AT59" s="39" t="n">
        <f aca="false">8314.4621*AS59/(Sheet1!R$22*Sheet1!R$12*9.80665)</f>
        <v>9979.62508514895</v>
      </c>
      <c r="AU59" s="39" t="n">
        <f aca="false">AU58-LN(AP59/AP58)*(AT58+AT59)/2</f>
        <v>197136.667455609</v>
      </c>
      <c r="AV59" s="39" t="n">
        <f aca="false">Sheet1!R$10*10/Sheet1!R$11*1000*AU59/(Sheet1!R$10*10/Sheet1!R$11*1000-AU59)</f>
        <v>200292.9491917</v>
      </c>
    </row>
    <row r="60" customFormat="false" ht="15" hidden="false" customHeight="false" outlineLevel="0" collapsed="false">
      <c r="A60" s="31" t="s">
        <v>124</v>
      </c>
      <c r="B60" s="43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127.443151264849</v>
      </c>
      <c r="T60" s="37" t="n">
        <f aca="false">(X60-X$54)/(X$100-X$54)*(T$100-T$54)+T$54</f>
        <v>1.09179169673719</v>
      </c>
      <c r="U60" s="39" t="n">
        <f aca="false">(X60-X$54)/(X$77-X$54)*(U$77-U$54)+U$54</f>
        <v>129.709734308672</v>
      </c>
      <c r="V60" s="39" t="n">
        <f aca="false">8314.4621*U60/(Sheet1!H$20*Sheet1!H$12*9.80665)</f>
        <v>41656.4374418211</v>
      </c>
      <c r="W60" s="39" t="n">
        <f aca="false">W59-LN(R60/R59)*(V59+V60)/2</f>
        <v>1558729.03713439</v>
      </c>
      <c r="X60" s="39" t="n">
        <f aca="false">Sheet1!H$10*10/Sheet1!H$11*1000*W60/(Sheet1!H$10*10/Sheet1!H$11*1000-W60)</f>
        <v>1600303.01680964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158.9440533496</v>
      </c>
      <c r="AI60" s="37" t="n">
        <f aca="false">(AM60-AM$50)/(AM$62-AM$50)*(AI$62-AI$50)+AI$50</f>
        <v>0.104462396957676</v>
      </c>
      <c r="AJ60" s="39" t="n">
        <f aca="false">(AM60-AM$50)/(AM$62-AM$50)*(AJ$62-AJ$50)+AJ$50</f>
        <v>159.430016913637</v>
      </c>
      <c r="AK60" s="39" t="n">
        <f aca="false">8314.4621*AJ60/(Sheet1!M$21*Sheet1!M$12*9.80665)</f>
        <v>5820.31583259109</v>
      </c>
      <c r="AL60" s="39" t="n">
        <f aca="false">AL59-LN(AG60/AG59)*(AK59+AK60)/2</f>
        <v>96069.0118020808</v>
      </c>
      <c r="AM60" s="39" t="n">
        <f aca="false">Sheet1!M$10*10/Sheet1!M$11*1000*AL60/(Sheet1!M$10*10/Sheet1!M$11*1000-AL60)</f>
        <v>97870.2177609211</v>
      </c>
      <c r="AN60" s="41"/>
      <c r="AO60" s="37" t="n">
        <f aca="false">AO59+(AO$61-AO$51)/10</f>
        <v>-1.32988566775173</v>
      </c>
      <c r="AP60" s="40" t="n">
        <f aca="false">10^AO60</f>
        <v>0.0467858293324226</v>
      </c>
      <c r="AQ60" s="39" t="n">
        <f aca="false">AS60-AR60*((Sheet1!R$19-Sheet1!R$20)*COS(RADIANS(38))+Sheet1!R$20)/2</f>
        <v>72.9270517537134</v>
      </c>
      <c r="AR60" s="37" t="n">
        <f aca="false">(AV60-AV$51)/(AV$116-AV$51)*(AR$116-AR$51)+AR$51</f>
        <v>0.226992213905726</v>
      </c>
      <c r="AS60" s="39" t="n">
        <f aca="false">(AV60-AV$51)/(AV$61-AV$51)*(AS$61-AS$51)+AS$51</f>
        <v>73.3982924717517</v>
      </c>
      <c r="AT60" s="39" t="n">
        <f aca="false">8314.4621*AS60/(Sheet1!R$22*Sheet1!R$12*9.80665)</f>
        <v>9979.62508514895</v>
      </c>
      <c r="AU60" s="39" t="n">
        <f aca="false">AU59-LN(AP60/AP59)*(AT59+AT60)/2</f>
        <v>201045.713801324</v>
      </c>
      <c r="AV60" s="39" t="n">
        <f aca="false">Sheet1!R$10*10/Sheet1!R$11*1000*AU60/(Sheet1!R$10*10/Sheet1!R$11*1000-AU60)</f>
        <v>204329.451647617</v>
      </c>
    </row>
    <row r="61" customFormat="false" ht="15" hidden="false" customHeight="false" outlineLevel="0" collapsed="false">
      <c r="A61" s="31" t="s">
        <v>125</v>
      </c>
      <c r="B61" s="43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130.464822932614</v>
      </c>
      <c r="T61" s="37" t="n">
        <f aca="false">(X61-X$54)/(X$100-X$54)*(T$100-T$54)+T$54</f>
        <v>1.10839348002108</v>
      </c>
      <c r="U61" s="39" t="n">
        <f aca="false">(X61-X$54)/(X$77-X$54)*(U$77-U$54)+U$54</f>
        <v>132.765871635593</v>
      </c>
      <c r="V61" s="39" t="n">
        <f aca="false">8314.4621*U61/(Sheet1!H$20*Sheet1!H$12*9.80665)</f>
        <v>42637.9196262617</v>
      </c>
      <c r="W61" s="39" t="n">
        <f aca="false">W60-LN(R61/R60)*(V60+V61)/2</f>
        <v>1568433.78363481</v>
      </c>
      <c r="X61" s="39" t="n">
        <f aca="false">Sheet1!H$10*10/Sheet1!H$11*1000*W61/(Sheet1!H$10*10/Sheet1!H$11*1000-W61)</f>
        <v>1610534.05054428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157.199540265219</v>
      </c>
      <c r="AI61" s="37" t="n">
        <f aca="false">(AM61-AM$50)/(AM$62-AM$50)*(AI$62-AI$50)+AI$50</f>
        <v>0.152447875879828</v>
      </c>
      <c r="AJ61" s="39" t="n">
        <f aca="false">(AM61-AM$50)/(AM$62-AM$50)*(AJ$62-AJ$50)+AJ$50</f>
        <v>157.90873434127</v>
      </c>
      <c r="AK61" s="39" t="n">
        <f aca="false">8314.4621*AJ61/(Sheet1!M$21*Sheet1!M$12*9.80665)</f>
        <v>5764.77832959636</v>
      </c>
      <c r="AL61" s="39" t="n">
        <f aca="false">AL60-LN(AG61/AG60)*(AK60+AK61)/2</f>
        <v>97402.79505802</v>
      </c>
      <c r="AM61" s="39" t="n">
        <f aca="false">Sheet1!M$10*10/Sheet1!M$11*1000*AL61/(Sheet1!M$10*10/Sheet1!M$11*1000-AL61)</f>
        <v>99254.8447323458</v>
      </c>
      <c r="AN61" s="41"/>
      <c r="AO61" s="37" t="n">
        <f aca="false">IF(Sheet1!R24="Y",-0.5,-1.5)</f>
        <v>-1.5</v>
      </c>
      <c r="AP61" s="40" t="n">
        <f aca="false">10^AO61</f>
        <v>0.0316227766016838</v>
      </c>
      <c r="AQ61" s="39" t="n">
        <f aca="false">AS61-AR61*((Sheet1!R$19-Sheet1!R$20)*COS(RADIANS(38))+Sheet1!R$20)/2</f>
        <v>72.8744853697449</v>
      </c>
      <c r="AR61" s="37" t="n">
        <f aca="false">(AV61-AV$51)/(AV$116-AV$51)*(AR$116-AR$51)+AR$51</f>
        <v>0.252312945789188</v>
      </c>
      <c r="AS61" s="39" t="n">
        <f aca="false">MIN(IF(Sheet1!R15&gt;1,36*LOG(Sheet1!R15)+30,30),(Sheet1!R15*(1-MAX(Sheet1!R14,0.56707137))/(4*0.000000056704))^0.25)</f>
        <v>73.3982924717517</v>
      </c>
      <c r="AT61" s="39" t="n">
        <f aca="false">8314.4621*AS61/(Sheet1!R$22*Sheet1!R$12*9.80665)</f>
        <v>9979.62508514895</v>
      </c>
      <c r="AU61" s="39" t="n">
        <f aca="false">AU60-LN(AP61/AP60)*(AT60+AT61)/2</f>
        <v>204954.760147039</v>
      </c>
      <c r="AV61" s="39" t="n">
        <f aca="false">Sheet1!R$10*10/Sheet1!R$11*1000*AU61/(Sheet1!R$10*10/Sheet1!R$11*1000-AU61)</f>
        <v>208368.518722333</v>
      </c>
    </row>
    <row r="62" customFormat="false" ht="15" hidden="false" customHeight="false" outlineLevel="0" collapsed="false">
      <c r="A62" s="31" t="s">
        <v>126</v>
      </c>
      <c r="B62" s="43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133.558741190775</v>
      </c>
      <c r="T62" s="37" t="n">
        <f aca="false">(X62-X$54)/(X$100-X$54)*(T$100-T$54)+T$54</f>
        <v>1.1253922032669</v>
      </c>
      <c r="U62" s="39" t="n">
        <f aca="false">(X62-X$54)/(X$77-X$54)*(U$77-U$54)+U$54</f>
        <v>135.895079608807</v>
      </c>
      <c r="V62" s="39" t="n">
        <f aca="false">8314.4621*U62/(Sheet1!H$20*Sheet1!H$12*9.80665)</f>
        <v>43642.8685367918</v>
      </c>
      <c r="W62" s="39" t="n">
        <f aca="false">W61-LN(R62/R61)*(V61+V62)/2</f>
        <v>1578367.22646661</v>
      </c>
      <c r="X62" s="39" t="n">
        <f aca="false">Sheet1!H$10*10/Sheet1!H$11*1000*W62/(Sheet1!H$10*10/Sheet1!H$11*1000-W62)</f>
        <v>1621009.70294859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155.470799423364</v>
      </c>
      <c r="AI62" s="37" t="n">
        <v>0.2</v>
      </c>
      <c r="AJ62" s="39" t="n">
        <f aca="false">0.74*Sheet1!M16</f>
        <v>156.401208026249</v>
      </c>
      <c r="AK62" s="39" t="n">
        <f aca="false">8314.4621*AJ62/(Sheet1!M$21*Sheet1!M$12*9.80665)</f>
        <v>5709.74302665137</v>
      </c>
      <c r="AL62" s="39" t="n">
        <f aca="false">AL61-LN(AG62/AG61)*(AK61+AK62)/2</f>
        <v>98723.8481492269</v>
      </c>
      <c r="AM62" s="39" t="n">
        <f aca="false">Sheet1!M$10*10/Sheet1!M$11*1000*AL62/(Sheet1!M$10*10/Sheet1!M$11*1000-AL62)</f>
        <v>100626.96719698</v>
      </c>
      <c r="AN62" s="41"/>
      <c r="AO62" s="37" t="n">
        <f aca="false">AO61+(AO$69-AO$61)/8</f>
        <v>-1.625</v>
      </c>
      <c r="AP62" s="40" t="n">
        <f aca="false">10^AO62</f>
        <v>0.0237137370566166</v>
      </c>
      <c r="AQ62" s="39" t="n">
        <f aca="false">AS62-AR62*((Sheet1!R$19-Sheet1!R$20)*COS(RADIANS(38))+Sheet1!R$20)/2</f>
        <v>72.8359076542488</v>
      </c>
      <c r="AR62" s="37" t="n">
        <f aca="false">(AV62-AV$51)/(AV$116-AV$51)*(AR$116-AR$51)+AR$51</f>
        <v>0.270895467869071</v>
      </c>
      <c r="AS62" s="39" t="n">
        <f aca="false">(AV62-AV$61)/(AV$69-AV$61)*(AS$69-AS$61)+AS$61</f>
        <v>73.3982924717517</v>
      </c>
      <c r="AT62" s="39" t="n">
        <f aca="false">8314.4621*AS62/(Sheet1!R$22*Sheet1!R$12*9.80665)</f>
        <v>9979.62508514895</v>
      </c>
      <c r="AU62" s="39" t="n">
        <f aca="false">AU61-LN(AP62/AP61)*(AT61+AT62)/2</f>
        <v>207827.127141381</v>
      </c>
      <c r="AV62" s="39" t="n">
        <f aca="false">Sheet1!R$10*10/Sheet1!R$11*1000*AU62/(Sheet1!R$10*10/Sheet1!R$11*1000-AU62)</f>
        <v>211338.060959514</v>
      </c>
    </row>
    <row r="63" customFormat="false" ht="15" hidden="false" customHeight="false" outlineLevel="0" collapsed="false">
      <c r="A63" s="31" t="s">
        <v>127</v>
      </c>
      <c r="B63" s="43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136.726683801023</v>
      </c>
      <c r="T63" s="37" t="n">
        <f aca="false">(X63-X$54)/(X$100-X$54)*(T$100-T$54)+T$54</f>
        <v>1.14279763392047</v>
      </c>
      <c r="U63" s="39" t="n">
        <f aca="false">(X63-X$54)/(X$77-X$54)*(U$77-U$54)+U$54</f>
        <v>139.099156267435</v>
      </c>
      <c r="V63" s="39" t="n">
        <f aca="false">8314.4621*U63/(Sheet1!H$20*Sheet1!H$12*9.80665)</f>
        <v>44671.861615841</v>
      </c>
      <c r="W63" s="39" t="n">
        <f aca="false">W62-LN(R63/R62)*(V62+V63)/2</f>
        <v>1588534.83552368</v>
      </c>
      <c r="X63" s="39" t="n">
        <f aca="false">Sheet1!H$10*10/Sheet1!H$11*1000*W63/(Sheet1!H$10*10/Sheet1!H$11*1000-W63)</f>
        <v>1631735.99331978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157.052123164822</v>
      </c>
      <c r="AI63" s="37" t="n">
        <f aca="false">(AM63-AM$62)/(AM$95-AM$62)*(AI$95-AI$62)+AI$62</f>
        <v>0.2</v>
      </c>
      <c r="AJ63" s="39" t="n">
        <f aca="false">(AM63-AM$62)/(AM$70-AM$62)*(AJ$70-AJ$62)+AJ$62</f>
        <v>157.982531767708</v>
      </c>
      <c r="AK63" s="39" t="n">
        <f aca="false">8314.4621*AJ63/(Sheet1!M$21*Sheet1!M$12*9.80665)</f>
        <v>5767.47245418979</v>
      </c>
      <c r="AL63" s="39" t="n">
        <f aca="false">AL62-LN(AG63/AG62)*(AK62+AK63)/2</f>
        <v>100045.21141299</v>
      </c>
      <c r="AM63" s="39" t="n">
        <f aca="false">Sheet1!M$10*10/Sheet1!M$11*1000*AL63/(Sheet1!M$10*10/Sheet1!M$11*1000-AL63)</f>
        <v>102000.120145579</v>
      </c>
      <c r="AN63" s="41"/>
      <c r="AO63" s="37" t="n">
        <f aca="false">AO62+(AO$69-AO$61)/8</f>
        <v>-1.75</v>
      </c>
      <c r="AP63" s="40" t="n">
        <f aca="false">10^AO63</f>
        <v>0.0177827941003892</v>
      </c>
      <c r="AQ63" s="39" t="n">
        <f aca="false">AS63-AR63*((Sheet1!R$19-Sheet1!R$20)*COS(RADIANS(38))+Sheet1!R$20)/2</f>
        <v>72.7972719337243</v>
      </c>
      <c r="AR63" s="37" t="n">
        <f aca="false">(AV63-AV$51)/(AV$116-AV$51)*(AR$116-AR$51)+AR$51</f>
        <v>0.28950593042462</v>
      </c>
      <c r="AS63" s="39" t="n">
        <f aca="false">(AV63-AV$61)/(AV$69-AV$61)*(AS$69-AS$61)+AS$61</f>
        <v>73.3982924717517</v>
      </c>
      <c r="AT63" s="39" t="n">
        <f aca="false">8314.4621*AS63/(Sheet1!R$22*Sheet1!R$12*9.80665)</f>
        <v>9979.62508514895</v>
      </c>
      <c r="AU63" s="39" t="n">
        <f aca="false">AU62-LN(AP63/AP62)*(AT62+AT63)/2</f>
        <v>210699.494135723</v>
      </c>
      <c r="AV63" s="39" t="n">
        <f aca="false">Sheet1!R$10*10/Sheet1!R$11*1000*AU63/(Sheet1!R$10*10/Sheet1!R$11*1000-AU63)</f>
        <v>214308.990204859</v>
      </c>
    </row>
    <row r="64" customFormat="false" ht="15" hidden="false" customHeight="false" outlineLevel="0" collapsed="false">
      <c r="A64" s="31" t="s">
        <v>128</v>
      </c>
      <c r="B64" s="43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139.970474690095</v>
      </c>
      <c r="T64" s="37" t="n">
        <f aca="false">(X64-X$54)/(X$100-X$54)*(T$100-T$54)+T$54</f>
        <v>1.16061979306936</v>
      </c>
      <c r="U64" s="39" t="n">
        <f aca="false">(X64-X$54)/(X$77-X$54)*(U$77-U$54)+U$54</f>
        <v>142.379946342204</v>
      </c>
      <c r="V64" s="39" t="n">
        <f aca="false">8314.4621*U64/(Sheet1!H$20*Sheet1!H$12*9.80665)</f>
        <v>45725.491300905</v>
      </c>
      <c r="W64" s="39" t="n">
        <f aca="false">W63-LN(R64/R63)*(V63+V64)/2</f>
        <v>1598942.21538729</v>
      </c>
      <c r="X64" s="39" t="n">
        <f aca="false">Sheet1!H$10*10/Sheet1!H$11*1000*W64/(Sheet1!H$10*10/Sheet1!H$11*1000-W64)</f>
        <v>1642719.09726461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158.650268097221</v>
      </c>
      <c r="AI64" s="37" t="n">
        <f aca="false">(AM64-AM$62)/(AM$95-AM$62)*(AI$95-AI$62)+AI$62</f>
        <v>0.2</v>
      </c>
      <c r="AJ64" s="39" t="n">
        <f aca="false">(AM64-AM$62)/(AM$70-AM$62)*(AJ$70-AJ$62)+AJ$62</f>
        <v>159.580676700107</v>
      </c>
      <c r="AK64" s="39" t="n">
        <f aca="false">8314.4621*AJ64/(Sheet1!M$21*Sheet1!M$12*9.80665)</f>
        <v>5825.81597338953</v>
      </c>
      <c r="AL64" s="39" t="n">
        <f aca="false">AL63-LN(AG64/AG63)*(AK63+AK64)/2</f>
        <v>101379.938068596</v>
      </c>
      <c r="AM64" s="39" t="n">
        <f aca="false">Sheet1!M$10*10/Sheet1!M$11*1000*AL64/(Sheet1!M$10*10/Sheet1!M$11*1000-AL64)</f>
        <v>103387.879997952</v>
      </c>
      <c r="AN64" s="41"/>
      <c r="AO64" s="37" t="n">
        <f aca="false">AO63+(AO$69-AO$61)/8</f>
        <v>-1.875</v>
      </c>
      <c r="AP64" s="40" t="n">
        <f aca="false">10^AO64</f>
        <v>0.0133352143216332</v>
      </c>
      <c r="AQ64" s="39" t="n">
        <f aca="false">AS64-AR64*((Sheet1!R$19-Sheet1!R$20)*COS(RADIANS(38))+Sheet1!R$20)/2</f>
        <v>72.7586181630852</v>
      </c>
      <c r="AR64" s="37" t="n">
        <f aca="false">(AV64-AV$51)/(AV$116-AV$51)*(AR$116-AR$51)+AR$51</f>
        <v>0.308125087550297</v>
      </c>
      <c r="AS64" s="39" t="n">
        <f aca="false">(AV64-AV$61)/(AV$69-AV$61)*(AS$69-AS$61)+AS$61</f>
        <v>73.3982924717517</v>
      </c>
      <c r="AT64" s="39" t="n">
        <f aca="false">8314.4621*AS64/(Sheet1!R$22*Sheet1!R$12*9.80665)</f>
        <v>9979.62508514895</v>
      </c>
      <c r="AU64" s="39" t="n">
        <f aca="false">AU63-LN(AP64/AP63)*(AT63+AT64)/2</f>
        <v>213571.861130064</v>
      </c>
      <c r="AV64" s="39" t="n">
        <f aca="false">Sheet1!R$10*10/Sheet1!R$11*1000*AU64/(Sheet1!R$10*10/Sheet1!R$11*1000-AU64)</f>
        <v>217281.307430358</v>
      </c>
    </row>
    <row r="65" customFormat="false" ht="15" hidden="false" customHeight="false" outlineLevel="0" collapsed="false">
      <c r="A65" s="31" t="s">
        <v>129</v>
      </c>
      <c r="B65" s="43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143.291985264563</v>
      </c>
      <c r="T65" s="37" t="n">
        <f aca="false">(X65-X$54)/(X$100-X$54)*(T$100-T$54)+T$54</f>
        <v>1.17886896266668</v>
      </c>
      <c r="U65" s="39" t="n">
        <f aca="false">(X65-X$54)/(X$77-X$54)*(U$77-U$54)+U$54</f>
        <v>145.739342585245</v>
      </c>
      <c r="V65" s="39" t="n">
        <f aca="false">8314.4621*U65/(Sheet1!H$20*Sheet1!H$12*9.80665)</f>
        <v>46804.3654516106</v>
      </c>
      <c r="W65" s="39" t="n">
        <f aca="false">W64-LN(R65/R64)*(V64+V65)/2</f>
        <v>1609595.10882805</v>
      </c>
      <c r="X65" s="39" t="n">
        <f aca="false">Sheet1!H$10*10/Sheet1!H$11*1000*W65/(Sheet1!H$10*10/Sheet1!H$11*1000-W65)</f>
        <v>1653965.35115111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160.265430241909</v>
      </c>
      <c r="AI65" s="37" t="n">
        <f aca="false">(AM65-AM$62)/(AM$95-AM$62)*(AI$95-AI$62)+AI$62</f>
        <v>0.2</v>
      </c>
      <c r="AJ65" s="39" t="n">
        <f aca="false">(AM65-AM$62)/(AM$70-AM$62)*(AJ$70-AJ$62)+AJ$62</f>
        <v>161.195838844794</v>
      </c>
      <c r="AK65" s="39" t="n">
        <f aca="false">8314.4621*AJ65/(Sheet1!M$21*Sheet1!M$12*9.80665)</f>
        <v>5884.78074040716</v>
      </c>
      <c r="AL65" s="39" t="n">
        <f aca="false">AL64-LN(AG65/AG64)*(AK64+AK65)/2</f>
        <v>102728.170339759</v>
      </c>
      <c r="AM65" s="39" t="n">
        <f aca="false">Sheet1!M$10*10/Sheet1!M$11*1000*AL65/(Sheet1!M$10*10/Sheet1!M$11*1000-AL65)</f>
        <v>104790.417047114</v>
      </c>
      <c r="AN65" s="41"/>
      <c r="AO65" s="37" t="n">
        <f aca="false">AO64+(AO$69-AO$61)/8</f>
        <v>-2</v>
      </c>
      <c r="AP65" s="40" t="n">
        <f aca="false">10^AO65</f>
        <v>0.01</v>
      </c>
      <c r="AQ65" s="39" t="n">
        <f aca="false">AS65-AR65*((Sheet1!R$19-Sheet1!R$20)*COS(RADIANS(38))+Sheet1!R$20)/2</f>
        <v>72.7199463296794</v>
      </c>
      <c r="AR65" s="37" t="n">
        <f aca="false">(AV65-AV$51)/(AV$116-AV$51)*(AR$116-AR$51)+AR$51</f>
        <v>0.326752945340514</v>
      </c>
      <c r="AS65" s="39" t="n">
        <f aca="false">(AV65-AV$61)/(AV$69-AV$61)*(AS$69-AS$61)+AS$61</f>
        <v>73.3982924717517</v>
      </c>
      <c r="AT65" s="39" t="n">
        <f aca="false">8314.4621*AS65/(Sheet1!R$22*Sheet1!R$12*9.80665)</f>
        <v>9979.62508514895</v>
      </c>
      <c r="AU65" s="39" t="n">
        <f aca="false">AU64-LN(AP65/AP64)*(AT64+AT65)/2</f>
        <v>216444.228124406</v>
      </c>
      <c r="AV65" s="39" t="n">
        <f aca="false">Sheet1!R$10*10/Sheet1!R$11*1000*AU65/(Sheet1!R$10*10/Sheet1!R$11*1000-AU65)</f>
        <v>220255.013608907</v>
      </c>
    </row>
    <row r="66" customFormat="false" ht="15" hidden="false" customHeight="false" outlineLevel="0" collapsed="false">
      <c r="A66" s="31" t="s">
        <v>130</v>
      </c>
      <c r="B66" s="43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146.693135768574</v>
      </c>
      <c r="T66" s="37" t="n">
        <f aca="false">(X66-X$54)/(X$100-X$54)*(T$100-T$54)+T$54</f>
        <v>1.19755569299078</v>
      </c>
      <c r="U66" s="39" t="n">
        <f aca="false">(X66-X$54)/(X$77-X$54)*(U$77-U$54)+U$54</f>
        <v>149.179287143309</v>
      </c>
      <c r="V66" s="39" t="n">
        <f aca="false">8314.4621*U66/(Sheet1!H$20*Sheet1!H$12*9.80665)</f>
        <v>47909.1077907268</v>
      </c>
      <c r="W66" s="39" t="n">
        <f aca="false">W65-LN(R66/R65)*(V65+V66)/2</f>
        <v>1620499.40040772</v>
      </c>
      <c r="X66" s="39" t="n">
        <f aca="false">Sheet1!H$10*10/Sheet1!H$11*1000*W66/(Sheet1!H$10*10/Sheet1!H$11*1000-W66)</f>
        <v>1665481.25670575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161.897567050735</v>
      </c>
      <c r="AI66" s="37" t="n">
        <f aca="false">(AM66-AM$62)/(AM$95-AM$62)*(AI$95-AI$62)+AI$62</f>
        <v>0.2</v>
      </c>
      <c r="AJ66" s="39" t="n">
        <f aca="false">(AM66-AM$62)/(AM$70-AM$62)*(AJ$70-AJ$62)+AJ$62</f>
        <v>162.82797565362</v>
      </c>
      <c r="AK66" s="39" t="n">
        <f aca="false">8314.4621*AJ66/(Sheet1!M$21*Sheet1!M$12*9.80665)</f>
        <v>5944.36520193618</v>
      </c>
      <c r="AL66" s="39" t="n">
        <f aca="false">AL65-LN(AG66/AG65)*(AK65+AK66)/2</f>
        <v>104090.051095244</v>
      </c>
      <c r="AM66" s="39" t="n">
        <f aca="false">Sheet1!M$10*10/Sheet1!M$11*1000*AL66/(Sheet1!M$10*10/Sheet1!M$11*1000-AL66)</f>
        <v>106207.902825478</v>
      </c>
      <c r="AN66" s="41"/>
      <c r="AO66" s="37" t="n">
        <f aca="false">AO65+(AO$69-AO$61)/8</f>
        <v>-2.125</v>
      </c>
      <c r="AP66" s="40" t="n">
        <f aca="false">10^AO66</f>
        <v>0.00749894209332456</v>
      </c>
      <c r="AQ66" s="39" t="n">
        <f aca="false">AS66-AR66*((Sheet1!R$19-Sheet1!R$20)*COS(RADIANS(38))+Sheet1!R$20)/2</f>
        <v>72.6812564208429</v>
      </c>
      <c r="AR66" s="37" t="n">
        <f aca="false">(AV66-AV$51)/(AV$116-AV$51)*(AR$116-AR$51)+AR$51</f>
        <v>0.345389509895381</v>
      </c>
      <c r="AS66" s="39" t="n">
        <f aca="false">(AV66-AV$61)/(AV$69-AV$61)*(AS$69-AS$61)+AS$61</f>
        <v>73.3982924717517</v>
      </c>
      <c r="AT66" s="39" t="n">
        <f aca="false">8314.4621*AS66/(Sheet1!R$22*Sheet1!R$12*9.80665)</f>
        <v>9979.62508514895</v>
      </c>
      <c r="AU66" s="39" t="n">
        <f aca="false">AU65-LN(AP66/AP65)*(AT65+AT66)/2</f>
        <v>219316.595118748</v>
      </c>
      <c r="AV66" s="39" t="n">
        <f aca="false">Sheet1!R$10*10/Sheet1!R$11*1000*AU66/(Sheet1!R$10*10/Sheet1!R$11*1000-AU66)</f>
        <v>223230.109714313</v>
      </c>
    </row>
    <row r="67" customFormat="false" ht="15" hidden="false" customHeight="false" outlineLevel="0" collapsed="false">
      <c r="A67" s="31" t="s">
        <v>131</v>
      </c>
      <c r="B67" s="43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150.175896686169</v>
      </c>
      <c r="T67" s="37" t="n">
        <f aca="false">(X67-X$54)/(X$100-X$54)*(T$100-T$54)+T$54</f>
        <v>1.21669081034994</v>
      </c>
      <c r="U67" s="39" t="n">
        <f aca="false">(X67-X$54)/(X$77-X$54)*(U$77-U$54)+U$54</f>
        <v>152.701772976085</v>
      </c>
      <c r="V67" s="39" t="n">
        <f aca="false">8314.4621*U67/(Sheet1!H$20*Sheet1!H$12*9.80665)</f>
        <v>49040.358359659</v>
      </c>
      <c r="W67" s="39" t="n">
        <f aca="false">W66-LN(R67/R66)*(V66+V67)/2</f>
        <v>1631661.1201843</v>
      </c>
      <c r="X67" s="39" t="n">
        <f aca="false">Sheet1!H$10*10/Sheet1!H$11*1000*W67/(Sheet1!H$10*10/Sheet1!H$11*1000-W67)</f>
        <v>1677273.48576152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163.547298702477</v>
      </c>
      <c r="AI67" s="37" t="n">
        <f aca="false">(AM67-AM$62)/(AM$95-AM$62)*(AI$95-AI$62)+AI$62</f>
        <v>0.2</v>
      </c>
      <c r="AJ67" s="39" t="n">
        <f aca="false">(AM67-AM$62)/(AM$70-AM$62)*(AJ$70-AJ$62)+AJ$62</f>
        <v>164.477707305362</v>
      </c>
      <c r="AK67" s="39" t="n">
        <f aca="false">8314.4621*AJ67/(Sheet1!M$21*Sheet1!M$12*9.80665)</f>
        <v>6004.59199885964</v>
      </c>
      <c r="AL67" s="39" t="n">
        <f aca="false">AL66-LN(AG67/AG66)*(AK66+AK67)/2</f>
        <v>105465.725631612</v>
      </c>
      <c r="AM67" s="39" t="n">
        <f aca="false">Sheet1!M$10*10/Sheet1!M$11*1000*AL67/(Sheet1!M$10*10/Sheet1!M$11*1000-AL67)</f>
        <v>107640.511973107</v>
      </c>
      <c r="AN67" s="41"/>
      <c r="AO67" s="37" t="n">
        <f aca="false">AO66+(AO$69-AO$61)/8</f>
        <v>-2.25</v>
      </c>
      <c r="AP67" s="40" t="n">
        <f aca="false">10^AO67</f>
        <v>0.00562341325190349</v>
      </c>
      <c r="AQ67" s="39" t="n">
        <f aca="false">AS67-AR67*((Sheet1!R$19-Sheet1!R$20)*COS(RADIANS(38))+Sheet1!R$20)/2</f>
        <v>72.6425484239</v>
      </c>
      <c r="AR67" s="37" t="n">
        <f aca="false">(AV67-AV$51)/(AV$116-AV$51)*(AR$116-AR$51)+AR$51</f>
        <v>0.36403478732071</v>
      </c>
      <c r="AS67" s="39" t="n">
        <f aca="false">(AV67-AV$61)/(AV$69-AV$61)*(AS$69-AS$61)+AS$61</f>
        <v>73.3982924717517</v>
      </c>
      <c r="AT67" s="39" t="n">
        <f aca="false">8314.4621*AS67/(Sheet1!R$22*Sheet1!R$12*9.80665)</f>
        <v>9979.62508514895</v>
      </c>
      <c r="AU67" s="39" t="n">
        <f aca="false">AU66-LN(AP67/AP66)*(AT66+AT67)/2</f>
        <v>222188.962113089</v>
      </c>
      <c r="AV67" s="39" t="n">
        <f aca="false">Sheet1!R$10*10/Sheet1!R$11*1000*AU67/(Sheet1!R$10*10/Sheet1!R$11*1000-AU67)</f>
        <v>226206.596721294</v>
      </c>
    </row>
    <row r="68" customFormat="false" ht="15" hidden="false" customHeight="false" outlineLevel="0" collapsed="false">
      <c r="A68" s="31" t="s">
        <v>132</v>
      </c>
      <c r="B68" s="43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153.742290189929</v>
      </c>
      <c r="T68" s="37" t="n">
        <f aca="false">(X68-X$54)/(X$100-X$54)*(T$100-T$54)+T$54</f>
        <v>1.23628542504157</v>
      </c>
      <c r="U68" s="39" t="n">
        <f aca="false">(X68-X$54)/(X$77-X$54)*(U$77-U$54)+U$54</f>
        <v>156.30884532137</v>
      </c>
      <c r="V68" s="39" t="n">
        <f aca="false">8314.4621*U68/(Sheet1!H$20*Sheet1!H$12*9.80665)</f>
        <v>50198.7739889898</v>
      </c>
      <c r="W68" s="39" t="n">
        <f aca="false">W67-LN(R68/R67)*(V67+V68)/2</f>
        <v>1643086.44752369</v>
      </c>
      <c r="X68" s="39" t="n">
        <f aca="false">Sheet1!H$10*10/Sheet1!H$11*1000*W68/(Sheet1!H$10*10/Sheet1!H$11*1000-W68)</f>
        <v>1689348.88516286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165.214650840355</v>
      </c>
      <c r="AI68" s="37" t="n">
        <f aca="false">(AM68-AM$62)/(AM$95-AM$62)*(AI$95-AI$62)+AI$62</f>
        <v>0.2</v>
      </c>
      <c r="AJ68" s="39" t="n">
        <f aca="false">(AM68-AM$62)/(AM$70-AM$62)*(AJ$70-AJ$62)+AJ$62</f>
        <v>166.14505944324</v>
      </c>
      <c r="AK68" s="39" t="n">
        <f aca="false">8314.4621*AJ68/(Sheet1!M$21*Sheet1!M$12*9.80665)</f>
        <v>6065.46206733523</v>
      </c>
      <c r="AL68" s="39" t="n">
        <f aca="false">AL67-LN(AG68/AG67)*(AK67+AK68)/2</f>
        <v>106855.341959835</v>
      </c>
      <c r="AM68" s="39" t="n">
        <f aca="false">Sheet1!M$10*10/Sheet1!M$11*1000*AL68/(Sheet1!M$10*10/Sheet1!M$11*1000-AL68)</f>
        <v>109088.42255289</v>
      </c>
      <c r="AN68" s="41"/>
      <c r="AO68" s="37" t="n">
        <f aca="false">AO67+(AO$69-AO$61)/8</f>
        <v>-2.375</v>
      </c>
      <c r="AP68" s="40" t="n">
        <f aca="false">10^AO68</f>
        <v>0.00421696503428582</v>
      </c>
      <c r="AQ68" s="39" t="n">
        <f aca="false">AS68-AR68*((Sheet1!R$19-Sheet1!R$20)*COS(RADIANS(38))+Sheet1!R$20)/2</f>
        <v>72.6038223261629</v>
      </c>
      <c r="AR68" s="37" t="n">
        <f aca="false">(AV68-AV$51)/(AV$116-AV$51)*(AR$116-AR$51)+AR$51</f>
        <v>0.382688783728023</v>
      </c>
      <c r="AS68" s="39" t="n">
        <f aca="false">(AV68-AV$61)/(AV$69-AV$61)*(AS$69-AS$61)+AS$61</f>
        <v>73.3982924717517</v>
      </c>
      <c r="AT68" s="39" t="n">
        <f aca="false">8314.4621*AS68/(Sheet1!R$22*Sheet1!R$12*9.80665)</f>
        <v>9979.62508514895</v>
      </c>
      <c r="AU68" s="39" t="n">
        <f aca="false">AU67-LN(AP68/AP67)*(AT67+AT68)/2</f>
        <v>225061.329107431</v>
      </c>
      <c r="AV68" s="39" t="n">
        <f aca="false">Sheet1!R$10*10/Sheet1!R$11*1000*AU68/(Sheet1!R$10*10/Sheet1!R$11*1000-AU68)</f>
        <v>229184.475605477</v>
      </c>
    </row>
    <row r="69" customFormat="false" ht="15" hidden="false" customHeight="false" outlineLevel="0" collapsed="false">
      <c r="A69" s="31" t="s">
        <v>133</v>
      </c>
      <c r="B69" s="43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157.394391637748</v>
      </c>
      <c r="T69" s="37" t="n">
        <f aca="false">(X69-X$54)/(X$100-X$54)*(T$100-T$54)+T$54</f>
        <v>1.25635093957589</v>
      </c>
      <c r="U69" s="39" t="n">
        <f aca="false">(X69-X$54)/(X$77-X$54)*(U$77-U$54)+U$54</f>
        <v>160.002603208915</v>
      </c>
      <c r="V69" s="39" t="n">
        <f aca="false">8314.4621*U69/(Sheet1!H$20*Sheet1!H$12*9.80665)</f>
        <v>51385.0287846522</v>
      </c>
      <c r="W69" s="39" t="n">
        <f aca="false">W68-LN(R69/R68)*(V68+V69)/2</f>
        <v>1654781.7150215</v>
      </c>
      <c r="X69" s="39" t="n">
        <f aca="false">Sheet1!H$10*10/Sheet1!H$11*1000*W69/(Sheet1!H$10*10/Sheet1!H$11*1000-W69)</f>
        <v>1701714.48183359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166.899830391812</v>
      </c>
      <c r="AI69" s="37" t="n">
        <f aca="false">(AM69-AM$62)/(AM$95-AM$62)*(AI$95-AI$62)+AI$62</f>
        <v>0.2</v>
      </c>
      <c r="AJ69" s="39" t="n">
        <f aca="false">(AM69-AM$62)/(AM$70-AM$62)*(AJ$70-AJ$62)+AJ$62</f>
        <v>167.830238994698</v>
      </c>
      <c r="AK69" s="39" t="n">
        <f aca="false">8314.4621*AJ69/(Sheet1!M$21*Sheet1!M$12*9.80665)</f>
        <v>6126.98296166856</v>
      </c>
      <c r="AL69" s="39" t="n">
        <f aca="false">AL68-LN(AG69/AG68)*(AK68+AK69)/2</f>
        <v>108259.049068382</v>
      </c>
      <c r="AM69" s="39" t="n">
        <f aca="false">Sheet1!M$10*10/Sheet1!M$11*1000*AL69/(Sheet1!M$10*10/Sheet1!M$11*1000-AL69)</f>
        <v>110551.814256933</v>
      </c>
      <c r="AN69" s="41"/>
      <c r="AO69" s="37" t="n">
        <f aca="false">IF(Sheet1!R24="Y",-1,-2.5)</f>
        <v>-2.5</v>
      </c>
      <c r="AP69" s="40" t="n">
        <f aca="false">10^AO69</f>
        <v>0.00316227766016838</v>
      </c>
      <c r="AQ69" s="39" t="n">
        <f aca="false">AS69-AR69*((Sheet1!R$19-Sheet1!R$20)*COS(RADIANS(38))+Sheet1!R$20)/2</f>
        <v>72.5650781149322</v>
      </c>
      <c r="AR69" s="37" t="n">
        <f aca="false">(AV69-AV$51)/(AV$116-AV$51)*(AR$116-AR$51)+AR$51</f>
        <v>0.401351505234561</v>
      </c>
      <c r="AS69" s="39" t="n">
        <f aca="false">MIN(IF(Sheet1!R15&gt;1,36*LOG(Sheet1!R15)+30,30),(Sheet1!R15*(1-MAX(Sheet1!R14,0.56707137))/(4*0.000000056704))^0.25)</f>
        <v>73.3982924717517</v>
      </c>
      <c r="AT69" s="39" t="n">
        <f aca="false">8314.4621*AS69/(Sheet1!R$22*Sheet1!R$12*9.80665)</f>
        <v>9979.62508514895</v>
      </c>
      <c r="AU69" s="39" t="n">
        <f aca="false">AU68-LN(AP69/AP68)*(AT68+AT69)/2</f>
        <v>227933.696101773</v>
      </c>
      <c r="AV69" s="39" t="n">
        <f aca="false">Sheet1!R$10*10/Sheet1!R$11*1000*AU69/(Sheet1!R$10*10/Sheet1!R$11*1000-AU69)</f>
        <v>232163.747343405</v>
      </c>
    </row>
    <row r="70" customFormat="false" ht="15" hidden="false" customHeight="false" outlineLevel="0" collapsed="false">
      <c r="A70" s="31" t="s">
        <v>134</v>
      </c>
      <c r="B70" s="43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161.13433111963</v>
      </c>
      <c r="T70" s="37" t="n">
        <f aca="false">(X70-X$54)/(X$100-X$54)*(T$100-T$54)+T$54</f>
        <v>1.27689905717431</v>
      </c>
      <c r="U70" s="39" t="n">
        <f aca="false">(X70-X$54)/(X$77-X$54)*(U$77-U$54)+U$54</f>
        <v>163.785201024865</v>
      </c>
      <c r="V70" s="39" t="n">
        <f aca="false">8314.4621*U70/(Sheet1!H$20*Sheet1!H$12*9.80665)</f>
        <v>52599.814630352</v>
      </c>
      <c r="W70" s="39" t="n">
        <f aca="false">W69-LN(R70/R69)*(V69+V70)/2</f>
        <v>1666753.41253873</v>
      </c>
      <c r="X70" s="39" t="n">
        <f aca="false">Sheet1!H$10*10/Sheet1!H$11*1000*W70/(Sheet1!H$10*10/Sheet1!H$11*1000-W70)</f>
        <v>1714377.48801419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168.60305391086</v>
      </c>
      <c r="AI70" s="37" t="n">
        <f aca="false">(AM70-AM$62)/(AM$95-AM$62)*(AI$95-AI$62)+AI$62</f>
        <v>0.2</v>
      </c>
      <c r="AJ70" s="39" t="n">
        <f aca="false">0.016*(320*LOG(Sheet1!M15)-AJ62)+AJ62</f>
        <v>169.533462513745</v>
      </c>
      <c r="AK70" s="39" t="n">
        <f aca="false">8314.4621*AJ70/(Sheet1!M$21*Sheet1!M$12*9.80665)</f>
        <v>6189.16258760265</v>
      </c>
      <c r="AL70" s="39" t="n">
        <f aca="false">AL69-LN(AG70/AG69)*(AK69+AK70)/2</f>
        <v>109676.997725627</v>
      </c>
      <c r="AM70" s="39" t="n">
        <f aca="false">Sheet1!M$10*10/Sheet1!M$11*1000*AL70/(Sheet1!M$10*10/Sheet1!M$11*1000-AL70)</f>
        <v>112030.869256791</v>
      </c>
      <c r="AN70" s="41"/>
      <c r="AO70" s="37" t="n">
        <f aca="false">AO69+(AO$77-AO$69)/8</f>
        <v>-2.6</v>
      </c>
      <c r="AP70" s="40" t="n">
        <f aca="false">10^AO70</f>
        <v>0.00251188643150958</v>
      </c>
      <c r="AQ70" s="39" t="n">
        <f aca="false">AS70-AR70*((Sheet1!R$19-Sheet1!R$20)*COS(RADIANS(38))+Sheet1!R$20)/2</f>
        <v>72.9744978862308</v>
      </c>
      <c r="AR70" s="37" t="n">
        <f aca="false">(AV70-AV$51)/(AV$116-AV$51)*(AR$116-AR$51)+AR$51</f>
        <v>0.416332799809312</v>
      </c>
      <c r="AS70" s="39" t="n">
        <f aca="false">(AV70-AV$69)/(AV$77-AV$69)*(AS$77-AS$69)+AS$69</f>
        <v>73.8388137327933</v>
      </c>
      <c r="AT70" s="39" t="n">
        <f aca="false">8314.4621*AS70/(Sheet1!R$22*Sheet1!R$12*9.80665)</f>
        <v>10039.5207159489</v>
      </c>
      <c r="AU70" s="39" t="n">
        <f aca="false">AU69-LN(AP70/AP69)*(AT69+AT70)/2</f>
        <v>230238.485436577</v>
      </c>
      <c r="AV70" s="39" t="n">
        <f aca="false">Sheet1!R$10*10/Sheet1!R$11*1000*AU70/(Sheet1!R$10*10/Sheet1!R$11*1000-AU70)</f>
        <v>234555.324987024</v>
      </c>
    </row>
    <row r="71" customFormat="false" ht="15" hidden="false" customHeight="false" outlineLevel="0" collapsed="false">
      <c r="A71" s="31" t="s">
        <v>135</v>
      </c>
      <c r="B71" s="43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164.964295056492</v>
      </c>
      <c r="T71" s="37" t="n">
        <f aca="false">(X71-X$54)/(X$100-X$54)*(T$100-T$54)+T$54</f>
        <v>1.29794179055373</v>
      </c>
      <c r="U71" s="39" t="n">
        <f aca="false">(X71-X$54)/(X$77-X$54)*(U$77-U$54)+U$54</f>
        <v>167.658850128793</v>
      </c>
      <c r="V71" s="39" t="n">
        <f aca="false">8314.4621*U71/(Sheet1!H$20*Sheet1!H$12*9.80665)</f>
        <v>53843.841706881</v>
      </c>
      <c r="W71" s="39" t="n">
        <f aca="false">W70-LN(R71/R70)*(V70+V71)/2</f>
        <v>1679008.19135503</v>
      </c>
      <c r="X71" s="39" t="n">
        <f aca="false">Sheet1!H$10*10/Sheet1!H$11*1000*W71/(Sheet1!H$10*10/Sheet1!H$11*1000-W71)</f>
        <v>1727345.30667513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174.988805511692</v>
      </c>
      <c r="AI71" s="37" t="n">
        <f aca="false">(AM71-AM$62)/(AM$95-AM$62)*(AI$95-AI$62)+AI$62</f>
        <v>0.2</v>
      </c>
      <c r="AJ71" s="39" t="n">
        <f aca="false">(AM71-AM$70)/(AM$75-AM$70)*(AJ$75-AJ$70)+AJ$70</f>
        <v>175.919214114577</v>
      </c>
      <c r="AK71" s="39" t="n">
        <f aca="false">8314.4621*AJ71/(Sheet1!M$21*Sheet1!M$12*9.80665)</f>
        <v>6422.28738972476</v>
      </c>
      <c r="AL71" s="39" t="n">
        <f aca="false">AL70-LN(AG71/AG70)*(AK70+AK71)/2</f>
        <v>111128.944561568</v>
      </c>
      <c r="AM71" s="39" t="n">
        <f aca="false">Sheet1!M$10*10/Sheet1!M$11*1000*AL71/(Sheet1!M$10*10/Sheet1!M$11*1000-AL71)</f>
        <v>113546.238360014</v>
      </c>
      <c r="AN71" s="41"/>
      <c r="AO71" s="37" t="n">
        <f aca="false">AO70+(AO$77-AO$69)/8</f>
        <v>-2.7</v>
      </c>
      <c r="AP71" s="40" t="n">
        <f aca="false">10^AO71</f>
        <v>0.00199526231496888</v>
      </c>
      <c r="AQ71" s="39" t="n">
        <f aca="false">AS71-AR71*((Sheet1!R$19-Sheet1!R$20)*COS(RADIANS(38))+Sheet1!R$20)/2</f>
        <v>73.3865303787089</v>
      </c>
      <c r="AR71" s="37" t="n">
        <f aca="false">(AV71-AV$51)/(AV$116-AV$51)*(AR$116-AR$51)+AR$51</f>
        <v>0.431409701505847</v>
      </c>
      <c r="AS71" s="39" t="n">
        <f aca="false">(AV71-AV$69)/(AV$77-AV$69)*(AS$77-AS$69)+AS$69</f>
        <v>74.2821461974555</v>
      </c>
      <c r="AT71" s="39" t="n">
        <f aca="false">8314.4621*AS71/(Sheet1!R$22*Sheet1!R$12*9.80665)</f>
        <v>10099.7985730544</v>
      </c>
      <c r="AU71" s="39" t="n">
        <f aca="false">AU70-LN(AP71/AP70)*(AT70+AT71)/2</f>
        <v>232557.110255472</v>
      </c>
      <c r="AV71" s="39" t="n">
        <f aca="false">Sheet1!R$10*10/Sheet1!R$11*1000*AU71/(Sheet1!R$10*10/Sheet1!R$11*1000-AU71)</f>
        <v>236962.165120403</v>
      </c>
    </row>
    <row r="72" customFormat="false" ht="15" hidden="false" customHeight="false" outlineLevel="0" collapsed="false">
      <c r="A72" s="31" t="s">
        <v>136</v>
      </c>
      <c r="B72" s="43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168.886527853041</v>
      </c>
      <c r="T72" s="37" t="n">
        <f aca="false">(X72-X$54)/(X$100-X$54)*(T$100-T$54)+T$54</f>
        <v>1.31949147100773</v>
      </c>
      <c r="U72" s="39" t="n">
        <f aca="false">(X72-X$54)/(X$77-X$54)*(U$77-U$54)+U$54</f>
        <v>171.625820525438</v>
      </c>
      <c r="V72" s="39" t="n">
        <f aca="false">8314.4621*U72/(Sheet1!H$20*Sheet1!H$12*9.80665)</f>
        <v>55117.8390289952</v>
      </c>
      <c r="W72" s="39" t="n">
        <f aca="false">W71-LN(R72/R71)*(V71+V72)/2</f>
        <v>1691552.86844353</v>
      </c>
      <c r="X72" s="39" t="n">
        <f aca="false">Sheet1!H$10*10/Sheet1!H$11*1000*W72/(Sheet1!H$10*10/Sheet1!H$11*1000-W72)</f>
        <v>1740625.53711336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181.619133921505</v>
      </c>
      <c r="AI72" s="37" t="n">
        <f aca="false">(AM72-AM$62)/(AM$95-AM$62)*(AI$95-AI$62)+AI$62</f>
        <v>0.2</v>
      </c>
      <c r="AJ72" s="39" t="n">
        <f aca="false">(AM72-AM$70)/(AM$75-AM$70)*(AJ$75-AJ$70)+AJ$70</f>
        <v>182.549542524391</v>
      </c>
      <c r="AK72" s="39" t="n">
        <f aca="false">8314.4621*AJ72/(Sheet1!M$21*Sheet1!M$12*9.80665)</f>
        <v>6664.34096386331</v>
      </c>
      <c r="AL72" s="39" t="n">
        <f aca="false">AL71-LN(AG72/AG71)*(AK71+AK72)/2</f>
        <v>112635.598329795</v>
      </c>
      <c r="AM72" s="39" t="n">
        <f aca="false">Sheet1!M$10*10/Sheet1!M$11*1000*AL72/(Sheet1!M$10*10/Sheet1!M$11*1000-AL72)</f>
        <v>115119.614940585</v>
      </c>
      <c r="AN72" s="41"/>
      <c r="AO72" s="37" t="n">
        <f aca="false">AO71+(AO$77-AO$69)/8</f>
        <v>-2.8</v>
      </c>
      <c r="AP72" s="40" t="n">
        <f aca="false">10^AO72</f>
        <v>0.00158489319246111</v>
      </c>
      <c r="AQ72" s="39" t="n">
        <f aca="false">AS72-AR72*((Sheet1!R$19-Sheet1!R$20)*COS(RADIANS(38))+Sheet1!R$20)/2</f>
        <v>73.801266071131</v>
      </c>
      <c r="AR72" s="37" t="n">
        <f aca="false">(AV72-AV$51)/(AV$116-AV$51)*(AR$116-AR$51)+AR$51</f>
        <v>0.446582897459723</v>
      </c>
      <c r="AS72" s="39" t="n">
        <f aca="false">(AV72-AV$69)/(AV$77-AV$69)*(AS$77-AS$69)+AS$69</f>
        <v>74.7283817710111</v>
      </c>
      <c r="AT72" s="39" t="n">
        <f aca="false">8314.4621*AS72/(Sheet1!R$22*Sheet1!R$12*9.80665)</f>
        <v>10160.4711523989</v>
      </c>
      <c r="AU72" s="39" t="n">
        <f aca="false">AU71-LN(AP72/AP71)*(AT71+AT72)/2</f>
        <v>234889.660007965</v>
      </c>
      <c r="AV72" s="39" t="n">
        <f aca="false">Sheet1!R$10*10/Sheet1!R$11*1000*AU72/(Sheet1!R$10*10/Sheet1!R$11*1000-AU72)</f>
        <v>239384.377436199</v>
      </c>
    </row>
    <row r="73" customFormat="false" ht="15" hidden="false" customHeight="false" outlineLevel="0" collapsed="false">
      <c r="A73" s="31" t="s">
        <v>137</v>
      </c>
      <c r="B73" s="43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172.903333606895</v>
      </c>
      <c r="T73" s="37" t="n">
        <f aca="false">(X73-X$54)/(X$100-X$54)*(T$100-T$54)+T$54</f>
        <v>1.34156075779702</v>
      </c>
      <c r="U73" s="39" t="n">
        <f aca="false">(X73-X$54)/(X$77-X$54)*(U$77-U$54)+U$54</f>
        <v>175.688442593316</v>
      </c>
      <c r="V73" s="39" t="n">
        <f aca="false">8314.4621*U73/(Sheet1!H$20*Sheet1!H$12*9.80665)</f>
        <v>56422.5550005627</v>
      </c>
      <c r="W73" s="39" t="n">
        <f aca="false">W72-LN(R73/R72)*(V72+V73)/2</f>
        <v>1704394.43087149</v>
      </c>
      <c r="X73" s="39" t="n">
        <f aca="false">Sheet1!H$10*10/Sheet1!H$11*1000*W73/(Sheet1!H$10*10/Sheet1!H$11*1000-W73)</f>
        <v>1754225.98073918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188.503502403193</v>
      </c>
      <c r="AI73" s="37" t="n">
        <f aca="false">(AM73-AM$62)/(AM$95-AM$62)*(AI$95-AI$62)+AI$62</f>
        <v>0.2</v>
      </c>
      <c r="AJ73" s="39" t="n">
        <f aca="false">(AM73-AM$70)/(AM$75-AM$70)*(AJ$75-AJ$70)+AJ$70</f>
        <v>189.433911006079</v>
      </c>
      <c r="AK73" s="39" t="n">
        <f aca="false">8314.4621*AJ73/(Sheet1!M$21*Sheet1!M$12*9.80665)</f>
        <v>6915.66878560634</v>
      </c>
      <c r="AL73" s="39" t="n">
        <f aca="false">AL72-LN(AG73/AG72)*(AK72+AK73)/2</f>
        <v>114199.054730387</v>
      </c>
      <c r="AM73" s="39" t="n">
        <f aca="false">Sheet1!M$10*10/Sheet1!M$11*1000*AL73/(Sheet1!M$10*10/Sheet1!M$11*1000-AL73)</f>
        <v>116753.291419421</v>
      </c>
      <c r="AN73" s="41"/>
      <c r="AO73" s="37" t="n">
        <f aca="false">AO72+(AO$77-AO$69)/8</f>
        <v>-2.9</v>
      </c>
      <c r="AP73" s="40" t="n">
        <f aca="false">10^AO73</f>
        <v>0.00125892541179417</v>
      </c>
      <c r="AQ73" s="39" t="n">
        <f aca="false">AS73-AR73*((Sheet1!R$19-Sheet1!R$20)*COS(RADIANS(38))+Sheet1!R$20)/2</f>
        <v>74.218604554596</v>
      </c>
      <c r="AR73" s="37" t="n">
        <f aca="false">(AV73-AV$51)/(AV$116-AV$51)*(AR$116-AR$51)+AR$51</f>
        <v>0.461853075702971</v>
      </c>
      <c r="AS73" s="39" t="n">
        <f aca="false">(AV73-AV$69)/(AV$77-AV$69)*(AS$77-AS$69)+AS$69</f>
        <v>75.177421472928</v>
      </c>
      <c r="AT73" s="39" t="n">
        <f aca="false">8314.4621*AS73/(Sheet1!R$22*Sheet1!R$12*9.80665)</f>
        <v>10221.5249960589</v>
      </c>
      <c r="AU73" s="39" t="n">
        <f aca="false">AU72-LN(AP73/AP72)*(AT72+AT73)/2</f>
        <v>237236.22403281</v>
      </c>
      <c r="AV73" s="39" t="n">
        <f aca="false">Sheet1!R$10*10/Sheet1!R$11*1000*AU73/(Sheet1!R$10*10/Sheet1!R$11*1000-AU73)</f>
        <v>241822.071770184</v>
      </c>
    </row>
    <row r="74" customFormat="false" ht="15" hidden="false" customHeight="false" outlineLevel="0" collapsed="false">
      <c r="A74" s="31" t="s">
        <v>138</v>
      </c>
      <c r="B74" s="43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177.017077876229</v>
      </c>
      <c r="T74" s="37" t="n">
        <f aca="false">(X74-X$54)/(X$100-X$54)*(T$100-T$54)+T$54</f>
        <v>1.36416264786118</v>
      </c>
      <c r="U74" s="39" t="n">
        <f aca="false">(X74-X$54)/(X$77-X$54)*(U$77-U$54)+U$54</f>
        <v>179.849108872526</v>
      </c>
      <c r="V74" s="39" t="n">
        <f aca="false">8314.4621*U74/(Sheet1!H$20*Sheet1!H$12*9.80665)</f>
        <v>57758.7579887191</v>
      </c>
      <c r="W74" s="39" t="n">
        <f aca="false">W73-LN(R74/R73)*(V73+V74)/2</f>
        <v>1717540.04033087</v>
      </c>
      <c r="X74" s="39" t="n">
        <f aca="false">Sheet1!H$10*10/Sheet1!H$11*1000*W74/(Sheet1!H$10*10/Sheet1!H$11*1000-W74)</f>
        <v>1768154.64706128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195.652039583528</v>
      </c>
      <c r="AI74" s="37" t="n">
        <f aca="false">(AM74-AM$62)/(AM$95-AM$62)*(AI$95-AI$62)+AI$62</f>
        <v>0.2</v>
      </c>
      <c r="AJ74" s="39" t="n">
        <f aca="false">(AM74-AM$70)/(AM$75-AM$70)*(AJ$75-AJ$70)+AJ$70</f>
        <v>196.582448186414</v>
      </c>
      <c r="AK74" s="39" t="n">
        <f aca="false">8314.4621*AJ74/(Sheet1!M$21*Sheet1!M$12*9.80665)</f>
        <v>7176.6406209986</v>
      </c>
      <c r="AL74" s="39" t="n">
        <f aca="false">AL73-LN(AG74/AG73)*(AK73+AK74)/2</f>
        <v>115821.491808662</v>
      </c>
      <c r="AM74" s="39" t="n">
        <f aca="false">Sheet1!M$10*10/Sheet1!M$11*1000*AL74/(Sheet1!M$10*10/Sheet1!M$11*1000-AL74)</f>
        <v>118449.655761638</v>
      </c>
      <c r="AN74" s="41"/>
      <c r="AO74" s="37" t="n">
        <f aca="false">AO73+(AO$77-AO$69)/8</f>
        <v>-3</v>
      </c>
      <c r="AP74" s="40" t="n">
        <f aca="false">10^AO74</f>
        <v>0.001</v>
      </c>
      <c r="AQ74" s="39" t="n">
        <f aca="false">AS74-AR74*((Sheet1!R$19-Sheet1!R$20)*COS(RADIANS(38))+Sheet1!R$20)/2</f>
        <v>74.6386106193559</v>
      </c>
      <c r="AR74" s="37" t="n">
        <f aca="false">(AV74-AV$51)/(AV$116-AV$51)*(AR$116-AR$51)+AR$51</f>
        <v>0.47722092256069</v>
      </c>
      <c r="AS74" s="39" t="n">
        <f aca="false">(AV74-AV$69)/(AV$77-AV$69)*(AS$77-AS$69)+AS$69</f>
        <v>75.6293315182841</v>
      </c>
      <c r="AT74" s="39" t="n">
        <f aca="false">8314.4621*AS74/(Sheet1!R$22*Sheet1!R$12*9.80665)</f>
        <v>10282.969106991</v>
      </c>
      <c r="AU74" s="39" t="n">
        <f aca="false">AU73-LN(AP74/AP73)*(AT73+AT74)/2</f>
        <v>239596.891155864</v>
      </c>
      <c r="AV74" s="39" t="n">
        <f aca="false">Sheet1!R$10*10/Sheet1!R$11*1000*AU74/(Sheet1!R$10*10/Sheet1!R$11*1000-AU74)</f>
        <v>244275.357685637</v>
      </c>
    </row>
    <row r="75" customFormat="false" ht="15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181.230189508311</v>
      </c>
      <c r="T75" s="37" t="n">
        <f aca="false">(X75-X$54)/(X$100-X$54)*(T$100-T$54)+T$54</f>
        <v>1.38731048586517</v>
      </c>
      <c r="U75" s="39" t="n">
        <f aca="false">(X75-X$54)/(X$77-X$54)*(U$77-U$54)+U$54</f>
        <v>184.11027591415</v>
      </c>
      <c r="V75" s="39" t="n">
        <f aca="false">8314.4621*U75/(Sheet1!H$20*Sheet1!H$12*9.80665)</f>
        <v>59127.2369178036</v>
      </c>
      <c r="W75" s="39" t="n">
        <f aca="false">W74-LN(R75/R74)*(V74+V75)/2</f>
        <v>1730997.03780344</v>
      </c>
      <c r="X75" s="39" t="n">
        <f aca="false">Sheet1!H$10*10/Sheet1!H$11*1000*W75/(Sheet1!H$10*10/Sheet1!H$11*1000-W75)</f>
        <v>1782419.75987796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203.075221940538</v>
      </c>
      <c r="AI75" s="37" t="n">
        <f aca="false">(AM75-AM$62)/(AM$95-AM$62)*(AI$95-AI$62)+AI$62</f>
        <v>0.2</v>
      </c>
      <c r="AJ75" s="39" t="n">
        <f aca="false">0.058*(320*LOG(Sheet1!M15)-AJ62)+AJ62</f>
        <v>204.005630543424</v>
      </c>
      <c r="AK75" s="39" t="n">
        <f aca="false">8314.4621*AJ75/(Sheet1!M$21*Sheet1!M$12*9.80665)</f>
        <v>7447.63893509977</v>
      </c>
      <c r="AL75" s="39" t="n">
        <f aca="false">AL74-LN(AG75/AG74)*(AK74+AK75)/2</f>
        <v>117505.174213745</v>
      </c>
      <c r="AM75" s="39" t="n">
        <f aca="false">Sheet1!M$10*10/Sheet1!M$11*1000*AL75/(Sheet1!M$10*10/Sheet1!M$11*1000-AL75)</f>
        <v>120211.196745551</v>
      </c>
      <c r="AN75" s="41"/>
      <c r="AO75" s="37" t="n">
        <f aca="false">AO74+(AO$77-AO$69)/8</f>
        <v>-3.1</v>
      </c>
      <c r="AP75" s="40" t="n">
        <f aca="false">10^AO75</f>
        <v>0.000794328234724281</v>
      </c>
      <c r="AQ75" s="39" t="n">
        <f aca="false">AS75-AR75*((Sheet1!R$19-Sheet1!R$20)*COS(RADIANS(38))+Sheet1!R$20)/2</f>
        <v>75.0613065622692</v>
      </c>
      <c r="AR75" s="37" t="n">
        <f aca="false">(AV75-AV$51)/(AV$116-AV$51)*(AR$116-AR$51)+AR$51</f>
        <v>0.492687135174545</v>
      </c>
      <c r="AS75" s="39" t="n">
        <f aca="false">(AV75-AV$69)/(AV$77-AV$69)*(AS$77-AS$69)+AS$69</f>
        <v>76.0841356512189</v>
      </c>
      <c r="AT75" s="39" t="n">
        <f aca="false">8314.4621*AS75/(Sheet1!R$22*Sheet1!R$12*9.80665)</f>
        <v>10344.8067135758</v>
      </c>
      <c r="AU75" s="39" t="n">
        <f aca="false">AU74-LN(AP75/AP74)*(AT74+AT75)/2</f>
        <v>241971.751611167</v>
      </c>
      <c r="AV75" s="39" t="n">
        <f aca="false">Sheet1!R$10*10/Sheet1!R$11*1000*AU75/(Sheet1!R$10*10/Sheet1!R$11*1000-AU75)</f>
        <v>246744.346472567</v>
      </c>
    </row>
    <row r="76" customFormat="false" ht="15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185.545162531443</v>
      </c>
      <c r="T76" s="37" t="n">
        <f aca="false">(X76-X$54)/(X$100-X$54)*(T$100-T$54)+T$54</f>
        <v>1.41101797459404</v>
      </c>
      <c r="U76" s="39" t="n">
        <f aca="false">(X76-X$54)/(X$77-X$54)*(U$77-U$54)+U$54</f>
        <v>188.474466193765</v>
      </c>
      <c r="V76" s="39" t="n">
        <f aca="false">8314.4621*U76/(Sheet1!H$20*Sheet1!H$12*9.80665)</f>
        <v>60528.8018838869</v>
      </c>
      <c r="W76" s="39" t="n">
        <f aca="false">W75-LN(R76/R75)*(V75+V76)/2</f>
        <v>1744772.94836502</v>
      </c>
      <c r="X76" s="39" t="n">
        <f aca="false">Sheet1!H$10*10/Sheet1!H$11*1000*W76/(Sheet1!H$10*10/Sheet1!H$11*1000-W76)</f>
        <v>1797029.76368303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220.333995061078</v>
      </c>
      <c r="AI76" s="37" t="n">
        <f aca="false">(AM76-AM$62)/(AM$95-AM$62)*(AI$95-AI$62)+AI$62</f>
        <v>0.2</v>
      </c>
      <c r="AJ76" s="39" t="n">
        <f aca="false">(AM76-AM$75)/(AM$80-AM$75)*(AJ$80-AJ$75)+AJ$75</f>
        <v>221.264403663963</v>
      </c>
      <c r="AK76" s="39" t="n">
        <f aca="false">8314.4621*AJ76/(Sheet1!M$21*Sheet1!M$12*9.80665)</f>
        <v>8077.70542062856</v>
      </c>
      <c r="AL76" s="39" t="n">
        <f aca="false">AL74-LN(AG76/AG74)*(AK74+AK76)/2</f>
        <v>119333.934788544</v>
      </c>
      <c r="AM76" s="39" t="n">
        <f aca="false">Sheet1!M$10*10/Sheet1!M$11*1000*AL76/(Sheet1!M$10*10/Sheet1!M$11*1000-AL76)</f>
        <v>122125.842317885</v>
      </c>
      <c r="AN76" s="41"/>
      <c r="AO76" s="37" t="n">
        <f aca="false">AO75+(AO$77-AO$69)/8</f>
        <v>-3.2</v>
      </c>
      <c r="AP76" s="40" t="n">
        <f aca="false">10^AO76</f>
        <v>0.000630957344480193</v>
      </c>
      <c r="AQ76" s="39" t="n">
        <f aca="false">AS76-AR76*((Sheet1!R$19-Sheet1!R$20)*COS(RADIANS(38))+Sheet1!R$20)/2</f>
        <v>75.4867100874454</v>
      </c>
      <c r="AR76" s="37" t="n">
        <f aca="false">(AV76-AV$51)/(AV$116-AV$51)*(AR$116-AR$51)+AR$51</f>
        <v>0.508252416737895</v>
      </c>
      <c r="AS76" s="39" t="n">
        <f aca="false">(AV76-AV$69)/(AV$77-AV$69)*(AS$77-AS$69)+AS$69</f>
        <v>76.5418530356864</v>
      </c>
      <c r="AT76" s="39" t="n">
        <f aca="false">8314.4621*AS76/(Sheet1!R$22*Sheet1!R$12*9.80665)</f>
        <v>10407.0404214472</v>
      </c>
      <c r="AU76" s="39" t="n">
        <f aca="false">AU75-LN(AP76/AP75)*(AT75+AT76)/2</f>
        <v>244360.896304427</v>
      </c>
      <c r="AV76" s="39" t="n">
        <f aca="false">Sheet1!R$10*10/Sheet1!R$11*1000*AU76/(Sheet1!R$10*10/Sheet1!R$11*1000-AU76)</f>
        <v>249229.150387062</v>
      </c>
    </row>
    <row r="77" customFormat="false" ht="15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187.741567344106</v>
      </c>
      <c r="T77" s="37" t="n">
        <f aca="false">(X77-X$54)/(X$100-X$54)*(T$100-T$54)+T$54</f>
        <v>1.42308554536703</v>
      </c>
      <c r="U77" s="39" t="n">
        <f aca="false">70/610*(U$170-U$54)+U$54</f>
        <v>190.695923542892</v>
      </c>
      <c r="V77" s="39" t="n">
        <f aca="false">8314.4621*U77/(Sheet1!H$20*Sheet1!H$12*9.80665)</f>
        <v>61242.2255878731</v>
      </c>
      <c r="W77" s="39" t="n">
        <f aca="false">W76-LN(R77/R76)*(V76+V77)/2</f>
        <v>1751782.65218039</v>
      </c>
      <c r="X77" s="39" t="n">
        <f aca="false">Sheet1!H$10*10/Sheet1!H$11*1000*W77/(Sheet1!H$10*10/Sheet1!H$11*1000-W77)</f>
        <v>1804466.53848984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187.741567344106</v>
      </c>
      <c r="AA77" s="39" t="n">
        <f aca="false">IF(Y77=LOG(Sheet1!H$17*101325),(LOG(Sheet1!H$17*101325)-Q87)/(Q77-Q87)*(X77-X87)+X87,IF(Y77=0,0,X77))</f>
        <v>1804466.53848984</v>
      </c>
      <c r="AB77" s="32" t="n">
        <f aca="false">IF(Y77=0,0,AB54+1)</f>
        <v>5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238.62629038698</v>
      </c>
      <c r="AI77" s="37" t="n">
        <f aca="false">(AM77-AM$62)/(AM$95-AM$62)*(AI$95-AI$62)+AI$62</f>
        <v>0.2</v>
      </c>
      <c r="AJ77" s="39" t="n">
        <f aca="false">(AM77-AM$75)/(AM$80-AM$75)*(AJ$80-AJ$75)+AJ$75</f>
        <v>239.556698989865</v>
      </c>
      <c r="AK77" s="39" t="n">
        <f aca="false">8314.4621*AJ77/(Sheet1!M$21*Sheet1!M$12*9.80665)</f>
        <v>8745.50272856873</v>
      </c>
      <c r="AL77" s="39" t="n">
        <f aca="false">AL76-LN(AG77/AG76)*(AK76+AK77)/2</f>
        <v>121270.778203578</v>
      </c>
      <c r="AM77" s="39" t="n">
        <f aca="false">Sheet1!M$10*10/Sheet1!M$11*1000*AL77/(Sheet1!M$10*10/Sheet1!M$11*1000-AL77)</f>
        <v>124155.144289001</v>
      </c>
      <c r="AN77" s="41"/>
      <c r="AO77" s="37" t="n">
        <f aca="false">AO69+0.2*(AO116-AO69)</f>
        <v>-3.3</v>
      </c>
      <c r="AP77" s="40" t="n">
        <f aca="false">10^AO77</f>
        <v>0.000501187233627272</v>
      </c>
      <c r="AQ77" s="39" t="n">
        <f aca="false">AS77-AR77*((Sheet1!R$19-Sheet1!R$20)*COS(RADIANS(38))+Sheet1!R$20)/2</f>
        <v>75.9148387508121</v>
      </c>
      <c r="AR77" s="37" t="n">
        <f aca="false">(AV77-AV$51)/(AV$116-AV$51)*(AR$116-AR$51)+AR$51</f>
        <v>0.523917476040059</v>
      </c>
      <c r="AS77" s="39" t="n">
        <f aca="false">AS69+0.05*(AS116-AS69)</f>
        <v>77.0025026990762</v>
      </c>
      <c r="AT77" s="39" t="n">
        <f aca="false">8314.4621*AS77/(Sheet1!R$22*Sheet1!R$12*9.80665)</f>
        <v>10469.6728176708</v>
      </c>
      <c r="AU77" s="39" t="n">
        <f aca="false">AU76-LN(AP77/AP76)*(AT76+AT77)/2</f>
        <v>246764.416739182</v>
      </c>
      <c r="AV77" s="39" t="n">
        <f aca="false">Sheet1!R$10*10/Sheet1!R$11*1000*AU77/(Sheet1!R$10*10/Sheet1!R$11*1000-AU77)</f>
        <v>251729.882578535</v>
      </c>
    </row>
    <row r="78" customFormat="false" ht="15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187.716361947995</v>
      </c>
      <c r="T78" s="37" t="n">
        <f aca="false">(X78-X$54)/(X$100-X$54)*(T$100-T$54)+T$54</f>
        <v>1.43522674719126</v>
      </c>
      <c r="U78" s="39" t="n">
        <f aca="false">(X78-X$77)/(X$90-X$77)*(U$90-U$77)+U$77</f>
        <v>190.695923542892</v>
      </c>
      <c r="V78" s="39" t="n">
        <f aca="false">8314.4621*U78/(Sheet1!H$20*Sheet1!H$12*9.80665)</f>
        <v>61242.2255878731</v>
      </c>
      <c r="W78" s="39" t="n">
        <f aca="false">W77-LN(R78/R77)*(V77+V78)/2</f>
        <v>1758833.42396541</v>
      </c>
      <c r="X78" s="39" t="n">
        <f aca="false">Sheet1!H$10*10/Sheet1!H$11*1000*W78/(Sheet1!H$10*10/Sheet1!H$11*1000-W78)</f>
        <v>1811948.68925151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258.44722859095</v>
      </c>
      <c r="AI78" s="37" t="n">
        <f aca="false">(AM78-AM$62)/(AM$95-AM$62)*(AI$95-AI$62)+AI$62</f>
        <v>0.2</v>
      </c>
      <c r="AJ78" s="39" t="n">
        <f aca="false">(AM78-AM$75)/(AM$80-AM$75)*(AJ$80-AJ$75)+AJ$75</f>
        <v>259.377637193835</v>
      </c>
      <c r="AK78" s="39" t="n">
        <f aca="false">8314.4621*AJ78/(Sheet1!M$21*Sheet1!M$12*9.80665)</f>
        <v>9469.10624237797</v>
      </c>
      <c r="AL78" s="39" t="n">
        <f aca="false">AL77-LN(AG78/AG77)*(AK77+AK78)/2</f>
        <v>123367.812558139</v>
      </c>
      <c r="AM78" s="39" t="n">
        <f aca="false">Sheet1!M$10*10/Sheet1!M$11*1000*AL78/(Sheet1!M$10*10/Sheet1!M$11*1000-AL78)</f>
        <v>126354.023180299</v>
      </c>
      <c r="AN78" s="41"/>
      <c r="AO78" s="37" t="n">
        <f aca="false">AO77+(AO$86-AO$77)/9</f>
        <v>-3.38888888888889</v>
      </c>
      <c r="AP78" s="40" t="n">
        <f aca="false">10^AO78</f>
        <v>0.000408423865267451</v>
      </c>
      <c r="AQ78" s="39" t="n">
        <f aca="false">AS78-AR78*((Sheet1!R$19-Sheet1!R$20)*COS(RADIANS(38))+Sheet1!R$20)/2</f>
        <v>77.5695219102824</v>
      </c>
      <c r="AR78" s="37" t="n">
        <f aca="false">(AV78-AV$51)/(AV$116-AV$51)*(AR$116-AR$51)+AR$51</f>
        <v>0.538041728104105</v>
      </c>
      <c r="AS78" s="39" t="n">
        <f aca="false">(AV78-AV$77)/(AV$86-AV$77)*(AS$86-AS$77)+AS$77</f>
        <v>78.6865081096048</v>
      </c>
      <c r="AT78" s="39" t="n">
        <f aca="false">8314.4621*AS78/(Sheet1!R$22*Sheet1!R$12*9.80665)</f>
        <v>10698.6392155595</v>
      </c>
      <c r="AU78" s="39" t="n">
        <f aca="false">AU77-LN(AP78/AP77)*(AT77+AT78)/2</f>
        <v>248930.720727251</v>
      </c>
      <c r="AV78" s="39" t="n">
        <f aca="false">Sheet1!R$10*10/Sheet1!R$11*1000*AU78/(Sheet1!R$10*10/Sheet1!R$11*1000-AU78)</f>
        <v>253984.644027933</v>
      </c>
    </row>
    <row r="79" customFormat="false" ht="15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187.665932842899</v>
      </c>
      <c r="T79" s="37" t="n">
        <f aca="false">(X79-X$54)/(X$100-X$54)*(T$100-T$54)+T$54</f>
        <v>1.45951797197915</v>
      </c>
      <c r="U79" s="39" t="n">
        <f aca="false">(X79-X$77)/(X$90-X$77)*(U$90-U$77)+U$77</f>
        <v>190.695923542892</v>
      </c>
      <c r="V79" s="39" t="n">
        <f aca="false">8314.4621*U79/(Sheet1!H$20*Sheet1!H$12*9.80665)</f>
        <v>61242.2255878731</v>
      </c>
      <c r="W79" s="39" t="n">
        <f aca="false">W78-LN(R79/R78)*(V78+V79)/2</f>
        <v>1772934.96753545</v>
      </c>
      <c r="X79" s="39" t="n">
        <f aca="false">Sheet1!H$10*10/Sheet1!H$11*1000*W79/(Sheet1!H$10*10/Sheet1!H$11*1000-W79)</f>
        <v>1826918.42690023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279.927266174539</v>
      </c>
      <c r="AI79" s="37" t="n">
        <f aca="false">(AM79-AM$62)/(AM$95-AM$62)*(AI$95-AI$62)+AI$62</f>
        <v>0.2</v>
      </c>
      <c r="AJ79" s="39" t="n">
        <f aca="false">(AM79-AM$75)/(AM$80-AM$75)*(AJ$80-AJ$75)+AJ$75</f>
        <v>280.857674777424</v>
      </c>
      <c r="AK79" s="39" t="n">
        <f aca="false">8314.4621*AJ79/(Sheet1!M$21*Sheet1!M$12*9.80665)</f>
        <v>10253.2785409994</v>
      </c>
      <c r="AL79" s="39" t="n">
        <f aca="false">AL78-LN(AG79/AG78)*(AK78+AK79)/2</f>
        <v>125638.436018164</v>
      </c>
      <c r="AM79" s="39" t="n">
        <f aca="false">Sheet1!M$10*10/Sheet1!M$11*1000*AL79/(Sheet1!M$10*10/Sheet1!M$11*1000-AL79)</f>
        <v>128736.962969351</v>
      </c>
      <c r="AN79" s="41"/>
      <c r="AO79" s="37" t="n">
        <f aca="false">AO78+(AO$86-AO$77)/9</f>
        <v>-3.47777777777778</v>
      </c>
      <c r="AP79" s="40" t="n">
        <f aca="false">10^AO79</f>
        <v>0.00033282981394546</v>
      </c>
      <c r="AQ79" s="39" t="n">
        <f aca="false">AS79-AR79*((Sheet1!R$19-Sheet1!R$20)*COS(RADIANS(38))+Sheet1!R$20)/2</f>
        <v>79.2610188507724</v>
      </c>
      <c r="AR79" s="37" t="n">
        <f aca="false">(AV79-AV$51)/(AV$116-AV$51)*(AR$116-AR$51)+AR$51</f>
        <v>0.552480085054283</v>
      </c>
      <c r="AS79" s="39" t="n">
        <f aca="false">(AV79-AV$77)/(AV$86-AV$77)*(AS$86-AS$77)+AS$77</f>
        <v>80.4079793896522</v>
      </c>
      <c r="AT79" s="39" t="n">
        <f aca="false">8314.4621*AS79/(Sheet1!R$22*Sheet1!R$12*9.80665)</f>
        <v>10932.6996737961</v>
      </c>
      <c r="AU79" s="39" t="n">
        <f aca="false">AU78-LN(AP79/AP78)*(AT78+AT79)/2</f>
        <v>251144.409548057</v>
      </c>
      <c r="AV79" s="39" t="n">
        <f aca="false">Sheet1!R$10*10/Sheet1!R$11*1000*AU79/(Sheet1!R$10*10/Sheet1!R$11*1000-AU79)</f>
        <v>256289.548421899</v>
      </c>
    </row>
    <row r="80" customFormat="false" ht="15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187.615479305849</v>
      </c>
      <c r="T80" s="37" t="n">
        <f aca="false">(X80-X$54)/(X$100-X$54)*(T$100-T$54)+T$54</f>
        <v>1.48382096540908</v>
      </c>
      <c r="U80" s="39" t="n">
        <f aca="false">(X80-X$77)/(X$90-X$77)*(U$90-U$77)+U$77</f>
        <v>190.695923542892</v>
      </c>
      <c r="V80" s="39" t="n">
        <f aca="false">8314.4621*U80/(Sheet1!H$20*Sheet1!H$12*9.80665)</f>
        <v>61242.2255878731</v>
      </c>
      <c r="W80" s="39" t="n">
        <f aca="false">W79-LN(R80/R79)*(V79+V80)/2</f>
        <v>1787036.5111055</v>
      </c>
      <c r="X80" s="39" t="n">
        <f aca="false">Sheet1!H$10*10/Sheet1!H$11*1000*W80/(Sheet1!H$10*10/Sheet1!H$11*1000-W80)</f>
        <v>1841895.41710559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303.208662407699</v>
      </c>
      <c r="AI80" s="37" t="n">
        <f aca="false">(AM80-AM$62)/(AM$95-AM$62)*(AI$95-AI$62)+AI$62</f>
        <v>0.2</v>
      </c>
      <c r="AJ80" s="39" t="n">
        <f aca="false">0.18*(320*LOG(Sheet1!M15)-AJ62)+AJ62</f>
        <v>304.139071010585</v>
      </c>
      <c r="AK80" s="39" t="n">
        <f aca="false">8314.4621*AJ80/(Sheet1!M$21*Sheet1!M$12*9.80665)</f>
        <v>11103.2130873533</v>
      </c>
      <c r="AL80" s="39" t="n">
        <f aca="false">AL79-LN(AG80/AG79)*(AK79+AK80)/2</f>
        <v>128097.192981269</v>
      </c>
      <c r="AM80" s="39" t="n">
        <f aca="false">Sheet1!M$10*10/Sheet1!M$11*1000*AL80/(Sheet1!M$10*10/Sheet1!M$11*1000-AL80)</f>
        <v>131319.738947202</v>
      </c>
      <c r="AN80" s="41"/>
      <c r="AO80" s="37" t="n">
        <f aca="false">AO79+(AO$86-AO$77)/9</f>
        <v>-3.56666666666667</v>
      </c>
      <c r="AP80" s="40" t="n">
        <f aca="false">10^AO80</f>
        <v>0.000271227257933201</v>
      </c>
      <c r="AQ80" s="39" t="n">
        <f aca="false">AS80-AR80*((Sheet1!R$19-Sheet1!R$20)*COS(RADIANS(38))+Sheet1!R$20)/2</f>
        <v>80.9901515705828</v>
      </c>
      <c r="AR80" s="37" t="n">
        <f aca="false">(AV80-AV$51)/(AV$116-AV$51)*(AR$116-AR$51)+AR$51</f>
        <v>0.567239764587979</v>
      </c>
      <c r="AS80" s="39" t="n">
        <f aca="false">(AV80-AV$77)/(AV$86-AV$77)*(AS$86-AS$77)+AS$77</f>
        <v>82.1677535216141</v>
      </c>
      <c r="AT80" s="39" t="n">
        <f aca="false">8314.4621*AS80/(Sheet1!R$22*Sheet1!R$12*9.80665)</f>
        <v>11171.9679929915</v>
      </c>
      <c r="AU80" s="39" t="n">
        <f aca="false">AU79-LN(AP80/AP79)*(AT79+AT80)/2</f>
        <v>253406.537470508</v>
      </c>
      <c r="AV80" s="39" t="n">
        <f aca="false">Sheet1!R$10*10/Sheet1!R$11*1000*AU80/(Sheet1!R$10*10/Sheet1!R$11*1000-AU80)</f>
        <v>258645.747976192</v>
      </c>
    </row>
    <row r="81" customFormat="false" ht="15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187.565001319085</v>
      </c>
      <c r="T81" s="37" t="n">
        <f aca="false">(X81-X$54)/(X$100-X$54)*(T$100-T$54)+T$54</f>
        <v>1.50813573603566</v>
      </c>
      <c r="U81" s="39" t="n">
        <f aca="false">(X81-X$77)/(X$90-X$77)*(U$90-U$77)+U$77</f>
        <v>190.695923542892</v>
      </c>
      <c r="V81" s="39" t="n">
        <f aca="false">8314.4621*U81/(Sheet1!H$20*Sheet1!H$12*9.80665)</f>
        <v>61242.2255878731</v>
      </c>
      <c r="W81" s="39" t="n">
        <f aca="false">W80-LN(R81/R80)*(V80+V81)/2</f>
        <v>1801138.05467554</v>
      </c>
      <c r="X81" s="39" t="n">
        <f aca="false">Sheet1!H$10*10/Sheet1!H$11*1000*W81/(Sheet1!H$10*10/Sheet1!H$11*1000-W81)</f>
        <v>1856879.66513947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324.021650204342</v>
      </c>
      <c r="AI81" s="37" t="n">
        <f aca="false">(AM81-AM$62)/(AM$95-AM$62)*(AI$95-AI$62)+AI$62</f>
        <v>0.2</v>
      </c>
      <c r="AJ81" s="39" t="n">
        <f aca="false">(AM81-AM$80)/(AM$95-AM$80)*(AJ$95-AJ$80)+AJ$80</f>
        <v>324.952058807227</v>
      </c>
      <c r="AK81" s="39" t="n">
        <f aca="false">8314.4621*AJ81/(Sheet1!M$21*Sheet1!M$12*9.80665)</f>
        <v>11863.0333818085</v>
      </c>
      <c r="AL81" s="39" t="n">
        <f aca="false">AL80-LN(AG81/AG80)*(AK80+AK81)/2</f>
        <v>130741.279819365</v>
      </c>
      <c r="AM81" s="39" t="n">
        <f aca="false">Sheet1!M$10*10/Sheet1!M$11*1000*AL81/(Sheet1!M$10*10/Sheet1!M$11*1000-AL81)</f>
        <v>134099.977655068</v>
      </c>
      <c r="AN81" s="41"/>
      <c r="AO81" s="37" t="n">
        <f aca="false">AO80+(AO$86-AO$77)/9</f>
        <v>-3.65555555555556</v>
      </c>
      <c r="AP81" s="40" t="n">
        <f aca="false">10^AO81</f>
        <v>0.000221026549797061</v>
      </c>
      <c r="AQ81" s="39" t="n">
        <f aca="false">AS81-AR81*((Sheet1!R$19-Sheet1!R$20)*COS(RADIANS(38))+Sheet1!R$20)/2</f>
        <v>82.7577940097808</v>
      </c>
      <c r="AR81" s="37" t="n">
        <f aca="false">(AV81-AV$51)/(AV$116-AV$51)*(AR$116-AR$51)+AR$51</f>
        <v>0.58232815913105</v>
      </c>
      <c r="AS81" s="39" t="n">
        <f aca="false">(AV81-AV$77)/(AV$86-AV$77)*(AS$86-AS$77)+AS$77</f>
        <v>83.9667197923929</v>
      </c>
      <c r="AT81" s="39" t="n">
        <f aca="false">8314.4621*AS81/(Sheet1!R$22*Sheet1!R$12*9.80665)</f>
        <v>11416.5650853572</v>
      </c>
      <c r="AU81" s="39" t="n">
        <f aca="false">AU80-LN(AP81/AP80)*(AT80+AT81)/2</f>
        <v>255718.182783344</v>
      </c>
      <c r="AV81" s="39" t="n">
        <f aca="false">Sheet1!R$10*10/Sheet1!R$11*1000*AU81/(Sheet1!R$10*10/Sheet1!R$11*1000-AU81)</f>
        <v>261054.422799804</v>
      </c>
    </row>
    <row r="82" customFormat="false" ht="15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187.514498864831</v>
      </c>
      <c r="T82" s="37" t="n">
        <f aca="false">(X82-X$54)/(X$100-X$54)*(T$100-T$54)+T$54</f>
        <v>1.53246229242177</v>
      </c>
      <c r="U82" s="39" t="n">
        <f aca="false">(X82-X$77)/(X$90-X$77)*(U$90-U$77)+U$77</f>
        <v>190.695923542892</v>
      </c>
      <c r="V82" s="39" t="n">
        <f aca="false">8314.4621*U82/(Sheet1!H$20*Sheet1!H$12*9.80665)</f>
        <v>61242.2255878731</v>
      </c>
      <c r="W82" s="39" t="n">
        <f aca="false">W81-LN(R82/R81)*(V81+V82)/2</f>
        <v>1815239.59824558</v>
      </c>
      <c r="X82" s="39" t="n">
        <f aca="false">Sheet1!H$10*10/Sheet1!H$11*1000*W82/(Sheet1!H$10*10/Sheet1!H$11*1000-W82)</f>
        <v>1871871.17627884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346.283746615158</v>
      </c>
      <c r="AI82" s="37" t="n">
        <f aca="false">(AM82-AM$62)/(AM$95-AM$62)*(AI$95-AI$62)+AI$62</f>
        <v>0.2</v>
      </c>
      <c r="AJ82" s="39" t="n">
        <f aca="false">(AM82-AM$80)/(AM$95-AM$80)*(AJ$95-AJ$80)+AJ$80</f>
        <v>347.214155218043</v>
      </c>
      <c r="AK82" s="39" t="n">
        <f aca="false">8314.4621*AJ82/(Sheet1!M$21*Sheet1!M$12*9.80665)</f>
        <v>12675.7563226631</v>
      </c>
      <c r="AL82" s="39" t="n">
        <f aca="false">AL81-LN(AG82/AG81)*(AK81+AK82)/2</f>
        <v>133566.412388046</v>
      </c>
      <c r="AM82" s="39" t="n">
        <f aca="false">Sheet1!M$10*10/Sheet1!M$11*1000*AL82/(Sheet1!M$10*10/Sheet1!M$11*1000-AL82)</f>
        <v>137073.778838611</v>
      </c>
      <c r="AN82" s="41"/>
      <c r="AO82" s="37" t="n">
        <f aca="false">AO81+(AO$86-AO$77)/9</f>
        <v>-3.74444444444444</v>
      </c>
      <c r="AP82" s="40" t="n">
        <f aca="false">10^AO82</f>
        <v>0.000180117352833415</v>
      </c>
      <c r="AQ82" s="39" t="n">
        <f aca="false">AS82-AR82*((Sheet1!R$19-Sheet1!R$20)*COS(RADIANS(38))+Sheet1!R$20)/2</f>
        <v>84.5648334973663</v>
      </c>
      <c r="AR82" s="37" t="n">
        <f aca="false">(AV82-AV$51)/(AV$116-AV$51)*(AR$116-AR$51)+AR$51</f>
        <v>0.597752842729511</v>
      </c>
      <c r="AS82" s="39" t="n">
        <f aca="false">(AV82-AV$77)/(AV$86-AV$77)*(AS$86-AS$77)+AS$77</f>
        <v>85.8057812548707</v>
      </c>
      <c r="AT82" s="39" t="n">
        <f aca="false">8314.4621*AS82/(Sheet1!R$22*Sheet1!R$12*9.80665)</f>
        <v>11666.6137348015</v>
      </c>
      <c r="AU82" s="39" t="n">
        <f aca="false">AU81-LN(AP82/AP81)*(AT81+AT82)/2</f>
        <v>258080.448714464</v>
      </c>
      <c r="AV82" s="39" t="n">
        <f aca="false">Sheet1!R$10*10/Sheet1!R$11*1000*AU82/(Sheet1!R$10*10/Sheet1!R$11*1000-AU82)</f>
        <v>263516.781995127</v>
      </c>
    </row>
    <row r="83" customFormat="false" ht="15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187.463971925293</v>
      </c>
      <c r="T83" s="37" t="n">
        <f aca="false">(X83-X$54)/(X$100-X$54)*(T$100-T$54)+T$54</f>
        <v>1.55680064313862</v>
      </c>
      <c r="U83" s="39" t="n">
        <f aca="false">(X83-X$77)/(X$90-X$77)*(U$90-U$77)+U$77</f>
        <v>190.695923542892</v>
      </c>
      <c r="V83" s="39" t="n">
        <f aca="false">8314.4621*U83/(Sheet1!H$20*Sheet1!H$12*9.80665)</f>
        <v>61242.2255878731</v>
      </c>
      <c r="W83" s="39" t="n">
        <f aca="false">W82-LN(R83/R82)*(V82+V83)/2</f>
        <v>1829341.14181562</v>
      </c>
      <c r="X83" s="39" t="n">
        <f aca="false">Sheet1!H$10*10/Sheet1!H$11*1000*W83/(Sheet1!H$10*10/Sheet1!H$11*1000-W83)</f>
        <v>1886869.95580581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370.099230049218</v>
      </c>
      <c r="AI83" s="37" t="n">
        <f aca="false">(AM83-AM$62)/(AM$95-AM$62)*(AI$95-AI$62)+AI$62</f>
        <v>0.2</v>
      </c>
      <c r="AJ83" s="39" t="n">
        <f aca="false">(AM83-AM$80)/(AM$95-AM$80)*(AJ$95-AJ$80)+AJ$80</f>
        <v>371.029638652104</v>
      </c>
      <c r="AK83" s="39" t="n">
        <f aca="false">8314.4621*AJ83/(Sheet1!M$21*Sheet1!M$12*9.80665)</f>
        <v>13545.1888045473</v>
      </c>
      <c r="AL83" s="39" t="n">
        <f aca="false">AL82-LN(AG83/AG82)*(AK82+AK83)/2</f>
        <v>136585.210256753</v>
      </c>
      <c r="AM83" s="39" t="n">
        <f aca="false">Sheet1!M$10*10/Sheet1!M$11*1000*AL83/(Sheet1!M$10*10/Sheet1!M$11*1000-AL83)</f>
        <v>140255.089743771</v>
      </c>
      <c r="AN83" s="41"/>
      <c r="AO83" s="37" t="n">
        <f aca="false">AO82+(AO$86-AO$77)/9</f>
        <v>-3.83333333333333</v>
      </c>
      <c r="AP83" s="40" t="n">
        <f aca="false">10^AO83</f>
        <v>0.000146779926762208</v>
      </c>
      <c r="AQ83" s="39" t="n">
        <f aca="false">AS83-AR83*((Sheet1!R$19-Sheet1!R$20)*COS(RADIANS(38))+Sheet1!R$20)/2</f>
        <v>86.4121791321932</v>
      </c>
      <c r="AR83" s="37" t="n">
        <f aca="false">(AV83-AV$51)/(AV$116-AV$51)*(AR$116-AR$51)+AR$51</f>
        <v>0.61352157524929</v>
      </c>
      <c r="AS83" s="39" t="n">
        <f aca="false">(AV83-AV$77)/(AV$86-AV$77)*(AS$86-AS$77)+AS$77</f>
        <v>87.6858631175502</v>
      </c>
      <c r="AT83" s="39" t="n">
        <f aca="false">8314.4621*AS83/(Sheet1!R$22*Sheet1!R$12*9.80665)</f>
        <v>11922.2397376291</v>
      </c>
      <c r="AU83" s="39" t="n">
        <f aca="false">AU82-LN(AP83/AP82)*(AT82+AT83)/2</f>
        <v>260494.46393075</v>
      </c>
      <c r="AV83" s="39" t="n">
        <f aca="false">Sheet1!R$10*10/Sheet1!R$11*1000*AU83/(Sheet1!R$10*10/Sheet1!R$11*1000-AU83)</f>
        <v>266034.064328396</v>
      </c>
    </row>
    <row r="84" customFormat="false" ht="15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187.413420482659</v>
      </c>
      <c r="T84" s="37" t="n">
        <f aca="false">(X84-X$54)/(X$100-X$54)*(T$100-T$54)+T$54</f>
        <v>1.58115079676571</v>
      </c>
      <c r="U84" s="39" t="n">
        <f aca="false">(X84-X$77)/(X$90-X$77)*(U$90-U$77)+U$77</f>
        <v>190.695923542892</v>
      </c>
      <c r="V84" s="39" t="n">
        <f aca="false">8314.4621*U84/(Sheet1!H$20*Sheet1!H$12*9.80665)</f>
        <v>61242.2255878731</v>
      </c>
      <c r="W84" s="39" t="n">
        <f aca="false">W83-LN(R84/R83)*(V83+V84)/2</f>
        <v>1843442.68538566</v>
      </c>
      <c r="X84" s="39" t="n">
        <f aca="false">Sheet1!H$10*10/Sheet1!H$11*1000*W84/(Sheet1!H$10*10/Sheet1!H$11*1000-W84)</f>
        <v>1901876.00900759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395.580579601232</v>
      </c>
      <c r="AI84" s="37" t="n">
        <f aca="false">(AM84-AM$62)/(AM$95-AM$62)*(AI$95-AI$62)+AI$62</f>
        <v>0.2</v>
      </c>
      <c r="AJ84" s="39" t="n">
        <f aca="false">(AM84-AM$80)/(AM$95-AM$80)*(AJ$95-AJ$80)+AJ$80</f>
        <v>396.510988204117</v>
      </c>
      <c r="AK84" s="39" t="n">
        <f aca="false">8314.4621*AJ84/(Sheet1!M$21*Sheet1!M$12*9.80665)</f>
        <v>14475.4371047386</v>
      </c>
      <c r="AL84" s="39" t="n">
        <f aca="false">AL83-LN(AG84/AG83)*(AK83+AK84)/2</f>
        <v>139811.204032507</v>
      </c>
      <c r="AM84" s="39" t="n">
        <f aca="false">Sheet1!M$10*10/Sheet1!M$11*1000*AL84/(Sheet1!M$10*10/Sheet1!M$11*1000-AL84)</f>
        <v>143658.92968958</v>
      </c>
      <c r="AN84" s="41"/>
      <c r="AO84" s="37" t="n">
        <f aca="false">AO83+(AO$86-AO$77)/9</f>
        <v>-3.92222222222222</v>
      </c>
      <c r="AP84" s="40" t="n">
        <f aca="false">10^AO84</f>
        <v>0.000119612833307876</v>
      </c>
      <c r="AQ84" s="39" t="n">
        <f aca="false">AS84-AR84*((Sheet1!R$19-Sheet1!R$20)*COS(RADIANS(38))+Sheet1!R$20)/2</f>
        <v>88.3007623759996</v>
      </c>
      <c r="AR84" s="37" t="n">
        <f aca="false">(AV84-AV$51)/(AV$116-AV$51)*(AR$116-AR$51)+AR$51</f>
        <v>0.62964230743837</v>
      </c>
      <c r="AS84" s="39" t="n">
        <f aca="false">(AV84-AV$77)/(AV$86-AV$77)*(AS$86-AS$77)+AS$77</f>
        <v>89.6079133480932</v>
      </c>
      <c r="AT84" s="39" t="n">
        <f aca="false">8314.4621*AS84/(Sheet1!R$22*Sheet1!R$12*9.80665)</f>
        <v>12183.5719846024</v>
      </c>
      <c r="AU84" s="39" t="n">
        <f aca="false">AU83-LN(AP84/AP83)*(AT83+AT84)/2</f>
        <v>262961.383163023</v>
      </c>
      <c r="AV84" s="39" t="n">
        <f aca="false">Sheet1!R$10*10/Sheet1!R$11*1000*AU84/(Sheet1!R$10*10/Sheet1!R$11*1000-AU84)</f>
        <v>268607.539037794</v>
      </c>
    </row>
    <row r="85" customFormat="false" ht="15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187.362844519101</v>
      </c>
      <c r="T85" s="37" t="n">
        <f aca="false">(X85-X$54)/(X$100-X$54)*(T$100-T$54)+T$54</f>
        <v>1.60551276189088</v>
      </c>
      <c r="U85" s="39" t="n">
        <f aca="false">(X85-X$77)/(X$90-X$77)*(U$90-U$77)+U$77</f>
        <v>190.695923542892</v>
      </c>
      <c r="V85" s="39" t="n">
        <f aca="false">8314.4621*U85/(Sheet1!H$20*Sheet1!H$12*9.80665)</f>
        <v>61242.2255878731</v>
      </c>
      <c r="W85" s="39" t="n">
        <f aca="false">W84-LN(R85/R84)*(V84+V85)/2</f>
        <v>1857544.2289557</v>
      </c>
      <c r="X85" s="39" t="n">
        <f aca="false">Sheet1!H$10*10/Sheet1!H$11*1000*W85/(Sheet1!H$10*10/Sheet1!H$11*1000-W85)</f>
        <v>1916889.34117652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422.848950485093</v>
      </c>
      <c r="AI85" s="37" t="n">
        <f aca="false">(AM85-AM$62)/(AM$95-AM$62)*(AI$95-AI$62)+AI$62</f>
        <v>0.2</v>
      </c>
      <c r="AJ85" s="39" t="n">
        <f aca="false">(AM85-AM$80)/(AM$95-AM$80)*(AJ$95-AJ$80)+AJ$80</f>
        <v>423.779359087978</v>
      </c>
      <c r="AK85" s="39" t="n">
        <f aca="false">8314.4621*AJ85/(Sheet1!M$21*Sheet1!M$12*9.80665)</f>
        <v>15470.924239826</v>
      </c>
      <c r="AL85" s="39" t="n">
        <f aca="false">AL84-LN(AG85/AG84)*(AK84+AK85)/2</f>
        <v>143258.906293578</v>
      </c>
      <c r="AM85" s="39" t="n">
        <f aca="false">Sheet1!M$10*10/Sheet1!M$11*1000*AL85/(Sheet1!M$10*10/Sheet1!M$11*1000-AL85)</f>
        <v>147301.482791692</v>
      </c>
      <c r="AN85" s="41"/>
      <c r="AO85" s="37" t="n">
        <f aca="false">AO84+(AO$86-AO$77)/9</f>
        <v>-4.01111111111111</v>
      </c>
      <c r="AP85" s="40" t="n">
        <f aca="false">10^AO85</f>
        <v>9.74740225556608E-005</v>
      </c>
      <c r="AQ85" s="39" t="n">
        <f aca="false">AS85-AR85*((Sheet1!R$19-Sheet1!R$20)*COS(RADIANS(38))+Sheet1!R$20)/2</f>
        <v>90.2315376651836</v>
      </c>
      <c r="AR85" s="37" t="n">
        <f aca="false">(AV85-AV$51)/(AV$116-AV$51)*(AR$116-AR$51)+AR$51</f>
        <v>0.646123186148957</v>
      </c>
      <c r="AS85" s="39" t="n">
        <f aca="false">(AV85-AV$77)/(AV$86-AV$77)*(AS$86-AS$77)+AS$77</f>
        <v>91.5729032959381</v>
      </c>
      <c r="AT85" s="39" t="n">
        <f aca="false">8314.4621*AS85/(Sheet1!R$22*Sheet1!R$12*9.80665)</f>
        <v>12450.742545595</v>
      </c>
      <c r="AU85" s="39" t="n">
        <f aca="false">AU84-LN(AP85/AP84)*(AT84+AT85)/2</f>
        <v>265482.387848061</v>
      </c>
      <c r="AV85" s="39" t="n">
        <f aca="false">Sheet1!R$10*10/Sheet1!R$11*1000*AU85/(Sheet1!R$10*10/Sheet1!R$11*1000-AU85)</f>
        <v>271238.506667112</v>
      </c>
    </row>
    <row r="86" customFormat="false" ht="15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187.312244016773</v>
      </c>
      <c r="T86" s="37" t="n">
        <f aca="false">(X86-X$54)/(X$100-X$54)*(T$100-T$54)+T$54</f>
        <v>1.6298865471103</v>
      </c>
      <c r="U86" s="39" t="n">
        <f aca="false">(X86-X$77)/(X$90-X$77)*(U$90-U$77)+U$77</f>
        <v>190.695923542892</v>
      </c>
      <c r="V86" s="39" t="n">
        <f aca="false">8314.4621*U86/(Sheet1!H$20*Sheet1!H$12*9.80665)</f>
        <v>61242.2255878731</v>
      </c>
      <c r="W86" s="39" t="n">
        <f aca="false">W85-LN(R86/R85)*(V85+V86)/2</f>
        <v>1871645.77252574</v>
      </c>
      <c r="X86" s="39" t="n">
        <f aca="false">Sheet1!H$10*10/Sheet1!H$11*1000*W86/(Sheet1!H$10*10/Sheet1!H$11*1000-W86)</f>
        <v>1931909.9576101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452.03490075497</v>
      </c>
      <c r="AI86" s="37" t="n">
        <f aca="false">(AM86-AM$62)/(AM$95-AM$62)*(AI$95-AI$62)+AI$62</f>
        <v>0.2</v>
      </c>
      <c r="AJ86" s="39" t="n">
        <f aca="false">(AM86-AM$80)/(AM$95-AM$80)*(AJ$95-AJ$80)+AJ$80</f>
        <v>452.965309357855</v>
      </c>
      <c r="AK86" s="39" t="n">
        <f aca="false">8314.4621*AJ86/(Sheet1!M$21*Sheet1!M$12*9.80665)</f>
        <v>16536.4164961369</v>
      </c>
      <c r="AL86" s="39" t="n">
        <f aca="false">AL85-LN(AG86/AG85)*(AK85+AK86)/2</f>
        <v>146943.887575828</v>
      </c>
      <c r="AM86" s="39" t="n">
        <f aca="false">Sheet1!M$10*10/Sheet1!M$11*1000*AL86/(Sheet1!M$10*10/Sheet1!M$11*1000-AL86)</f>
        <v>151200.198883526</v>
      </c>
      <c r="AN86" s="41"/>
      <c r="AO86" s="37" t="n">
        <f aca="false">AO69+0.4*(AO116-AO69)</f>
        <v>-4.1</v>
      </c>
      <c r="AP86" s="40" t="n">
        <f aca="false">10^AO86</f>
        <v>7.94328234724282E-005</v>
      </c>
      <c r="AQ86" s="39" t="n">
        <f aca="false">AS86-AR86*((Sheet1!R$19-Sheet1!R$20)*COS(RADIANS(38))+Sheet1!R$20)/2</f>
        <v>92.2055244442615</v>
      </c>
      <c r="AR86" s="37" t="n">
        <f aca="false">(AV86-AV$51)/(AV$116-AV$51)*(AR$116-AR$51)+AR$51</f>
        <v>0.662972563494825</v>
      </c>
      <c r="AS86" s="39" t="n">
        <f aca="false">AS69+0.28*(AS116-AS69)</f>
        <v>93.5818697447692</v>
      </c>
      <c r="AT86" s="39" t="n">
        <f aca="false">8314.4621*AS86/(Sheet1!R$22*Sheet1!R$12*9.80665)</f>
        <v>12723.8923872714</v>
      </c>
      <c r="AU86" s="39" t="n">
        <f aca="false">AU85-LN(AP86/AP85)*(AT85+AT86)/2</f>
        <v>268058.687364416</v>
      </c>
      <c r="AV86" s="39" t="n">
        <f aca="false">Sheet1!R$10*10/Sheet1!R$11*1000*AU86/(Sheet1!R$10*10/Sheet1!R$11*1000-AU86)</f>
        <v>273928.300527597</v>
      </c>
    </row>
    <row r="87" customFormat="false" ht="15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27684.3390877862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187.261618957813</v>
      </c>
      <c r="T87" s="37" t="n">
        <f aca="false">(X87-X$54)/(X$100-X$54)*(T$100-T$54)+T$54</f>
        <v>1.65427216102847</v>
      </c>
      <c r="U87" s="39" t="n">
        <f aca="false">(X87-X$77)/(X$90-X$77)*(U$90-U$77)+U$77</f>
        <v>190.695923542892</v>
      </c>
      <c r="V87" s="39" t="n">
        <f aca="false">8314.4621*U87/(Sheet1!H$20*Sheet1!H$12*9.80665)</f>
        <v>61242.2255878731</v>
      </c>
      <c r="W87" s="39" t="n">
        <f aca="false">W86-LN(R87/R86)*(V86+V87)/2</f>
        <v>1885747.31609579</v>
      </c>
      <c r="X87" s="39" t="n">
        <f aca="false">Sheet1!H$10*10/Sheet1!H$11*1000*W87/(Sheet1!H$10*10/Sheet1!H$11*1000-W87)</f>
        <v>1946937.86361095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483.279504969882</v>
      </c>
      <c r="AI87" s="37" t="n">
        <f aca="false">(AM87-AM$62)/(AM$95-AM$62)*(AI$95-AI$62)+AI$62</f>
        <v>0.2</v>
      </c>
      <c r="AJ87" s="39" t="n">
        <f aca="false">(AM87-AM$80)/(AM$95-AM$80)*(AJ$95-AJ$80)+AJ$80</f>
        <v>484.209913572767</v>
      </c>
      <c r="AK87" s="39" t="n">
        <f aca="false">8314.4621*AJ87/(Sheet1!M$21*Sheet1!M$12*9.80665)</f>
        <v>17677.0640863181</v>
      </c>
      <c r="AL87" s="39" t="n">
        <f aca="false">AL86-LN(AG87/AG86)*(AK86+AK87)/2</f>
        <v>150882.860094258</v>
      </c>
      <c r="AM87" s="39" t="n">
        <f aca="false">Sheet1!M$10*10/Sheet1!M$11*1000*AL87/(Sheet1!M$10*10/Sheet1!M$11*1000-AL87)</f>
        <v>155373.905939501</v>
      </c>
      <c r="AN87" s="41"/>
      <c r="AO87" s="37" t="n">
        <f aca="false">AO86+(AO$96-AO$86)/10</f>
        <v>-4.18</v>
      </c>
      <c r="AP87" s="40" t="n">
        <f aca="false">10^AO87</f>
        <v>6.60693448007596E-005</v>
      </c>
      <c r="AQ87" s="39" t="n">
        <f aca="false">AS87-AR87*((Sheet1!R$19-Sheet1!R$20)*COS(RADIANS(38))+Sheet1!R$20)/2</f>
        <v>94.9394074578634</v>
      </c>
      <c r="AR87" s="37" t="n">
        <f aca="false">(AV87-AV$51)/(AV$116-AV$51)*(AR$116-AR$51)+AR$51</f>
        <v>0.678534392320078</v>
      </c>
      <c r="AS87" s="39" t="n">
        <f aca="false">(AV87-AV$86)/(AV$96-AV$86)*(AS$96-AS$86)+AS$86</f>
        <v>96.3480594497039</v>
      </c>
      <c r="AT87" s="39" t="n">
        <f aca="false">8314.4621*AS87/(Sheet1!R$22*Sheet1!R$12*9.80665)</f>
        <v>13099.9983597676</v>
      </c>
      <c r="AU87" s="39" t="n">
        <f aca="false">AU86-LN(AP87/AP86)*(AT86+AT87)/2</f>
        <v>270437.155599505</v>
      </c>
      <c r="AV87" s="39" t="n">
        <f aca="false">Sheet1!R$10*10/Sheet1!R$11*1000*AU87/(Sheet1!R$10*10/Sheet1!R$11*1000-AU87)</f>
        <v>276412.55325533</v>
      </c>
    </row>
    <row r="88" customFormat="false" ht="15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187.210969324338</v>
      </c>
      <c r="T88" s="37" t="n">
        <f aca="false">(X88-X$54)/(X$100-X$54)*(T$100-T$54)+T$54</f>
        <v>1.67866961225826</v>
      </c>
      <c r="U88" s="39" t="n">
        <f aca="false">(X88-X$77)/(X$90-X$77)*(U$90-U$77)+U$77</f>
        <v>190.695923542892</v>
      </c>
      <c r="V88" s="39" t="n">
        <f aca="false">8314.4621*U88/(Sheet1!H$20*Sheet1!H$12*9.80665)</f>
        <v>61242.2255878731</v>
      </c>
      <c r="W88" s="39" t="n">
        <f aca="false">W87-LN(R88/R87)*(V87+V88)/2</f>
        <v>1899848.85966583</v>
      </c>
      <c r="X88" s="39" t="n">
        <f aca="false">Sheet1!H$10*10/Sheet1!H$11*1000*W88/(Sheet1!H$10*10/Sheet1!H$11*1000-W88)</f>
        <v>1961973.06448683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516.734896754934</v>
      </c>
      <c r="AI88" s="37" t="n">
        <f aca="false">(AM88-AM$62)/(AM$95-AM$62)*(AI$95-AI$62)+AI$62</f>
        <v>0.2</v>
      </c>
      <c r="AJ88" s="39" t="n">
        <f aca="false">(AM88-AM$80)/(AM$95-AM$80)*(AJ$95-AJ$80)+AJ$80</f>
        <v>517.665305357819</v>
      </c>
      <c r="AK88" s="39" t="n">
        <f aca="false">8314.4621*AJ88/(Sheet1!M$21*Sheet1!M$12*9.80665)</f>
        <v>18898.4209566341</v>
      </c>
      <c r="AL88" s="39" t="n">
        <f aca="false">AL87-LN(AG88/AG87)*(AK87+AK88)/2</f>
        <v>155093.768425705</v>
      </c>
      <c r="AM88" s="39" t="n">
        <f aca="false">Sheet1!M$10*10/Sheet1!M$11*1000*AL88/(Sheet1!M$10*10/Sheet1!M$11*1000-AL88)</f>
        <v>159842.933741843</v>
      </c>
      <c r="AN88" s="41"/>
      <c r="AO88" s="37" t="n">
        <f aca="false">AO87+(AO$96-AO$86)/10</f>
        <v>-4.26</v>
      </c>
      <c r="AP88" s="40" t="n">
        <f aca="false">10^AO88</f>
        <v>5.49540873857625E-005</v>
      </c>
      <c r="AQ88" s="39" t="n">
        <f aca="false">AS88-AR88*((Sheet1!R$19-Sheet1!R$20)*COS(RADIANS(38))+Sheet1!R$20)/2</f>
        <v>97.7552069398322</v>
      </c>
      <c r="AR88" s="37" t="n">
        <f aca="false">(AV88-AV$51)/(AV$116-AV$51)*(AR$116-AR$51)+AR$51</f>
        <v>0.694562625720606</v>
      </c>
      <c r="AS88" s="39" t="n">
        <f aca="false">(AV88-AV$86)/(AV$96-AV$86)*(AS$96-AS$86)+AS$86</f>
        <v>99.1971338889348</v>
      </c>
      <c r="AT88" s="39" t="n">
        <f aca="false">8314.4621*AS88/(Sheet1!R$22*Sheet1!R$12*9.80665)</f>
        <v>13487.3737848042</v>
      </c>
      <c r="AU88" s="39" t="n">
        <f aca="false">AU87-LN(AP88/AP87)*(AT87+AT88)/2</f>
        <v>272885.943069984</v>
      </c>
      <c r="AV88" s="39" t="n">
        <f aca="false">Sheet1!R$10*10/Sheet1!R$11*1000*AU88/(Sheet1!R$10*10/Sheet1!R$11*1000-AU88)</f>
        <v>278971.261681771</v>
      </c>
    </row>
    <row r="89" customFormat="false" ht="15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187.160295098453</v>
      </c>
      <c r="T89" s="37" t="n">
        <f aca="false">(X89-X$54)/(X$100-X$54)*(T$100-T$54)+T$54</f>
        <v>1.7030789094209</v>
      </c>
      <c r="U89" s="39" t="n">
        <f aca="false">(X89-X$77)/(X$90-X$77)*(U$90-U$77)+U$77</f>
        <v>190.695923542892</v>
      </c>
      <c r="V89" s="39" t="n">
        <f aca="false">8314.4621*U89/(Sheet1!H$20*Sheet1!H$12*9.80665)</f>
        <v>61242.2255878731</v>
      </c>
      <c r="W89" s="39" t="n">
        <f aca="false">W88-LN(R89/R88)*(V88+V89)/2</f>
        <v>1913950.40323587</v>
      </c>
      <c r="X89" s="39" t="n">
        <f aca="false">Sheet1!H$10*10/Sheet1!H$11*1000*W89/(Sheet1!H$10*10/Sheet1!H$11*1000-W89)</f>
        <v>1977015.56555069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552.565528284573</v>
      </c>
      <c r="AI89" s="37" t="n">
        <f aca="false">(AM89-AM$62)/(AM$95-AM$62)*(AI$95-AI$62)+AI$62</f>
        <v>0.2</v>
      </c>
      <c r="AJ89" s="39" t="n">
        <f aca="false">(AM89-AM$80)/(AM$95-AM$80)*(AJ$95-AJ$80)+AJ$80</f>
        <v>553.495936887458</v>
      </c>
      <c r="AK89" s="39" t="n">
        <f aca="false">8314.4621*AJ89/(Sheet1!M$21*Sheet1!M$12*9.80665)</f>
        <v>20206.4907669552</v>
      </c>
      <c r="AL89" s="39" t="n">
        <f aca="false">AL88-LN(AG89/AG88)*(AK88+AK89)/2</f>
        <v>159595.887765584</v>
      </c>
      <c r="AM89" s="39" t="n">
        <f aca="false">Sheet1!M$10*10/Sheet1!M$11*1000*AL89/(Sheet1!M$10*10/Sheet1!M$11*1000-AL89)</f>
        <v>164629.2500874</v>
      </c>
      <c r="AN89" s="41"/>
      <c r="AO89" s="37" t="n">
        <f aca="false">AO88+(AO$96-AO$86)/10</f>
        <v>-4.34</v>
      </c>
      <c r="AP89" s="40" t="n">
        <f aca="false">10^AO89</f>
        <v>4.57088189614875E-005</v>
      </c>
      <c r="AQ89" s="39" t="n">
        <f aca="false">AS89-AR89*((Sheet1!R$19-Sheet1!R$20)*COS(RADIANS(38))+Sheet1!R$20)/2</f>
        <v>100.655477568405</v>
      </c>
      <c r="AR89" s="37" t="n">
        <f aca="false">(AV89-AV$51)/(AV$116-AV$51)*(AR$116-AR$51)+AR$51</f>
        <v>0.711071628024249</v>
      </c>
      <c r="AS89" s="39" t="n">
        <f aca="false">(AV89-AV$86)/(AV$96-AV$86)*(AS$96-AS$86)+AS$86</f>
        <v>102.131677561352</v>
      </c>
      <c r="AT89" s="39" t="n">
        <f aca="false">8314.4621*AS89/(Sheet1!R$22*Sheet1!R$12*9.80665)</f>
        <v>13886.3700646971</v>
      </c>
      <c r="AU89" s="39" t="n">
        <f aca="false">AU88-LN(AP89/AP88)*(AT88+AT89)/2</f>
        <v>275407.158051076</v>
      </c>
      <c r="AV89" s="39" t="n">
        <f aca="false">Sheet1!R$10*10/Sheet1!R$11*1000*AU89/(Sheet1!R$10*10/Sheet1!R$11*1000-AU89)</f>
        <v>281606.718893486</v>
      </c>
    </row>
    <row r="90" customFormat="false" ht="15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187.10959626224</v>
      </c>
      <c r="T90" s="37" t="n">
        <f aca="false">(X90-X$54)/(X$100-X$54)*(T$100-T$54)+T$54</f>
        <v>1.727500061146</v>
      </c>
      <c r="U90" s="39" t="n">
        <f aca="false">70/610*(U$170-U$54)+U$54</f>
        <v>190.695923542892</v>
      </c>
      <c r="V90" s="39" t="n">
        <f aca="false">8314.4621*U90/(Sheet1!H$20*Sheet1!H$12*9.80665)</f>
        <v>61242.2255878731</v>
      </c>
      <c r="W90" s="39" t="n">
        <f aca="false">W89-LN(R90/R89)*(V89+V90)/2</f>
        <v>1928051.94680591</v>
      </c>
      <c r="X90" s="39" t="n">
        <f aca="false">Sheet1!H$10*10/Sheet1!H$11*1000*W90/(Sheet1!H$10*10/Sheet1!H$11*1000-W90)</f>
        <v>1992065.37212061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187.10959626224</v>
      </c>
      <c r="AA90" s="39" t="n">
        <f aca="false">IF(Y90=LOG(Sheet1!H$17*101325),(LOG(Sheet1!H$17*101325)-Q100)/(Q90-Q100)*(X90-X100)+X100,IF(Y90=0,0,X90))</f>
        <v>1992065.37212061</v>
      </c>
      <c r="AB90" s="32" t="n">
        <f aca="false">IF(Y90=0,0,AB77+1)</f>
        <v>6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590.949251249044</v>
      </c>
      <c r="AI90" s="37" t="n">
        <f aca="false">(AM90-AM$62)/(AM$95-AM$62)*(AI$95-AI$62)+AI$62</f>
        <v>0.2</v>
      </c>
      <c r="AJ90" s="39" t="n">
        <f aca="false">(AM90-AM$80)/(AM$95-AM$80)*(AJ$95-AJ$80)+AJ$80</f>
        <v>591.87965985193</v>
      </c>
      <c r="AK90" s="39" t="n">
        <f aca="false">8314.4621*AJ90/(Sheet1!M$21*Sheet1!M$12*9.80665)</f>
        <v>21607.7663536279</v>
      </c>
      <c r="AL90" s="39" t="n">
        <f aca="false">AL89-LN(AG90/AG89)*(AK89+AK90)/2</f>
        <v>164409.932021608</v>
      </c>
      <c r="AM90" s="39" t="n">
        <f aca="false">Sheet1!M$10*10/Sheet1!M$11*1000*AL90/(Sheet1!M$10*10/Sheet1!M$11*1000-AL90)</f>
        <v>169756.612702575</v>
      </c>
      <c r="AN90" s="41"/>
      <c r="AO90" s="37" t="n">
        <f aca="false">AO89+(AO$96-AO$86)/10</f>
        <v>-4.42</v>
      </c>
      <c r="AP90" s="40" t="n">
        <f aca="false">10^AO90</f>
        <v>3.80189396320561E-005</v>
      </c>
      <c r="AQ90" s="39" t="n">
        <f aca="false">AS90-AR90*((Sheet1!R$19-Sheet1!R$20)*COS(RADIANS(38))+Sheet1!R$20)/2</f>
        <v>103.642814511551</v>
      </c>
      <c r="AR90" s="37" t="n">
        <f aca="false">(AV90-AV$51)/(AV$116-AV$51)*(AR$116-AR$51)+AR$51</f>
        <v>0.728076231060918</v>
      </c>
      <c r="AS90" s="39" t="n">
        <f aca="false">(AV90-AV$86)/(AV$96-AV$86)*(AS$96-AS$86)+AS$86</f>
        <v>105.154316426124</v>
      </c>
      <c r="AT90" s="39" t="n">
        <f aca="false">8314.4621*AS90/(Sheet1!R$22*Sheet1!R$12*9.80665)</f>
        <v>14297.3442389238</v>
      </c>
      <c r="AU90" s="39" t="n">
        <f aca="false">AU89-LN(AP90/AP89)*(AT89+AT90)/2</f>
        <v>278002.974067905</v>
      </c>
      <c r="AV90" s="39" t="n">
        <f aca="false">Sheet1!R$10*10/Sheet1!R$11*1000*AU90/(Sheet1!R$10*10/Sheet1!R$11*1000-AU90)</f>
        <v>284321.29260794</v>
      </c>
    </row>
    <row r="91" customFormat="false" ht="15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191.090962036215</v>
      </c>
      <c r="T91" s="37" t="n">
        <f aca="false">(X91-X$54)/(X$100-X$54)*(T$100-T$54)+T$54</f>
        <v>1.75219148062086</v>
      </c>
      <c r="U91" s="39" t="n">
        <f aca="false">(X91-X$90)/(X$100-X$90)*(U$100-U$90)+U$90</f>
        <v>194.72854923474</v>
      </c>
      <c r="V91" s="39" t="n">
        <f aca="false">8314.4621*U91/(Sheet1!H$20*Sheet1!H$12*9.80665)</f>
        <v>62537.3081871404</v>
      </c>
      <c r="W91" s="39" t="n">
        <f aca="false">W90-LN(R91/R90)*(V90+V91)/2</f>
        <v>1942302.59227032</v>
      </c>
      <c r="X91" s="39" t="n">
        <f aca="false">Sheet1!H$10*10/Sheet1!H$11*1000*W91/(Sheet1!H$10*10/Sheet1!H$11*1000-W91)</f>
        <v>2007281.73419952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632.078578589586</v>
      </c>
      <c r="AI91" s="37" t="n">
        <f aca="false">(AM91-AM$62)/(AM$95-AM$62)*(AI$95-AI$62)+AI$62</f>
        <v>0.2</v>
      </c>
      <c r="AJ91" s="39" t="n">
        <f aca="false">(AM91-AM$80)/(AM$95-AM$80)*(AJ$95-AJ$80)+AJ$80</f>
        <v>633.008987192472</v>
      </c>
      <c r="AK91" s="39" t="n">
        <f aca="false">8314.4621*AJ91/(Sheet1!M$21*Sheet1!M$12*9.80665)</f>
        <v>23109.2757916759</v>
      </c>
      <c r="AL91" s="39" t="n">
        <f aca="false">AL90-LN(AG91/AG90)*(AK90+AK91)/2</f>
        <v>169558.171753936</v>
      </c>
      <c r="AM91" s="39" t="n">
        <f aca="false">Sheet1!M$10*10/Sheet1!M$11*1000*AL91/(Sheet1!M$10*10/Sheet1!M$11*1000-AL91)</f>
        <v>175250.737788009</v>
      </c>
      <c r="AN91" s="41"/>
      <c r="AO91" s="37" t="n">
        <f aca="false">AO90+(AO$96-AO$86)/10</f>
        <v>-4.5</v>
      </c>
      <c r="AP91" s="40" t="n">
        <f aca="false">10^AO91</f>
        <v>3.16227766016838E-005</v>
      </c>
      <c r="AQ91" s="39" t="n">
        <f aca="false">AS91-AR91*((Sheet1!R$19-Sheet1!R$20)*COS(RADIANS(38))+Sheet1!R$20)/2</f>
        <v>106.719907967172</v>
      </c>
      <c r="AR91" s="37" t="n">
        <f aca="false">(AV91-AV$51)/(AV$116-AV$51)*(AR$116-AR$51)+AR$51</f>
        <v>0.745591748131202</v>
      </c>
      <c r="AS91" s="39" t="n">
        <f aca="false">(AV91-AV$86)/(AV$96-AV$86)*(AS$96-AS$86)+AS$86</f>
        <v>108.267772471893</v>
      </c>
      <c r="AT91" s="39" t="n">
        <f aca="false">8314.4621*AS91/(Sheet1!R$22*Sheet1!R$12*9.80665)</f>
        <v>14720.6664036433</v>
      </c>
      <c r="AU91" s="39" t="n">
        <f aca="false">AU90-LN(AP91/AP90)*(AT90+AT91)/2</f>
        <v>280675.631617262</v>
      </c>
      <c r="AV91" s="39" t="n">
        <f aca="false">Sheet1!R$10*10/Sheet1!R$11*1000*AU91/(Sheet1!R$10*10/Sheet1!R$11*1000-AU91)</f>
        <v>287117.427403415</v>
      </c>
    </row>
    <row r="92" customFormat="false" ht="15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195.15856010647</v>
      </c>
      <c r="T92" s="37" t="n">
        <f aca="false">(X92-X$54)/(X$100-X$54)*(T$100-T$54)+T$54</f>
        <v>1.77741769089883</v>
      </c>
      <c r="U92" s="39" t="n">
        <f aca="false">(X92-X$90)/(X$100-X$90)*(U$100-U$90)+U$90</f>
        <v>198.848517460078</v>
      </c>
      <c r="V92" s="39" t="n">
        <f aca="false">8314.4621*U92/(Sheet1!H$20*Sheet1!H$12*9.80665)</f>
        <v>63860.4409462644</v>
      </c>
      <c r="W92" s="39" t="n">
        <f aca="false">W91-LN(R92/R91)*(V91+V92)/2</f>
        <v>1956854.67091744</v>
      </c>
      <c r="X92" s="39" t="n">
        <f aca="false">Sheet1!H$10*10/Sheet1!H$11*1000*W92/(Sheet1!H$10*10/Sheet1!H$11*1000-W92)</f>
        <v>2022827.66706334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676.162089600377</v>
      </c>
      <c r="AI92" s="37" t="n">
        <f aca="false">(AM92-AM$62)/(AM$95-AM$62)*(AI$95-AI$62)+AI$62</f>
        <v>0.2</v>
      </c>
      <c r="AJ92" s="39" t="n">
        <f aca="false">(AM92-AM$80)/(AM$95-AM$80)*(AJ$95-AJ$80)+AJ$80</f>
        <v>677.092498203262</v>
      </c>
      <c r="AK92" s="39" t="n">
        <f aca="false">8314.4621*AJ92/(Sheet1!M$21*Sheet1!M$12*9.80665)</f>
        <v>24718.6336908932</v>
      </c>
      <c r="AL92" s="39" t="n">
        <f aca="false">AL91-LN(AG92/AG91)*(AK91+AK92)/2</f>
        <v>175064.563324117</v>
      </c>
      <c r="AM92" s="39" t="n">
        <f aca="false">Sheet1!M$10*10/Sheet1!M$11*1000*AL92/(Sheet1!M$10*10/Sheet1!M$11*1000-AL92)</f>
        <v>181139.48771444</v>
      </c>
      <c r="AN92" s="41"/>
      <c r="AO92" s="37" t="n">
        <f aca="false">AO91+(AO$96-AO$86)/10</f>
        <v>-4.58</v>
      </c>
      <c r="AP92" s="40" t="n">
        <f aca="false">10^AO92</f>
        <v>2.63026799189538E-005</v>
      </c>
      <c r="AQ92" s="39" t="n">
        <f aca="false">AS92-AR92*((Sheet1!R$19-Sheet1!R$20)*COS(RADIANS(38))+Sheet1!R$20)/2</f>
        <v>109.889535882676</v>
      </c>
      <c r="AR92" s="37" t="n">
        <f aca="false">(AV92-AV$51)/(AV$116-AV$51)*(AR$116-AR$51)+AR$51</f>
        <v>0.763633992032597</v>
      </c>
      <c r="AS92" s="39" t="n">
        <f aca="false">(AV92-AV$86)/(AV$96-AV$86)*(AS$96-AS$86)+AS$86</f>
        <v>111.474856473775</v>
      </c>
      <c r="AT92" s="39" t="n">
        <f aca="false">8314.4621*AS92/(Sheet1!R$22*Sheet1!R$12*9.80665)</f>
        <v>15156.7187268997</v>
      </c>
      <c r="AU92" s="39" t="n">
        <f aca="false">AU91-LN(AP92/AP91)*(AT91+AT92)/2</f>
        <v>283427.440482031</v>
      </c>
      <c r="AV92" s="39" t="n">
        <f aca="false">Sheet1!R$10*10/Sheet1!R$11*1000*AU92/(Sheet1!R$10*10/Sheet1!R$11*1000-AU92)</f>
        <v>289997.64759667</v>
      </c>
    </row>
    <row r="93" customFormat="false" ht="15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199.314345960357</v>
      </c>
      <c r="T93" s="37" t="n">
        <f aca="false">(X93-X$54)/(X$100-X$54)*(T$100-T$54)+T$54</f>
        <v>1.80319081941587</v>
      </c>
      <c r="U93" s="39" t="n">
        <f aca="false">(X93-X$90)/(X$100-X$90)*(U$100-U$90)+U$90</f>
        <v>203.057808883075</v>
      </c>
      <c r="V93" s="39" t="n">
        <f aca="false">8314.4621*U93/(Sheet1!H$20*Sheet1!H$12*9.80665)</f>
        <v>65212.2599579292</v>
      </c>
      <c r="W93" s="39" t="n">
        <f aca="false">W92-LN(R93/R92)*(V92+V93)/2</f>
        <v>1971714.71476817</v>
      </c>
      <c r="X93" s="39" t="n">
        <f aca="false">Sheet1!H$10*10/Sheet1!H$11*1000*W93/(Sheet1!H$10*10/Sheet1!H$11*1000-W93)</f>
        <v>2038710.64437946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723.425998204495</v>
      </c>
      <c r="AI93" s="37" t="n">
        <f aca="false">(AM93-AM$62)/(AM$95-AM$62)*(AI$95-AI$62)+AI$62</f>
        <v>0.2</v>
      </c>
      <c r="AJ93" s="39" t="n">
        <f aca="false">(AM93-AM$80)/(AM$95-AM$80)*(AJ$95-AJ$80)+AJ$80</f>
        <v>724.35640680738</v>
      </c>
      <c r="AK93" s="39" t="n">
        <f aca="false">8314.4621*AJ93/(Sheet1!M$21*Sheet1!M$12*9.80665)</f>
        <v>26444.0984489362</v>
      </c>
      <c r="AL93" s="39" t="n">
        <f aca="false">AL92-LN(AG93/AG92)*(AK92+AK93)/2</f>
        <v>180954.890541218</v>
      </c>
      <c r="AM93" s="39" t="n">
        <f aca="false">Sheet1!M$10*10/Sheet1!M$11*1000*AL93/(Sheet1!M$10*10/Sheet1!M$11*1000-AL93)</f>
        <v>187453.080515608</v>
      </c>
      <c r="AN93" s="41"/>
      <c r="AO93" s="37" t="n">
        <f aca="false">AO92+(AO$96-AO$86)/10</f>
        <v>-4.66</v>
      </c>
      <c r="AP93" s="40" t="n">
        <f aca="false">10^AO93</f>
        <v>2.18776162394955E-005</v>
      </c>
      <c r="AQ93" s="39" t="n">
        <f aca="false">AS93-AR93*((Sheet1!R$19-Sheet1!R$20)*COS(RADIANS(38))+Sheet1!R$20)/2</f>
        <v>113.154567096768</v>
      </c>
      <c r="AR93" s="37" t="n">
        <f aca="false">(AV93-AV$51)/(AV$116-AV$51)*(AR$116-AR$51)+AR$51</f>
        <v>0.782219292943303</v>
      </c>
      <c r="AS93" s="39" t="n">
        <f aca="false">(AV93-AV$86)/(AV$96-AV$86)*(AS$96-AS$86)+AS$86</f>
        <v>114.778471172275</v>
      </c>
      <c r="AT93" s="39" t="n">
        <f aca="false">8314.4621*AS93/(Sheet1!R$22*Sheet1!R$12*9.80665)</f>
        <v>15605.8958808439</v>
      </c>
      <c r="AU93" s="39" t="n">
        <f aca="false">AU92-LN(AP93/AP92)*(AT92+AT93)/2</f>
        <v>286260.781994724</v>
      </c>
      <c r="AV93" s="39" t="n">
        <f aca="false">Sheet1!R$10*10/Sheet1!R$11*1000*AU93/(Sheet1!R$10*10/Sheet1!R$11*1000-AU93)</f>
        <v>292964.56009787</v>
      </c>
    </row>
    <row r="94" customFormat="false" ht="15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203.560323226612</v>
      </c>
      <c r="T94" s="37" t="n">
        <f aca="false">(X94-X$54)/(X$100-X$54)*(T$100-T$54)+T$54</f>
        <v>1.8295232921686</v>
      </c>
      <c r="U94" s="39" t="n">
        <f aca="false">(X94-X$90)/(X$100-X$90)*(U$100-U$90)+U$90</f>
        <v>207.358452929102</v>
      </c>
      <c r="V94" s="39" t="n">
        <f aca="false">8314.4621*U94/(Sheet1!H$20*Sheet1!H$12*9.80665)</f>
        <v>66593.4169745381</v>
      </c>
      <c r="W94" s="39" t="n">
        <f aca="false">W93-LN(R94/R93)*(V93+V94)/2</f>
        <v>1986889.404112</v>
      </c>
      <c r="X94" s="39" t="n">
        <f aca="false">Sheet1!H$10*10/Sheet1!H$11*1000*W94/(Sheet1!H$10*10/Sheet1!H$11*1000-W94)</f>
        <v>2054938.32380658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774.115907466434</v>
      </c>
      <c r="AI94" s="37" t="n">
        <f aca="false">(AM94-AM$62)/(AM$95-AM$62)*(AI$95-AI$62)+AI$62</f>
        <v>0.2</v>
      </c>
      <c r="AJ94" s="39" t="n">
        <f aca="false">(AM94-AM$80)/(AM$95-AM$80)*(AJ$95-AJ$80)+AJ$80</f>
        <v>775.046316069319</v>
      </c>
      <c r="AK94" s="39" t="n">
        <f aca="false">8314.4621*AJ94/(Sheet1!M$21*Sheet1!M$12*9.80665)</f>
        <v>28294.6363033585</v>
      </c>
      <c r="AL94" s="39" t="n">
        <f aca="false">AL93-LN(AG94/AG93)*(AK93+AK94)/2</f>
        <v>187256.920273718</v>
      </c>
      <c r="AM94" s="39" t="n">
        <f aca="false">Sheet1!M$10*10/Sheet1!M$11*1000*AL94/(Sheet1!M$10*10/Sheet1!M$11*1000-AL94)</f>
        <v>194224.324258962</v>
      </c>
      <c r="AN94" s="41"/>
      <c r="AO94" s="37" t="n">
        <f aca="false">AO93+(AO$96-AO$86)/10</f>
        <v>-4.74</v>
      </c>
      <c r="AP94" s="40" t="n">
        <f aca="false">10^AO94</f>
        <v>1.81970085860998E-005</v>
      </c>
      <c r="AQ94" s="39" t="n">
        <f aca="false">AS94-AR94*((Sheet1!R$19-Sheet1!R$20)*COS(RADIANS(38))+Sheet1!R$20)/2</f>
        <v>116.517964610409</v>
      </c>
      <c r="AR94" s="37" t="n">
        <f aca="false">(AV94-AV$51)/(AV$116-AV$51)*(AR$116-AR$51)+AR$51</f>
        <v>0.801364517041275</v>
      </c>
      <c r="AS94" s="39" t="n">
        <f aca="false">(AV94-AV$86)/(AV$96-AV$86)*(AS$96-AS$86)+AS$86</f>
        <v>118.181614582905</v>
      </c>
      <c r="AT94" s="39" t="n">
        <f aca="false">8314.4621*AS94/(Sheet1!R$22*Sheet1!R$12*9.80665)</f>
        <v>16068.6054917268</v>
      </c>
      <c r="AU94" s="39" t="n">
        <f aca="false">AU93-LN(AP94/AP93)*(AT93+AT94)/2</f>
        <v>289178.111382264</v>
      </c>
      <c r="AV94" s="39" t="n">
        <f aca="false">Sheet1!R$10*10/Sheet1!R$11*1000*AU94/(Sheet1!R$10*10/Sheet1!R$11*1000-AU94)</f>
        <v>296020.857382882</v>
      </c>
    </row>
    <row r="95" customFormat="false" ht="15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207.898545024349</v>
      </c>
      <c r="T95" s="37" t="n">
        <f aca="false">(X95-X$54)/(X$100-X$54)*(T$100-T$54)+T$54</f>
        <v>1.85642784208036</v>
      </c>
      <c r="U95" s="39" t="n">
        <f aca="false">(X95-X$90)/(X$100-X$90)*(U$100-U$90)+U$90</f>
        <v>211.752529151097</v>
      </c>
      <c r="V95" s="39" t="n">
        <f aca="false">8314.4621*U95/(Sheet1!H$20*Sheet1!H$12*9.80665)</f>
        <v>68004.5798470219</v>
      </c>
      <c r="W95" s="39" t="n">
        <f aca="false">W94-LN(R95/R94)*(V94+V95)/2</f>
        <v>2002385.57116341</v>
      </c>
      <c r="X95" s="39" t="n">
        <f aca="false">Sheet1!H$10*10/Sheet1!H$11*1000*W95/(Sheet1!H$10*10/Sheet1!H$11*1000-W95)</f>
        <v>2071518.55215047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828.498841907561</v>
      </c>
      <c r="AI95" s="37" t="n">
        <v>0.2</v>
      </c>
      <c r="AJ95" s="39" t="n">
        <f aca="false">0.82*(320*LOG(Sheet1!M15)-AJ62)+AJ62</f>
        <v>829.429250510446</v>
      </c>
      <c r="AK95" s="39" t="n">
        <f aca="false">8314.4621*AJ95/(Sheet1!M$21*Sheet1!M$12*9.80665)</f>
        <v>30279.9955254046</v>
      </c>
      <c r="AL95" s="39" t="n">
        <f aca="false">AL94-LN(AG95/AG94)*(AK94+AK95)/2</f>
        <v>194000.573977544</v>
      </c>
      <c r="AM95" s="39" t="n">
        <f aca="false">Sheet1!M$10*10/Sheet1!M$11*1000*AL95/(Sheet1!M$10*10/Sheet1!M$11*1000-AL95)</f>
        <v>201488.880185609</v>
      </c>
      <c r="AN95" s="41"/>
      <c r="AO95" s="37" t="n">
        <f aca="false">AO94+(AO$96-AO$86)/10</f>
        <v>-4.82</v>
      </c>
      <c r="AP95" s="40" t="n">
        <f aca="false">10^AO95</f>
        <v>1.51356124843621E-005</v>
      </c>
      <c r="AQ95" s="39" t="n">
        <f aca="false">AS95-AR95*((Sheet1!R$19-Sheet1!R$20)*COS(RADIANS(38))+Sheet1!R$20)/2</f>
        <v>119.982788993176</v>
      </c>
      <c r="AR95" s="37" t="n">
        <f aca="false">(AV95-AV$51)/(AV$116-AV$51)*(AR$116-AR$51)+AR$51</f>
        <v>0.821087085894269</v>
      </c>
      <c r="AS95" s="39" t="n">
        <f aca="false">(AV95-AV$86)/(AV$96-AV$86)*(AS$96-AS$86)+AS$86</f>
        <v>121.687383442787</v>
      </c>
      <c r="AT95" s="39" t="n">
        <f aca="false">8314.4621*AS95/(Sheet1!R$22*Sheet1!R$12*9.80665)</f>
        <v>16545.2686085191</v>
      </c>
      <c r="AU95" s="39" t="n">
        <f aca="false">AU94-LN(AP95/AP94)*(AT94+AT95)/2</f>
        <v>292181.960195384</v>
      </c>
      <c r="AV95" s="39" t="n">
        <f aca="false">Sheet1!R$10*10/Sheet1!R$11*1000*AU95/(Sheet1!R$10*10/Sheet1!R$11*1000-AU95)</f>
        <v>299169.320588663</v>
      </c>
    </row>
    <row r="96" customFormat="false" ht="15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212.331115356826</v>
      </c>
      <c r="T96" s="37" t="n">
        <f aca="false">(X96-X$54)/(X$100-X$54)*(T$100-T$54)+T$54</f>
        <v>1.88391751764507</v>
      </c>
      <c r="U96" s="39" t="n">
        <f aca="false">(X96-X$90)/(X$100-X$90)*(U$100-U$90)+U$90</f>
        <v>216.242168641274</v>
      </c>
      <c r="V96" s="39" t="n">
        <f aca="false">8314.4621*U96/(Sheet1!H$20*Sheet1!H$12*9.80665)</f>
        <v>69446.4329782124</v>
      </c>
      <c r="W96" s="39" t="n">
        <f aca="false">W95-LN(R96/R95)*(V95+V96)/2</f>
        <v>2018210.20382083</v>
      </c>
      <c r="X96" s="39" t="n">
        <f aca="false">Sheet1!H$10*10/Sheet1!H$11*1000*W96/(Sheet1!H$10*10/Sheet1!H$11*1000-W96)</f>
        <v>2088459.37069071</v>
      </c>
      <c r="Y96" s="37"/>
      <c r="Z96" s="39"/>
      <c r="AJ96" s="39"/>
      <c r="AO96" s="37" t="n">
        <f aca="false">AO69+0.6*(AO116-AO69)</f>
        <v>-4.9</v>
      </c>
      <c r="AP96" s="40" t="n">
        <f aca="false">10^AO96</f>
        <v>1.25892541179417E-005</v>
      </c>
      <c r="AQ96" s="39" t="n">
        <f aca="false">AS96-AR96*((Sheet1!R$19-Sheet1!R$20)*COS(RADIANS(38))+Sheet1!R$20)/2</f>
        <v>123.552144885632</v>
      </c>
      <c r="AR96" s="37" t="n">
        <f aca="false">(AV96-AV$51)/(AV$116-AV$51)*(AR$116-AR$51)+AR$51</f>
        <v>0.841404991963906</v>
      </c>
      <c r="AS96" s="39" t="n">
        <f aca="false">AS69+0.72*(AS116-AS69)</f>
        <v>125.298919745225</v>
      </c>
      <c r="AT96" s="39" t="n">
        <f aca="false">8314.4621*AS96/(Sheet1!R$22*Sheet1!R$12*9.80665)</f>
        <v>17036.3124334638</v>
      </c>
      <c r="AU96" s="39" t="n">
        <f aca="false">AU95-LN(AP96/AP95)*(AT95+AT96)/2</f>
        <v>295274.938111642</v>
      </c>
      <c r="AV96" s="39" t="n">
        <f aca="false">Sheet1!R$10*10/Sheet1!R$11*1000*AU96/(Sheet1!R$10*10/Sheet1!R$11*1000-AU96)</f>
        <v>302412.821988281</v>
      </c>
    </row>
    <row r="97" customFormat="false" ht="15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216.860190551759</v>
      </c>
      <c r="T97" s="37" t="n">
        <f aca="false">(X97-X$54)/(X$100-X$54)*(T$100-T$54)+T$54</f>
        <v>1.91200569185963</v>
      </c>
      <c r="U97" s="39" t="n">
        <f aca="false">(X97-X$90)/(X$100-X$90)*(U$100-U$90)+U$90</f>
        <v>220.829555489974</v>
      </c>
      <c r="V97" s="39" t="n">
        <f aca="false">8314.4621*U97/(Sheet1!H$20*Sheet1!H$12*9.80665)</f>
        <v>70919.6777913548</v>
      </c>
      <c r="W97" s="39" t="n">
        <f aca="false">W96-LN(R97/R96)*(V96+V97)/2</f>
        <v>2034370.44953181</v>
      </c>
      <c r="X97" s="39" t="n">
        <f aca="false">Sheet1!H$10*10/Sheet1!H$11*1000*W97/(Sheet1!H$10*10/Sheet1!H$11*1000-W97)</f>
        <v>2105769.02068551</v>
      </c>
      <c r="Y97" s="37"/>
      <c r="Z97" s="39"/>
      <c r="AO97" s="37" t="n">
        <f aca="false">AO96+(AO$106-AO$96)/10</f>
        <v>-4.98</v>
      </c>
      <c r="AP97" s="40" t="n">
        <f aca="false">10^AO97</f>
        <v>1.0471285480509E-005</v>
      </c>
      <c r="AQ97" s="39" t="n">
        <f aca="false">AS97-AR97*((Sheet1!R$19-Sheet1!R$20)*COS(RADIANS(38))+Sheet1!R$20)/2</f>
        <v>125.07195748719</v>
      </c>
      <c r="AR97" s="37" t="n">
        <f aca="false">(AV97-AV$51)/(AV$116-AV$51)*(AR$116-AR$51)+AR$51</f>
        <v>0.862159182134127</v>
      </c>
      <c r="AS97" s="39" t="n">
        <f aca="false">(AV97-AV$96)/(AV$106-AV$96)*(AS$106-AS$96)+AS$96</f>
        <v>126.861818491942</v>
      </c>
      <c r="AT97" s="39" t="n">
        <f aca="false">8314.4621*AS97/(Sheet1!R$22*Sheet1!R$12*9.80665)</f>
        <v>17248.8125204963</v>
      </c>
      <c r="AU97" s="39" t="n">
        <f aca="false">AU96-LN(AP97/AP96)*(AT96+AT97)/2</f>
        <v>298432.714816859</v>
      </c>
      <c r="AV97" s="39" t="n">
        <f aca="false">Sheet1!R$10*10/Sheet1!R$11*1000*AU97/(Sheet1!R$10*10/Sheet1!R$11*1000-AU97)</f>
        <v>305725.970726853</v>
      </c>
    </row>
    <row r="98" customFormat="false" ht="15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221.487980750034</v>
      </c>
      <c r="T98" s="37" t="n">
        <f aca="false">(X98-X$54)/(X$100-X$54)*(T$100-T$54)+T$54</f>
        <v>1.94070607145655</v>
      </c>
      <c r="U98" s="39" t="n">
        <f aca="false">(X98-X$90)/(X$100-X$90)*(U$100-U$90)+U$90</f>
        <v>225.516928293557</v>
      </c>
      <c r="V98" s="39" t="n">
        <f aca="false">8314.4621*U98/(Sheet1!H$20*Sheet1!H$12*9.80665)</f>
        <v>72425.0332143665</v>
      </c>
      <c r="W98" s="39" t="n">
        <f aca="false">W97-LN(R98/R97)*(V97+V98)/2</f>
        <v>2050873.61926787</v>
      </c>
      <c r="X98" s="39" t="n">
        <f aca="false">Sheet1!H$10*10/Sheet1!H$11*1000*W98/(Sheet1!H$10*10/Sheet1!H$11*1000-W98)</f>
        <v>2123455.94906133</v>
      </c>
      <c r="Y98" s="37"/>
      <c r="Z98" s="39"/>
      <c r="AO98" s="37" t="n">
        <f aca="false">AO97+(AO$106-AO$96)/10</f>
        <v>-5.06</v>
      </c>
      <c r="AP98" s="40" t="n">
        <f aca="false">10^AO98</f>
        <v>8.70963589956081E-006</v>
      </c>
      <c r="AQ98" s="39" t="n">
        <f aca="false">AS98-AR98*((Sheet1!R$19-Sheet1!R$20)*COS(RADIANS(38))+Sheet1!R$20)/2</f>
        <v>126.611649699063</v>
      </c>
      <c r="AR98" s="37" t="n">
        <f aca="false">(AV98-AV$51)/(AV$116-AV$51)*(AR$116-AR$51)+AR$51</f>
        <v>0.883183262824648</v>
      </c>
      <c r="AS98" s="39" t="n">
        <f aca="false">(AV98-AV$96)/(AV$106-AV$96)*(AS$106-AS$96)+AS$96</f>
        <v>128.445157147498</v>
      </c>
      <c r="AT98" s="39" t="n">
        <f aca="false">8314.4621*AS98/(Sheet1!R$22*Sheet1!R$12*9.80665)</f>
        <v>17464.0917270439</v>
      </c>
      <c r="AU98" s="39" t="n">
        <f aca="false">AU97-LN(AP98/AP97)*(AT97+AT98)/2</f>
        <v>301629.891451055</v>
      </c>
      <c r="AV98" s="39" t="n">
        <f aca="false">Sheet1!R$10*10/Sheet1!R$11*1000*AU98/(Sheet1!R$10*10/Sheet1!R$11*1000-AU98)</f>
        <v>309082.204135536</v>
      </c>
    </row>
    <row r="99" customFormat="false" ht="15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226.216751444777</v>
      </c>
      <c r="T99" s="37" t="n">
        <f aca="false">(X99-X$54)/(X$100-X$54)*(T$100-T$54)+T$54</f>
        <v>1.97003270644888</v>
      </c>
      <c r="U99" s="39" t="n">
        <f aca="false">(X99-X$90)/(X$100-X$90)*(U$100-U$90)+U$90</f>
        <v>230.306581713278</v>
      </c>
      <c r="V99" s="39" t="n">
        <f aca="false">8314.4621*U99/(Sheet1!H$20*Sheet1!H$12*9.80665)</f>
        <v>73963.236180474</v>
      </c>
      <c r="W99" s="39" t="n">
        <f aca="false">W98-LN(R99/R98)*(V98+V99)/2</f>
        <v>2067727.19161276</v>
      </c>
      <c r="X99" s="39" t="n">
        <f aca="false">Sheet1!H$10*10/Sheet1!H$11*1000*W99/(Sheet1!H$10*10/Sheet1!H$11*1000-W99)</f>
        <v>2141528.81429509</v>
      </c>
      <c r="Y99" s="37"/>
      <c r="Z99" s="39"/>
      <c r="AO99" s="37" t="n">
        <f aca="false">AO98+(AO$106-AO$96)/10</f>
        <v>-5.14</v>
      </c>
      <c r="AP99" s="40" t="n">
        <f aca="false">10^AO99</f>
        <v>7.24435960074991E-006</v>
      </c>
      <c r="AQ99" s="39" t="n">
        <f aca="false">AS99-AR99*((Sheet1!R$19-Sheet1!R$20)*COS(RADIANS(38))+Sheet1!R$20)/2</f>
        <v>128.171326947196</v>
      </c>
      <c r="AR99" s="37" t="n">
        <f aca="false">(AV99-AV$51)/(AV$116-AV$51)*(AR$116-AR$51)+AR$51</f>
        <v>0.90448102812464</v>
      </c>
      <c r="AS99" s="39" t="n">
        <f aca="false">(AV99-AV$96)/(AV$106-AV$96)*(AS$106-AS$96)+AS$96</f>
        <v>130.049049014449</v>
      </c>
      <c r="AT99" s="39" t="n">
        <f aca="false">8314.4621*AS99/(Sheet1!R$22*Sheet1!R$12*9.80665)</f>
        <v>17682.1654583294</v>
      </c>
      <c r="AU99" s="39" t="n">
        <f aca="false">AU98-LN(AP99/AP98)*(AT98+AT99)/2</f>
        <v>304866.981365838</v>
      </c>
      <c r="AV99" s="39" t="n">
        <f aca="false">Sheet1!R$10*10/Sheet1!R$11*1000*AU99/(Sheet1!R$10*10/Sheet1!R$11*1000-AU99)</f>
        <v>312482.127893551</v>
      </c>
    </row>
    <row r="100" customFormat="false" ht="15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231.048825072807</v>
      </c>
      <c r="T100" s="37" t="n">
        <v>2</v>
      </c>
      <c r="U100" s="39" t="n">
        <f aca="false">110/610*(U$170-U$54)+U$54</f>
        <v>235.200868087234</v>
      </c>
      <c r="V100" s="39" t="n">
        <f aca="false">8314.4621*U100/(Sheet1!H$20*Sheet1!H$12*9.80665)</f>
        <v>75535.0421458909</v>
      </c>
      <c r="W100" s="39" t="n">
        <f aca="false">W99-LN(R100/R99)*(V99+V100)/2</f>
        <v>2084938.81696789</v>
      </c>
      <c r="X100" s="39" t="n">
        <f aca="false">Sheet1!H$10*10/Sheet1!H$11*1000*W100/(Sheet1!H$10*10/Sheet1!H$11*1000-W100)</f>
        <v>2159996.49249656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231.048825072807</v>
      </c>
      <c r="AA100" s="39" t="n">
        <f aca="false">IF(Y100=LOG(Sheet1!H$17*101325),(LOG(Sheet1!H$17*101325)-Q110)/(Q100-Q110)*(X100-X110)+X110,IF(Y100=0,0,X100))</f>
        <v>2159996.49249656</v>
      </c>
      <c r="AB100" s="32" t="n">
        <f aca="false">IF(Y100=0,0,AB90+1)</f>
        <v>7</v>
      </c>
      <c r="AJ100" s="39"/>
      <c r="AO100" s="37" t="n">
        <f aca="false">AO99+(AO$106-AO$96)/10</f>
        <v>-5.22</v>
      </c>
      <c r="AP100" s="40" t="n">
        <f aca="false">10^AO100</f>
        <v>6.02559586074358E-006</v>
      </c>
      <c r="AQ100" s="39" t="n">
        <f aca="false">AS100-AR100*((Sheet1!R$19-Sheet1!R$20)*COS(RADIANS(38))+Sheet1!R$20)/2</f>
        <v>129.751328265158</v>
      </c>
      <c r="AR100" s="37" t="n">
        <f aca="false">(AV100-AV$51)/(AV$116-AV$51)*(AR$116-AR$51)+AR$51</f>
        <v>0.926056323014384</v>
      </c>
      <c r="AS100" s="39" t="n">
        <f aca="false">(AV100-AV$96)/(AV$106-AV$96)*(AS$106-AS$96)+AS$96</f>
        <v>131.673841108627</v>
      </c>
      <c r="AT100" s="39" t="n">
        <f aca="false">8314.4621*AS100/(Sheet1!R$22*Sheet1!R$12*9.80665)</f>
        <v>17903.0808964841</v>
      </c>
      <c r="AU100" s="39" t="n">
        <f aca="false">AU99-LN(AP100/AP99)*(AT99+AT100)/2</f>
        <v>308144.503677323</v>
      </c>
      <c r="AV100" s="39" t="n">
        <f aca="false">Sheet1!R$10*10/Sheet1!R$11*1000*AU100/(Sheet1!R$10*10/Sheet1!R$11*1000-AU100)</f>
        <v>315926.355804252</v>
      </c>
    </row>
    <row r="101" customFormat="false" ht="15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240.469084040469</v>
      </c>
      <c r="T101" s="37" t="n">
        <f aca="false">(X101-X$100)/(X$170-X$100)*(T$170-T$100)+T$100</f>
        <v>2.01034970861085</v>
      </c>
      <c r="U101" s="39" t="n">
        <f aca="false">(X101-X$100)/(X$125-X$100)*(U$125-U$100)+U$100</f>
        <v>244.642613272566</v>
      </c>
      <c r="V101" s="39" t="n">
        <f aca="false">8314.4621*U101/(Sheet1!H$20*Sheet1!H$12*9.80665)</f>
        <v>78567.2699871602</v>
      </c>
      <c r="W101" s="39" t="n">
        <f aca="false">W100-LN(R101/R100)*(V100+V101)/2</f>
        <v>2102680.50130356</v>
      </c>
      <c r="X101" s="39" t="n">
        <f aca="false">Sheet1!H$10*10/Sheet1!H$11*1000*W101/(Sheet1!H$10*10/Sheet1!H$11*1000-W101)</f>
        <v>2179044.40431053</v>
      </c>
      <c r="Y101" s="37"/>
      <c r="Z101" s="39"/>
      <c r="AJ101" s="39"/>
      <c r="AO101" s="37" t="n">
        <f aca="false">AO100+(AO$106-AO$96)/10</f>
        <v>-5.3</v>
      </c>
      <c r="AP101" s="40" t="n">
        <f aca="false">10^AO101</f>
        <v>5.01187233627273E-006</v>
      </c>
      <c r="AQ101" s="39" t="n">
        <f aca="false">AS101-AR101*((Sheet1!R$19-Sheet1!R$20)*COS(RADIANS(38))+Sheet1!R$20)/2</f>
        <v>131.351940074841</v>
      </c>
      <c r="AR101" s="37" t="n">
        <f aca="false">(AV101-AV$51)/(AV$116-AV$51)*(AR$116-AR$51)+AR$51</f>
        <v>0.947913058679746</v>
      </c>
      <c r="AS101" s="39" t="n">
        <f aca="false">(AV101-AV$96)/(AV$106-AV$96)*(AS$106-AS$96)+AS$96</f>
        <v>133.319827971629</v>
      </c>
      <c r="AT101" s="39" t="n">
        <f aca="false">8314.4621*AS101/(Sheet1!R$22*Sheet1!R$12*9.80665)</f>
        <v>18126.8780889619</v>
      </c>
      <c r="AU101" s="39" t="n">
        <f aca="false">AU100-LN(AP101/AP100)*(AT100+AT101)/2</f>
        <v>311462.985535766</v>
      </c>
      <c r="AV101" s="39" t="n">
        <f aca="false">Sheet1!R$10*10/Sheet1!R$11*1000*AU101/(Sheet1!R$10*10/Sheet1!R$11*1000-AU101)</f>
        <v>319415.512239896</v>
      </c>
    </row>
    <row r="102" customFormat="false" ht="15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250.273754263352</v>
      </c>
      <c r="T102" s="37" t="n">
        <f aca="false">(X102-X$100)/(X$170-X$100)*(T$170-T$100)+T$100</f>
        <v>2.02112175640494</v>
      </c>
      <c r="U102" s="39" t="n">
        <f aca="false">(X102-X$100)/(X$125-X$100)*(U$125-U$100)+U$100</f>
        <v>254.469646498346</v>
      </c>
      <c r="V102" s="39" t="n">
        <f aca="false">8314.4621*U102/(Sheet1!H$20*Sheet1!H$12*9.80665)</f>
        <v>81723.2335467975</v>
      </c>
      <c r="W102" s="39" t="n">
        <f aca="false">W101-LN(R102/R101)*(V101+V102)/2</f>
        <v>2121134.62750285</v>
      </c>
      <c r="X102" s="39" t="n">
        <f aca="false">Sheet1!H$10*10/Sheet1!H$11*1000*W102/(Sheet1!H$10*10/Sheet1!H$11*1000-W102)</f>
        <v>2198869.60172938</v>
      </c>
      <c r="Y102" s="37"/>
      <c r="Z102" s="39"/>
      <c r="AJ102" s="0"/>
      <c r="AO102" s="37" t="n">
        <f aca="false">AO101+(AO$106-AO$96)/10</f>
        <v>-5.38</v>
      </c>
      <c r="AP102" s="40" t="n">
        <f aca="false">10^AO102</f>
        <v>4.16869383470335E-006</v>
      </c>
      <c r="AQ102" s="39" t="n">
        <f aca="false">AS102-AR102*((Sheet1!R$19-Sheet1!R$20)*COS(RADIANS(38))+Sheet1!R$20)/2</f>
        <v>132.973453387873</v>
      </c>
      <c r="AR102" s="37" t="n">
        <f aca="false">(AV102-AV$51)/(AV$116-AV$51)*(AR$116-AR$51)+AR$51</f>
        <v>0.97005520898154</v>
      </c>
      <c r="AS102" s="39" t="n">
        <f aca="false">(AV102-AV$96)/(AV$106-AV$96)*(AS$106-AS$96)+AS$96</f>
        <v>134.987308864903</v>
      </c>
      <c r="AT102" s="39" t="n">
        <f aca="false">8314.4621*AS102/(Sheet1!R$22*Sheet1!R$12*9.80665)</f>
        <v>18353.5977249524</v>
      </c>
      <c r="AU102" s="39" t="n">
        <f aca="false">AU101-LN(AP102/AP101)*(AT101+AT102)/2</f>
        <v>314822.961527544</v>
      </c>
      <c r="AV102" s="39" t="n">
        <f aca="false">Sheet1!R$10*10/Sheet1!R$11*1000*AU102/(Sheet1!R$10*10/Sheet1!R$11*1000-AU102)</f>
        <v>322950.231578015</v>
      </c>
    </row>
    <row r="103" customFormat="false" ht="15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260.479037281723</v>
      </c>
      <c r="T103" s="37" t="n">
        <f aca="false">(X103-X$100)/(X$170-X$100)*(T$170-T$100)+T$100</f>
        <v>2.03233394344714</v>
      </c>
      <c r="U103" s="39" t="n">
        <f aca="false">(X103-X$100)/(X$125-X$100)*(U$125-U$100)+U$100</f>
        <v>264.698206258159</v>
      </c>
      <c r="V103" s="39" t="n">
        <f aca="false">8314.4621*U103/(Sheet1!H$20*Sheet1!H$12*9.80665)</f>
        <v>85008.147836581</v>
      </c>
      <c r="W103" s="39" t="n">
        <f aca="false">W102-LN(R103/R102)*(V102+V103)/2</f>
        <v>2140330.28716823</v>
      </c>
      <c r="X103" s="39" t="n">
        <f aca="false">Sheet1!H$10*10/Sheet1!H$11*1000*W103/(Sheet1!H$10*10/Sheet1!H$11*1000-W103)</f>
        <v>2219504.84452237</v>
      </c>
      <c r="Y103" s="37"/>
      <c r="Z103" s="39"/>
      <c r="AJ103" s="39"/>
      <c r="AO103" s="37" t="n">
        <f aca="false">AO102+(AO$106-AO$96)/10</f>
        <v>-5.46</v>
      </c>
      <c r="AP103" s="40" t="n">
        <f aca="false">10^AO103</f>
        <v>3.46736850452532E-006</v>
      </c>
      <c r="AQ103" s="39" t="n">
        <f aca="false">AS103-AR103*((Sheet1!R$19-Sheet1!R$20)*COS(RADIANS(38))+Sheet1!R$20)/2</f>
        <v>134.616163893323</v>
      </c>
      <c r="AR103" s="37" t="n">
        <f aca="false">(AV103-AV$51)/(AV$116-AV$51)*(AR$116-AR$51)+AR$51</f>
        <v>0.992486811653269</v>
      </c>
      <c r="AS103" s="39" t="n">
        <f aca="false">(AV103-AV$96)/(AV$106-AV$96)*(AS$106-AS$96)+AS$96</f>
        <v>136.676587859941</v>
      </c>
      <c r="AT103" s="39" t="n">
        <f aca="false">8314.4621*AS103/(Sheet1!R$22*Sheet1!R$12*9.80665)</f>
        <v>18583.2811476449</v>
      </c>
      <c r="AU103" s="39" t="n">
        <f aca="false">AU102-LN(AP103/AP102)*(AT102+AT103)/2</f>
        <v>318224.973794495</v>
      </c>
      <c r="AV103" s="39" t="n">
        <f aca="false">Sheet1!R$10*10/Sheet1!R$11*1000*AU103/(Sheet1!R$10*10/Sheet1!R$11*1000-AU103)</f>
        <v>326531.158392622</v>
      </c>
    </row>
    <row r="104" customFormat="false" ht="15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271.101860049038</v>
      </c>
      <c r="T104" s="37" t="n">
        <f aca="false">(X104-X$100)/(X$170-X$100)*(T$170-T$100)+T$100</f>
        <v>2.0440048667884</v>
      </c>
      <c r="U104" s="39" t="n">
        <f aca="false">(X104-X$100)/(X$125-X$100)*(U$125-U$100)+U$100</f>
        <v>275.34525811334</v>
      </c>
      <c r="V104" s="39" t="n">
        <f aca="false">8314.4621*U104/(Sheet1!H$20*Sheet1!H$12*9.80665)</f>
        <v>88427.4613669728</v>
      </c>
      <c r="W104" s="39" t="n">
        <f aca="false">W103-LN(R104/R103)*(V103+V104)/2</f>
        <v>2160297.79958556</v>
      </c>
      <c r="X104" s="39" t="n">
        <f aca="false">Sheet1!H$10*10/Sheet1!H$11*1000*W104/(Sheet1!H$10*10/Sheet1!H$11*1000-W104)</f>
        <v>2240984.35925565</v>
      </c>
      <c r="Y104" s="37"/>
      <c r="Z104" s="39"/>
      <c r="AJ104" s="39"/>
      <c r="AO104" s="37" t="n">
        <f aca="false">AO103+(AO$106-AO$96)/10</f>
        <v>-5.54</v>
      </c>
      <c r="AP104" s="40" t="n">
        <f aca="false">10^AO104</f>
        <v>2.88403150312661E-006</v>
      </c>
      <c r="AQ104" s="39" t="n">
        <f aca="false">AS104-AR104*((Sheet1!R$19-Sheet1!R$20)*COS(RADIANS(38))+Sheet1!R$20)/2</f>
        <v>136.280372047457</v>
      </c>
      <c r="AR104" s="37" t="n">
        <f aca="false">(AV104-AV$51)/(AV$116-AV$51)*(AR$116-AR$51)+AR$51</f>
        <v>1.01521196952667</v>
      </c>
      <c r="AS104" s="39" t="n">
        <f aca="false">(AV104-AV$96)/(AV$106-AV$96)*(AS$106-AS$96)+AS$96</f>
        <v>138.387973930575</v>
      </c>
      <c r="AT104" s="39" t="n">
        <f aca="false">8314.4621*AS104/(Sheet1!R$22*Sheet1!R$12*9.80665)</f>
        <v>18815.9703667769</v>
      </c>
      <c r="AU104" s="39" t="n">
        <f aca="false">AU103-LN(AP104/AP103)*(AT103+AT104)/2</f>
        <v>321669.572155544</v>
      </c>
      <c r="AV104" s="39" t="n">
        <f aca="false">Sheet1!R$10*10/Sheet1!R$11*1000*AU104/(Sheet1!R$10*10/Sheet1!R$11*1000-AU104)</f>
        <v>330158.947649857</v>
      </c>
    </row>
    <row r="105" customFormat="false" ht="15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282.159910927833</v>
      </c>
      <c r="T105" s="37" t="n">
        <f aca="false">(X105-X$100)/(X$170-X$100)*(T$170-T$100)+T$100</f>
        <v>2.05615396001316</v>
      </c>
      <c r="U105" s="39" t="n">
        <f aca="false">(X105-X$100)/(X$125-X$100)*(U$125-U$100)+U$100</f>
        <v>286.428530770963</v>
      </c>
      <c r="V105" s="39" t="n">
        <f aca="false">8314.4621*U105/(Sheet1!H$20*Sheet1!H$12*9.80665)</f>
        <v>91986.8677336087</v>
      </c>
      <c r="W105" s="39" t="n">
        <f aca="false">W104-LN(R105/R104)*(V104+V105)/2</f>
        <v>2181068.76682303</v>
      </c>
      <c r="X105" s="39" t="n">
        <f aca="false">Sheet1!H$10*10/Sheet1!H$11*1000*W105/(Sheet1!H$10*10/Sheet1!H$11*1000-W105)</f>
        <v>2263343.91207652</v>
      </c>
      <c r="Y105" s="37"/>
      <c r="Z105" s="39"/>
      <c r="AJ105" s="39"/>
      <c r="AO105" s="37" t="n">
        <f aca="false">AO104+(AO$106-AO$96)/10</f>
        <v>-5.62</v>
      </c>
      <c r="AP105" s="40" t="n">
        <f aca="false">10^AO105</f>
        <v>2.39883291901949E-006</v>
      </c>
      <c r="AQ105" s="39" t="n">
        <f aca="false">AS105-AR105*((Sheet1!R$19-Sheet1!R$20)*COS(RADIANS(38))+Sheet1!R$20)/2</f>
        <v>137.96638338364</v>
      </c>
      <c r="AR105" s="37" t="n">
        <f aca="false">(AV105-AV$51)/(AV$116-AV$51)*(AR$116-AR$51)+AR$51</f>
        <v>1.03823485180389</v>
      </c>
      <c r="AS105" s="39" t="n">
        <f aca="false">(AV105-AV$96)/(AV$106-AV$96)*(AS$106-AS$96)+AS$96</f>
        <v>140.121781265523</v>
      </c>
      <c r="AT105" s="39" t="n">
        <f aca="false">8314.4621*AS105/(Sheet1!R$22*Sheet1!R$12*9.80665)</f>
        <v>19051.7081011299</v>
      </c>
      <c r="AU105" s="39" t="n">
        <f aca="false">AU104-LN(AP105/AP104)*(AT104+AT105)/2</f>
        <v>325157.314233404</v>
      </c>
      <c r="AV105" s="39" t="n">
        <f aca="false">Sheet1!R$10*10/Sheet1!R$11*1000*AU105/(Sheet1!R$10*10/Sheet1!R$11*1000-AU105)</f>
        <v>333834.264911067</v>
      </c>
    </row>
    <row r="106" customFormat="false" ht="15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293.671677758694</v>
      </c>
      <c r="T106" s="37" t="n">
        <f aca="false">(X106-X$100)/(X$170-X$100)*(T$170-T$100)+T$100</f>
        <v>2.06880153506439</v>
      </c>
      <c r="U106" s="39" t="n">
        <f aca="false">(X106-X$100)/(X$125-X$100)*(U$125-U$100)+U$100</f>
        <v>297.966554239644</v>
      </c>
      <c r="V106" s="39" t="n">
        <f aca="false">8314.4621*U106/(Sheet1!H$20*Sheet1!H$12*9.80665)</f>
        <v>95692.3178710795</v>
      </c>
      <c r="W106" s="39" t="n">
        <f aca="false">W105-LN(R106/R105)*(V105+V106)/2</f>
        <v>2202676.13157496</v>
      </c>
      <c r="X106" s="39" t="n">
        <f aca="false">Sheet1!H$10*10/Sheet1!H$11*1000*W106/(Sheet1!H$10*10/Sheet1!H$11*1000-W106)</f>
        <v>2286620.88568945</v>
      </c>
      <c r="Y106" s="37"/>
      <c r="Z106" s="39"/>
      <c r="AJ106" s="39"/>
      <c r="AO106" s="37" t="n">
        <f aca="false">AO69+0.8*(AO116-AO69)</f>
        <v>-5.7</v>
      </c>
      <c r="AP106" s="40" t="n">
        <f aca="false">10^AO106</f>
        <v>1.99526231496888E-006</v>
      </c>
      <c r="AQ106" s="39" t="n">
        <f aca="false">AS106-AR106*((Sheet1!R$19-Sheet1!R$20)*COS(RADIANS(38))+Sheet1!R$20)/2</f>
        <v>139.674466039437</v>
      </c>
      <c r="AR106" s="37" t="n">
        <f aca="false">(AV106-AV$51)/(AV$116-AV$51)*(AR$116-AR$51)+AR$51</f>
        <v>1.06155969185462</v>
      </c>
      <c r="AS106" s="39" t="n">
        <f aca="false">AS69+0.95*(AS116-AS69)</f>
        <v>141.878286790918</v>
      </c>
      <c r="AT106" s="39" t="n">
        <f aca="false">8314.4621*AS106/(Sheet1!R$22*Sheet1!R$12*9.80665)</f>
        <v>19290.5320030644</v>
      </c>
      <c r="AU106" s="39" t="n">
        <f aca="false">AU105-LN(AP106/AP105)*(AT105+AT106)/2</f>
        <v>328688.765053241</v>
      </c>
      <c r="AV106" s="39" t="n">
        <f aca="false">Sheet1!R$10*10/Sheet1!R$11*1000*AU106/(Sheet1!R$10*10/Sheet1!R$11*1000-AU106)</f>
        <v>337557.785981159</v>
      </c>
    </row>
    <row r="107" customFormat="false" ht="15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305.656488144555</v>
      </c>
      <c r="T107" s="37" t="n">
        <f aca="false">(X107-X$100)/(X$170-X$100)*(T$170-T$100)+T$100</f>
        <v>2.08196882650253</v>
      </c>
      <c r="U107" s="39" t="n">
        <f aca="false">(X107-X$100)/(X$125-X$100)*(U$125-U$100)+U$100</f>
        <v>309.978700205722</v>
      </c>
      <c r="V107" s="39" t="n">
        <f aca="false">8314.4621*U107/(Sheet1!H$20*Sheet1!H$12*9.80665)</f>
        <v>99550.0330197915</v>
      </c>
      <c r="W107" s="39" t="n">
        <f aca="false">W106-LN(R107/R106)*(V106+V107)/2</f>
        <v>2225154.23790909</v>
      </c>
      <c r="X107" s="39" t="n">
        <f aca="false">Sheet1!H$10*10/Sheet1!H$11*1000*W107/(Sheet1!H$10*10/Sheet1!H$11*1000-W107)</f>
        <v>2310854.3608116</v>
      </c>
      <c r="Y107" s="37"/>
      <c r="Z107" s="39"/>
      <c r="AJ107" s="39"/>
      <c r="AO107" s="37" t="n">
        <f aca="false">AO106+(AO$116-AO$106)/10</f>
        <v>-5.78</v>
      </c>
      <c r="AP107" s="40" t="n">
        <f aca="false">10^AO107</f>
        <v>1.65958690743756E-006</v>
      </c>
      <c r="AQ107" s="39" t="n">
        <f aca="false">AS107-AR107*((Sheet1!R$19-Sheet1!R$20)*COS(RADIANS(38))+Sheet1!R$20)/2</f>
        <v>139.981059094134</v>
      </c>
      <c r="AR107" s="37" t="n">
        <f aca="false">(AV107-AV$51)/(AV$116-AV$51)*(AR$116-AR$51)+AR$51</f>
        <v>1.08507289316968</v>
      </c>
      <c r="AS107" s="39" t="n">
        <f aca="false">(AV107-AV$106)/(AV$116-AV$106)*(AS$116-AS$106)+AS$106</f>
        <v>142.233693757249</v>
      </c>
      <c r="AT107" s="39" t="n">
        <f aca="false">8314.4621*AS107/(Sheet1!R$22*Sheet1!R$12*9.80665)</f>
        <v>19338.8550383447</v>
      </c>
      <c r="AU107" s="39" t="n">
        <f aca="false">AU106-LN(AP107/AP106)*(AT106+AT107)/2</f>
        <v>332246.663083363</v>
      </c>
      <c r="AV107" s="39" t="n">
        <f aca="false">Sheet1!R$10*10/Sheet1!R$11*1000*AU107/(Sheet1!R$10*10/Sheet1!R$11*1000-AU107)</f>
        <v>341311.376588061</v>
      </c>
    </row>
    <row r="108" customFormat="false" ht="15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318.134552104137</v>
      </c>
      <c r="T108" s="37" t="n">
        <f aca="false">(X108-X$100)/(X$170-X$100)*(T$170-T$100)+T$100</f>
        <v>2.09567803836736</v>
      </c>
      <c r="U108" s="39" t="n">
        <f aca="false">(X108-X$100)/(X$125-X$100)*(U$125-U$100)+U$100</f>
        <v>322.485224783983</v>
      </c>
      <c r="V108" s="39" t="n">
        <f aca="false">8314.4621*U108/(Sheet1!H$20*Sheet1!H$12*9.80665)</f>
        <v>103566.518455411</v>
      </c>
      <c r="W108" s="39" t="n">
        <f aca="false">W107-LN(R108/R107)*(V107+V108)/2</f>
        <v>2248538.89508744</v>
      </c>
      <c r="X108" s="39" t="n">
        <f aca="false">Sheet1!H$10*10/Sheet1!H$11*1000*W108/(Sheet1!H$10*10/Sheet1!H$11*1000-W108)</f>
        <v>2336085.20241872</v>
      </c>
      <c r="Y108" s="37"/>
      <c r="Z108" s="39"/>
      <c r="AJ108" s="39"/>
      <c r="AO108" s="37" t="n">
        <f aca="false">AO107+(AO$116-AO$106)/10</f>
        <v>-5.86</v>
      </c>
      <c r="AP108" s="40" t="n">
        <f aca="false">10^AO108</f>
        <v>1.38038426460288E-006</v>
      </c>
      <c r="AQ108" s="39" t="n">
        <f aca="false">AS108-AR108*((Sheet1!R$19-Sheet1!R$20)*COS(RADIANS(38))+Sheet1!R$20)/2</f>
        <v>140.288600252811</v>
      </c>
      <c r="AR108" s="37" t="n">
        <f aca="false">(AV108-AV$51)/(AV$116-AV$51)*(AR$116-AR$51)+AR$51</f>
        <v>1.10865880777379</v>
      </c>
      <c r="AS108" s="39" t="n">
        <f aca="false">(AV108-AV$106)/(AV$116-AV$106)*(AS$116-AS$106)+AS$106</f>
        <v>142.590199781911</v>
      </c>
      <c r="AT108" s="39" t="n">
        <f aca="false">8314.4621*AS108/(Sheet1!R$22*Sheet1!R$12*9.80665)</f>
        <v>19387.3275074842</v>
      </c>
      <c r="AU108" s="39" t="n">
        <f aca="false">AU107-LN(AP108/AP107)*(AT107+AT108)/2</f>
        <v>335813.476308906</v>
      </c>
      <c r="AV108" s="39" t="n">
        <f aca="false">Sheet1!R$10*10/Sheet1!R$11*1000*AU108/(Sheet1!R$10*10/Sheet1!R$11*1000-AU108)</f>
        <v>345076.574968617</v>
      </c>
    </row>
    <row r="109" customFormat="false" ht="15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331.127007260923</v>
      </c>
      <c r="T109" s="37" t="n">
        <f aca="false">(X109-X$100)/(X$170-X$100)*(T$170-T$100)+T$100</f>
        <v>2.10995239382552</v>
      </c>
      <c r="U109" s="39" t="n">
        <f aca="false">(X109-X$100)/(X$125-X$100)*(U$125-U$100)+U$100</f>
        <v>335.507313809701</v>
      </c>
      <c r="V109" s="39" t="n">
        <f aca="false">8314.4621*U109/(Sheet1!H$20*Sheet1!H$12*9.80665)</f>
        <v>107748.578034462</v>
      </c>
      <c r="W109" s="39" t="n">
        <f aca="false">W108-LN(R109/R108)*(V108+V109)/2</f>
        <v>2272867.44464255</v>
      </c>
      <c r="X109" s="39" t="n">
        <f aca="false">Sheet1!H$10*10/Sheet1!H$11*1000*W109/(Sheet1!H$10*10/Sheet1!H$11*1000-W109)</f>
        <v>2362356.15111801</v>
      </c>
      <c r="Y109" s="37"/>
      <c r="Z109" s="39"/>
      <c r="AJ109" s="39"/>
      <c r="AO109" s="37" t="n">
        <f aca="false">AO108+(AO$116-AO$106)/10</f>
        <v>-5.94</v>
      </c>
      <c r="AP109" s="40" t="n">
        <f aca="false">10^AO109</f>
        <v>1.14815362149688E-006</v>
      </c>
      <c r="AQ109" s="39" t="n">
        <f aca="false">AS109-AR109*((Sheet1!R$19-Sheet1!R$20)*COS(RADIANS(38))+Sheet1!R$20)/2</f>
        <v>140.597093405522</v>
      </c>
      <c r="AR109" s="37" t="n">
        <f aca="false">(AV109-AV$51)/(AV$116-AV$51)*(AR$116-AR$51)+AR$51</f>
        <v>1.13231773398544</v>
      </c>
      <c r="AS109" s="39" t="n">
        <f aca="false">(AV109-AV$106)/(AV$116-AV$106)*(AS$116-AS$106)+AS$106</f>
        <v>142.947809374275</v>
      </c>
      <c r="AT109" s="39" t="n">
        <f aca="false">8314.4621*AS109/(Sheet1!R$22*Sheet1!R$12*9.80665)</f>
        <v>19435.9500236009</v>
      </c>
      <c r="AU109" s="39" t="n">
        <f aca="false">AU108-LN(AP109/AP108)*(AT108+AT109)/2</f>
        <v>339389.232313076</v>
      </c>
      <c r="AV109" s="39" t="n">
        <f aca="false">Sheet1!R$10*10/Sheet1!R$11*1000*AU109/(Sheet1!R$10*10/Sheet1!R$11*1000-AU109)</f>
        <v>348853.428745672</v>
      </c>
    </row>
    <row r="110" customFormat="false" ht="15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344.655966747943</v>
      </c>
      <c r="T110" s="37" t="n">
        <f aca="false">(X110-X$100)/(X$170-X$100)*(T$170-T$100)+T$100</f>
        <v>2.12481618780181</v>
      </c>
      <c r="U110" s="39" t="n">
        <f aca="false">(X110-X$100)/(X$125-X$100)*(U$125-U$100)+U$100</f>
        <v>349.067130852695</v>
      </c>
      <c r="V110" s="39" t="n">
        <f aca="false">8314.4621*U110/(Sheet1!H$20*Sheet1!H$12*9.80665)</f>
        <v>112103.329614091</v>
      </c>
      <c r="W110" s="39" t="n">
        <f aca="false">W109-LN(R110/R109)*(V109+V110)/2</f>
        <v>2298178.83090345</v>
      </c>
      <c r="X110" s="39" t="n">
        <f aca="false">Sheet1!H$10*10/Sheet1!H$11*1000*W110/(Sheet1!H$10*10/Sheet1!H$11*1000-W110)</f>
        <v>2389711.92001228</v>
      </c>
      <c r="Y110" s="37"/>
      <c r="Z110" s="39"/>
      <c r="AJ110" s="39"/>
      <c r="AO110" s="37" t="n">
        <f aca="false">AO109+(AO$116-AO$106)/10</f>
        <v>-6.02</v>
      </c>
      <c r="AP110" s="40" t="n">
        <f aca="false">10^AO110</f>
        <v>9.54992586021437E-007</v>
      </c>
      <c r="AQ110" s="39" t="n">
        <f aca="false">AS110-AR110*((Sheet1!R$19-Sheet1!R$20)*COS(RADIANS(38))+Sheet1!R$20)/2</f>
        <v>140.906542463662</v>
      </c>
      <c r="AR110" s="37" t="n">
        <f aca="false">(AV110-AV$51)/(AV$116-AV$51)*(AR$116-AR$51)+AR$51</f>
        <v>1.15604997175957</v>
      </c>
      <c r="AS110" s="39" t="n">
        <f aca="false">(AV110-AV$106)/(AV$116-AV$106)*(AS$116-AS$106)+AS$106</f>
        <v>143.306527068448</v>
      </c>
      <c r="AT110" s="39" t="n">
        <f aca="false">8314.4621*AS110/(Sheet1!R$22*Sheet1!R$12*9.80665)</f>
        <v>19484.7232031763</v>
      </c>
      <c r="AU110" s="39" t="n">
        <f aca="false">AU109-LN(AP110/AP109)*(AT109+AT110)/2</f>
        <v>342973.958792327</v>
      </c>
      <c r="AV110" s="39" t="n">
        <f aca="false">Sheet1!R$10*10/Sheet1!R$11*1000*AU110/(Sheet1!R$10*10/Sheet1!R$11*1000-AU110)</f>
        <v>352641.985803306</v>
      </c>
    </row>
    <row r="111" customFormat="false" ht="15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358.744570023759</v>
      </c>
      <c r="T111" s="37" t="n">
        <f aca="false">(X111-X$100)/(X$170-X$100)*(T$170-T$100)+T$100</f>
        <v>2.14029484280897</v>
      </c>
      <c r="U111" s="39" t="n">
        <f aca="false">(X111-X$100)/(X$125-X$100)*(U$125-U$100)+U$100</f>
        <v>363.187868149208</v>
      </c>
      <c r="V111" s="39" t="n">
        <f aca="false">8314.4621*U111/(Sheet1!H$20*Sheet1!H$12*9.80665)</f>
        <v>116638.221408911</v>
      </c>
      <c r="W111" s="39" t="n">
        <f aca="false">W110-LN(R111/R110)*(V110+V111)/2</f>
        <v>2324513.67518014</v>
      </c>
      <c r="X111" s="39" t="n">
        <f aca="false">Sheet1!H$10*10/Sheet1!H$11*1000*W111/(Sheet1!H$10*10/Sheet1!H$11*1000-W111)</f>
        <v>2418199.29745073</v>
      </c>
      <c r="Y111" s="37"/>
      <c r="Z111" s="39"/>
      <c r="AJ111" s="39"/>
      <c r="AO111" s="37" t="n">
        <f aca="false">AO110+(AO$116-AO$106)/10</f>
        <v>-6.1</v>
      </c>
      <c r="AP111" s="40" t="n">
        <f aca="false">10^AO111</f>
        <v>7.94328234724282E-007</v>
      </c>
      <c r="AQ111" s="39" t="n">
        <f aca="false">AS111-AR111*((Sheet1!R$19-Sheet1!R$20)*COS(RADIANS(38))+Sheet1!R$20)/2</f>
        <v>141.216951360113</v>
      </c>
      <c r="AR111" s="37" t="n">
        <f aca="false">(AV111-AV$51)/(AV$116-AV$51)*(AR$116-AR$51)+AR$51</f>
        <v>1.17985582269903</v>
      </c>
      <c r="AS111" s="39" t="n">
        <f aca="false">(AV111-AV$106)/(AV$116-AV$106)*(AS$116-AS$106)+AS$106</f>
        <v>143.666357423448</v>
      </c>
      <c r="AT111" s="39" t="n">
        <f aca="false">8314.4621*AS111/(Sheet1!R$22*Sheet1!R$12*9.80665)</f>
        <v>19533.647666079</v>
      </c>
      <c r="AU111" s="39" t="n">
        <f aca="false">AU110-LN(AP111/AP110)*(AT110+AT111)/2</f>
        <v>346567.683556985</v>
      </c>
      <c r="AV111" s="39" t="n">
        <f aca="false">Sheet1!R$10*10/Sheet1!R$11*1000*AU111/(Sheet1!R$10*10/Sheet1!R$11*1000-AU111)</f>
        <v>356442.294288669</v>
      </c>
    </row>
    <row r="112" customFormat="false" ht="15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373.417036811653</v>
      </c>
      <c r="T112" s="37" t="n">
        <f aca="false">(X112-X$100)/(X$170-X$100)*(T$170-T$100)+T$100</f>
        <v>2.15641496820875</v>
      </c>
      <c r="U112" s="39" t="n">
        <f aca="false">(X112-X$100)/(X$125-X$100)*(U$125-U$100)+U$100</f>
        <v>377.893800664132</v>
      </c>
      <c r="V112" s="39" t="n">
        <f aca="false">8314.4621*U112/(Sheet1!H$20*Sheet1!H$12*9.80665)</f>
        <v>121361.04935314</v>
      </c>
      <c r="W112" s="39" t="n">
        <f aca="false">W111-LN(R112/R111)*(V111+V112)/2</f>
        <v>2351914.35383015</v>
      </c>
      <c r="X112" s="39" t="n">
        <f aca="false">Sheet1!H$10*10/Sheet1!H$11*1000*W112/(Sheet1!H$10*10/Sheet1!H$11*1000-W112)</f>
        <v>2447867.25609482</v>
      </c>
      <c r="Y112" s="37"/>
      <c r="Z112" s="39"/>
      <c r="AJ112" s="39"/>
      <c r="AO112" s="37" t="n">
        <f aca="false">AO111+(AO$116-AO$106)/10</f>
        <v>-6.18</v>
      </c>
      <c r="AP112" s="40" t="n">
        <f aca="false">10^AO112</f>
        <v>6.60693448007596E-007</v>
      </c>
      <c r="AQ112" s="39" t="n">
        <f aca="false">AS112-AR112*((Sheet1!R$19-Sheet1!R$20)*COS(RADIANS(38))+Sheet1!R$20)/2</f>
        <v>141.528324049404</v>
      </c>
      <c r="AR112" s="37" t="n">
        <f aca="false">(AV112-AV$51)/(AV$116-AV$51)*(AR$116-AR$51)+AR$51</f>
        <v>1.20373559006622</v>
      </c>
      <c r="AS112" s="39" t="n">
        <f aca="false">(AV112-AV$106)/(AV$116-AV$106)*(AS$116-AS$106)+AS$106</f>
        <v>144.02730502338</v>
      </c>
      <c r="AT112" s="39" t="n">
        <f aca="false">8314.4621*AS112/(Sheet1!R$22*Sheet1!R$12*9.80665)</f>
        <v>19582.7240355885</v>
      </c>
      <c r="AU112" s="39" t="n">
        <f aca="false">AU111-LN(AP112/AP111)*(AT111+AT112)/2</f>
        <v>350170.434531876</v>
      </c>
      <c r="AV112" s="39" t="n">
        <f aca="false">Sheet1!R$10*10/Sheet1!R$11*1000*AU112/(Sheet1!R$10*10/Sheet1!R$11*1000-AU112)</f>
        <v>360254.402613835</v>
      </c>
    </row>
    <row r="113" customFormat="false" ht="15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388.698724392299</v>
      </c>
      <c r="T113" s="37" t="n">
        <f aca="false">(X113-X$100)/(X$170-X$100)*(T$170-T$100)+T$100</f>
        <v>2.17320442315736</v>
      </c>
      <c r="U113" s="39" t="n">
        <f aca="false">(X113-X$100)/(X$125-X$100)*(U$125-U$100)+U$100</f>
        <v>393.210343514345</v>
      </c>
      <c r="V113" s="39" t="n">
        <f aca="false">8314.4621*U113/(Sheet1!H$20*Sheet1!H$12*9.80665)</f>
        <v>126279.975542184</v>
      </c>
      <c r="W113" s="39" t="n">
        <f aca="false">W112-LN(R113/R112)*(V112+V113)/2</f>
        <v>2380425.08044704</v>
      </c>
      <c r="X113" s="39" t="n">
        <f aca="false">Sheet1!H$10*10/Sheet1!H$11*1000*W113/(Sheet1!H$10*10/Sheet1!H$11*1000-W113)</f>
        <v>2478767.06876494</v>
      </c>
      <c r="Y113" s="37"/>
      <c r="Z113" s="39"/>
      <c r="AJ113" s="39"/>
      <c r="AO113" s="37" t="n">
        <f aca="false">AO112+(AO$116-AO$106)/10</f>
        <v>-6.26</v>
      </c>
      <c r="AP113" s="40" t="n">
        <f aca="false">10^AO113</f>
        <v>5.49540873857625E-007</v>
      </c>
      <c r="AQ113" s="39" t="n">
        <f aca="false">AS113-AR113*((Sheet1!R$19-Sheet1!R$20)*COS(RADIANS(38))+Sheet1!R$20)/2</f>
        <v>141.840664507855</v>
      </c>
      <c r="AR113" s="37" t="n">
        <f aca="false">(AV113-AV$51)/(AV$116-AV$51)*(AR$116-AR$51)+AR$51</f>
        <v>1.22768957879473</v>
      </c>
      <c r="AS113" s="39" t="n">
        <f aca="false">(AV113-AV$106)/(AV$116-AV$106)*(AS$116-AS$106)+AS$106</f>
        <v>144.389374477614</v>
      </c>
      <c r="AT113" s="39" t="n">
        <f aca="false">8314.4621*AS113/(Sheet1!R$22*Sheet1!R$12*9.80665)</f>
        <v>19631.9529384193</v>
      </c>
      <c r="AU113" s="39" t="n">
        <f aca="false">AU112-LN(AP113/AP112)*(AT112+AT113)/2</f>
        <v>353782.239756953</v>
      </c>
      <c r="AV113" s="39" t="n">
        <f aca="false">Sheet1!R$10*10/Sheet1!R$11*1000*AU113/(Sheet1!R$10*10/Sheet1!R$11*1000-AU113)</f>
        <v>364078.35945767</v>
      </c>
    </row>
    <row r="114" customFormat="false" ht="15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404.616188500195</v>
      </c>
      <c r="T114" s="37" t="n">
        <f aca="false">(X114-X$100)/(X$170-X$100)*(T$170-T$100)+T$100</f>
        <v>2.19069238351025</v>
      </c>
      <c r="U114" s="39" t="n">
        <f aca="false">(X114-X$100)/(X$125-X$100)*(U$125-U$100)+U$100</f>
        <v>409.164113004051</v>
      </c>
      <c r="V114" s="39" t="n">
        <f aca="false">8314.4621*U114/(Sheet1!H$20*Sheet1!H$12*9.80665)</f>
        <v>131403.547834204</v>
      </c>
      <c r="W114" s="39" t="n">
        <f aca="false">W113-LN(R114/R113)*(V113+V114)/2</f>
        <v>2410091.99242887</v>
      </c>
      <c r="X114" s="39" t="n">
        <f aca="false">Sheet1!H$10*10/Sheet1!H$11*1000*W114/(Sheet1!H$10*10/Sheet1!H$11*1000-W114)</f>
        <v>2510952.43157397</v>
      </c>
      <c r="Y114" s="37"/>
      <c r="Z114" s="39"/>
      <c r="AJ114" s="39"/>
      <c r="AO114" s="37" t="n">
        <f aca="false">AO113+(AO$116-AO$106)/10</f>
        <v>-6.34</v>
      </c>
      <c r="AP114" s="40" t="n">
        <f aca="false">10^AO114</f>
        <v>4.57088189614875E-007</v>
      </c>
      <c r="AQ114" s="39" t="n">
        <f aca="false">AS114-AR114*((Sheet1!R$19-Sheet1!R$20)*COS(RADIANS(38))+Sheet1!R$20)/2</f>
        <v>142.154091842634</v>
      </c>
      <c r="AR114" s="37" t="n">
        <f aca="false">(AV114-AV$51)/(AV$116-AV$51)*(AR$116-AR$51)+AR$51</f>
        <v>1.25171810507161</v>
      </c>
      <c r="AS114" s="39" t="n">
        <f aca="false">(AV114-AV$106)/(AV$116-AV$106)*(AS$116-AS$106)+AS$106</f>
        <v>144.752685549731</v>
      </c>
      <c r="AT114" s="39" t="n">
        <f aca="false">8314.4621*AS114/(Sheet1!R$22*Sheet1!R$12*9.80665)</f>
        <v>19681.3506582696</v>
      </c>
      <c r="AU114" s="39" t="n">
        <f aca="false">AU113-LN(AP114/AP113)*(AT113+AT114)/2</f>
        <v>357403.128829677</v>
      </c>
      <c r="AV114" s="39" t="n">
        <f aca="false">Sheet1!R$10*10/Sheet1!R$11*1000*AU114/(Sheet1!R$10*10/Sheet1!R$11*1000-AU114)</f>
        <v>367914.215295506</v>
      </c>
    </row>
    <row r="115" customFormat="false" ht="15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421.197248096252</v>
      </c>
      <c r="T115" s="37" t="n">
        <f aca="false">(X115-X$100)/(X$170-X$100)*(T$170-T$100)+T$100</f>
        <v>2.20890941298549</v>
      </c>
      <c r="U115" s="39" t="n">
        <f aca="false">(X115-X$100)/(X$125-X$100)*(U$125-U$100)+U$100</f>
        <v>425.782991545096</v>
      </c>
      <c r="V115" s="39" t="n">
        <f aca="false">8314.4621*U115/(Sheet1!H$20*Sheet1!H$12*9.80665)</f>
        <v>136740.720699355</v>
      </c>
      <c r="W115" s="39" t="n">
        <f aca="false">W114-LN(R115/R114)*(V114+V115)/2</f>
        <v>2440963.24220373</v>
      </c>
      <c r="X115" s="39" t="n">
        <f aca="false">Sheet1!H$10*10/Sheet1!H$11*1000*W115/(Sheet1!H$10*10/Sheet1!H$11*1000-W115)</f>
        <v>2544479.59489847</v>
      </c>
      <c r="Y115" s="37"/>
      <c r="Z115" s="39"/>
      <c r="AJ115" s="39"/>
      <c r="AO115" s="37" t="n">
        <f aca="false">AO114+(AO$116-AO$106)/10</f>
        <v>-6.42</v>
      </c>
      <c r="AP115" s="40" t="n">
        <f aca="false">10^AO115</f>
        <v>3.80189396320561E-007</v>
      </c>
      <c r="AQ115" s="39" t="n">
        <f aca="false">AS115-AR115*((Sheet1!R$19-Sheet1!R$20)*COS(RADIANS(38))+Sheet1!R$20)/2</f>
        <v>142.468394859578</v>
      </c>
      <c r="AR115" s="37" t="n">
        <f aca="false">(AV115-AV$51)/(AV$116-AV$51)*(AR$116-AR$51)+AR$51</f>
        <v>1.27582147847705</v>
      </c>
      <c r="AS115" s="39" t="n">
        <f aca="false">(AV115-AV$106)/(AV$116-AV$106)*(AS$116-AS$106)+AS$106</f>
        <v>145.117027688261</v>
      </c>
      <c r="AT115" s="39" t="n">
        <f aca="false">8314.4621*AS115/(Sheet1!R$22*Sheet1!R$12*9.80665)</f>
        <v>19730.8885674335</v>
      </c>
      <c r="AU115" s="39" t="n">
        <f aca="false">AU114-LN(AP115/AP114)*(AT114+AT115)/2</f>
        <v>361033.130210581</v>
      </c>
      <c r="AV115" s="39" t="n">
        <f aca="false">Sheet1!R$10*10/Sheet1!R$11*1000*AU115/(Sheet1!R$10*10/Sheet1!R$11*1000-AU115)</f>
        <v>371762.019547977</v>
      </c>
    </row>
    <row r="116" customFormat="false" ht="15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438.471054313176</v>
      </c>
      <c r="T116" s="37" t="n">
        <f aca="false">(X116-X$100)/(X$170-X$100)*(T$170-T$100)+T$100</f>
        <v>2.22788753891167</v>
      </c>
      <c r="U116" s="39" t="n">
        <f aca="false">(X116-X$100)/(X$125-X$100)*(U$125-U$100)+U$100</f>
        <v>443.096196759609</v>
      </c>
      <c r="V116" s="39" t="n">
        <f aca="false">8314.4621*U116/(Sheet1!H$20*Sheet1!H$12*9.80665)</f>
        <v>142300.877412186</v>
      </c>
      <c r="W116" s="39" t="n">
        <f aca="false">W115-LN(R116/R115)*(V115+V116)/2</f>
        <v>2473089.09341057</v>
      </c>
      <c r="X116" s="39" t="n">
        <f aca="false">Sheet1!H$10*10/Sheet1!H$11*1000*W116/(Sheet1!H$10*10/Sheet1!H$11*1000-W116)</f>
        <v>2579407.50278731</v>
      </c>
      <c r="Y116" s="37"/>
      <c r="Z116" s="39"/>
      <c r="AJ116" s="39"/>
      <c r="AO116" s="37" t="n">
        <f aca="false">IF(Sheet1!R24="Y",-6,-6.5)</f>
        <v>-6.5</v>
      </c>
      <c r="AP116" s="40" t="n">
        <f aca="false">10^AO116</f>
        <v>3.16227766016838E-007</v>
      </c>
      <c r="AQ116" s="39" t="n">
        <f aca="false">AS116-AR116*((Sheet1!R$19-Sheet1!R$20)*COS(RADIANS(38))+Sheet1!R$20)/2</f>
        <v>142.783669058865</v>
      </c>
      <c r="AR116" s="37" t="n">
        <f aca="false">ROUND((5.7*LOG(Sheet1!R15)+4.8)/(Sheet1!R21+Sheet1!R19)/0.05,0)*0.05</f>
        <v>1.3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145.482497018243</v>
      </c>
      <c r="AT116" s="39" t="n">
        <f aca="false">8314.4621*AS116/(Sheet1!R$22*Sheet1!R$12*9.80665)</f>
        <v>19780.5797355863</v>
      </c>
      <c r="AU116" s="39" t="n">
        <f aca="false">AU115-LN(AP116/AP115)*(AT115+AT116)/2</f>
        <v>364672.270927255</v>
      </c>
      <c r="AV116" s="39" t="n">
        <f aca="false">Sheet1!R$10*10/Sheet1!R$11*1000*AU116/(Sheet1!R$10*10/Sheet1!R$11*1000-AU116)</f>
        <v>375621.820264232</v>
      </c>
    </row>
    <row r="117" customFormat="false" ht="15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456.468163897112</v>
      </c>
      <c r="T117" s="37" t="n">
        <f aca="false">(X117-X$100)/(X$170-X$100)*(T$170-T$100)+T$100</f>
        <v>2.2476603329156</v>
      </c>
      <c r="U117" s="39" t="n">
        <f aca="false">(X117-X$100)/(X$125-X$100)*(U$125-U$100)+U$100</f>
        <v>461.134355089155</v>
      </c>
      <c r="V117" s="39" t="n">
        <f aca="false">8314.4621*U117/(Sheet1!H$20*Sheet1!H$12*9.80665)</f>
        <v>148093.8536913</v>
      </c>
      <c r="W117" s="39" t="n">
        <f aca="false">W116-LN(R117/R116)*(V116+V117)/2</f>
        <v>2506522.02235671</v>
      </c>
      <c r="X117" s="39" t="n">
        <f aca="false">Sheet1!H$10*10/Sheet1!H$11*1000*W117/(Sheet1!H$10*10/Sheet1!H$11*1000-W117)</f>
        <v>2615797.94146187</v>
      </c>
      <c r="Y117" s="37"/>
      <c r="Z117" s="39"/>
      <c r="AJ117" s="39"/>
      <c r="AR117" s="37"/>
      <c r="AS117" s="39"/>
    </row>
    <row r="118" customFormat="false" ht="15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475.220617498563</v>
      </c>
      <c r="T118" s="37" t="n">
        <f aca="false">(X118-X$100)/(X$170-X$100)*(T$170-T$100)+T$100</f>
        <v>2.26826299693788</v>
      </c>
      <c r="U118" s="39" t="n">
        <f aca="false">(X118-X$100)/(X$125-X$100)*(U$125-U$100)+U$100</f>
        <v>479.929580264222</v>
      </c>
      <c r="V118" s="39" t="n">
        <f aca="false">8314.4621*U118/(Sheet1!H$20*Sheet1!H$12*9.80665)</f>
        <v>154129.962899935</v>
      </c>
      <c r="W118" s="39" t="n">
        <f aca="false">W117-LN(R118/R117)*(V117+V118)/2</f>
        <v>2541316.82509825</v>
      </c>
      <c r="X118" s="39" t="n">
        <f aca="false">Sheet1!H$10*10/Sheet1!H$11*1000*W118/(Sheet1!H$10*10/Sheet1!H$11*1000-W118)</f>
        <v>2653715.69762146</v>
      </c>
      <c r="Y118" s="37"/>
      <c r="Z118" s="39"/>
      <c r="AJ118" s="39"/>
    </row>
    <row r="119" customFormat="false" ht="15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494.76202319828</v>
      </c>
      <c r="T119" s="37" t="n">
        <f aca="false">(X119-X$100)/(X$170-X$100)*(T$170-T$100)+T$100</f>
        <v>2.28973245499978</v>
      </c>
      <c r="U119" s="39" t="n">
        <f aca="false">(X119-X$100)/(X$125-X$100)*(U$125-U$100)+U$100</f>
        <v>499.515557020624</v>
      </c>
      <c r="V119" s="39" t="n">
        <f aca="false">8314.4621*U119/(Sheet1!H$20*Sheet1!H$12*9.80665)</f>
        <v>160420.022931578</v>
      </c>
      <c r="W119" s="39" t="n">
        <f aca="false">W118-LN(R119/R118)*(V118+V119)/2</f>
        <v>2577530.73051711</v>
      </c>
      <c r="X119" s="39" t="n">
        <f aca="false">Sheet1!H$10*10/Sheet1!H$11*1000*W119/(Sheet1!H$10*10/Sheet1!H$11*1000-W119)</f>
        <v>2693228.72733402</v>
      </c>
      <c r="Y119" s="37"/>
      <c r="Z119" s="39"/>
      <c r="AJ119" s="39"/>
      <c r="AS119" s="39"/>
    </row>
    <row r="120" customFormat="false" ht="15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515.127645689979</v>
      </c>
      <c r="T120" s="37" t="n">
        <f aca="false">(X120-X$100)/(X$170-X$100)*(T$170-T$100)+T$100</f>
        <v>2.31210745118526</v>
      </c>
      <c r="U120" s="39" t="n">
        <f aca="false">(X120-X$100)/(X$125-X$100)*(U$125-U$100)+U$100</f>
        <v>519.927630485628</v>
      </c>
      <c r="V120" s="39" t="n">
        <f aca="false">8314.4621*U120/(Sheet1!H$20*Sheet1!H$12*9.80665)</f>
        <v>166975.384916433</v>
      </c>
      <c r="W120" s="39" t="n">
        <f aca="false">W119-LN(R120/R119)*(V119+V120)/2</f>
        <v>2615223.51979839</v>
      </c>
      <c r="X120" s="39" t="n">
        <f aca="false">Sheet1!H$10*10/Sheet1!H$11*1000*W120/(Sheet1!H$10*10/Sheet1!H$11*1000-W120)</f>
        <v>2734408.33636496</v>
      </c>
      <c r="Y120" s="37"/>
      <c r="Z120" s="39"/>
      <c r="AJ120" s="39"/>
      <c r="AS120" s="39"/>
    </row>
    <row r="121" customFormat="false" ht="15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536.354501581774</v>
      </c>
      <c r="T121" s="37" t="n">
        <f aca="false">(X121-X$100)/(X$170-X$100)*(T$170-T$100)+T$100</f>
        <v>2.33542865434526</v>
      </c>
      <c r="U121" s="39" t="n">
        <f aca="false">(X121-X$100)/(X$125-X$100)*(U$125-U$100)+U$100</f>
        <v>541.202901696757</v>
      </c>
      <c r="V121" s="39" t="n">
        <f aca="false">8314.4621*U121/(Sheet1!H$20*Sheet1!H$12*9.80665)</f>
        <v>173807.9638974</v>
      </c>
      <c r="W121" s="39" t="n">
        <f aca="false">W120-LN(R121/R120)*(V120+V121)/2</f>
        <v>2654457.65274435</v>
      </c>
      <c r="X121" s="39" t="n">
        <f aca="false">Sheet1!H$10*10/Sheet1!H$11*1000*W121/(Sheet1!H$10*10/Sheet1!H$11*1000-W121)</f>
        <v>2777329.37287815</v>
      </c>
      <c r="Y121" s="37"/>
      <c r="Z121" s="39"/>
      <c r="AJ121" s="39"/>
      <c r="AS121" s="39"/>
    </row>
    <row r="122" customFormat="false" ht="15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558.481461322649</v>
      </c>
      <c r="T122" s="37" t="n">
        <f aca="false">(X122-X$100)/(X$170-X$100)*(T$170-T$100)+T$100</f>
        <v>2.35973877008074</v>
      </c>
      <c r="U122" s="39" t="n">
        <f aca="false">(X122-X$100)/(X$125-X$100)*(U$125-U$100)+U$100</f>
        <v>563.380329760742</v>
      </c>
      <c r="V122" s="39" t="n">
        <f aca="false">8314.4621*U122/(Sheet1!H$20*Sheet1!H$12*9.80665)</f>
        <v>180930.27163854</v>
      </c>
      <c r="W122" s="39" t="n">
        <f aca="false">W121-LN(R122/R121)*(V121+V122)/2</f>
        <v>2695298.40139736</v>
      </c>
      <c r="X122" s="39" t="n">
        <f aca="false">Sheet1!H$10*10/Sheet1!H$11*1000*W122/(Sheet1!H$10*10/Sheet1!H$11*1000-W122)</f>
        <v>2822070.43353289</v>
      </c>
      <c r="Y122" s="37"/>
      <c r="Z122" s="39"/>
      <c r="AJ122" s="39"/>
      <c r="AS122" s="39"/>
    </row>
    <row r="123" customFormat="false" ht="15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581.54935830959</v>
      </c>
      <c r="T123" s="37" t="n">
        <f aca="false">(X123-X$100)/(X$170-X$100)*(T$170-T$100)+T$100</f>
        <v>2.38508266061492</v>
      </c>
      <c r="U123" s="39" t="n">
        <f aca="false">(X123-X$100)/(X$125-X$100)*(U$125-U$100)+U$100</f>
        <v>586.500841209508</v>
      </c>
      <c r="V123" s="39" t="n">
        <f aca="false">8314.4621*U123/(Sheet1!H$20*Sheet1!H$12*9.80665)</f>
        <v>188355.451744888</v>
      </c>
      <c r="W123" s="39" t="n">
        <f aca="false">W122-LN(R123/R122)*(V122+V123)/2</f>
        <v>2737813.99148327</v>
      </c>
      <c r="X123" s="39" t="n">
        <f aca="false">Sheet1!H$10*10/Sheet1!H$11*1000*W123/(Sheet1!H$10*10/Sheet1!H$11*1000-W123)</f>
        <v>2868714.08410017</v>
      </c>
      <c r="Y123" s="37"/>
      <c r="Z123" s="39"/>
      <c r="AJ123" s="39"/>
      <c r="AS123" s="39"/>
    </row>
    <row r="124" customFormat="false" ht="15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605.601105785836</v>
      </c>
      <c r="T124" s="37" t="n">
        <f aca="false">(X124-X$100)/(X$170-X$100)*(T$170-T$100)+T$100</f>
        <v>2.41150747322521</v>
      </c>
      <c r="U124" s="39" t="n">
        <f aca="false">(X124-X$100)/(X$125-X$100)*(U$125-U$100)+U$100</f>
        <v>610.607447165057</v>
      </c>
      <c r="V124" s="39" t="n">
        <f aca="false">8314.4621*U124/(Sheet1!H$20*Sheet1!H$12*9.80665)</f>
        <v>196097.317290093</v>
      </c>
      <c r="W124" s="39" t="n">
        <f aca="false">W123-LN(R124/R123)*(V123+V124)/2</f>
        <v>2782075.75223028</v>
      </c>
      <c r="X124" s="39" t="n">
        <f aca="false">Sheet1!H$10*10/Sheet1!H$11*1000*W124/(Sheet1!H$10*10/Sheet1!H$11*1000-W124)</f>
        <v>2917347.09583288</v>
      </c>
      <c r="Y124" s="37"/>
      <c r="Z124" s="39"/>
      <c r="AJ124" s="39"/>
      <c r="AS124" s="39"/>
    </row>
    <row r="125" customFormat="false" ht="15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630.681822201791</v>
      </c>
      <c r="T125" s="37" t="n">
        <f aca="false">(X125-X$100)/(X$170-X$100)*(T$170-T$100)+T$100</f>
        <v>2.43906277797295</v>
      </c>
      <c r="U125" s="39" t="n">
        <f aca="false">470/610*(U$170-U$54)+U$54</f>
        <v>635.745368986307</v>
      </c>
      <c r="V125" s="39" t="n">
        <f aca="false">8314.4621*U125/(Sheet1!H$20*Sheet1!H$12*9.80665)</f>
        <v>204170.391168051</v>
      </c>
      <c r="W125" s="39" t="n">
        <f aca="false">W124-LN(R125/R124)*(V124+V125)/2</f>
        <v>2828158.27516541</v>
      </c>
      <c r="X125" s="39" t="n">
        <f aca="false">Sheet1!H$10*10/Sheet1!H$11*1000*W125/(Sheet1!H$10*10/Sheet1!H$11*1000-W125)</f>
        <v>2968060.69894743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630.681822201791</v>
      </c>
      <c r="AA125" s="39" t="n">
        <f aca="false">IF(Y125=LOG(Sheet1!H$17*101325),(LOG(Sheet1!H$17*101325)-Q135)/(Q125-Q135)*(X125-X135)+X135,IF(Y125=0,0,X125))</f>
        <v>2968060.69894743</v>
      </c>
      <c r="AB125" s="32" t="n">
        <f aca="false">IF(Y125=0,0,AB100+1)</f>
        <v>8</v>
      </c>
      <c r="AJ125" s="39"/>
      <c r="AS125" s="39"/>
    </row>
    <row r="126" customFormat="false" ht="15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637.41101483682</v>
      </c>
      <c r="T126" s="37" t="n">
        <f aca="false">(X126-X$100)/(X$170-X$100)*(T$170-T$100)+T$100</f>
        <v>2.46737010473957</v>
      </c>
      <c r="U126" s="39" t="n">
        <f aca="false">(X126-X$125)/(X$140-X$125)*(U$140-U$125)+U$125</f>
        <v>642.533328240515</v>
      </c>
      <c r="V126" s="39" t="n">
        <f aca="false">8314.4621*U126/(Sheet1!H$20*Sheet1!H$12*9.80665)</f>
        <v>206350.352460375</v>
      </c>
      <c r="W126" s="39" t="n">
        <f aca="false">W125-LN(R126/R125)*(V125+V126)/2</f>
        <v>2875421.22239759</v>
      </c>
      <c r="X126" s="39" t="n">
        <f aca="false">Sheet1!H$10*10/Sheet1!H$11*1000*W126/(Sheet1!H$10*10/Sheet1!H$11*1000-W126)</f>
        <v>3020158.34577146</v>
      </c>
      <c r="Y126" s="37"/>
      <c r="Z126" s="39"/>
      <c r="AJ126" s="39"/>
      <c r="AS126" s="39"/>
    </row>
    <row r="127" customFormat="false" ht="15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644.223440238807</v>
      </c>
      <c r="T127" s="37" t="n">
        <f aca="false">(X127-X$100)/(X$170-X$100)*(T$170-T$100)+T$100</f>
        <v>2.49602756223654</v>
      </c>
      <c r="U127" s="39" t="n">
        <f aca="false">(X127-X$125)/(X$140-X$125)*(U$140-U$125)+U$125</f>
        <v>649.405247140608</v>
      </c>
      <c r="V127" s="39" t="n">
        <f aca="false">8314.4621*U127/(Sheet1!H$20*Sheet1!H$12*9.80665)</f>
        <v>208557.277494126</v>
      </c>
      <c r="W127" s="39" t="n">
        <f aca="false">W126-LN(R127/R126)*(V126+V127)/2</f>
        <v>2923189.22858273</v>
      </c>
      <c r="X127" s="39" t="n">
        <f aca="false">Sheet1!H$10*10/Sheet1!H$11*1000*W127/(Sheet1!H$10*10/Sheet1!H$11*1000-W127)</f>
        <v>3072900.38361421</v>
      </c>
      <c r="Y127" s="37"/>
      <c r="Z127" s="39"/>
      <c r="AJ127" s="39"/>
      <c r="AS127" s="39"/>
    </row>
    <row r="128" customFormat="false" ht="15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651.120383092032</v>
      </c>
      <c r="T128" s="37" t="n">
        <f aca="false">(X128-X$100)/(X$170-X$100)*(T$170-T$100)+T$100</f>
        <v>2.52504055467499</v>
      </c>
      <c r="U128" s="39" t="n">
        <f aca="false">(X128-X$125)/(X$140-X$125)*(U$140-U$125)+U$125</f>
        <v>656.362421590123</v>
      </c>
      <c r="V128" s="39" t="n">
        <f aca="false">8314.4621*U128/(Sheet1!H$20*Sheet1!H$12*9.80665)</f>
        <v>210791.582450286</v>
      </c>
      <c r="W128" s="39" t="n">
        <f aca="false">W127-LN(R128/R127)*(V127+V128)/2</f>
        <v>2971468.55026633</v>
      </c>
      <c r="X128" s="39" t="n">
        <f aca="false">Sheet1!H$10*10/Sheet1!H$11*1000*W128/(Sheet1!H$10*10/Sheet1!H$11*1000-W128)</f>
        <v>3126296.75854668</v>
      </c>
      <c r="Y128" s="37"/>
      <c r="Z128" s="39"/>
      <c r="AJ128" s="39"/>
      <c r="AS128" s="39"/>
    </row>
    <row r="129" customFormat="false" ht="15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658.103153835644</v>
      </c>
      <c r="T129" s="37" t="n">
        <f aca="false">(X129-X$100)/(X$170-X$100)*(T$170-T$100)+T$100</f>
        <v>2.55441459460763</v>
      </c>
      <c r="U129" s="39" t="n">
        <f aca="false">(X129-X$125)/(X$140-X$125)*(U$140-U$125)+U$125</f>
        <v>663.406173472389</v>
      </c>
      <c r="V129" s="39" t="n">
        <f aca="false">8314.4621*U129/(Sheet1!H$20*Sheet1!H$12*9.80665)</f>
        <v>213053.691853279</v>
      </c>
      <c r="W129" s="39" t="n">
        <f aca="false">W128-LN(R129/R128)*(V128+V129)/2</f>
        <v>3020265.5407837</v>
      </c>
      <c r="X129" s="39" t="n">
        <f aca="false">Sheet1!H$10*10/Sheet1!H$11*1000*W129/(Sheet1!H$10*10/Sheet1!H$11*1000-W129)</f>
        <v>3180357.61603502</v>
      </c>
      <c r="Y129" s="37"/>
      <c r="Z129" s="39"/>
      <c r="AJ129" s="39"/>
      <c r="AS129" s="39"/>
    </row>
    <row r="130" customFormat="false" ht="15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665.173089324163</v>
      </c>
      <c r="T130" s="37" t="n">
        <f aca="false">(X130-X$100)/(X$170-X$100)*(T$170-T$100)+T$100</f>
        <v>2.5841553057073</v>
      </c>
      <c r="U130" s="39" t="n">
        <f aca="false">(X130-X$125)/(X$140-X$125)*(U$140-U$125)+U$125</f>
        <v>670.537851316791</v>
      </c>
      <c r="V130" s="39" t="n">
        <f aca="false">8314.4621*U130/(Sheet1!H$20*Sheet1!H$12*9.80665)</f>
        <v>215344.038784941</v>
      </c>
      <c r="W130" s="39" t="n">
        <f aca="false">W129-LN(R130/R129)*(V129+V130)/2</f>
        <v>3069586.6522057</v>
      </c>
      <c r="X130" s="39" t="n">
        <f aca="false">Sheet1!H$10*10/Sheet1!H$11*1000*W130/(Sheet1!H$10*10/Sheet1!H$11*1000-W130)</f>
        <v>3235093.30605409</v>
      </c>
      <c r="Y130" s="37"/>
      <c r="Z130" s="39"/>
      <c r="AJ130" s="39"/>
      <c r="AS130" s="39"/>
    </row>
    <row r="131" customFormat="false" ht="15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672.331553508795</v>
      </c>
      <c r="T131" s="37" t="n">
        <f aca="false">(X131-X$100)/(X$170-X$100)*(T$170-T$100)+T$100</f>
        <v>2.61426842563297</v>
      </c>
      <c r="U131" s="39" t="n">
        <f aca="false">(X131-X$125)/(X$140-X$125)*(U$140-U$125)+U$125</f>
        <v>677.758830986038</v>
      </c>
      <c r="V131" s="39" t="n">
        <f aca="false">8314.4621*U131/(Sheet1!H$20*Sheet1!H$12*9.80665)</f>
        <v>217663.065105239</v>
      </c>
      <c r="W131" s="39" t="n">
        <f aca="false">W130-LN(R131/R130)*(V130+V131)/2</f>
        <v>3119438.4373346</v>
      </c>
      <c r="X131" s="39" t="n">
        <f aca="false">Sheet1!H$10*10/Sheet1!H$11*1000*W131/(Sheet1!H$10*10/Sheet1!H$11*1000-W131)</f>
        <v>3290514.38836226</v>
      </c>
      <c r="Y131" s="37"/>
      <c r="Z131" s="39"/>
      <c r="AJ131" s="39"/>
      <c r="AS131" s="39"/>
    </row>
    <row r="132" customFormat="false" ht="15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679.579938140358</v>
      </c>
      <c r="T132" s="37" t="n">
        <f aca="false">(X132-X$100)/(X$170-X$100)*(T$170-T$100)+T$100</f>
        <v>2.6447598089867</v>
      </c>
      <c r="U132" s="39" t="n">
        <f aca="false">(X132-X$125)/(X$140-X$125)*(U$140-U$125)+U$125</f>
        <v>685.070516385228</v>
      </c>
      <c r="V132" s="39" t="n">
        <f aca="false">8314.4621*U132/(Sheet1!H$20*Sheet1!H$12*9.80665)</f>
        <v>220011.221679986</v>
      </c>
      <c r="W132" s="39" t="n">
        <f aca="false">W131-LN(R132/R131)*(V131+V132)/2</f>
        <v>3169827.55175152</v>
      </c>
      <c r="X132" s="39" t="n">
        <f aca="false">Sheet1!H$10*10/Sheet1!H$11*1000*W132/(Sheet1!H$10*10/Sheet1!H$11*1000-W132)</f>
        <v>3346631.63794347</v>
      </c>
      <c r="Y132" s="37"/>
      <c r="Z132" s="39"/>
      <c r="AJ132" s="39"/>
      <c r="AS132" s="39"/>
    </row>
    <row r="133" customFormat="false" ht="15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686.91966349461</v>
      </c>
      <c r="T133" s="37" t="n">
        <f aca="false">(X133-X$100)/(X$170-X$100)*(T$170-T$100)+T$100</f>
        <v>2.67563543036489</v>
      </c>
      <c r="U133" s="39" t="n">
        <f aca="false">(X133-X$125)/(X$140-X$125)*(U$140-U$125)+U$125</f>
        <v>692.47434019351</v>
      </c>
      <c r="V133" s="39" t="n">
        <f aca="false">8314.4621*U133/(Sheet1!H$20*Sheet1!H$12*9.80665)</f>
        <v>222388.968615817</v>
      </c>
      <c r="W133" s="39" t="n">
        <f aca="false">W132-LN(R133/R132)*(V132+V133)/2</f>
        <v>3220760.75591717</v>
      </c>
      <c r="X133" s="39" t="n">
        <f aca="false">Sheet1!H$10*10/Sheet1!H$11*1000*W133/(Sheet1!H$10*10/Sheet1!H$11*1000-W133)</f>
        <v>3403456.05062274</v>
      </c>
      <c r="Y133" s="37"/>
      <c r="Z133" s="39"/>
      <c r="AJ133" s="39"/>
      <c r="AS133" s="39"/>
    </row>
    <row r="134" customFormat="false" ht="15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694.352179120851</v>
      </c>
      <c r="T134" s="37" t="n">
        <f aca="false">(X134-X$100)/(X$170-X$100)*(T$170-T$100)+T$100</f>
        <v>2.70690138750733</v>
      </c>
      <c r="U134" s="39" t="n">
        <f aca="false">(X134-X$125)/(X$140-X$125)*(U$140-U$125)+U$125</f>
        <v>699.971764619222</v>
      </c>
      <c r="V134" s="39" t="n">
        <f aca="false">8314.4621*U134/(Sheet1!H$20*Sheet1!H$12*9.80665)</f>
        <v>224796.775502702</v>
      </c>
      <c r="W134" s="39" t="n">
        <f aca="false">W133-LN(R134/R133)*(V133+V134)/2</f>
        <v>3272244.9173275</v>
      </c>
      <c r="X134" s="39" t="n">
        <f aca="false">Sheet1!H$10*10/Sheet1!H$11*1000*W134/(Sheet1!H$10*10/Sheet1!H$11*1000-W134)</f>
        <v>3460998.84886192</v>
      </c>
      <c r="Y134" s="37"/>
      <c r="Z134" s="39"/>
      <c r="AJ134" s="39"/>
      <c r="AS134" s="39"/>
    </row>
    <row r="135" customFormat="false" ht="15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701.878964614665</v>
      </c>
      <c r="T135" s="37" t="n">
        <f aca="false">(X135-X$100)/(X$170-X$100)*(T$170-T$100)+T$100</f>
        <v>2.73856390454787</v>
      </c>
      <c r="U135" s="39" t="n">
        <f aca="false">(X135-X$125)/(X$140-X$125)*(U$140-U$125)+U$125</f>
        <v>707.564282179385</v>
      </c>
      <c r="V135" s="39" t="n">
        <f aca="false">8314.4621*U135/(Sheet1!H$20*Sheet1!H$12*9.80665)</f>
        <v>227235.12166428</v>
      </c>
      <c r="W135" s="39" t="n">
        <f aca="false">W134-LN(R135/R134)*(V134+V135)/2</f>
        <v>3324287.01272623</v>
      </c>
      <c r="X135" s="39" t="n">
        <f aca="false">Sheet1!H$10*10/Sheet1!H$11*1000*W135/(Sheet1!H$10*10/Sheet1!H$11*1000-W135)</f>
        <v>3519271.48774222</v>
      </c>
      <c r="Y135" s="37"/>
      <c r="Z135" s="39"/>
      <c r="AJ135" s="39"/>
      <c r="AS135" s="39"/>
    </row>
    <row r="136" customFormat="false" ht="15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709.501530415743</v>
      </c>
      <c r="T136" s="37" t="n">
        <f aca="false">(X136-X$100)/(X$170-X$100)*(T$170-T$100)+T$100</f>
        <v>2.77062933537057</v>
      </c>
      <c r="U136" s="39" t="n">
        <f aca="false">(X136-X$125)/(X$140-X$125)*(U$140-U$125)+U$125</f>
        <v>715.253416504489</v>
      </c>
      <c r="V136" s="39" t="n">
        <f aca="false">8314.4621*U136/(Sheet1!H$20*Sheet1!H$12*9.80665)</f>
        <v>229704.496416319</v>
      </c>
      <c r="W136" s="39" t="n">
        <f aca="false">W135-LN(R136/R135)*(V135+V136)/2</f>
        <v>3376894.13037577</v>
      </c>
      <c r="X136" s="39" t="n">
        <f aca="false">Sheet1!H$10*10/Sheet1!H$11*1000*W136/(Sheet1!H$10*10/Sheet1!H$11*1000-W136)</f>
        <v>3578285.66114102</v>
      </c>
      <c r="Y136" s="37"/>
      <c r="Z136" s="39"/>
      <c r="AJ136" s="39"/>
      <c r="AS136" s="39"/>
    </row>
    <row r="137" customFormat="false" ht="15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717.22141863174</v>
      </c>
      <c r="T137" s="37" t="n">
        <f aca="false">(X137-X$100)/(X$170-X$100)*(T$170-T$100)+T$100</f>
        <v>2.80310416707541</v>
      </c>
      <c r="U137" s="39" t="n">
        <f aca="false">(X137-X$125)/(X$140-X$125)*(U$140-U$125)+U$125</f>
        <v>723.040723169548</v>
      </c>
      <c r="V137" s="39" t="n">
        <f aca="false">8314.4621*U137/(Sheet1!H$20*Sheet1!H$12*9.80665)</f>
        <v>232205.399333608</v>
      </c>
      <c r="W137" s="39" t="n">
        <f aca="false">W136-LN(R137/R136)*(V136+V137)/2</f>
        <v>3430073.47238878</v>
      </c>
      <c r="X137" s="39" t="n">
        <f aca="false">Sheet1!H$10*10/Sheet1!H$11*1000*W137/(Sheet1!H$10*10/Sheet1!H$11*1000-W137)</f>
        <v>3638053.3081102</v>
      </c>
      <c r="Y137" s="37"/>
      <c r="Z137" s="39"/>
      <c r="AJ137" s="39"/>
      <c r="AS137" s="39"/>
    </row>
    <row r="138" customFormat="false" ht="15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725.040203889184</v>
      </c>
      <c r="T138" s="37" t="n">
        <f aca="false">(X138-X$100)/(X$170-X$100)*(T$170-T$100)+T$100</f>
        <v>2.83599502355771</v>
      </c>
      <c r="U138" s="39" t="n">
        <f aca="false">(X138-X$125)/(X$140-X$125)*(U$140-U$125)+U$125</f>
        <v>730.92779055244</v>
      </c>
      <c r="V138" s="39" t="n">
        <f aca="false">8314.4621*U138/(Sheet1!H$20*Sheet1!H$12*9.80665)</f>
        <v>234738.340525616</v>
      </c>
      <c r="W138" s="39" t="n">
        <f aca="false">W137-LN(R138/R137)*(V137+V138)/2</f>
        <v>3483832.35712212</v>
      </c>
      <c r="X138" s="39" t="n">
        <f aca="false">Sheet1!H$10*10/Sheet1!H$11*1000*W138/(Sheet1!H$10*10/Sheet1!H$11*1000-W138)</f>
        <v>3698586.6194639</v>
      </c>
      <c r="Y138" s="37"/>
      <c r="Z138" s="39"/>
      <c r="AJ138" s="39"/>
      <c r="AS138" s="39"/>
    </row>
    <row r="139" customFormat="false" ht="15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732.959494212492</v>
      </c>
      <c r="T139" s="37" t="n">
        <f aca="false">(X139-X$100)/(X$170-X$100)*(T$170-T$100)+T$100</f>
        <v>2.86930866920588</v>
      </c>
      <c r="U139" s="39" t="n">
        <f aca="false">(X139-X$125)/(X$140-X$125)*(U$140-U$125)+U$125</f>
        <v>738.916240720598</v>
      </c>
      <c r="V139" s="39" t="n">
        <f aca="false">8314.4621*U139/(Sheet1!H$20*Sheet1!H$12*9.80665)</f>
        <v>237303.840921254</v>
      </c>
      <c r="W139" s="39" t="n">
        <f aca="false">W138-LN(R139/R138)*(V138+V139)/2</f>
        <v>3538178.22163531</v>
      </c>
      <c r="X139" s="39" t="n">
        <f aca="false">Sheet1!H$10*10/Sheet1!H$11*1000*W139/(Sheet1!H$10*10/Sheet1!H$11*1000-W139)</f>
        <v>3759898.04458391</v>
      </c>
      <c r="Y139" s="37"/>
      <c r="Z139" s="39"/>
      <c r="AJ139" s="39"/>
      <c r="AS139" s="39"/>
    </row>
    <row r="140" customFormat="false" ht="15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740.98093193219</v>
      </c>
      <c r="T140" s="37" t="n">
        <f aca="false">(X140-X$100)/(X$170-X$100)*(T$170-T$100)+T$100</f>
        <v>2.90305201272195</v>
      </c>
      <c r="U140" s="39" t="n">
        <f aca="false">570/610*(U$170-U$54)+U$54</f>
        <v>747.00773034716</v>
      </c>
      <c r="V140" s="39" t="n">
        <f aca="false">8314.4621*U140/(Sheet1!H$20*Sheet1!H$12*9.80665)</f>
        <v>239902.432563096</v>
      </c>
      <c r="W140" s="39" t="n">
        <f aca="false">W139-LN(R140/R139)*(V139+V140)/2</f>
        <v>3593118.62421573</v>
      </c>
      <c r="X140" s="39" t="n">
        <f aca="false">Sheet1!H$10*10/Sheet1!H$11*1000*W140/(Sheet1!H$10*10/Sheet1!H$11*1000-W140)</f>
        <v>3822000.29845111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740.98093193219</v>
      </c>
      <c r="AA140" s="39" t="n">
        <f aca="false">IF(Y140=LOG(Sheet1!H$17*101325),(LOG(Sheet1!H$17*101325)-Q150)/(Q140-Q150)*(X140-X150)+X150,IF(Y140=0,0,X140))</f>
        <v>3822000.29845111</v>
      </c>
      <c r="AB140" s="32" t="n">
        <f aca="false">IF(Y140=0,0,AB125+1)</f>
        <v>9</v>
      </c>
      <c r="AJ140" s="39"/>
      <c r="AS140" s="39"/>
    </row>
    <row r="141" customFormat="false" ht="15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743.68417448546</v>
      </c>
      <c r="T141" s="37" t="n">
        <f aca="false">(X141-X$100)/(X$170-X$100)*(T$170-T$100)+T$100</f>
        <v>2.93710861585213</v>
      </c>
      <c r="U141" s="39" t="n">
        <f aca="false">(X141-X$140)/(X$155-X$140)*(U$155-U$140)+U$140</f>
        <v>749.781675140991</v>
      </c>
      <c r="V141" s="39" t="n">
        <f aca="false">8314.4621*U141/(Sheet1!H$20*Sheet1!H$12*9.80665)</f>
        <v>240793.288275561</v>
      </c>
      <c r="W141" s="39" t="n">
        <f aca="false">W140-LN(R141/R140)*(V140+V141)/2</f>
        <v>3648460.76426918</v>
      </c>
      <c r="X141" s="39" t="n">
        <f aca="false">Sheet1!H$10*10/Sheet1!H$11*1000*W141/(Sheet1!H$10*10/Sheet1!H$11*1000-W141)</f>
        <v>3884679.08463711</v>
      </c>
      <c r="Y141" s="37"/>
      <c r="Z141" s="39"/>
      <c r="AJ141" s="39"/>
      <c r="AS141" s="39"/>
    </row>
    <row r="142" customFormat="false" ht="15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746.402809756402</v>
      </c>
      <c r="T142" s="37" t="n">
        <f aca="false">(X142-X$100)/(X$170-X$100)*(T$170-T$100)+T$100</f>
        <v>2.97135914300745</v>
      </c>
      <c r="U142" s="39" t="n">
        <f aca="false">(X142-X$140)/(X$155-X$140)*(U$155-U$140)+U$140</f>
        <v>752.571415242941</v>
      </c>
      <c r="V142" s="39" t="n">
        <f aca="false">8314.4621*U142/(Sheet1!H$20*Sheet1!H$12*9.80665)</f>
        <v>241689.216670259</v>
      </c>
      <c r="W142" s="39" t="n">
        <f aca="false">W141-LN(R142/R141)*(V141+V142)/2</f>
        <v>3704008.61544512</v>
      </c>
      <c r="X142" s="39" t="n">
        <f aca="false">Sheet1!H$10*10/Sheet1!H$11*1000*W142/(Sheet1!H$10*10/Sheet1!H$11*1000-W142)</f>
        <v>3947714.77437166</v>
      </c>
      <c r="Y142" s="37"/>
      <c r="Z142" s="39"/>
      <c r="AJ142" s="39"/>
      <c r="AS142" s="39"/>
    </row>
    <row r="143" customFormat="false" ht="15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749.136970770258</v>
      </c>
      <c r="T143" s="37" t="n">
        <f aca="false">(X143-X$100)/(X$170-X$100)*(T$170-T$100)+T$100</f>
        <v>3.00580527009667</v>
      </c>
      <c r="U143" s="39" t="n">
        <f aca="false">(X143-X$140)/(X$155-X$140)*(U$155-U$140)+U$140</f>
        <v>755.377087157474</v>
      </c>
      <c r="V143" s="39" t="n">
        <f aca="false">8314.4621*U143/(Sheet1!H$20*Sheet1!H$12*9.80665)</f>
        <v>242590.261585761</v>
      </c>
      <c r="W143" s="39" t="n">
        <f aca="false">W142-LN(R143/R142)*(V142+V143)/2</f>
        <v>3759763.35081888</v>
      </c>
      <c r="X143" s="39" t="n">
        <f aca="false">Sheet1!H$10*10/Sheet1!H$11*1000*W143/(Sheet1!H$10*10/Sheet1!H$11*1000-W143)</f>
        <v>4011110.4520471</v>
      </c>
      <c r="Y143" s="37"/>
      <c r="Z143" s="39"/>
      <c r="AJ143" s="39"/>
      <c r="AS143" s="39"/>
    </row>
    <row r="144" customFormat="false" ht="15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751.886792149513</v>
      </c>
      <c r="T144" s="37" t="n">
        <f aca="false">(X144-X$100)/(X$170-X$100)*(T$170-T$100)+T$100</f>
        <v>3.0404486931513</v>
      </c>
      <c r="U144" s="39" t="n">
        <f aca="false">(X144-X$140)/(X$155-X$140)*(U$155-U$140)+U$140</f>
        <v>758.198829028074</v>
      </c>
      <c r="V144" s="39" t="n">
        <f aca="false">8314.4621*U144/(Sheet1!H$20*Sheet1!H$12*9.80665)</f>
        <v>243496.467387015</v>
      </c>
      <c r="W144" s="39" t="n">
        <f aca="false">W143-LN(R144/R143)*(V143+V144)/2</f>
        <v>3815726.15362063</v>
      </c>
      <c r="X144" s="39" t="n">
        <f aca="false">Sheet1!H$10*10/Sheet1!H$11*1000*W144/(Sheet1!H$10*10/Sheet1!H$11*1000-W144)</f>
        <v>4074869.23909031</v>
      </c>
      <c r="Y144" s="37"/>
      <c r="Z144" s="39"/>
      <c r="AJ144" s="39"/>
      <c r="AS144" s="39"/>
    </row>
    <row r="145" customFormat="false" ht="15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754.652410138587</v>
      </c>
      <c r="T145" s="37" t="n">
        <f aca="false">(X145-X$100)/(X$170-X$100)*(T$170-T$100)+T$100</f>
        <v>3.07529112863666</v>
      </c>
      <c r="U145" s="39" t="n">
        <f aca="false">(X145-X$140)/(X$155-X$140)*(U$155-U$140)+U$140</f>
        <v>761.036780662579</v>
      </c>
      <c r="V145" s="39" t="n">
        <f aca="false">8314.4621*U145/(Sheet1!H$20*Sheet1!H$12*9.80665)</f>
        <v>244407.878973476</v>
      </c>
      <c r="W145" s="39" t="n">
        <f aca="false">W144-LN(R145/R144)*(V144+V145)/2</f>
        <v>3871898.21735746</v>
      </c>
      <c r="X145" s="39" t="n">
        <f aca="false">Sheet1!H$10*10/Sheet1!H$11*1000*W145/(Sheet1!H$10*10/Sheet1!H$11*1000-W145)</f>
        <v>4138994.29453518</v>
      </c>
      <c r="Y145" s="37"/>
      <c r="Z145" s="39"/>
      <c r="AJ145" s="39"/>
      <c r="AS145" s="39"/>
    </row>
    <row r="146" customFormat="false" ht="15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757.43396262899</v>
      </c>
      <c r="T146" s="37" t="n">
        <f aca="false">(X146-X$100)/(X$170-X$100)*(T$170-T$100)+T$100</f>
        <v>3.11033431376885</v>
      </c>
      <c r="U146" s="39" t="n">
        <f aca="false">(X146-X$140)/(X$155-X$140)*(U$155-U$140)+U$140</f>
        <v>763.891083558998</v>
      </c>
      <c r="V146" s="39" t="n">
        <f aca="false">8314.4621*U146/(Sheet1!H$20*Sheet1!H$12*9.80665)</f>
        <v>245324.5417874</v>
      </c>
      <c r="W146" s="39" t="n">
        <f aca="false">W145-LN(R146/R145)*(V145+V146)/2</f>
        <v>3928280.74593745</v>
      </c>
      <c r="X146" s="39" t="n">
        <f aca="false">Sheet1!H$10*10/Sheet1!H$11*1000*W146/(Sheet1!H$10*10/Sheet1!H$11*1000-W146)</f>
        <v>4203488.81560592</v>
      </c>
      <c r="Y146" s="37"/>
      <c r="Z146" s="39"/>
      <c r="AJ146" s="39"/>
      <c r="AS146" s="39"/>
    </row>
    <row r="147" customFormat="false" ht="15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760.23158918496</v>
      </c>
      <c r="T147" s="37" t="n">
        <f aca="false">(X147-X$100)/(X$170-X$100)*(T$170-T$100)+T$100</f>
        <v>3.14558000683768</v>
      </c>
      <c r="U147" s="39" t="n">
        <f aca="false">(X147-X$140)/(X$155-X$140)*(U$155-U$140)+U$140</f>
        <v>766.761880931816</v>
      </c>
      <c r="V147" s="39" t="n">
        <f aca="false">8314.4621*U147/(Sheet1!H$20*Sheet1!H$12*9.80665)</f>
        <v>246246.501822291</v>
      </c>
      <c r="W147" s="39" t="n">
        <f aca="false">W146-LN(R147/R146)*(V146+V147)/2</f>
        <v>3984874.95379561</v>
      </c>
      <c r="X147" s="39" t="n">
        <f aca="false">Sheet1!H$10*10/Sheet1!H$11*1000*W147/(Sheet1!H$10*10/Sheet1!H$11*1000-W147)</f>
        <v>4268356.03831144</v>
      </c>
      <c r="Y147" s="37"/>
      <c r="Z147" s="39"/>
      <c r="AJ147" s="39"/>
      <c r="AS147" s="39"/>
    </row>
    <row r="148" customFormat="false" ht="15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763.045431069585</v>
      </c>
      <c r="T148" s="37" t="n">
        <f aca="false">(X148-X$100)/(X$170-X$100)*(T$170-T$100)+T$100</f>
        <v>3.1810299875358</v>
      </c>
      <c r="U148" s="39" t="n">
        <f aca="false">(X148-X$140)/(X$155-X$140)*(U$155-U$140)+U$140</f>
        <v>769.6493177388</v>
      </c>
      <c r="V148" s="39" t="n">
        <f aca="false">8314.4621*U148/(Sheet1!H$20*Sheet1!H$12*9.80665)</f>
        <v>247173.805631511</v>
      </c>
      <c r="W148" s="39" t="n">
        <f aca="false">W147-LN(R148/R147)*(V147+V148)/2</f>
        <v>4041682.0660218</v>
      </c>
      <c r="X148" s="39" t="n">
        <f aca="false">Sheet1!H$10*10/Sheet1!H$11*1000*W148/(Sheet1!H$10*10/Sheet1!H$11*1000-W148)</f>
        <v>4333599.23805107</v>
      </c>
      <c r="Y148" s="37"/>
      <c r="Z148" s="39"/>
      <c r="AJ148" s="39"/>
      <c r="AS148" s="39"/>
    </row>
    <row r="149" customFormat="false" ht="15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765.875631271427</v>
      </c>
      <c r="T149" s="37" t="n">
        <f aca="false">(X149-X$100)/(X$170-X$100)*(T$170-T$100)+T$100</f>
        <v>3.21668605729415</v>
      </c>
      <c r="U149" s="39" t="n">
        <f aca="false">(X149-X$140)/(X$155-X$140)*(U$155-U$140)+U$140</f>
        <v>772.553540708324</v>
      </c>
      <c r="V149" s="39" t="n">
        <f aca="false">8314.4621*U149/(Sheet1!H$20*Sheet1!H$12*9.80665)</f>
        <v>248106.500337053</v>
      </c>
      <c r="W149" s="39" t="n">
        <f aca="false">W148-LN(R149/R148)*(V148+V149)/2</f>
        <v>4098703.31849063</v>
      </c>
      <c r="X149" s="39" t="n">
        <f aca="false">Sheet1!H$10*10/Sheet1!H$11*1000*W149/(Sheet1!H$10*10/Sheet1!H$11*1000-W149)</f>
        <v>4399221.73023193</v>
      </c>
      <c r="Y149" s="37"/>
      <c r="Z149" s="39"/>
      <c r="AJ149" s="39"/>
      <c r="AS149" s="39"/>
    </row>
    <row r="150" customFormat="false" ht="15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768.722334531659</v>
      </c>
      <c r="T150" s="37" t="n">
        <f aca="false">(X150-X$100)/(X$170-X$100)*(T$170-T$100)+T$100</f>
        <v>3.25255003962376</v>
      </c>
      <c r="U150" s="39" t="n">
        <f aca="false">(X150-X$140)/(X$155-X$140)*(U$155-U$140)+U$140</f>
        <v>775.474698367206</v>
      </c>
      <c r="V150" s="39" t="n">
        <f aca="false">8314.4621*U150/(Sheet1!H$20*Sheet1!H$12*9.80665)</f>
        <v>249044.633638486</v>
      </c>
      <c r="W150" s="39" t="n">
        <f aca="false">W149-LN(R150/R149)*(V149+V150)/2</f>
        <v>4155939.95799349</v>
      </c>
      <c r="X150" s="39" t="n">
        <f aca="false">Sheet1!H$10*10/Sheet1!H$11*1000*W150/(Sheet1!H$10*10/Sheet1!H$11*1000-W150)</f>
        <v>4465226.87089801</v>
      </c>
      <c r="Y150" s="37"/>
      <c r="Z150" s="39"/>
      <c r="AJ150" s="39"/>
      <c r="AS150" s="39"/>
    </row>
    <row r="151" customFormat="false" ht="15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771.585687371721</v>
      </c>
      <c r="T151" s="37" t="n">
        <f aca="false">(X151-X$100)/(X$170-X$100)*(T$170-T$100)+T$100</f>
        <v>3.28862378046426</v>
      </c>
      <c r="U151" s="39" t="n">
        <f aca="false">(X151-X$140)/(X$155-X$140)*(U$155-U$140)+U$140</f>
        <v>778.412941069098</v>
      </c>
      <c r="V151" s="39" t="n">
        <f aca="false">8314.4621*U151/(Sheet1!H$20*Sheet1!H$12*9.80665)</f>
        <v>249988.253822064</v>
      </c>
      <c r="W151" s="39" t="n">
        <f aca="false">W150-LN(R151/R150)*(V150+V151)/2</f>
        <v>4213393.24237251</v>
      </c>
      <c r="X151" s="39" t="n">
        <f aca="false">Sheet1!H$10*10/Sheet1!H$11*1000*W151/(Sheet1!H$10*10/Sheet1!H$11*1000-W151)</f>
        <v>4531618.05737155</v>
      </c>
      <c r="Y151" s="37"/>
      <c r="Z151" s="39"/>
      <c r="AJ151" s="39"/>
      <c r="AS151" s="39"/>
    </row>
    <row r="152" customFormat="false" ht="15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774.465838121513</v>
      </c>
      <c r="T152" s="37" t="n">
        <f aca="false">(X152-X$100)/(X$170-X$100)*(T$170-T$100)+T$100</f>
        <v>3.32490914853903</v>
      </c>
      <c r="U152" s="39" t="n">
        <f aca="false">(X152-X$140)/(X$155-X$140)*(U$155-U$140)+U$140</f>
        <v>781.368421023411</v>
      </c>
      <c r="V152" s="39" t="n">
        <f aca="false">8314.4621*U152/(Sheet1!H$20*Sheet1!H$12*9.80665)</f>
        <v>250937.409770024</v>
      </c>
      <c r="W152" s="39" t="n">
        <f aca="false">W151-LN(R152/R151)*(V151+V152)/2</f>
        <v>4271064.44065678</v>
      </c>
      <c r="X152" s="39" t="n">
        <f aca="false">Sheet1!H$10*10/Sheet1!H$11*1000*W152/(Sheet1!H$10*10/Sheet1!H$11*1000-W152)</f>
        <v>4598398.72890669</v>
      </c>
      <c r="Y152" s="37"/>
      <c r="Z152" s="39"/>
      <c r="AJ152" s="39"/>
      <c r="AS152" s="39"/>
    </row>
    <row r="153" customFormat="false" ht="15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777.362936948136</v>
      </c>
      <c r="T153" s="37" t="n">
        <f aca="false">(X153-X$100)/(X$170-X$100)*(T$170-T$100)+T$100</f>
        <v>3.36140803571727</v>
      </c>
      <c r="U153" s="39" t="n">
        <f aca="false">(X153-X$140)/(X$155-X$140)*(U$155-U$140)+U$140</f>
        <v>784.341292324805</v>
      </c>
      <c r="V153" s="39" t="n">
        <f aca="false">8314.4621*U153/(Sheet1!H$20*Sheet1!H$12*9.80665)</f>
        <v>251892.150970052</v>
      </c>
      <c r="W153" s="39" t="n">
        <f aca="false">W152-LN(R153/R152)*(V152+V153)/2</f>
        <v>4328954.83320062</v>
      </c>
      <c r="X153" s="39" t="n">
        <f aca="false">Sheet1!H$10*10/Sheet1!H$11*1000*W153/(Sheet1!H$10*10/Sheet1!H$11*1000-W153)</f>
        <v>4665572.36735582</v>
      </c>
      <c r="Y153" s="37"/>
      <c r="Z153" s="39"/>
      <c r="AJ153" s="39"/>
      <c r="AS153" s="39"/>
    </row>
    <row r="154" customFormat="false" ht="15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780.27713588519</v>
      </c>
      <c r="T154" s="37" t="n">
        <f aca="false">(X154-X$100)/(X$170-X$100)*(T$170-T$100)+T$100</f>
        <v>3.39812235738316</v>
      </c>
      <c r="U154" s="39" t="n">
        <f aca="false">(X154-X$140)/(X$155-X$140)*(U$155-U$140)+U$140</f>
        <v>787.33171098326</v>
      </c>
      <c r="V154" s="39" t="n">
        <f aca="false">8314.4621*U154/(Sheet1!H$20*Sheet1!H$12*9.80665)</f>
        <v>252852.52752494</v>
      </c>
      <c r="W154" s="39" t="n">
        <f aca="false">W153-LN(R154/R153)*(V153+V154)/2</f>
        <v>4387065.71182415</v>
      </c>
      <c r="X154" s="39" t="n">
        <f aca="false">Sheet1!H$10*10/Sheet1!H$11*1000*W154/(Sheet1!H$10*10/Sheet1!H$11*1000-W154)</f>
        <v>4733142.497849</v>
      </c>
      <c r="Y154" s="37"/>
      <c r="Z154" s="39"/>
      <c r="AJ154" s="39"/>
      <c r="AS154" s="39"/>
    </row>
    <row r="155" customFormat="false" ht="15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783.208588862648</v>
      </c>
      <c r="T155" s="37" t="n">
        <f aca="false">(X155-X$100)/(X$170-X$100)*(T$170-T$100)+T$100</f>
        <v>3.43505405281217</v>
      </c>
      <c r="U155" s="39" t="n">
        <f aca="false">150*LOG(Sheet1!H15)+530</f>
        <v>790.339834954727</v>
      </c>
      <c r="V155" s="39" t="n">
        <f aca="false">8314.4621*U155/(Sheet1!H$20*Sheet1!H$12*9.80665)</f>
        <v>253818.590162432</v>
      </c>
      <c r="W155" s="39" t="n">
        <f aca="false">W154-LN(R155/R154)*(V154+V155)/2</f>
        <v>4445398.37995603</v>
      </c>
      <c r="X155" s="39" t="n">
        <f aca="false">Sheet1!H$10*10/Sheet1!H$11*1000*W155/(Sheet1!H$10*10/Sheet1!H$11*1000-W155)</f>
        <v>4801112.68948652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783.208588862648</v>
      </c>
      <c r="AA155" s="39" t="n">
        <f aca="false">IF(Y155=LOG(Sheet1!H$17*101325),(LOG(Sheet1!H$17*101325)-Q165)/(Q155-Q165)*(X155-X165)+X165,IF(Y155=0,0,X155))</f>
        <v>4801112.68948652</v>
      </c>
      <c r="AB155" s="32" t="n">
        <f aca="false">IF(Y155=0,0,AB140+1)</f>
        <v>10</v>
      </c>
      <c r="AJ155" s="39"/>
      <c r="AS155" s="39"/>
    </row>
    <row r="156" customFormat="false" ht="15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783.208588862648</v>
      </c>
      <c r="T156" s="37" t="n">
        <f aca="false">(X156-X$100)/(X$170-X$100)*(T$170-T$100)+T$100</f>
        <v>3.47213583403365</v>
      </c>
      <c r="U156" s="39" t="n">
        <f aca="false">(X156-X$155)/(X$170-X$155)*(U$170-U$155)+U$155</f>
        <v>790.416817530069</v>
      </c>
      <c r="V156" s="39" t="n">
        <f aca="false">8314.4621*U156/(Sheet1!H$20*Sheet1!H$12*9.80665)</f>
        <v>253843.313209248</v>
      </c>
      <c r="W156" s="39" t="n">
        <f aca="false">W155-LN(R156/R155)*(V155+V156)/2</f>
        <v>4503845.11650526</v>
      </c>
      <c r="X156" s="39" t="n">
        <f aca="false">Sheet1!H$10*10/Sheet1!H$11*1000*W156/(Sheet1!H$10*10/Sheet1!H$11*1000-W156)</f>
        <v>4869359.10348423</v>
      </c>
      <c r="Y156" s="37"/>
      <c r="Z156" s="39"/>
      <c r="AJ156" s="39"/>
      <c r="AS156" s="39"/>
    </row>
    <row r="157" customFormat="false" ht="15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783.208588862648</v>
      </c>
      <c r="T157" s="37" t="n">
        <f aca="false">(X157-X$100)/(X$170-X$100)*(T$170-T$100)+T$100</f>
        <v>3.50929943142278</v>
      </c>
      <c r="U157" s="39" t="n">
        <f aca="false">(X157-X$155)/(X$170-X$155)*(U$170-U$155)+U$155</f>
        <v>790.493969957534</v>
      </c>
      <c r="V157" s="39" t="n">
        <f aca="false">8314.4621*U157/(Sheet1!H$20*Sheet1!H$12*9.80665)</f>
        <v>253868.090804279</v>
      </c>
      <c r="W157" s="39" t="n">
        <f aca="false">W156-LN(R157/R156)*(V156+V157)/2</f>
        <v>4562297.55202649</v>
      </c>
      <c r="X157" s="39" t="n">
        <f aca="false">Sheet1!H$10*10/Sheet1!H$11*1000*W157/(Sheet1!H$10*10/Sheet1!H$11*1000-W157)</f>
        <v>4937756.09439232</v>
      </c>
      <c r="Y157" s="37"/>
      <c r="Z157" s="39"/>
      <c r="AJ157" s="39"/>
      <c r="AS157" s="39"/>
    </row>
    <row r="158" customFormat="false" ht="15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783.208588862648</v>
      </c>
      <c r="T158" s="37" t="n">
        <f aca="false">(X158-X$100)/(X$170-X$100)*(T$170-T$100)+T$100</f>
        <v>3.54654512354677</v>
      </c>
      <c r="U158" s="39" t="n">
        <f aca="false">(X158-X$155)/(X$170-X$155)*(U$170-U$155)+U$155</f>
        <v>790.571292815434</v>
      </c>
      <c r="V158" s="39" t="n">
        <f aca="false">8314.4621*U158/(Sheet1!H$20*Sheet1!H$12*9.80665)</f>
        <v>253892.923133248</v>
      </c>
      <c r="W158" s="39" t="n">
        <f aca="false">W157-LN(R158/R157)*(V157+V158)/2</f>
        <v>4620755.6991013</v>
      </c>
      <c r="X158" s="39" t="n">
        <f aca="false">Sheet1!H$10*10/Sheet1!H$11*1000*W158/(Sheet1!H$10*10/Sheet1!H$11*1000-W158)</f>
        <v>5006304.17489425</v>
      </c>
      <c r="Y158" s="37"/>
      <c r="Z158" s="39"/>
      <c r="AJ158" s="39"/>
      <c r="AS158" s="39"/>
    </row>
    <row r="159" customFormat="false" ht="15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783.208588862648</v>
      </c>
      <c r="T159" s="37" t="n">
        <f aca="false">(X159-X$100)/(X$170-X$100)*(T$170-T$100)+T$100</f>
        <v>3.58387319026237</v>
      </c>
      <c r="U159" s="39" t="n">
        <f aca="false">(X159-X$155)/(X$170-X$155)*(U$170-U$155)+U$155</f>
        <v>790.648786684759</v>
      </c>
      <c r="V159" s="39" t="n">
        <f aca="false">8314.4621*U159/(Sheet1!H$20*Sheet1!H$12*9.80665)</f>
        <v>253917.810382743</v>
      </c>
      <c r="W159" s="39" t="n">
        <f aca="false">W158-LN(R159/R158)*(V158+V159)/2</f>
        <v>4679219.57035411</v>
      </c>
      <c r="X159" s="39" t="n">
        <f aca="false">Sheet1!H$10*10/Sheet1!H$11*1000*W159/(Sheet1!H$10*10/Sheet1!H$11*1000-W159)</f>
        <v>5075003.86004666</v>
      </c>
      <c r="Y159" s="37"/>
      <c r="Z159" s="39"/>
      <c r="AJ159" s="39"/>
      <c r="AS159" s="39"/>
    </row>
    <row r="160" customFormat="false" ht="15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783.208588862648</v>
      </c>
      <c r="T160" s="37" t="n">
        <f aca="false">(X160-X$100)/(X$170-X$100)*(T$170-T$100)+T$100</f>
        <v>3.62128391272337</v>
      </c>
      <c r="U160" s="39" t="n">
        <f aca="false">(X160-X$155)/(X$170-X$155)*(U$170-U$155)+U$155</f>
        <v>790.726452149188</v>
      </c>
      <c r="V160" s="39" t="n">
        <f aca="false">8314.4621*U160/(Sheet1!H$20*Sheet1!H$12*9.80665)</f>
        <v>253942.752740213</v>
      </c>
      <c r="W160" s="39" t="n">
        <f aca="false">W159-LN(R160/R159)*(V159+V160)/2</f>
        <v>4737689.17845243</v>
      </c>
      <c r="X160" s="39" t="n">
        <f aca="false">Sheet1!H$10*10/Sheet1!H$11*1000*W160/(Sheet1!H$10*10/Sheet1!H$11*1000-W160)</f>
        <v>5143855.66729339</v>
      </c>
      <c r="Y160" s="37"/>
      <c r="Z160" s="39"/>
      <c r="AJ160" s="39"/>
      <c r="AS160" s="39"/>
    </row>
    <row r="161" customFormat="false" ht="15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783.208588862648</v>
      </c>
      <c r="T161" s="37" t="n">
        <f aca="false">(X161-X$100)/(X$170-X$100)*(T$170-T$100)+T$100</f>
        <v>3.65877757338828</v>
      </c>
      <c r="U161" s="39" t="n">
        <f aca="false">(X161-X$155)/(X$170-X$155)*(U$170-U$155)+U$155</f>
        <v>790.804289795113</v>
      </c>
      <c r="V161" s="39" t="n">
        <f aca="false">8314.4621*U161/(Sheet1!H$20*Sheet1!H$12*9.80665)</f>
        <v>253967.750393977</v>
      </c>
      <c r="W161" s="39" t="n">
        <f aca="false">W160-LN(R161/R160)*(V160+V161)/2</f>
        <v>4796164.53610703</v>
      </c>
      <c r="X161" s="39" t="n">
        <f aca="false">Sheet1!H$10*10/Sheet1!H$11*1000*W161/(Sheet1!H$10*10/Sheet1!H$11*1000-W161)</f>
        <v>5212860.11647945</v>
      </c>
      <c r="Y161" s="37"/>
      <c r="Z161" s="39"/>
      <c r="AJ161" s="39"/>
      <c r="AS161" s="39"/>
    </row>
    <row r="162" customFormat="false" ht="15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783.208588862648</v>
      </c>
      <c r="T162" s="37" t="n">
        <f aca="false">(X162-X$100)/(X$170-X$100)*(T$170-T$100)+T$100</f>
        <v>3.69635445602797</v>
      </c>
      <c r="U162" s="39" t="n">
        <f aca="false">(X162-X$155)/(X$170-X$155)*(U$170-U$155)+U$155</f>
        <v>790.882300211646</v>
      </c>
      <c r="V162" s="39" t="n">
        <f aca="false">8314.4621*U162/(Sheet1!H$20*Sheet1!H$12*9.80665)</f>
        <v>253992.80353323</v>
      </c>
      <c r="W162" s="39" t="n">
        <f aca="false">W161-LN(R162/R161)*(V161+V162)/2</f>
        <v>4854645.65607212</v>
      </c>
      <c r="X162" s="39" t="n">
        <f aca="false">Sheet1!H$10*10/Sheet1!H$11*1000*W162/(Sheet1!H$10*10/Sheet1!H$11*1000-W162)</f>
        <v>5282017.72986522</v>
      </c>
      <c r="Y162" s="37"/>
      <c r="Z162" s="39"/>
      <c r="AJ162" s="39"/>
      <c r="AS162" s="39"/>
    </row>
    <row r="163" customFormat="false" ht="15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783.208588862648</v>
      </c>
      <c r="T163" s="37" t="n">
        <f aca="false">(X163-X$100)/(X$170-X$100)*(T$170-T$100)+T$100</f>
        <v>3.7340148457334</v>
      </c>
      <c r="U163" s="39" t="n">
        <f aca="false">(X163-X$155)/(X$170-X$155)*(U$170-U$155)+U$155</f>
        <v>790.960483990645</v>
      </c>
      <c r="V163" s="39" t="n">
        <f aca="false">8314.4621*U163/(Sheet1!H$20*Sheet1!H$12*9.80665)</f>
        <v>254017.912348048</v>
      </c>
      <c r="W163" s="39" t="n">
        <f aca="false">W162-LN(R163/R162)*(V162+V163)/2</f>
        <v>4913132.55114559</v>
      </c>
      <c r="X163" s="39" t="n">
        <f aca="false">Sheet1!H$10*10/Sheet1!H$11*1000*W163/(Sheet1!H$10*10/Sheet1!H$11*1000-W163)</f>
        <v>5351329.0321406</v>
      </c>
      <c r="Y163" s="37"/>
      <c r="Z163" s="39"/>
      <c r="AJ163" s="39"/>
      <c r="AS163" s="39"/>
    </row>
    <row r="164" customFormat="false" ht="15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783.208588862648</v>
      </c>
      <c r="T164" s="37" t="n">
        <f aca="false">(X164-X$100)/(X$170-X$100)*(T$170-T$100)+T$100</f>
        <v>3.77175902892345</v>
      </c>
      <c r="U164" s="39" t="n">
        <f aca="false">(X164-X$155)/(X$170-X$155)*(U$170-U$155)+U$155</f>
        <v>791.03884172672</v>
      </c>
      <c r="V164" s="39" t="n">
        <f aca="false">8314.4621*U164/(Sheet1!H$20*Sheet1!H$12*9.80665)</f>
        <v>254043.07702939</v>
      </c>
      <c r="W164" s="39" t="n">
        <f aca="false">W163-LN(R164/R163)*(V163+V164)/2</f>
        <v>4971625.2341692</v>
      </c>
      <c r="X164" s="39" t="n">
        <f aca="false">Sheet1!H$10*10/Sheet1!H$11*1000*W164/(Sheet1!H$10*10/Sheet1!H$11*1000-W164)</f>
        <v>5420794.5504394</v>
      </c>
      <c r="Y164" s="37"/>
      <c r="Z164" s="39"/>
      <c r="AJ164" s="39"/>
      <c r="AS164" s="39"/>
    </row>
    <row r="165" customFormat="false" ht="15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783.208588862648</v>
      </c>
      <c r="T165" s="37" t="n">
        <f aca="false">(X165-X$100)/(X$170-X$100)*(T$170-T$100)+T$100</f>
        <v>3.80958729335271</v>
      </c>
      <c r="U165" s="39" t="n">
        <f aca="false">(X165-X$155)/(X$170-X$155)*(U$170-U$155)+U$155</f>
        <v>791.117374017255</v>
      </c>
      <c r="V165" s="39" t="n">
        <f aca="false">8314.4621*U165/(Sheet1!H$20*Sheet1!H$12*9.80665)</f>
        <v>254068.297769108</v>
      </c>
      <c r="W165" s="39" t="n">
        <f aca="false">W164-LN(R165/R164)*(V164+V165)/2</f>
        <v>5030123.71802879</v>
      </c>
      <c r="X165" s="39" t="n">
        <f aca="false">Sheet1!H$10*10/Sheet1!H$11*1000*W165/(Sheet1!H$10*10/Sheet1!H$11*1000-W165)</f>
        <v>5490414.81435375</v>
      </c>
      <c r="Y165" s="37"/>
      <c r="Z165" s="39"/>
      <c r="AJ165" s="39"/>
      <c r="AS165" s="39"/>
    </row>
    <row r="166" customFormat="false" ht="15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783.208588862648</v>
      </c>
      <c r="T166" s="37" t="n">
        <f aca="false">(X166-X$100)/(X$170-X$100)*(T$170-T$100)+T$100</f>
        <v>3.84749992811943</v>
      </c>
      <c r="U166" s="39" t="n">
        <f aca="false">(X166-X$155)/(X$170-X$155)*(U$170-U$155)+U$155</f>
        <v>791.196081462426</v>
      </c>
      <c r="V166" s="39" t="n">
        <f aca="false">8314.4621*U166/(Sheet1!H$20*Sheet1!H$12*9.80665)</f>
        <v>254093.574759948</v>
      </c>
      <c r="W166" s="39" t="n">
        <f aca="false">W165-LN(R166/R165)*(V165+V166)/2</f>
        <v>5088628.01565446</v>
      </c>
      <c r="X166" s="39" t="n">
        <f aca="false">Sheet1!H$10*10/Sheet1!H$11*1000*W166/(Sheet1!H$10*10/Sheet1!H$11*1000-W166)</f>
        <v>5560190.35594866</v>
      </c>
      <c r="Y166" s="37"/>
      <c r="Z166" s="39"/>
      <c r="AJ166" s="39"/>
      <c r="AS166" s="39"/>
    </row>
    <row r="167" customFormat="false" ht="15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783.208588862648</v>
      </c>
      <c r="T167" s="37" t="n">
        <f aca="false">(X167-X$100)/(X$170-X$100)*(T$170-T$100)+T$100</f>
        <v>3.88549722367343</v>
      </c>
      <c r="U167" s="39" t="n">
        <f aca="false">(X167-X$155)/(X$170-X$155)*(U$170-U$155)+U$155</f>
        <v>791.274964665212</v>
      </c>
      <c r="V167" s="39" t="n">
        <f aca="false">8314.4621*U167/(Sheet1!H$20*Sheet1!H$12*9.80665)</f>
        <v>254118.908195558</v>
      </c>
      <c r="W167" s="39" t="n">
        <f aca="false">W166-LN(R167/R166)*(V166+V167)/2</f>
        <v>5147138.1400208</v>
      </c>
      <c r="X167" s="39" t="n">
        <f aca="false">Sheet1!H$10*10/Sheet1!H$11*1000*W167/(Sheet1!H$10*10/Sheet1!H$11*1000-W167)</f>
        <v>5630121.70977664</v>
      </c>
      <c r="Y167" s="37"/>
      <c r="Z167" s="39"/>
      <c r="AJ167" s="39"/>
      <c r="AS167" s="39"/>
    </row>
    <row r="168" customFormat="false" ht="15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783.208588862648</v>
      </c>
      <c r="T168" s="37" t="n">
        <f aca="false">(X168-X$100)/(X$170-X$100)*(T$170-T$100)+T$100</f>
        <v>3.92357947182415</v>
      </c>
      <c r="U168" s="39" t="n">
        <f aca="false">(X168-X$155)/(X$170-X$155)*(U$170-U$155)+U$155</f>
        <v>791.354024231416</v>
      </c>
      <c r="V168" s="39" t="n">
        <f aca="false">8314.4621*U168/(Sheet1!H$20*Sheet1!H$12*9.80665)</f>
        <v>254144.298270492</v>
      </c>
      <c r="W168" s="39" t="n">
        <f aca="false">W167-LN(R168/R167)*(V167+V168)/2</f>
        <v>5205654.1041471</v>
      </c>
      <c r="X168" s="39" t="n">
        <f aca="false">Sheet1!H$10*10/Sheet1!H$11*1000*W168/(Sheet1!H$10*10/Sheet1!H$11*1000-W168)</f>
        <v>5700209.41289247</v>
      </c>
      <c r="Y168" s="37"/>
      <c r="Z168" s="39"/>
      <c r="AJ168" s="39"/>
      <c r="AS168" s="39"/>
    </row>
    <row r="169" customFormat="false" ht="15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783.208588862648</v>
      </c>
      <c r="T169" s="37" t="n">
        <f aca="false">(X169-X$100)/(X$170-X$100)*(T$170-T$100)+T$100</f>
        <v>3.9617469657487</v>
      </c>
      <c r="U169" s="39" t="n">
        <f aca="false">(X169-X$155)/(X$170-X$155)*(U$170-U$155)+U$155</f>
        <v>791.43326076968</v>
      </c>
      <c r="V169" s="39" t="n">
        <f aca="false">8314.4621*U169/(Sheet1!H$20*Sheet1!H$12*9.80665)</f>
        <v>254169.745180216</v>
      </c>
      <c r="W169" s="39" t="n">
        <f aca="false">W168-LN(R169/R168)*(V168+V169)/2</f>
        <v>5264175.92109756</v>
      </c>
      <c r="X169" s="39" t="n">
        <f aca="false">Sheet1!H$10*10/Sheet1!H$11*1000*W169/(Sheet1!H$10*10/Sheet1!H$11*1000-W169)</f>
        <v>5770454.00486801</v>
      </c>
      <c r="Y169" s="37"/>
      <c r="Z169" s="39"/>
      <c r="AJ169" s="39"/>
      <c r="AS169" s="39"/>
    </row>
    <row r="170" customFormat="false" ht="15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783.208588862648</v>
      </c>
      <c r="T170" s="37" t="n">
        <v>4</v>
      </c>
      <c r="U170" s="39" t="n">
        <f aca="false">U155+(T170-T155)*((Sheet1!H$18-Sheet1!H$19)*COS(RADIANS(38))+Sheet1!H$19)/2</f>
        <v>791.512674891502</v>
      </c>
      <c r="V170" s="39" t="n">
        <f aca="false">8314.4621*U170/(Sheet1!H$20*Sheet1!H$12*9.80665)</f>
        <v>254195.249121113</v>
      </c>
      <c r="W170" s="39" t="n">
        <f aca="false">W169-LN(R170/R169)*(V169+V170)/2</f>
        <v>5322703.60398147</v>
      </c>
      <c r="X170" s="39" t="n">
        <f aca="false">Sheet1!H$10*10/Sheet1!H$11*1000*W170/(Sheet1!H$10*10/Sheet1!H$11*1000-W170)</f>
        <v>5840856.02780725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783.208588862648</v>
      </c>
      <c r="AA170" s="39" t="n">
        <f aca="false">IF(Y170=LOG(Sheet1!H$17*101325),(LOG(Sheet1!H$17*101325)-Q180)/(Q170-Q180)*(X170-X180)+X180,IF(Y170=0,0,X170))</f>
        <v>5840856.02780725</v>
      </c>
      <c r="AB170" s="32" t="n">
        <f aca="false">IF(Y170=0,0,AB155+1)</f>
        <v>11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LibreOffice/7.1.6.2$Linux_X86_64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2021-10-10T08:48:39Z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