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<sst xmlns="http://schemas.openxmlformats.org/spreadsheetml/2006/main" count="309" uniqueCount="140">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</sst>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9.1289062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2"/>
    <col collapsed="false" customWidth="true" hidden="false" outlineLevel="0" max="4" min="4" style="1" width="6.22"/>
    <col collapsed="false" customWidth="false" hidden="false" outlineLevel="0" max="5" min="5" style="1" width="9.12"/>
    <col collapsed="false" customWidth="true" hidden="false" outlineLevel="0" max="7" min="6" style="1" width="12.66"/>
    <col collapsed="false" customWidth="false" hidden="false" outlineLevel="0" max="8" min="8" style="1" width="9.12"/>
    <col collapsed="false" customWidth="true" hidden="false" outlineLevel="0" max="9" min="9" style="1" width="6.22"/>
    <col collapsed="false" customWidth="false" hidden="false" outlineLevel="0" max="10" min="10" style="1" width="9.12"/>
    <col collapsed="false" customWidth="true" hidden="false" outlineLevel="0" max="12" min="11" style="1" width="12.66"/>
    <col collapsed="false" customWidth="false" hidden="false" outlineLevel="0" max="13" min="13" style="1" width="9.12"/>
    <col collapsed="false" customWidth="true" hidden="false" outlineLevel="0" max="14" min="14" style="1" width="6.22"/>
    <col collapsed="false" customWidth="false" hidden="false" outlineLevel="0" max="15" min="15" style="1" width="9.12"/>
    <col collapsed="false" customWidth="true" hidden="false" outlineLevel="0" max="17" min="16" style="1" width="12.66"/>
    <col collapsed="false" customWidth="false" hidden="false" outlineLevel="0" max="18" min="18" style="1" width="9.12"/>
    <col collapsed="false" customWidth="true" hidden="false" outlineLevel="0" max="19" min="19" style="1" width="6.22"/>
    <col collapsed="false" customWidth="false" hidden="false" outlineLevel="0" max="1024" min="20" style="1" width="9.12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2.821387982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0.574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10702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691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3.49623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0.27585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0.02555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0.689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0.25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16583749.29196</v>
      </c>
      <c r="I15" s="4" t="s">
        <v>10</v>
      </c>
      <c r="J15" s="10"/>
      <c r="K15" s="13" t="s">
        <v>27</v>
      </c>
      <c r="L15" s="13"/>
      <c r="M15" s="17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7" t="n">
        <f aca="false">R7/(R13/R8)^2</f>
        <v>943.896225361844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2655.39716516496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236.362163402589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0.023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117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17</v>
      </c>
      <c r="S18" s="4" t="s">
        <v>23</v>
      </c>
    </row>
    <row r="19" customFormat="false" ht="14.4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34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75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2.21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22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68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43.75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str">
        <f aca="false">IF(H10*(11-H11)&gt;69996,"n/a",10^((-0.02280546144+SQRT(0.02280546144^2-4*-0.2458665261*-LOG(H10*(11-H11)/69911)))/(2*-0.2458665261))*1.89819E+027*0.0000000000667408/(H10*(11-H11)*1000)^2/9.80665)</f>
        <v>n/a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0.738896475912848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116.970245125517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41.5092189782881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33.6969900259434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11.4952404450613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104.30400064768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3.28435441287467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1.08813567207589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27.5885770681472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0.42075267205025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16.7110602398267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75.2233734040798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21.9401505761899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67.3876053411548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2561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249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225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106000</v>
      </c>
      <c r="G39" s="28" t="n">
        <f aca="false">ROUND(Sheet2!AD5,0)</f>
        <v>2596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9600</v>
      </c>
      <c r="L39" s="28" t="n">
        <f aca="false">ROUND(Sheet2!AH10,0)</f>
        <v>206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29200</v>
      </c>
      <c r="Q39" s="28" t="n">
        <f aca="false">ROUND(Sheet2!AQ19,0)</f>
        <v>193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655000</v>
      </c>
      <c r="G40" s="28" t="n">
        <f aca="false">ROUND(Sheet2!AD6,0)</f>
        <v>2689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14500</v>
      </c>
      <c r="L40" s="28" t="n">
        <f aca="false">ROUND(Sheet2!AH13,0)</f>
        <v>191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53400</v>
      </c>
      <c r="Q40" s="28" t="n">
        <f aca="false">ROUND(Sheet2!AQ31,0)</f>
        <v>178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1230000</v>
      </c>
      <c r="G41" s="28" t="n">
        <f aca="false">ROUND(Sheet2!AD7,0)</f>
        <v>2735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22400</v>
      </c>
      <c r="L41" s="28" t="n">
        <f aca="false">ROUND(Sheet2!AH18,0)</f>
        <v>187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74600</v>
      </c>
      <c r="Q41" s="28" t="n">
        <f aca="false">ROUND(Sheet2!AQ41,0)</f>
        <v>155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1810000</v>
      </c>
      <c r="G42" s="28" t="n">
        <f aca="false">ROUND(Sheet2!AD8,0)</f>
        <v>2685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31500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93700</v>
      </c>
      <c r="Q42" s="28" t="n">
        <f aca="false">ROUND(Sheet2!AQ51,0)</f>
        <v>141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3130000</v>
      </c>
      <c r="G43" s="28" t="n">
        <f aca="false">ROUND(Sheet2!AD9,0)</f>
        <v>2534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45800</v>
      </c>
      <c r="L43" s="28" t="n">
        <f aca="false">ROUND(Sheet2!AH35,0)</f>
        <v>221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112000</v>
      </c>
      <c r="Q43" s="28" t="n">
        <f aca="false">ROUND(Sheet2!AQ61,0)</f>
        <v>137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3850000</v>
      </c>
      <c r="G44" s="28" t="n">
        <f aca="false">ROUND(Sheet2!AD10,0)</f>
        <v>2518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48900</v>
      </c>
      <c r="L44" s="28" t="n">
        <f aca="false">ROUND(Sheet2!AH37,0)</f>
        <v>221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130000</v>
      </c>
      <c r="Q44" s="28" t="n">
        <f aca="false">ROUND(Sheet2!AQ69,0)</f>
        <v>136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4430000</v>
      </c>
      <c r="G45" s="28" t="n">
        <f aca="false">ROUND(Sheet2!AD11,0)</f>
        <v>2437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66700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146000</v>
      </c>
      <c r="Q45" s="28" t="n">
        <f aca="false">ROUND(Sheet2!AQ77,0)</f>
        <v>143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5700000</v>
      </c>
      <c r="G46" s="28" t="n">
        <f aca="false">ROUND(Sheet2!AD12,0)</f>
        <v>1731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80500</v>
      </c>
      <c r="L46" s="28" t="n">
        <f aca="false">ROUND(Sheet2!AH62,0)</f>
        <v>155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163000</v>
      </c>
      <c r="Q46" s="28" t="n">
        <f aca="false">ROUND(Sheet2!AQ86,0)</f>
        <v>175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6330000</v>
      </c>
      <c r="G47" s="28" t="n">
        <f aca="false">ROUND(Sheet2!AD13,0)</f>
        <v>1527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89600</v>
      </c>
      <c r="L47" s="28" t="n">
        <f aca="false">ROUND(Sheet2!AH70,0)</f>
        <v>169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186000</v>
      </c>
      <c r="Q47" s="28" t="n">
        <f aca="false">ROUND(Sheet2!AQ96,0)</f>
        <v>239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6920000</v>
      </c>
      <c r="G48" s="28" t="n">
        <f aca="false">ROUND(Sheet2!AD14,0)</f>
        <v>1433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96200</v>
      </c>
      <c r="L48" s="28" t="n">
        <f aca="false">ROUND(Sheet2!AH75,0)</f>
        <v>203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215000</v>
      </c>
      <c r="Q48" s="28" t="n">
        <f aca="false">ROUND(Sheet2!AQ106,0)</f>
        <v>271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7510000</v>
      </c>
      <c r="G49" s="28" t="n">
        <f aca="false">ROUND(Sheet2!AD15,0)</f>
        <v>1433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105000</v>
      </c>
      <c r="L49" s="28" t="n">
        <f aca="false">ROUND(Sheet2!AH80,0)</f>
        <v>303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246000</v>
      </c>
      <c r="Q49" s="28" t="n">
        <f aca="false">ROUND(Sheet2!AQ116,0)</f>
        <v>277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161000</v>
      </c>
      <c r="L50" s="28" t="n">
        <f aca="false">ROUND(Sheet2!AH95,0)</f>
        <v>828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1230000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14500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53400</v>
      </c>
      <c r="Q56" s="30" t="n">
        <f aca="false">Sheet2!AR31</f>
        <v>-0.1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1810000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38400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93700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4430000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66700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246000</v>
      </c>
      <c r="Q58" s="30" t="n">
        <f aca="false">Sheet2!AR116</f>
        <v>0.15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7510000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80500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161000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4.4" zeroHeight="false" outlineLevelRow="0" outlineLevelCol="0"/>
  <cols>
    <col collapsed="false" customWidth="true" hidden="false" outlineLevel="0" max="1" min="1" style="31" width="6.56"/>
    <col collapsed="false" customWidth="true" hidden="false" outlineLevel="0" max="2" min="2" style="31" width="7.56"/>
    <col collapsed="false" customWidth="true" hidden="false" outlineLevel="0" max="4" min="3" style="31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6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6"/>
    <col collapsed="false" customWidth="true" hidden="false" outlineLevel="0" max="20" min="20" style="0" width="6.56"/>
    <col collapsed="false" customWidth="true" hidden="false" outlineLevel="0" max="21" min="21" style="32" width="6.56"/>
    <col collapsed="false" customWidth="true" hidden="false" outlineLevel="0" max="22" min="22" style="32" width="8.56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6"/>
    <col collapsed="false" customWidth="true" hidden="false" outlineLevel="0" max="35" min="35" style="0" width="6.56"/>
    <col collapsed="false" customWidth="true" hidden="false" outlineLevel="0" max="36" min="36" style="32" width="6.56"/>
    <col collapsed="false" customWidth="true" hidden="false" outlineLevel="0" max="37" min="37" style="32" width="8.56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6"/>
    <col collapsed="false" customWidth="true" hidden="false" outlineLevel="0" max="44" min="44" style="0" width="6.56"/>
    <col collapsed="false" customWidth="true" hidden="false" outlineLevel="0" max="45" min="45" style="32" width="6.56"/>
    <col collapsed="false" customWidth="true" hidden="false" outlineLevel="0" max="46" min="46" style="32" width="8.56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2076.31881099358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2076.31881099358</v>
      </c>
      <c r="V4" s="39" t="n">
        <f aca="false">8314.4621*U4/(Sheet1!H$20*Sheet1!H$12*9.80665)</f>
        <v>227832.277889541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1082746.5261651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2560.89394003955</v>
      </c>
      <c r="AF4" s="37" t="n">
        <f aca="false">LOG(Sheet1!M17*101325)</f>
        <v>5.30674660807771</v>
      </c>
      <c r="AG4" s="40" t="n">
        <f aca="false">10^AF4</f>
        <v>202650</v>
      </c>
      <c r="AH4" s="39" t="n">
        <f aca="false">AJ4-AI4*((Sheet1!M$19-Sheet1!M$20)*COS(RADIANS(38))+Sheet1!M$20)/2</f>
        <v>248.700940804828</v>
      </c>
      <c r="AI4" s="37" t="n">
        <v>1</v>
      </c>
      <c r="AJ4" s="39" t="n">
        <f aca="false">Sheet1!M16+Sheet1!M18</f>
        <v>253.352983819255</v>
      </c>
      <c r="AK4" s="39" t="n">
        <f aca="false">8314.4621*AJ4/(Sheet1!M$21*Sheet1!M$12*9.80665)</f>
        <v>9249.16406272597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3.36744444843132</v>
      </c>
      <c r="AP4" s="40" t="n">
        <f aca="false">10^AO4</f>
        <v>2330.475</v>
      </c>
      <c r="AQ4" s="39" t="n">
        <f aca="false">AS4-AR4*((Sheet1!R$19-Sheet1!R$20)*COS(RADIANS(38))+Sheet1!R$20)/2</f>
        <v>224.985196193802</v>
      </c>
      <c r="AR4" s="37" t="n">
        <v>1</v>
      </c>
      <c r="AS4" s="39" t="n">
        <f aca="false">Sheet1!R16+Sheet1!R18-Sheet1!R23*(AS19-AS4)/((AV19-AV4)*Sheet1!R11^LOG(1.25)/1.25)</f>
        <v>256.86748116438</v>
      </c>
      <c r="AT4" s="39" t="n">
        <f aca="false">8314.4621*AS4/(Sheet1!R$22*Sheet1!R$12*9.80665)</f>
        <v>18045.6098597606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2108.47795171995</v>
      </c>
      <c r="T5" s="37" t="n">
        <v>0</v>
      </c>
      <c r="U5" s="39" t="n">
        <f aca="false">(X5-X$4)/(X$14-X$4)*(U$14-U$4)+U$4</f>
        <v>2108.47795171995</v>
      </c>
      <c r="V5" s="39" t="n">
        <f aca="false">8314.4621*U5/(Sheet1!H$20*Sheet1!H$12*9.80665)</f>
        <v>231361.066555263</v>
      </c>
      <c r="W5" s="39" t="n">
        <f aca="false">W4-LN(R5/R4)*(V4+V5)/2</f>
        <v>52866.5874860344</v>
      </c>
      <c r="X5" s="39" t="n">
        <f aca="false">Sheet1!H$10*10/Sheet1!H$11*1000*W5/(Sheet1!H$10*10/Sheet1!H$11*1000-W5)</f>
        <v>52892.7158488619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1214650.21001545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2596.37691819858</v>
      </c>
      <c r="AF5" s="37" t="n">
        <f aca="false">AF4+(AF$10-AF$4)/6</f>
        <v>5.20364703405939</v>
      </c>
      <c r="AG5" s="40" t="n">
        <f aca="false">10^AF5</f>
        <v>159825.854137914</v>
      </c>
      <c r="AH5" s="39" t="n">
        <f aca="false">AJ5-AI5*((Sheet1!M$19-Sheet1!M$20)*COS(RADIANS(38))+Sheet1!M$20)/2</f>
        <v>241.003137662244</v>
      </c>
      <c r="AI5" s="37" t="n">
        <f aca="false">(AM5-AM$4)/(AM$13-AM$4)*(AI$13-AI$4)+AI$4</f>
        <v>0.833132650527871</v>
      </c>
      <c r="AJ5" s="39" t="n">
        <f aca="false">(AM5-AM$4)/(AM$10-AM$4)*(AJ$10-AJ$4)+AJ$4</f>
        <v>244.878906589223</v>
      </c>
      <c r="AK5" s="39" t="n">
        <f aca="false">8314.4621*AJ5/(Sheet1!M$21*Sheet1!M$12*9.80665)</f>
        <v>8939.80070177697</v>
      </c>
      <c r="AL5" s="39" t="n">
        <f aca="false">AL4-LN(AG5/AG4)*(AK4+AK5)/2</f>
        <v>2158.98957642322</v>
      </c>
      <c r="AM5" s="39" t="n">
        <f aca="false">Sheet1!M$10*10/Sheet1!M$11*1000*AL5/(Sheet1!M$10*10/Sheet1!M$11*1000-AL5)</f>
        <v>2159.88290298909</v>
      </c>
      <c r="AN5" s="41"/>
      <c r="AO5" s="37" t="n">
        <f aca="false">AO4+(AO$19-AO$4)/15</f>
        <v>3.30254518911891</v>
      </c>
      <c r="AP5" s="40" t="n">
        <f aca="false">10^AO5</f>
        <v>2006.98991004973</v>
      </c>
      <c r="AQ5" s="39" t="n">
        <f aca="false">AS5-AR5*((Sheet1!R$19-Sheet1!R$20)*COS(RADIANS(38))+Sheet1!R$20)/2</f>
        <v>222.636299676694</v>
      </c>
      <c r="AR5" s="37" t="n">
        <f aca="false">(AV5-AV$4)/(AV$31-AV$4)*(AR$31-AR$4)+AR$4</f>
        <v>0.955900608110888</v>
      </c>
      <c r="AS5" s="39" t="n">
        <f aca="false">(AV5-AV$4)/(AV$19-AV$4)*(AS$19-AS$4)+AS$4</f>
        <v>253.112595268034</v>
      </c>
      <c r="AT5" s="39" t="n">
        <f aca="false">8314.4621*AS5/(Sheet1!R$22*Sheet1!R$12*9.80665)</f>
        <v>17781.8193416062</v>
      </c>
      <c r="AU5" s="39" t="n">
        <f aca="false">AU4-LN(AP5/AP4)*(AT4+AT5)/2</f>
        <v>2676.95505598754</v>
      </c>
      <c r="AV5" s="39" t="n">
        <f aca="false">Sheet1!R$10*10/Sheet1!R$11*1000*AU5/(Sheet1!R$10*10/Sheet1!R$11*1000-AU5)</f>
        <v>2677.99251844951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2141.16798969589</v>
      </c>
      <c r="T6" s="37" t="n">
        <v>0</v>
      </c>
      <c r="U6" s="39" t="n">
        <f aca="false">(X6-X$4)/(X$14-X$4)*(U$14-U$4)+U$4</f>
        <v>2141.16798969589</v>
      </c>
      <c r="V6" s="39" t="n">
        <f aca="false">8314.4621*U6/(Sheet1!H$20*Sheet1!H$12*9.80665)</f>
        <v>234948.110017433</v>
      </c>
      <c r="W6" s="39" t="n">
        <f aca="false">W5-LN(R6/R5)*(V5+V6)/2</f>
        <v>106552.415421165</v>
      </c>
      <c r="X6" s="39" t="n">
        <f aca="false">Sheet1!H$10*10/Sheet1!H$11*1000*W6/(Sheet1!H$10*10/Sheet1!H$11*1000-W6)</f>
        <v>106658.60802358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1901814.53338035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2688.8316928128</v>
      </c>
      <c r="AF6" s="37" t="n">
        <f aca="false">AF5+(AF$10-AF$4)/6</f>
        <v>5.10054746004107</v>
      </c>
      <c r="AG6" s="40" t="n">
        <f aca="false">10^AF6</f>
        <v>126051.338025728</v>
      </c>
      <c r="AH6" s="39" t="n">
        <f aca="false">AJ6-AI6*((Sheet1!M$19-Sheet1!M$20)*COS(RADIANS(38))+Sheet1!M$20)/2</f>
        <v>233.556853190496</v>
      </c>
      <c r="AI6" s="37" t="n">
        <f aca="false">(AM6-AM$4)/(AM$13-AM$4)*(AI$13-AI$4)+AI$4</f>
        <v>0.671717538943355</v>
      </c>
      <c r="AJ6" s="39" t="n">
        <f aca="false">(AM6-AM$4)/(AM$10-AM$4)*(AJ$10-AJ$4)+AJ$4</f>
        <v>236.681712075206</v>
      </c>
      <c r="AK6" s="39" t="n">
        <f aca="false">8314.4621*AJ6/(Sheet1!M$21*Sheet1!M$12*9.80665)</f>
        <v>8640.54550544461</v>
      </c>
      <c r="AL6" s="39" t="n">
        <f aca="false">AL5-LN(AG6/AG5)*(AK5+AK6)/2</f>
        <v>4245.73748663833</v>
      </c>
      <c r="AM6" s="39" t="n">
        <f aca="false">Sheet1!M$10*10/Sheet1!M$11*1000*AL6/(Sheet1!M$10*10/Sheet1!M$11*1000-AL6)</f>
        <v>4249.19360935772</v>
      </c>
      <c r="AN6" s="41"/>
      <c r="AO6" s="37" t="n">
        <f aca="false">AO5+(AO$19-AO$4)/15</f>
        <v>3.23764592980649</v>
      </c>
      <c r="AP6" s="40" t="n">
        <f aca="false">10^AO6</f>
        <v>1728.40665488427</v>
      </c>
      <c r="AQ6" s="39" t="n">
        <f aca="false">AS6-AR6*((Sheet1!R$19-Sheet1!R$20)*COS(RADIANS(38))+Sheet1!R$20)/2</f>
        <v>220.319970740233</v>
      </c>
      <c r="AR6" s="37" t="n">
        <f aca="false">(AV6-AV$4)/(AV$31-AV$4)*(AR$31-AR$4)+AR$4</f>
        <v>0.912412656739213</v>
      </c>
      <c r="AS6" s="39" t="n">
        <f aca="false">(AV6-AV$4)/(AV$19-AV$4)*(AS$19-AS$4)+AS$4</f>
        <v>249.409771073155</v>
      </c>
      <c r="AT6" s="39" t="n">
        <f aca="false">8314.4621*AS6/(Sheet1!R$22*Sheet1!R$12*9.80665)</f>
        <v>17521.6862936346</v>
      </c>
      <c r="AU6" s="39" t="n">
        <f aca="false">AU5-LN(AP6/AP5)*(AT5+AT6)/2</f>
        <v>5314.76357339958</v>
      </c>
      <c r="AV6" s="39" t="n">
        <f aca="false">Sheet1!R$10*10/Sheet1!R$11*1000*AU6/(Sheet1!R$10*10/Sheet1!R$11*1000-AU6)</f>
        <v>5318.85452191846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2174.3987327239</v>
      </c>
      <c r="T7" s="37" t="n">
        <v>0</v>
      </c>
      <c r="U7" s="39" t="n">
        <f aca="false">(X7-X$4)/(X$14-X$4)*(U$14-U$4)+U$4</f>
        <v>2174.3987327239</v>
      </c>
      <c r="V7" s="39" t="n">
        <f aca="false">8314.4621*U7/(Sheet1!H$20*Sheet1!H$12*9.80665)</f>
        <v>238594.484475896</v>
      </c>
      <c r="W7" s="39" t="n">
        <f aca="false">W6-LN(R7/R6)*(V6+V7)/2</f>
        <v>161071.021370068</v>
      </c>
      <c r="X7" s="39" t="n">
        <f aca="false">Sheet1!H$10*10/Sheet1!H$11*1000*W7/(Sheet1!H$10*10/Sheet1!H$11*1000-W7)</f>
        <v>161313.807575892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2616209.57442842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2735.05908011991</v>
      </c>
      <c r="AF7" s="37" t="n">
        <f aca="false">AF6+(AF$10-AF$4)/6</f>
        <v>4.99744788602275</v>
      </c>
      <c r="AG7" s="40" t="n">
        <f aca="false">10^AF7</f>
        <v>99414.0773016967</v>
      </c>
      <c r="AH7" s="39" t="n">
        <f aca="false">AJ7-AI7*((Sheet1!M$19-Sheet1!M$20)*COS(RADIANS(38))+Sheet1!M$20)/2</f>
        <v>226.354259499504</v>
      </c>
      <c r="AI7" s="37" t="n">
        <f aca="false">(AM7-AM$4)/(AM$13-AM$4)*(AI$13-AI$4)+AI$4</f>
        <v>0.515584977967391</v>
      </c>
      <c r="AJ7" s="39" t="n">
        <f aca="false">(AM7-AM$4)/(AM$10-AM$4)*(AJ$10-AJ$4)+AJ$4</f>
        <v>228.7527829946</v>
      </c>
      <c r="AK7" s="39" t="n">
        <f aca="false">8314.4621*AJ7/(Sheet1!M$21*Sheet1!M$12*9.80665)</f>
        <v>8351.08388236557</v>
      </c>
      <c r="AL7" s="39" t="n">
        <f aca="false">AL6-LN(AG7/AG6)*(AK6+AK7)/2</f>
        <v>6262.60602257179</v>
      </c>
      <c r="AM7" s="39" t="n">
        <f aca="false">Sheet1!M$10*10/Sheet1!M$11*1000*AL7/(Sheet1!M$10*10/Sheet1!M$11*1000-AL7)</f>
        <v>6270.12850236513</v>
      </c>
      <c r="AN7" s="41"/>
      <c r="AO7" s="37" t="n">
        <f aca="false">AO6+(AO$19-AO$4)/15</f>
        <v>3.17274667049407</v>
      </c>
      <c r="AP7" s="40" t="n">
        <f aca="false">10^AO7</f>
        <v>1488.49256774501</v>
      </c>
      <c r="AQ7" s="39" t="n">
        <f aca="false">AS7-AR7*((Sheet1!R$19-Sheet1!R$20)*COS(RADIANS(38))+Sheet1!R$20)/2</f>
        <v>218.035808601172</v>
      </c>
      <c r="AR7" s="37" t="n">
        <f aca="false">(AV7-AV$4)/(AV$31-AV$4)*(AR$31-AR$4)+AR$4</f>
        <v>0.86952862137406</v>
      </c>
      <c r="AS7" s="39" t="n">
        <f aca="false">(AV7-AV$4)/(AV$19-AV$4)*(AS$19-AS$4)+AS$4</f>
        <v>245.758367897894</v>
      </c>
      <c r="AT7" s="39" t="n">
        <f aca="false">8314.4621*AS7/(Sheet1!R$22*Sheet1!R$12*9.80665)</f>
        <v>17265.1657062766</v>
      </c>
      <c r="AU7" s="39" t="n">
        <f aca="false">AU6-LN(AP7/AP6)*(AT6+AT7)/2</f>
        <v>7913.96874716907</v>
      </c>
      <c r="AV7" s="39" t="n">
        <f aca="false">Sheet1!R$10*10/Sheet1!R$11*1000*AU7/(Sheet1!R$10*10/Sheet1!R$11*1000-AU7)</f>
        <v>7923.0429460486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2208.1802034243</v>
      </c>
      <c r="T8" s="37" t="n">
        <v>0</v>
      </c>
      <c r="U8" s="39" t="n">
        <f aca="false">(X8-X$4)/(X$14-X$4)*(U$14-U$4)+U$4</f>
        <v>2208.1802034243</v>
      </c>
      <c r="V8" s="39" t="n">
        <f aca="false">8314.4621*U8/(Sheet1!H$20*Sheet1!H$12*9.80665)</f>
        <v>242301.289702232</v>
      </c>
      <c r="W8" s="39" t="n">
        <f aca="false">W7-LN(R8/R7)*(V7+V8)/2</f>
        <v>216436.193415387</v>
      </c>
      <c r="X8" s="39" t="n">
        <f aca="false">Sheet1!H$10*10/Sheet1!H$11*1000*W8/(Sheet1!H$10*10/Sheet1!H$11*1000-W8)</f>
        <v>216874.798871522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3346278.95422373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2685.35663384523</v>
      </c>
      <c r="AF8" s="37" t="n">
        <f aca="false">AF7+(AF$10-AF$4)/6</f>
        <v>4.89434831200443</v>
      </c>
      <c r="AG8" s="40" t="n">
        <f aca="false">10^AF8</f>
        <v>78405.8219495499</v>
      </c>
      <c r="AH8" s="39" t="n">
        <f aca="false">AJ8-AI8*((Sheet1!M$19-Sheet1!M$20)*COS(RADIANS(38))+Sheet1!M$20)/2</f>
        <v>219.387746769655</v>
      </c>
      <c r="AI8" s="37" t="n">
        <f aca="false">(AM8-AM$4)/(AM$13-AM$4)*(AI$13-AI$4)+AI$4</f>
        <v>0.364570007493184</v>
      </c>
      <c r="AJ8" s="39" t="n">
        <f aca="false">(AM8-AM$4)/(AM$10-AM$4)*(AJ$10-AJ$4)+AJ$4</f>
        <v>221.083742126283</v>
      </c>
      <c r="AK8" s="39" t="n">
        <f aca="false">8314.4621*AJ8/(Sheet1!M$21*Sheet1!M$12*9.80665)</f>
        <v>8071.11000510736</v>
      </c>
      <c r="AL8" s="39" t="n">
        <f aca="false">AL7-LN(AG8/AG7)*(AK7+AK8)/2</f>
        <v>8211.88383382186</v>
      </c>
      <c r="AM8" s="39" t="n">
        <f aca="false">Sheet1!M$10*10/Sheet1!M$11*1000*AL8/(Sheet1!M$10*10/Sheet1!M$11*1000-AL8)</f>
        <v>8224.8227781145</v>
      </c>
      <c r="AN8" s="41"/>
      <c r="AO8" s="37" t="n">
        <f aca="false">AO7+(AO$19-AO$4)/15</f>
        <v>3.10784741118165</v>
      </c>
      <c r="AP8" s="40" t="n">
        <f aca="false">10^AO8</f>
        <v>1281.88011656347</v>
      </c>
      <c r="AQ8" s="39" t="n">
        <f aca="false">AS8-AR8*((Sheet1!R$19-Sheet1!R$20)*COS(RADIANS(38))+Sheet1!R$20)/2</f>
        <v>215.783415955278</v>
      </c>
      <c r="AR8" s="37" t="n">
        <f aca="false">(AV8-AV$4)/(AV$31-AV$4)*(AR$31-AR$4)+AR$4</f>
        <v>0.827241042821317</v>
      </c>
      <c r="AS8" s="39" t="n">
        <f aca="false">(AV8-AV$4)/(AV$19-AV$4)*(AS$19-AS$4)+AS$4</f>
        <v>242.157750621865</v>
      </c>
      <c r="AT8" s="39" t="n">
        <f aca="false">8314.4621*AS8/(Sheet1!R$22*Sheet1!R$12*9.80665)</f>
        <v>17012.2129606702</v>
      </c>
      <c r="AU8" s="39" t="n">
        <f aca="false">AU7-LN(AP8/AP7)*(AT7+AT8)/2</f>
        <v>10475.1070753688</v>
      </c>
      <c r="AV8" s="39" t="n">
        <f aca="false">Sheet1!R$10*10/Sheet1!R$11*1000*AU8/(Sheet1!R$10*10/Sheet1!R$11*1000-AU8)</f>
        <v>10491.0107600345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2242.52264502887</v>
      </c>
      <c r="T9" s="37" t="n">
        <v>0</v>
      </c>
      <c r="U9" s="39" t="n">
        <f aca="false">(X9-X$4)/(X$14-X$4)*(U$14-U$4)+U$4</f>
        <v>2242.52264502887</v>
      </c>
      <c r="V9" s="39" t="n">
        <f aca="false">8314.4621*U9/(Sheet1!H$20*Sheet1!H$12*9.80665)</f>
        <v>246069.649675484</v>
      </c>
      <c r="W9" s="39" t="n">
        <f aca="false">W8-LN(R9/R8)*(V8+V9)/2</f>
        <v>272661.975658519</v>
      </c>
      <c r="X9" s="39" t="n">
        <f aca="false">Sheet1!H$10*10/Sheet1!H$11*1000*W9/(Sheet1!H$10*10/Sheet1!H$11*1000-W9)</f>
        <v>273358.429119055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4985484.72975524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2533.9096126266</v>
      </c>
      <c r="AF9" s="37" t="n">
        <f aca="false">AF8+(AF$10-AF$4)/6</f>
        <v>4.79124873798611</v>
      </c>
      <c r="AG9" s="40" t="n">
        <f aca="false">10^AF9</f>
        <v>61837.0464469381</v>
      </c>
      <c r="AH9" s="39" t="n">
        <f aca="false">AJ9-AI9*((Sheet1!M$19-Sheet1!M$20)*COS(RADIANS(38))+Sheet1!M$20)/2</f>
        <v>212.649918872762</v>
      </c>
      <c r="AI9" s="37" t="n">
        <f aca="false">(AM9-AM$4)/(AM$13-AM$4)*(AI$13-AI$4)+AI$4</f>
        <v>0.218512299660405</v>
      </c>
      <c r="AJ9" s="39" t="n">
        <f aca="false">(AM9-AM$4)/(AM$10-AM$4)*(AJ$10-AJ$4)+AJ$4</f>
        <v>213.666447489963</v>
      </c>
      <c r="AK9" s="39" t="n">
        <f aca="false">8314.4621*AJ9/(Sheet1!M$21*Sheet1!M$12*9.80665)</f>
        <v>7800.32663418073</v>
      </c>
      <c r="AL9" s="39" t="n">
        <f aca="false">AL8-LN(AG9/AG8)*(AK8+AK9)/2</f>
        <v>10095.7879872873</v>
      </c>
      <c r="AM9" s="39" t="n">
        <f aca="false">Sheet1!M$10*10/Sheet1!M$11*1000*AL9/(Sheet1!M$10*10/Sheet1!M$11*1000-AL9)</f>
        <v>10115.3516742452</v>
      </c>
      <c r="AN9" s="41"/>
      <c r="AO9" s="37" t="n">
        <f aca="false">AO8+(AO$19-AO$4)/15</f>
        <v>3.04294815186923</v>
      </c>
      <c r="AP9" s="40" t="n">
        <f aca="false">10^AO9</f>
        <v>1103.94681763857</v>
      </c>
      <c r="AQ9" s="39" t="n">
        <f aca="false">AS9-AR9*((Sheet1!R$19-Sheet1!R$20)*COS(RADIANS(38))+Sheet1!R$20)/2</f>
        <v>213.562398990428</v>
      </c>
      <c r="AR9" s="37" t="n">
        <f aca="false">(AV9-AV$4)/(AV$31-AV$4)*(AR$31-AR$4)+AR$4</f>
        <v>0.785542527449577</v>
      </c>
      <c r="AS9" s="39" t="n">
        <f aca="false">(AV9-AV$4)/(AV$19-AV$4)*(AS$19-AS$4)+AS$4</f>
        <v>238.607289707084</v>
      </c>
      <c r="AT9" s="39" t="n">
        <f aca="false">8314.4621*AS9/(Sheet1!R$22*Sheet1!R$12*9.80665)</f>
        <v>16762.7838301317</v>
      </c>
      <c r="AU9" s="39" t="n">
        <f aca="false">AU8-LN(AP9/AP8)*(AT8+AT9)/2</f>
        <v>12998.7084177071</v>
      </c>
      <c r="AV9" s="39" t="n">
        <f aca="false">Sheet1!R$10*10/Sheet1!R$11*1000*AU9/(Sheet1!R$10*10/Sheet1!R$11*1000-AU9)</f>
        <v>13023.206951691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2277.43652736634</v>
      </c>
      <c r="T10" s="37" t="n">
        <v>0</v>
      </c>
      <c r="U10" s="39" t="n">
        <f aca="false">(X10-X$4)/(X$14-X$4)*(U$14-U$4)+U$4</f>
        <v>2277.43652736634</v>
      </c>
      <c r="V10" s="39" t="n">
        <f aca="false">8314.4621*U10/(Sheet1!H$20*Sheet1!H$12*9.80665)</f>
        <v>249900.713238938</v>
      </c>
      <c r="W10" s="39" t="n">
        <f aca="false">W9-LN(R10/R9)*(V9+V10)/2</f>
        <v>329762.673869198</v>
      </c>
      <c r="X10" s="39" t="n">
        <f aca="false">Sheet1!H$10*10/Sheet1!H$11*1000*W10/(Sheet1!H$10*10/Sheet1!H$11*1000-W10)</f>
        <v>330781.918214348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5894824.14106226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2518.08561777023</v>
      </c>
      <c r="AF10" s="37" t="n">
        <f aca="false">AF4+0.385*(AF18-AF4)</f>
        <v>4.68814916396779</v>
      </c>
      <c r="AG10" s="40" t="n">
        <f aca="false">10^AF10</f>
        <v>48769.5966728236</v>
      </c>
      <c r="AH10" s="39" t="n">
        <f aca="false">AJ10-AI10*((Sheet1!M$19-Sheet1!M$20)*COS(RADIANS(38))+Sheet1!M$20)/2</f>
        <v>206.133588961058</v>
      </c>
      <c r="AI10" s="37" t="n">
        <f aca="false">(AM10-AM$4)/(AM$13-AM$4)*(AI$13-AI$4)+AI$4</f>
        <v>0.0772560632367181</v>
      </c>
      <c r="AJ10" s="39" t="n">
        <f aca="false">AJ4+0.73*(AJ13-AJ4)</f>
        <v>206.492987490361</v>
      </c>
      <c r="AK10" s="39" t="n">
        <f aca="false">8314.4621*AJ10/(Sheet1!M$21*Sheet1!M$12*9.80665)</f>
        <v>7538.4449407681</v>
      </c>
      <c r="AL10" s="39" t="n">
        <f aca="false">AL9-LN(AG10/AG9)*(AK9+AK10)/2</f>
        <v>11916.4659848653</v>
      </c>
      <c r="AM10" s="39" t="n">
        <f aca="false">Sheet1!M$10*10/Sheet1!M$11*1000*AL10/(Sheet1!M$10*10/Sheet1!M$11*1000-AL10)</f>
        <v>11943.7317075906</v>
      </c>
      <c r="AN10" s="41"/>
      <c r="AO10" s="37" t="n">
        <f aca="false">AO9+(AO$19-AO$4)/15</f>
        <v>2.97804889255682</v>
      </c>
      <c r="AP10" s="40" t="n">
        <f aca="false">10^AO10</f>
        <v>950.711818076624</v>
      </c>
      <c r="AQ10" s="39" t="n">
        <f aca="false">AS10-AR10*((Sheet1!R$19-Sheet1!R$20)*COS(RADIANS(38))+Sheet1!R$20)/2</f>
        <v>211.372367398085</v>
      </c>
      <c r="AR10" s="37" t="n">
        <f aca="false">(AV10-AV$4)/(AV$31-AV$4)*(AR$31-AR$4)+AR$4</f>
        <v>0.744425747405477</v>
      </c>
      <c r="AS10" s="39" t="n">
        <f aca="false">(AV10-AV$4)/(AV$19-AV$4)*(AS$19-AS$4)+AS$4</f>
        <v>235.106361216303</v>
      </c>
      <c r="AT10" s="39" t="n">
        <f aca="false">8314.4621*AS10/(Sheet1!R$22*Sheet1!R$12*9.80665)</f>
        <v>16516.8344814434</v>
      </c>
      <c r="AU10" s="39" t="n">
        <f aca="false">AU9-LN(AP10/AP9)*(AT9+AT10)/2</f>
        <v>15485.2960542297</v>
      </c>
      <c r="AV10" s="39" t="n">
        <f aca="false">Sheet1!R$10*10/Sheet1!R$11*1000*AU10/(Sheet1!R$10*10/Sheet1!R$11*1000-AU10)</f>
        <v>15520.0765143758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2312.9325530472</v>
      </c>
      <c r="T11" s="37" t="n">
        <v>0</v>
      </c>
      <c r="U11" s="39" t="n">
        <f aca="false">(X11-X$4)/(X$14-X$4)*(U$14-U$4)+U$4</f>
        <v>2312.9325530472</v>
      </c>
      <c r="V11" s="39" t="n">
        <f aca="false">8314.4621*U11/(Sheet1!H$20*Sheet1!H$12*9.80665)</f>
        <v>253795.654778781</v>
      </c>
      <c r="W11" s="39" t="n">
        <f aca="false">W10-LN(R11/R10)*(V10+V11)/2</f>
        <v>387752.86128884</v>
      </c>
      <c r="X11" s="39" t="n">
        <f aca="false">Sheet1!H$10*10/Sheet1!H$11*1000*W11/(Sheet1!H$10*10/Sheet1!H$11*1000-W11)</f>
        <v>389162.868912914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6622666.98862559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2436.74205214124</v>
      </c>
      <c r="AF11" s="37" t="n">
        <f aca="false">AF10+(AF$13-AF$10)/3</f>
        <v>4.5649652573485</v>
      </c>
      <c r="AG11" s="40" t="n">
        <f aca="false">10^AF11</f>
        <v>36725.291985635</v>
      </c>
      <c r="AH11" s="39" t="n">
        <f aca="false">AJ11-AI11*((Sheet1!M$19-Sheet1!M$20)*COS(RADIANS(38))+Sheet1!M$20)/2</f>
        <v>200.952545938218</v>
      </c>
      <c r="AI11" s="37" t="n">
        <f aca="false">(AM11-AM$4)/(AM$13-AM$4)*(AI$13-AI$4)+AI$4</f>
        <v>-0.0863725486579872</v>
      </c>
      <c r="AJ11" s="39" t="n">
        <f aca="false">(AM11-AM$10)/(AM$13-AM$10)*(AJ$13-AJ$10)+AJ$10</f>
        <v>200.550737126595</v>
      </c>
      <c r="AK11" s="39" t="n">
        <f aca="false">8314.4621*AJ11/(Sheet1!M$21*Sheet1!M$12*9.80665)</f>
        <v>7321.51105000535</v>
      </c>
      <c r="AL11" s="39" t="n">
        <f aca="false">AL10-LN(AG11/AG10)*(AK10+AK11)/2</f>
        <v>14023.9155466376</v>
      </c>
      <c r="AM11" s="39" t="n">
        <f aca="false">Sheet1!M$10*10/Sheet1!M$11*1000*AL11/(Sheet1!M$10*10/Sheet1!M$11*1000-AL11)</f>
        <v>14061.6933243432</v>
      </c>
      <c r="AN11" s="41"/>
      <c r="AO11" s="37" t="n">
        <f aca="false">AO10+(AO$19-AO$4)/15</f>
        <v>2.9131496332444</v>
      </c>
      <c r="AP11" s="40" t="n">
        <f aca="false">10^AO11</f>
        <v>818.746833261382</v>
      </c>
      <c r="AQ11" s="39" t="n">
        <f aca="false">AS11-AR11*((Sheet1!R$19-Sheet1!R$20)*COS(RADIANS(38))+Sheet1!R$20)/2</f>
        <v>209.212934383179</v>
      </c>
      <c r="AR11" s="37" t="n">
        <f aca="false">(AV11-AV$4)/(AV$31-AV$4)*(AR$31-AR$4)+AR$4</f>
        <v>0.703883440799356</v>
      </c>
      <c r="AS11" s="39" t="n">
        <f aca="false">(AV11-AV$4)/(AV$19-AV$4)*(AS$19-AS$4)+AS$4</f>
        <v>231.654346828815</v>
      </c>
      <c r="AT11" s="39" t="n">
        <f aca="false">8314.4621*AS11/(Sheet1!R$22*Sheet1!R$12*9.80665)</f>
        <v>16274.3214759649</v>
      </c>
      <c r="AU11" s="39" t="n">
        <f aca="false">AU10-LN(AP11/AP10)*(AT10+AT11)/2</f>
        <v>17935.3867442006</v>
      </c>
      <c r="AV11" s="39" t="n">
        <f aca="false">Sheet1!R$10*10/Sheet1!R$11*1000*AU11/(Sheet1!R$10*10/Sheet1!R$11*1000-AU11)</f>
        <v>17982.0604357161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2349.02166385598</v>
      </c>
      <c r="T12" s="37" t="n">
        <v>0</v>
      </c>
      <c r="U12" s="39" t="n">
        <f aca="false">(X12-X$4)/(X$14-X$4)*(U$14-U$4)+U$4</f>
        <v>2349.02166385598</v>
      </c>
      <c r="V12" s="39" t="n">
        <f aca="false">8314.4621*U12/(Sheet1!H$20*Sheet1!H$12*9.80665)</f>
        <v>257755.674925513</v>
      </c>
      <c r="W12" s="39" t="n">
        <f aca="false">W11-LN(R12/R11)*(V11+V12)/2</f>
        <v>446647.384592759</v>
      </c>
      <c r="X12" s="39" t="n">
        <f aca="false">Sheet1!H$10*10/Sheet1!H$11*1000*W12/(Sheet1!H$10*10/Sheet1!H$11*1000-W12)</f>
        <v>448519.277343318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8203159.53269225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1731.24636107193</v>
      </c>
      <c r="AF12" s="37" t="n">
        <f aca="false">AF11+(AF$13-AF$10)/3</f>
        <v>4.44178135072921</v>
      </c>
      <c r="AG12" s="40" t="n">
        <f aca="false">10^AF12</f>
        <v>27655.489555888</v>
      </c>
      <c r="AH12" s="39" t="n">
        <f aca="false">AJ12-AI12*((Sheet1!M$19-Sheet1!M$20)*COS(RADIANS(38))+Sheet1!M$20)/2</f>
        <v>195.916638736232</v>
      </c>
      <c r="AI12" s="37" t="n">
        <f aca="false">(AM12-AM$4)/(AM$13-AM$4)*(AI$13-AI$4)+AI$4</f>
        <v>-0.245417455534595</v>
      </c>
      <c r="AJ12" s="39" t="n">
        <f aca="false">(AM12-AM$10)/(AM$13-AM$10)*(AJ$13-AJ$10)+AJ$10</f>
        <v>194.774946176594</v>
      </c>
      <c r="AK12" s="39" t="n">
        <f aca="false">8314.4621*AJ12/(Sheet1!M$21*Sheet1!M$12*9.80665)</f>
        <v>7110.65409745146</v>
      </c>
      <c r="AL12" s="39" t="n">
        <f aca="false">AL11-LN(AG12/AG11)*(AK11+AK12)/2</f>
        <v>16070.6955057651</v>
      </c>
      <c r="AM12" s="39" t="n">
        <f aca="false">Sheet1!M$10*10/Sheet1!M$11*1000*AL12/(Sheet1!M$10*10/Sheet1!M$11*1000-AL12)</f>
        <v>16120.3247837447</v>
      </c>
      <c r="AN12" s="41"/>
      <c r="AO12" s="37" t="n">
        <f aca="false">AO11+(AO$19-AO$4)/15</f>
        <v>2.84825037393198</v>
      </c>
      <c r="AP12" s="40" t="n">
        <f aca="false">10^AO12</f>
        <v>705.099446782636</v>
      </c>
      <c r="AQ12" s="39" t="n">
        <f aca="false">AS12-AR12*((Sheet1!R$19-Sheet1!R$20)*COS(RADIANS(38))+Sheet1!R$20)/2</f>
        <v>207.083716672463</v>
      </c>
      <c r="AR12" s="37" t="n">
        <f aca="false">(AV12-AV$4)/(AV$31-AV$4)*(AR$31-AR$4)+AR$4</f>
        <v>0.663908411862053</v>
      </c>
      <c r="AS12" s="39" t="n">
        <f aca="false">(AV12-AV$4)/(AV$19-AV$4)*(AS$19-AS$4)+AS$4</f>
        <v>228.250633853813</v>
      </c>
      <c r="AT12" s="39" t="n">
        <f aca="false">8314.4621*AS12/(Sheet1!R$22*Sheet1!R$12*9.80665)</f>
        <v>16035.2017705702</v>
      </c>
      <c r="AU12" s="39" t="n">
        <f aca="false">AU11-LN(AP12/AP11)*(AT11+AT12)/2</f>
        <v>20349.4907851363</v>
      </c>
      <c r="AV12" s="39" t="n">
        <f aca="false">Sheet1!R$10*10/Sheet1!R$11*1000*AU12/(Sheet1!R$10*10/Sheet1!R$11*1000-AU12)</f>
        <v>20409.5956880861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2385.71504735909</v>
      </c>
      <c r="T13" s="37" t="n">
        <v>0</v>
      </c>
      <c r="U13" s="39" t="n">
        <f aca="false">(X13-X$4)/(X$14-X$4)*(U$14-U$4)+U$4</f>
        <v>2385.71504735909</v>
      </c>
      <c r="V13" s="39" t="n">
        <f aca="false">8314.4621*U13/(Sheet1!H$20*Sheet1!H$12*9.80665)</f>
        <v>261782.001279021</v>
      </c>
      <c r="W13" s="39" t="n">
        <f aca="false">W12-LN(R13/R12)*(V12+V13)/2</f>
        <v>506461.370016626</v>
      </c>
      <c r="X13" s="39" t="n">
        <f aca="false">Sheet1!H$10*10/Sheet1!H$11*1000*W13/(Sheet1!H$10*10/Sheet1!H$11*1000-W13)</f>
        <v>508869.543875258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8989731.59655386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1527.17080541898</v>
      </c>
      <c r="AF13" s="37" t="n">
        <f aca="false">AF4+0.615*(AF18-AF4)</f>
        <v>4.31859744410992</v>
      </c>
      <c r="AG13" s="40" t="n">
        <f aca="false">10^AF13</f>
        <v>20825.5962369201</v>
      </c>
      <c r="AH13" s="39" t="n">
        <f aca="false">AJ13-AI13*((Sheet1!M$19-Sheet1!M$20)*COS(RADIANS(38))+Sheet1!M$20)/2</f>
        <v>191.02202523202</v>
      </c>
      <c r="AI13" s="37" t="n">
        <v>-0.4</v>
      </c>
      <c r="AJ13" s="39" t="n">
        <f aca="false">IF(0.74*Sheet1!M16+0.78*Sheet1!M18&gt;AJ18,0.74*Sheet1!M16+0.78*Sheet1!M18,AJ18)</f>
        <v>189.161208026249</v>
      </c>
      <c r="AK13" s="39" t="n">
        <f aca="false">8314.4621*AJ13/(Sheet1!M$21*Sheet1!M$12*9.80665)</f>
        <v>6905.71321072889</v>
      </c>
      <c r="AL13" s="39" t="n">
        <f aca="false">AL12-LN(AG13/AG12)*(AK12+AK13)/2</f>
        <v>18058.5067186384</v>
      </c>
      <c r="AM13" s="39" t="n">
        <f aca="false">Sheet1!M$10*10/Sheet1!M$11*1000*AL13/(Sheet1!M$10*10/Sheet1!M$11*1000-AL13)</f>
        <v>18121.1967095444</v>
      </c>
      <c r="AN13" s="41"/>
      <c r="AO13" s="37" t="n">
        <f aca="false">AO12+(AO$19-AO$4)/15</f>
        <v>2.78335111461956</v>
      </c>
      <c r="AP13" s="40" t="n">
        <f aca="false">10^AO13</f>
        <v>607.227056833649</v>
      </c>
      <c r="AQ13" s="39" t="n">
        <f aca="false">AS13-AR13*((Sheet1!R$19-Sheet1!R$20)*COS(RADIANS(38))+Sheet1!R$20)/2</f>
        <v>204.984334521373</v>
      </c>
      <c r="AR13" s="37" t="n">
        <f aca="false">(AV13-AV$4)/(AV$31-AV$4)*(AR$31-AR$4)+AR$4</f>
        <v>0.62449353107372</v>
      </c>
      <c r="AS13" s="39" t="n">
        <f aca="false">(AV13-AV$4)/(AV$19-AV$4)*(AS$19-AS$4)+AS$4</f>
        <v>224.894615241348</v>
      </c>
      <c r="AT13" s="39" t="n">
        <f aca="false">8314.4621*AS13/(Sheet1!R$22*Sheet1!R$12*9.80665)</f>
        <v>15799.4327184188</v>
      </c>
      <c r="AU13" s="39" t="n">
        <f aca="false">AU12-LN(AP13/AP12)*(AT12+AT13)/2</f>
        <v>22728.1120719677</v>
      </c>
      <c r="AV13" s="39" t="n">
        <f aca="false">Sheet1!R$10*10/Sheet1!R$11*1000*AU13/(Sheet1!R$10*10/Sheet1!R$11*1000-AU13)</f>
        <v>22803.115220785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2423.02421579691</v>
      </c>
      <c r="T14" s="37" t="n">
        <v>0</v>
      </c>
      <c r="U14" s="39" t="n">
        <f aca="false">600/1140*(U$44-U$4)+U$4</f>
        <v>2423.02421579691</v>
      </c>
      <c r="V14" s="39" t="n">
        <f aca="false">8314.4621*U14/(Sheet1!H$20*Sheet1!H$12*9.80665)</f>
        <v>265875.897065326</v>
      </c>
      <c r="W14" s="39" t="n">
        <f aca="false">W13-LN(R14/R13)*(V13+V14)/2</f>
        <v>567210.230563038</v>
      </c>
      <c r="X14" s="39" t="n">
        <f aca="false">Sheet1!H$10*10/Sheet1!H$11*1000*W14/(Sheet1!H$10*10/Sheet1!H$11*1000-W14)</f>
        <v>570232.485276627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2560.89394003955</v>
      </c>
      <c r="AA14" s="39" t="n">
        <f aca="false">IF(Y14=LOG(Sheet1!H$17*101325),(LOG(Sheet1!H$17*101325)-Q24)/(Q14-Q24)*(X14-X24)+X24,IF(Y14=0,0,X14))</f>
        <v>1082746.5261651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9729298.60227744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1433.19108945866</v>
      </c>
      <c r="AF14" s="37" t="n">
        <f aca="false">AF13+(AF$18-AF$13)/5</f>
        <v>4.19487795528794</v>
      </c>
      <c r="AG14" s="40" t="n">
        <f aca="false">10^AF14</f>
        <v>15663.1084618996</v>
      </c>
      <c r="AH14" s="39" t="n">
        <f aca="false">AJ14-AI14*((Sheet1!M$19-Sheet1!M$20)*COS(RADIANS(38))+Sheet1!M$20)/2</f>
        <v>190.193241497147</v>
      </c>
      <c r="AI14" s="37" t="n">
        <f aca="false">(AM14-AM$13)/(AM$30-AM$13)*(AI$30-AI$13)+AI$13</f>
        <v>-0.347079282739776</v>
      </c>
      <c r="AJ14" s="39" t="n">
        <f aca="false">(AM14-AM$13)/(AM$18-AM$13)*(AJ$18-AJ$13)+AJ$13</f>
        <v>188.578613744425</v>
      </c>
      <c r="AK14" s="39" t="n">
        <f aca="false">8314.4621*AJ14/(Sheet1!M$21*Sheet1!M$12*9.80665)</f>
        <v>6884.44442591583</v>
      </c>
      <c r="AL14" s="39" t="n">
        <f aca="false">AL13-LN(AG14/AG13)*(AK13+AK14)/2</f>
        <v>20022.7398883801</v>
      </c>
      <c r="AM14" s="39" t="n">
        <f aca="false">Sheet1!M$10*10/Sheet1!M$11*1000*AL14/(Sheet1!M$10*10/Sheet1!M$11*1000-AL14)</f>
        <v>20099.83832412</v>
      </c>
      <c r="AN14" s="41"/>
      <c r="AO14" s="37" t="n">
        <f aca="false">AO13+(AO$19-AO$4)/15</f>
        <v>2.71845185530715</v>
      </c>
      <c r="AP14" s="40" t="n">
        <f aca="false">10^AO14</f>
        <v>522.939991278313</v>
      </c>
      <c r="AQ14" s="39" t="n">
        <f aca="false">AS14-AR14*((Sheet1!R$19-Sheet1!R$20)*COS(RADIANS(38))+Sheet1!R$20)/2</f>
        <v>202.914411719442</v>
      </c>
      <c r="AR14" s="37" t="n">
        <f aca="false">(AV14-AV$4)/(AV$31-AV$4)*(AR$31-AR$4)+AR$4</f>
        <v>0.585631735265459</v>
      </c>
      <c r="AS14" s="39" t="n">
        <f aca="false">(AV14-AV$4)/(AV$19-AV$4)*(AS$19-AS$4)+AS$4</f>
        <v>221.585689590989</v>
      </c>
      <c r="AT14" s="39" t="n">
        <f aca="false">8314.4621*AS14/(Sheet1!R$22*Sheet1!R$12*9.80665)</f>
        <v>15566.9720695634</v>
      </c>
      <c r="AU14" s="39" t="n">
        <f aca="false">AU13-LN(AP14/AP13)*(AT13+AT14)/2</f>
        <v>25071.7481563043</v>
      </c>
      <c r="AV14" s="39" t="n">
        <f aca="false">Sheet1!R$10*10/Sheet1!R$11*1000*AU14/(Sheet1!R$10*10/Sheet1!R$11*1000-AU14)</f>
        <v>25163.047953865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2439.73586199072</v>
      </c>
      <c r="T15" s="37" t="n">
        <v>0</v>
      </c>
      <c r="U15" s="39" t="n">
        <f aca="false">(X15-X$14)/(X$24-X$14)*(U$24-U$14)+U$14</f>
        <v>2439.73586199072</v>
      </c>
      <c r="V15" s="39" t="n">
        <f aca="false">8314.4621*U15/(Sheet1!H$20*Sheet1!H$12*9.80665)</f>
        <v>267709.648413848</v>
      </c>
      <c r="W15" s="39" t="n">
        <f aca="false">W14-LN(R15/R14)*(V14+V15)/2</f>
        <v>628641.536705911</v>
      </c>
      <c r="X15" s="39" t="n">
        <f aca="false">Sheet1!H$10*10/Sheet1!H$11*1000*W15/(Sheet1!H$10*10/Sheet1!H$11*1000-W15)</f>
        <v>632356.0318245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10465417.0394704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1433.19108945866</v>
      </c>
      <c r="AF15" s="37" t="n">
        <f aca="false">AF14+(AF$18-AF$13)/5</f>
        <v>4.07115846646595</v>
      </c>
      <c r="AG15" s="40" t="n">
        <f aca="false">10^AF15</f>
        <v>11780.3573976095</v>
      </c>
      <c r="AH15" s="39" t="n">
        <f aca="false">AJ15-AI15*((Sheet1!M$19-Sheet1!M$20)*COS(RADIANS(38))+Sheet1!M$20)/2</f>
        <v>189.366387807235</v>
      </c>
      <c r="AI15" s="37" t="n">
        <f aca="false">(AM15-AM$13)/(AM$30-AM$13)*(AI$30-AI$13)+AI$13</f>
        <v>-0.294281805547345</v>
      </c>
      <c r="AJ15" s="39" t="n">
        <f aca="false">(AM15-AM$13)/(AM$18-AM$13)*(AJ$18-AJ$13)+AJ$13</f>
        <v>187.997376189465</v>
      </c>
      <c r="AK15" s="39" t="n">
        <f aca="false">8314.4621*AJ15/(Sheet1!M$21*Sheet1!M$12*9.80665)</f>
        <v>6863.22517116621</v>
      </c>
      <c r="AL15" s="39" t="n">
        <f aca="false">AL14-LN(AG15/AG14)*(AK14+AK15)/2</f>
        <v>21980.9211754076</v>
      </c>
      <c r="AM15" s="39" t="n">
        <f aca="false">Sheet1!M$10*10/Sheet1!M$11*1000*AL15/(Sheet1!M$10*10/Sheet1!M$11*1000-AL15)</f>
        <v>22073.8721416108</v>
      </c>
      <c r="AN15" s="41"/>
      <c r="AO15" s="37" t="n">
        <f aca="false">AO14+(AO$19-AO$4)/15</f>
        <v>2.65355259599473</v>
      </c>
      <c r="AP15" s="40" t="n">
        <f aca="false">10^AO15</f>
        <v>450.352518717029</v>
      </c>
      <c r="AQ15" s="39" t="n">
        <f aca="false">AS15-AR15*((Sheet1!R$19-Sheet1!R$20)*COS(RADIANS(38))+Sheet1!R$20)/2</f>
        <v>200.873575594308</v>
      </c>
      <c r="AR15" s="37" t="n">
        <f aca="false">(AV15-AV$4)/(AV$31-AV$4)*(AR$31-AR$4)+AR$4</f>
        <v>0.547316027694601</v>
      </c>
      <c r="AS15" s="39" t="n">
        <f aca="false">(AV15-AV$4)/(AV$19-AV$4)*(AS$19-AS$4)+AS$4</f>
        <v>218.323261158233</v>
      </c>
      <c r="AT15" s="39" t="n">
        <f aca="false">8314.4621*AS15/(Sheet1!R$22*Sheet1!R$12*9.80665)</f>
        <v>15337.7779714002</v>
      </c>
      <c r="AU15" s="39" t="n">
        <f aca="false">AU14-LN(AP15/AP14)*(AT14+AT15)/2</f>
        <v>27380.8903057788</v>
      </c>
      <c r="AV15" s="39" t="n">
        <f aca="false">Sheet1!R$10*10/Sheet1!R$11*1000*AU15/(Sheet1!R$10*10/Sheet1!R$11*1000-AU15)</f>
        <v>27489.8187735595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2456.58234648829</v>
      </c>
      <c r="T16" s="37" t="n">
        <v>0</v>
      </c>
      <c r="U16" s="39" t="n">
        <f aca="false">(X16-X$14)/(X$24-X$14)*(U$24-U$14)+U$14</f>
        <v>2456.58234648829</v>
      </c>
      <c r="V16" s="39" t="n">
        <f aca="false">8314.4621*U16/(Sheet1!H$20*Sheet1!H$12*9.80665)</f>
        <v>269558.195427529</v>
      </c>
      <c r="W16" s="39" t="n">
        <f aca="false">W15-LN(R16/R15)*(V15+V16)/2</f>
        <v>690496.783114621</v>
      </c>
      <c r="X16" s="39" t="n">
        <f aca="false">Sheet1!H$10*10/Sheet1!H$11*1000*W16/(Sheet1!H$10*10/Sheet1!H$11*1000-W16)</f>
        <v>694980.823696651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3.94743897764397</v>
      </c>
      <c r="AG16" s="40" t="n">
        <f aca="false">10^AF16</f>
        <v>8860.10722284069</v>
      </c>
      <c r="AH16" s="39" t="n">
        <f aca="false">AJ16-AI16*((Sheet1!M$19-Sheet1!M$20)*COS(RADIANS(38))+Sheet1!M$20)/2</f>
        <v>188.541463270148</v>
      </c>
      <c r="AI16" s="37" t="n">
        <f aca="false">(AM16-AM$13)/(AM$30-AM$13)*(AI$30-AI$13)+AI$13</f>
        <v>-0.241607511456739</v>
      </c>
      <c r="AJ16" s="39" t="n">
        <f aca="false">(AM16-AM$13)/(AM$18-AM$13)*(AJ$18-AJ$13)+AJ$13</f>
        <v>187.417494734242</v>
      </c>
      <c r="AK16" s="39" t="n">
        <f aca="false">8314.4621*AJ16/(Sheet1!M$21*Sheet1!M$12*9.80665)</f>
        <v>6842.05542358543</v>
      </c>
      <c r="AL16" s="39" t="n">
        <f aca="false">AL15-LN(AG16/AG15)*(AK15+AK16)/2</f>
        <v>23933.0646863194</v>
      </c>
      <c r="AM16" s="39" t="n">
        <f aca="false">Sheet1!M$10*10/Sheet1!M$11*1000*AL16/(Sheet1!M$10*10/Sheet1!M$11*1000-AL16)</f>
        <v>24043.3002919054</v>
      </c>
      <c r="AN16" s="41"/>
      <c r="AO16" s="37" t="n">
        <f aca="false">AO15+(AO$19-AO$4)/15</f>
        <v>2.58865333668231</v>
      </c>
      <c r="AP16" s="40" t="n">
        <f aca="false">10^AO16</f>
        <v>387.840659535314</v>
      </c>
      <c r="AQ16" s="39" t="n">
        <f aca="false">AS16-AR16*((Sheet1!R$19-Sheet1!R$20)*COS(RADIANS(38))+Sheet1!R$20)/2</f>
        <v>198.861457014368</v>
      </c>
      <c r="AR16" s="37" t="n">
        <f aca="false">(AV16-AV$4)/(AV$31-AV$4)*(AR$31-AR$4)+AR$4</f>
        <v>0.509539478094449</v>
      </c>
      <c r="AS16" s="39" t="n">
        <f aca="false">(AV16-AV$4)/(AV$19-AV$4)*(AS$19-AS$4)+AS$4</f>
        <v>215.106739858735</v>
      </c>
      <c r="AT16" s="39" t="n">
        <f aca="false">8314.4621*AS16/(Sheet1!R$22*Sheet1!R$12*9.80665)</f>
        <v>15111.8089689667</v>
      </c>
      <c r="AU16" s="39" t="n">
        <f aca="false">AU15-LN(AP16/AP15)*(AT15+AT16)/2</f>
        <v>29656.023563446</v>
      </c>
      <c r="AV16" s="39" t="n">
        <f aca="false">Sheet1!R$10*10/Sheet1!R$11*1000*AU16/(Sheet1!R$10*10/Sheet1!R$11*1000-AU16)</f>
        <v>29783.8485292628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2473.56504058535</v>
      </c>
      <c r="T17" s="37" t="n">
        <v>0</v>
      </c>
      <c r="U17" s="39" t="n">
        <f aca="false">(X17-X$14)/(X$24-X$14)*(U$24-U$14)+U$14</f>
        <v>2473.56504058535</v>
      </c>
      <c r="V17" s="39" t="n">
        <f aca="false">8314.4621*U17/(Sheet1!H$20*Sheet1!H$12*9.80665)</f>
        <v>271421.688577207</v>
      </c>
      <c r="W17" s="39" t="n">
        <f aca="false">W16-LN(R17/R16)*(V16+V17)/2</f>
        <v>752779.393940568</v>
      </c>
      <c r="X17" s="39" t="n">
        <f aca="false">Sheet1!H$10*10/Sheet1!H$11*1000*W17/(Sheet1!H$10*10/Sheet1!H$11*1000-W17)</f>
        <v>758111.958514194</v>
      </c>
      <c r="Y17" s="37"/>
      <c r="Z17" s="39"/>
      <c r="AF17" s="37" t="n">
        <f aca="false">AF16+(AF$18-AF$13)/5</f>
        <v>3.82371948882198</v>
      </c>
      <c r="AG17" s="40" t="n">
        <f aca="false">10^AF17</f>
        <v>6663.76217211909</v>
      </c>
      <c r="AH17" s="39" t="n">
        <f aca="false">AJ17-AI17*((Sheet1!M$19-Sheet1!M$20)*COS(RADIANS(38))+Sheet1!M$20)/2</f>
        <v>187.718466972771</v>
      </c>
      <c r="AI17" s="37" t="n">
        <f aca="false">(AM17-AM$13)/(AM$30-AM$13)*(AI$30-AI$13)+AI$13</f>
        <v>-0.189056342162429</v>
      </c>
      <c r="AJ17" s="39" t="n">
        <f aca="false">(AM17-AM$13)/(AM$18-AM$13)*(AJ$18-AJ$13)+AJ$13</f>
        <v>186.838968736881</v>
      </c>
      <c r="AK17" s="39" t="n">
        <f aca="false">8314.4621*AJ17/(Sheet1!M$21*Sheet1!M$12*9.80665)</f>
        <v>6820.93515974058</v>
      </c>
      <c r="AL17" s="39" t="n">
        <f aca="false">AL16-LN(AG17/AG16)*(AK16+AK17)/2</f>
        <v>25879.1845211154</v>
      </c>
      <c r="AM17" s="39" t="n">
        <f aca="false">Sheet1!M$10*10/Sheet1!M$11*1000*AL17/(Sheet1!M$10*10/Sheet1!M$11*1000-AL17)</f>
        <v>26008.1249549771</v>
      </c>
      <c r="AN17" s="41"/>
      <c r="AO17" s="37" t="n">
        <f aca="false">AO16+(AO$19-AO$4)/15</f>
        <v>2.52375407736989</v>
      </c>
      <c r="AP17" s="40" t="n">
        <f aca="false">10^AO17</f>
        <v>334.005853053308</v>
      </c>
      <c r="AQ17" s="39" t="n">
        <f aca="false">AS17-AR17*((Sheet1!R$19-Sheet1!R$20)*COS(RADIANS(38))+Sheet1!R$20)/2</f>
        <v>196.877690390103</v>
      </c>
      <c r="AR17" s="37" t="n">
        <f aca="false">(AV17-AV$4)/(AV$31-AV$4)*(AR$31-AR$4)+AR$4</f>
        <v>0.47229522269926</v>
      </c>
      <c r="AS17" s="39" t="n">
        <f aca="false">(AV17-AV$4)/(AV$19-AV$4)*(AS$19-AS$4)+AS$4</f>
        <v>211.935541270443</v>
      </c>
      <c r="AT17" s="39" t="n">
        <f aca="false">8314.4621*AS17/(Sheet1!R$22*Sheet1!R$12*9.80665)</f>
        <v>14889.0240050906</v>
      </c>
      <c r="AU17" s="39" t="n">
        <f aca="false">AU16-LN(AP17/AP16)*(AT16+AT17)/2</f>
        <v>31897.6268072165</v>
      </c>
      <c r="AV17" s="39" t="n">
        <f aca="false">Sheet1!R$10*10/Sheet1!R$11*1000*AU17/(Sheet1!R$10*10/Sheet1!R$11*1000-AU17)</f>
        <v>32045.554032013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2490.68533378033</v>
      </c>
      <c r="T18" s="37" t="n">
        <v>0</v>
      </c>
      <c r="U18" s="39" t="n">
        <f aca="false">(X18-X$14)/(X$24-X$14)*(U$24-U$14)+U$14</f>
        <v>2490.68533378033</v>
      </c>
      <c r="V18" s="39" t="n">
        <f aca="false">8314.4621*U18/(Sheet1!H$20*Sheet1!H$12*9.80665)</f>
        <v>273300.280331083</v>
      </c>
      <c r="W18" s="39" t="n">
        <f aca="false">W17-LN(R18/R17)*(V17+V18)/2</f>
        <v>815492.828212298</v>
      </c>
      <c r="X18" s="39" t="n">
        <f aca="false">Sheet1!H$10*10/Sheet1!H$11*1000*W18/(Sheet1!H$10*10/Sheet1!H$11*1000-W18)</f>
        <v>821754.601564252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186.897397981106</v>
      </c>
      <c r="AI18" s="37" t="n">
        <f aca="false">(AM18-AM$13)/(AM$30-AM$13)*(AI$30-AI$13)+AI$13</f>
        <v>-0.1366282380253</v>
      </c>
      <c r="AJ18" s="39" t="n">
        <f aca="false">0.77*Sheet1!M16+0.56*Sheet1!M18</f>
        <v>186.261797540827</v>
      </c>
      <c r="AK18" s="39" t="n">
        <f aca="false">8314.4621*AJ18/(Sheet1!M$21*Sheet1!M$12*9.80665)</f>
        <v>6799.86435566274</v>
      </c>
      <c r="AL18" s="39" t="n">
        <f aca="false">AL17-LN(AG18/AG17)*(AK17+AK18)/2</f>
        <v>27819.2947730432</v>
      </c>
      <c r="AM18" s="39" t="n">
        <f aca="false">Sheet1!M$10*10/Sheet1!M$11*1000*AL18/(Sheet1!M$10*10/Sheet1!M$11*1000-AL18)</f>
        <v>27968.3483606602</v>
      </c>
      <c r="AN18" s="41"/>
      <c r="AO18" s="37" t="n">
        <f aca="false">AO17+(AO$19-AO$4)/15</f>
        <v>2.45885481805747</v>
      </c>
      <c r="AP18" s="40" t="n">
        <f aca="false">10^AO18</f>
        <v>287.643667911281</v>
      </c>
      <c r="AQ18" s="39" t="n">
        <f aca="false">AS18-AR18*((Sheet1!R$19-Sheet1!R$20)*COS(RADIANS(38))+Sheet1!R$20)/2</f>
        <v>194.921913674133</v>
      </c>
      <c r="AR18" s="37" t="n">
        <f aca="false">(AV18-AV$4)/(AV$31-AV$4)*(AR$31-AR$4)+AR$4</f>
        <v>0.435576464245256</v>
      </c>
      <c r="AS18" s="39" t="n">
        <f aca="false">(AV18-AV$4)/(AV$19-AV$4)*(AS$19-AS$4)+AS$4</f>
        <v>208.809086633677</v>
      </c>
      <c r="AT18" s="39" t="n">
        <f aca="false">8314.4621*AS18/(Sheet1!R$22*Sheet1!R$12*9.80665)</f>
        <v>14669.3824203966</v>
      </c>
      <c r="AU18" s="39" t="n">
        <f aca="false">AU17-LN(AP18/AP17)*(AT17+AT18)/2</f>
        <v>34106.1728093009</v>
      </c>
      <c r="AV18" s="39" t="n">
        <f aca="false">Sheet1!R$10*10/Sheet1!R$11*1000*AU18/(Sheet1!R$10*10/Sheet1!R$11*1000-AU18)</f>
        <v>34275.3480544302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2507.94463408323</v>
      </c>
      <c r="T19" s="37" t="n">
        <v>0</v>
      </c>
      <c r="U19" s="39" t="n">
        <f aca="false">(X19-X$14)/(X$24-X$14)*(U$24-U$14)+U$14</f>
        <v>2507.94463408323</v>
      </c>
      <c r="V19" s="39" t="n">
        <f aca="false">8314.4621*U19/(Sheet1!H$20*Sheet1!H$12*9.80665)</f>
        <v>275194.125188611</v>
      </c>
      <c r="W19" s="39" t="n">
        <f aca="false">W18-LN(R19/R18)*(V18+V19)/2</f>
        <v>878640.580299312</v>
      </c>
      <c r="X19" s="39" t="n">
        <f aca="false">Sheet1!H$10*10/Sheet1!H$11*1000*W19/(Sheet1!H$10*10/Sheet1!H$11*1000-W19)</f>
        <v>885913.986948421</v>
      </c>
      <c r="Y19" s="37"/>
      <c r="Z19" s="39"/>
      <c r="AC19" s="39" t="n">
        <f aca="false">AC4</f>
        <v>1082746.5261651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188.121341369817</v>
      </c>
      <c r="AI19" s="37" t="n">
        <f aca="false">(AM19-AM$13)/(AM$30-AM$13)*(AI$30-AI$13)+AI$13</f>
        <v>-0.0941269927492512</v>
      </c>
      <c r="AJ19" s="39" t="n">
        <f aca="false">(AM19-AM$18)/(AM$25-AM$18)*(AJ$25-AJ$18)+AJ$18</f>
        <v>187.683458550729</v>
      </c>
      <c r="AK19" s="39" t="n">
        <f aca="false">8314.4621*AJ19/(Sheet1!M$21*Sheet1!M$12*9.80665)</f>
        <v>6851.76497164898</v>
      </c>
      <c r="AL19" s="39" t="n">
        <f aca="false">AL18-LN(AG19/AG18)*(AK18+AK19)/2</f>
        <v>29390.9966822507</v>
      </c>
      <c r="AM19" s="39" t="n">
        <f aca="false">Sheet1!M$10*10/Sheet1!M$11*1000*AL19/(Sheet1!M$10*10/Sheet1!M$11*1000-AL19)</f>
        <v>29557.4185193461</v>
      </c>
      <c r="AN19" s="41"/>
      <c r="AO19" s="37" t="n">
        <f aca="false">AO4+0.2*(AO61-AO4)</f>
        <v>2.39395555874506</v>
      </c>
      <c r="AP19" s="40" t="n">
        <f aca="false">10^AO19</f>
        <v>247.716855657168</v>
      </c>
      <c r="AQ19" s="39" t="n">
        <f aca="false">AS19-AR19*((Sheet1!R$19-Sheet1!R$20)*COS(RADIANS(38))+Sheet1!R$20)/2</f>
        <v>192.993768360041</v>
      </c>
      <c r="AR19" s="37" t="n">
        <f aca="false">(AV19-AV$4)/(AV$31-AV$4)*(AR$31-AR$4)+AR$4</f>
        <v>0.399376471948436</v>
      </c>
      <c r="AS19" s="39" t="n">
        <f aca="false">Sheet1!R16+0.36*(AS61-Sheet1!R16)+0.3*Sheet1!R18</f>
        <v>205.726802849245</v>
      </c>
      <c r="AT19" s="39" t="n">
        <f aca="false">8314.4621*AS19/(Sheet1!R$22*Sheet1!R$12*9.80665)</f>
        <v>14452.8439531729</v>
      </c>
      <c r="AU19" s="39" t="n">
        <f aca="false">AU18-LN(AP19/AP18)*(AT18+AT19)/2</f>
        <v>36282.1282956456</v>
      </c>
      <c r="AV19" s="39" t="n">
        <f aca="false">Sheet1!R$10*10/Sheet1!R$11*1000*AU19/(Sheet1!R$10*10/Sheet1!R$11*1000-AU19)</f>
        <v>36473.6393320645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2525.34436833103</v>
      </c>
      <c r="T20" s="37" t="n">
        <v>0</v>
      </c>
      <c r="U20" s="39" t="n">
        <f aca="false">(X20-X$14)/(X$24-X$14)*(U$24-U$14)+U$14</f>
        <v>2525.34436833103</v>
      </c>
      <c r="V20" s="39" t="n">
        <f aca="false">8314.4621*U20/(Sheet1!H$20*Sheet1!H$12*9.80665)</f>
        <v>277103.379715113</v>
      </c>
      <c r="W20" s="39" t="n">
        <f aca="false">W19-LN(R20/R19)*(V19+V20)/2</f>
        <v>942226.180383767</v>
      </c>
      <c r="X20" s="39" t="n">
        <f aca="false">Sheet1!H$10*10/Sheet1!H$11*1000*W20/(Sheet1!H$10*10/Sheet1!H$11*1000-W20)</f>
        <v>950595.418755137</v>
      </c>
      <c r="Y20" s="37"/>
      <c r="Z20" s="39"/>
      <c r="AC20" s="39" t="n">
        <f aca="false">IF(AD20=0,AA44,IF(AD20=1,AA54,IF(AD20=2,AA100,AA170)))</f>
        <v>2616209.57442842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189.355379438087</v>
      </c>
      <c r="AI20" s="37" t="n">
        <f aca="false">(AM20-AM$13)/(AM$30-AM$13)*(AI$30-AI$13)+AI$13</f>
        <v>-0.0512752112835296</v>
      </c>
      <c r="AJ20" s="39" t="n">
        <f aca="false">(AM20-AM$18)/(AM$25-AM$18)*(AJ$25-AJ$18)+AJ$18</f>
        <v>189.116844949622</v>
      </c>
      <c r="AK20" s="39" t="n">
        <f aca="false">8314.4621*AJ20/(Sheet1!M$21*Sheet1!M$12*9.80665)</f>
        <v>6904.09364672034</v>
      </c>
      <c r="AL20" s="39" t="n">
        <f aca="false">AL19-LN(AG20/AG19)*(AK19+AK20)/2</f>
        <v>30974.6984320502</v>
      </c>
      <c r="AM20" s="39" t="n">
        <f aca="false">Sheet1!M$10*10/Sheet1!M$11*1000*AL20/(Sheet1!M$10*10/Sheet1!M$11*1000-AL20)</f>
        <v>31159.5948022156</v>
      </c>
      <c r="AN20" s="41"/>
      <c r="AO20" s="37" t="n">
        <f aca="false">AO19+(AO$31-AO$19)/12</f>
        <v>2.31283148460454</v>
      </c>
      <c r="AP20" s="40" t="n">
        <f aca="false">10^AO20</f>
        <v>205.509302192979</v>
      </c>
      <c r="AQ20" s="39" t="n">
        <f aca="false">AS20-AR20*((Sheet1!R$19-Sheet1!R$20)*COS(RADIANS(38))+Sheet1!R$20)/2</f>
        <v>191.628479977198</v>
      </c>
      <c r="AR20" s="37" t="n">
        <f aca="false">(AV20-AV$4)/(AV$31-AV$4)*(AR$31-AR$4)+AR$4</f>
        <v>0.354735793812235</v>
      </c>
      <c r="AS20" s="39" t="n">
        <f aca="false">(AV20-AV$19)/(AV$31-AV$19)*(AS$31-AS$19)+AS$19</f>
        <v>202.938267644784</v>
      </c>
      <c r="AT20" s="39" t="n">
        <f aca="false">8314.4621*AS20/(Sheet1!R$22*Sheet1!R$12*9.80665)</f>
        <v>14256.9420890996</v>
      </c>
      <c r="AU20" s="39" t="n">
        <f aca="false">AU19-LN(AP20/AP19)*(AT19+AT20)/2</f>
        <v>38963.5517404531</v>
      </c>
      <c r="AV20" s="39" t="n">
        <f aca="false">Sheet1!R$10*10/Sheet1!R$11*1000*AU20/(Sheet1!R$10*10/Sheet1!R$11*1000-AU20)</f>
        <v>39184.5021568369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2542.88598250965</v>
      </c>
      <c r="T21" s="37" t="n">
        <v>0</v>
      </c>
      <c r="U21" s="39" t="n">
        <f aca="false">(X21-X$14)/(X$24-X$14)*(U$24-U$14)+U$14</f>
        <v>2542.88598250965</v>
      </c>
      <c r="V21" s="39" t="n">
        <f aca="false">8314.4621*U21/(Sheet1!H$20*Sheet1!H$12*9.80665)</f>
        <v>279028.2025771</v>
      </c>
      <c r="W21" s="39" t="n">
        <f aca="false">W20-LN(R21/R20)*(V20+V21)/2</f>
        <v>1006253.19494023</v>
      </c>
      <c r="X21" s="39" t="n">
        <f aca="false">Sheet1!H$10*10/Sheet1!H$11*1000*W21/(Sheet1!H$10*10/Sheet1!H$11*1000-W21)</f>
        <v>1015804.27225654</v>
      </c>
      <c r="Y21" s="37"/>
      <c r="Z21" s="39"/>
      <c r="AC21" s="39" t="n">
        <f aca="false">IF(AD21=0,0,IF(AD21=1,AA54,IF(AD21=2,AA100,AA170)))</f>
        <v>3346278.95422373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190.599607230406</v>
      </c>
      <c r="AI21" s="37" t="n">
        <f aca="false">(AM21-AM$13)/(AM$30-AM$13)*(AI$30-AI$13)+AI$13</f>
        <v>-0.00806959322280198</v>
      </c>
      <c r="AJ21" s="39" t="n">
        <f aca="false">(AM21-AM$18)/(AM$25-AM$18)*(AJ$25-AJ$18)+AJ$18</f>
        <v>190.562067135624</v>
      </c>
      <c r="AK21" s="39" t="n">
        <f aca="false">8314.4621*AJ21/(Sheet1!M$21*Sheet1!M$12*9.80665)</f>
        <v>6956.8544111839</v>
      </c>
      <c r="AL21" s="39" t="n">
        <f aca="false">AL20-LN(AG21/AG20)*(AK20+AK21)/2</f>
        <v>32570.499050695</v>
      </c>
      <c r="AM21" s="39" t="n">
        <f aca="false">Sheet1!M$10*10/Sheet1!M$11*1000*AL21/(Sheet1!M$10*10/Sheet1!M$11*1000-AL21)</f>
        <v>32775.0006074327</v>
      </c>
      <c r="AN21" s="41"/>
      <c r="AO21" s="37" t="n">
        <f aca="false">AO20+(AO$31-AO$19)/12</f>
        <v>2.23170741046401</v>
      </c>
      <c r="AP21" s="40" t="n">
        <f aca="false">10^AO21</f>
        <v>170.493336740459</v>
      </c>
      <c r="AQ21" s="39" t="n">
        <f aca="false">AS21-AR21*((Sheet1!R$19-Sheet1!R$20)*COS(RADIANS(38))+Sheet1!R$20)/2</f>
        <v>190.280660114713</v>
      </c>
      <c r="AR21" s="37" t="n">
        <f aca="false">(AV21-AV$4)/(AV$31-AV$4)*(AR$31-AR$4)+AR$4</f>
        <v>0.310666281888658</v>
      </c>
      <c r="AS21" s="39" t="n">
        <f aca="false">(AV21-AV$19)/(AV$31-AV$19)*(AS$31-AS$19)+AS$19</f>
        <v>200.185411044637</v>
      </c>
      <c r="AT21" s="39" t="n">
        <f aca="false">8314.4621*AS21/(Sheet1!R$22*Sheet1!R$12*9.80665)</f>
        <v>14063.5467399455</v>
      </c>
      <c r="AU21" s="39" t="n">
        <f aca="false">AU20-LN(AP21/AP20)*(AT20+AT21)/2</f>
        <v>41608.6157824769</v>
      </c>
      <c r="AV21" s="39" t="n">
        <f aca="false">Sheet1!R$10*10/Sheet1!R$11*1000*AU21/(Sheet1!R$10*10/Sheet1!R$11*1000-AU21)</f>
        <v>41860.680175795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2560.57094208266</v>
      </c>
      <c r="T22" s="37" t="n">
        <v>0</v>
      </c>
      <c r="U22" s="39" t="n">
        <f aca="false">(X22-X$14)/(X$24-X$14)*(U$24-U$14)+U$14</f>
        <v>2560.57094208266</v>
      </c>
      <c r="V22" s="39" t="n">
        <f aca="false">8314.4621*U22/(Sheet1!H$20*Sheet1!H$12*9.80665)</f>
        <v>280968.754578348</v>
      </c>
      <c r="W22" s="39" t="n">
        <f aca="false">W21-LN(R22/R21)*(V21+V22)/2</f>
        <v>1070725.22722364</v>
      </c>
      <c r="X22" s="39" t="n">
        <f aca="false">Sheet1!H$10*10/Sheet1!H$11*1000*W22/(Sheet1!H$10*10/Sheet1!H$11*1000-W22)</f>
        <v>1081545.99513047</v>
      </c>
      <c r="Y22" s="37"/>
      <c r="Z22" s="39"/>
      <c r="AC22" s="39" t="n">
        <f aca="false">IF(AD22=0,0,IF(AD22=2,AA100,AA170))</f>
        <v>6622666.98862559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191.854120873462</v>
      </c>
      <c r="AI22" s="37" t="n">
        <f aca="false">(AM22-AM$13)/(AM$30-AM$13)*(AI$30-AI$13)+AI$13</f>
        <v>0.0354931994173227</v>
      </c>
      <c r="AJ22" s="39" t="n">
        <f aca="false">(AM22-AM$18)/(AM$25-AM$18)*(AJ$25-AJ$18)+AJ$18</f>
        <v>192.019236763871</v>
      </c>
      <c r="AK22" s="39" t="n">
        <f aca="false">8314.4621*AJ22/(Sheet1!M$21*Sheet1!M$12*9.80665)</f>
        <v>7010.05134123661</v>
      </c>
      <c r="AL22" s="39" t="n">
        <f aca="false">AL21-LN(AG22/AG21)*(AK21+AK22)/2</f>
        <v>34178.4984997338</v>
      </c>
      <c r="AM22" s="39" t="n">
        <f aca="false">Sheet1!M$10*10/Sheet1!M$11*1000*AL22/(Sheet1!M$10*10/Sheet1!M$11*1000-AL22)</f>
        <v>34403.7607381965</v>
      </c>
      <c r="AN22" s="41"/>
      <c r="AO22" s="37" t="n">
        <f aca="false">AO21+(AO$31-AO$19)/12</f>
        <v>2.15058333632349</v>
      </c>
      <c r="AP22" s="40" t="n">
        <f aca="false">10^AO22</f>
        <v>141.443611372881</v>
      </c>
      <c r="AQ22" s="39" t="n">
        <f aca="false">AS22-AR22*((Sheet1!R$19-Sheet1!R$20)*COS(RADIANS(38))+Sheet1!R$20)/2</f>
        <v>188.950112862617</v>
      </c>
      <c r="AR22" s="37" t="n">
        <f aca="false">(AV22-AV$4)/(AV$31-AV$4)*(AR$31-AR$4)+AR$4</f>
        <v>0.267161530531927</v>
      </c>
      <c r="AS22" s="39" t="n">
        <f aca="false">(AV22-AV$19)/(AV$31-AV$19)*(AS$31-AS$19)+AS$19</f>
        <v>197.467832912212</v>
      </c>
      <c r="AT22" s="39" t="n">
        <f aca="false">8314.4621*AS22/(Sheet1!R$22*Sheet1!R$12*9.80665)</f>
        <v>13872.6297950724</v>
      </c>
      <c r="AU22" s="39" t="n">
        <f aca="false">AU21-LN(AP22/AP21)*(AT21+AT22)/2</f>
        <v>44217.7860009168</v>
      </c>
      <c r="AV22" s="39" t="n">
        <f aca="false">Sheet1!R$10*10/Sheet1!R$11*1000*AU22/(Sheet1!R$10*10/Sheet1!R$11*1000-AU22)</f>
        <v>44502.5623800505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2578.40073225823</v>
      </c>
      <c r="T23" s="37" t="n">
        <v>0</v>
      </c>
      <c r="U23" s="39" t="n">
        <f aca="false">(X23-X$14)/(X$24-X$14)*(U$24-U$14)+U$14</f>
        <v>2578.40073225823</v>
      </c>
      <c r="V23" s="39" t="n">
        <f aca="false">8314.4621*U23/(Sheet1!H$20*Sheet1!H$12*9.80665)</f>
        <v>282925.198689187</v>
      </c>
      <c r="W23" s="39" t="n">
        <f aca="false">W22-LN(R23/R22)*(V22+V23)/2</f>
        <v>1135645.9177648</v>
      </c>
      <c r="X23" s="39" t="n">
        <f aca="false">Sheet1!H$10*10/Sheet1!H$11*1000*W23/(Sheet1!H$10*10/Sheet1!H$11*1000-W23)</f>
        <v>1147826.10870722</v>
      </c>
      <c r="Y23" s="37"/>
      <c r="Z23" s="39"/>
      <c r="AC23" s="39" t="n">
        <f aca="false">IF(AD23=0,0,AA170)</f>
        <v>10465417.0394704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193.119017591462</v>
      </c>
      <c r="AI23" s="37" t="n">
        <f aca="false">(AM23-AM$13)/(AM$30-AM$13)*(AI$30-AI$13)+AI$13</f>
        <v>0.0794165427323573</v>
      </c>
      <c r="AJ23" s="39" t="n">
        <f aca="false">(AM23-AM$18)/(AM$25-AM$18)*(AJ$25-AJ$18)+AJ$18</f>
        <v>193.48846676431</v>
      </c>
      <c r="AK23" s="39" t="n">
        <f aca="false">8314.4621*AJ23/(Sheet1!M$21*Sheet1!M$12*9.80665)</f>
        <v>7063.68855961501</v>
      </c>
      <c r="AL23" s="39" t="n">
        <f aca="false">AL22-LN(AG23/AG22)*(AK22+AK23)/2</f>
        <v>35798.7976846526</v>
      </c>
      <c r="AM23" s="39" t="n">
        <f aca="false">Sheet1!M$10*10/Sheet1!M$11*1000*AL23/(Sheet1!M$10*10/Sheet1!M$11*1000-AL23)</f>
        <v>36046.0014226353</v>
      </c>
      <c r="AN23" s="41"/>
      <c r="AO23" s="37" t="n">
        <f aca="false">AO22+(AO$31-AO$19)/12</f>
        <v>2.06945926218297</v>
      </c>
      <c r="AP23" s="40" t="n">
        <f aca="false">10^AO23</f>
        <v>117.343560638138</v>
      </c>
      <c r="AQ23" s="39" t="n">
        <f aca="false">AS23-AR23*((Sheet1!R$19-Sheet1!R$20)*COS(RADIANS(38))+Sheet1!R$20)/2</f>
        <v>187.636643776282</v>
      </c>
      <c r="AR23" s="37" t="n">
        <f aca="false">(AV23-AV$4)/(AV$31-AV$4)*(AR$31-AR$4)+AR$4</f>
        <v>0.224215182008204</v>
      </c>
      <c r="AS23" s="39" t="n">
        <f aca="false">(AV23-AV$19)/(AV$31-AV$19)*(AS$31-AS$19)+AS$19</f>
        <v>194.785136103798</v>
      </c>
      <c r="AT23" s="39" t="n">
        <f aca="false">8314.4621*AS23/(Sheet1!R$22*Sheet1!R$12*9.80665)</f>
        <v>13684.1633540997</v>
      </c>
      <c r="AU23" s="39" t="n">
        <f aca="false">AU22-LN(AP23/AP22)*(AT22+AT23)/2</f>
        <v>46791.5227436812</v>
      </c>
      <c r="AV23" s="39" t="n">
        <f aca="false">Sheet1!R$10*10/Sheet1!R$11*1000*AU23/(Sheet1!R$10*10/Sheet1!R$11*1000-AU23)</f>
        <v>47110.5348512003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2596.37691819858</v>
      </c>
      <c r="T24" s="37" t="n">
        <v>0</v>
      </c>
      <c r="U24" s="39" t="n">
        <f aca="false">900/1140*(U$44-U$4)+U$4</f>
        <v>2596.37691819858</v>
      </c>
      <c r="V24" s="39" t="n">
        <f aca="false">8314.4621*U24/(Sheet1!H$20*Sheet1!H$12*9.80665)</f>
        <v>284897.706653219</v>
      </c>
      <c r="W24" s="39" t="n">
        <f aca="false">W23-LN(R24/R23)*(V23+V24)/2</f>
        <v>1201018.9456299</v>
      </c>
      <c r="X24" s="39" t="n">
        <f aca="false">Sheet1!H$10*10/Sheet1!H$11*1000*W24/(Sheet1!H$10*10/Sheet1!H$11*1000-W24)</f>
        <v>1214650.21001545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2596.37691819858</v>
      </c>
      <c r="AA24" s="39" t="n">
        <f aca="false">IF(Y24=LOG(Sheet1!H$17*101325),(LOG(Sheet1!H$17*101325)-Q34)/(Q24-Q34)*(X24-X34)+X34,IF(Y24=0,0,X24))</f>
        <v>1214650.21001545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194.394395721714</v>
      </c>
      <c r="AI24" s="37" t="n">
        <f aca="false">(AM24-AM$13)/(AM$30-AM$13)*(AI$30-AI$13)+AI$13</f>
        <v>0.123703851470239</v>
      </c>
      <c r="AJ24" s="39" t="n">
        <f aca="false">(AM24-AM$18)/(AM$25-AM$18)*(AJ$25-AJ$18)+AJ$18</f>
        <v>194.969871359804</v>
      </c>
      <c r="AK24" s="39" t="n">
        <f aca="false">8314.4621*AJ24/(Sheet1!M$21*Sheet1!M$12*9.80665)</f>
        <v>7117.77023625623</v>
      </c>
      <c r="AL24" s="39" t="n">
        <f aca="false">AL23-LN(AG24/AG23)*(AK23+AK24)/2</f>
        <v>37431.4984656667</v>
      </c>
      <c r="AM24" s="39" t="n">
        <f aca="false">Sheet1!M$10*10/Sheet1!M$11*1000*AL24/(Sheet1!M$10*10/Sheet1!M$11*1000-AL24)</f>
        <v>37701.8503340444</v>
      </c>
      <c r="AN24" s="41"/>
      <c r="AO24" s="37" t="n">
        <f aca="false">AO23+(AO$31-AO$19)/12</f>
        <v>1.98833518804245</v>
      </c>
      <c r="AP24" s="40" t="n">
        <f aca="false">10^AO24</f>
        <v>97.3498278896204</v>
      </c>
      <c r="AQ24" s="39" t="n">
        <f aca="false">AS24-AR24*((Sheet1!R$19-Sheet1!R$20)*COS(RADIANS(38))+Sheet1!R$20)/2</f>
        <v>186.340059885776</v>
      </c>
      <c r="AR24" s="37" t="n">
        <f aca="false">(AV24-AV$4)/(AV$31-AV$4)*(AR$31-AR$4)+AR$4</f>
        <v>0.181820926801736</v>
      </c>
      <c r="AS24" s="39" t="n">
        <f aca="false">(AV24-AV$19)/(AV$31-AV$19)*(AS$31-AS$19)+AS$19</f>
        <v>192.136926487684</v>
      </c>
      <c r="AT24" s="39" t="n">
        <f aca="false">8314.4621*AS24/(Sheet1!R$22*Sheet1!R$12*9.80665)</f>
        <v>13498.1197282479</v>
      </c>
      <c r="AU24" s="39" t="n">
        <f aca="false">AU23-LN(AP24/AP23)*(AT23+AT24)/2</f>
        <v>49330.2811667876</v>
      </c>
      <c r="AV24" s="39" t="n">
        <f aca="false">Sheet1!R$10*10/Sheet1!R$11*1000*AU24/(Sheet1!R$10*10/Sheet1!R$11*1000-AU24)</f>
        <v>49684.9807427363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2605.42595170218</v>
      </c>
      <c r="T25" s="37" t="n">
        <v>0</v>
      </c>
      <c r="U25" s="39" t="n">
        <f aca="false">(X25-X$24)/(X$34-X$24)*(U$34-U$24)+U$24</f>
        <v>2605.42595170218</v>
      </c>
      <c r="V25" s="39" t="n">
        <f aca="false">8314.4621*U25/(Sheet1!H$20*Sheet1!H$12*9.80665)</f>
        <v>285890.647575832</v>
      </c>
      <c r="W25" s="39" t="n">
        <f aca="false">W24-LN(R25/R24)*(V24+V25)/2</f>
        <v>1266733.38341502</v>
      </c>
      <c r="X25" s="39" t="n">
        <f aca="false">Sheet1!H$10*10/Sheet1!H$11*1000*W25/(Sheet1!H$10*10/Sheet1!H$11*1000-W25)</f>
        <v>1281906.56449959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195.680354730496</v>
      </c>
      <c r="AI25" s="37" t="n">
        <f aca="false">(AM25-AM$13)/(AM$30-AM$13)*(AI$30-AI$13)+AI$13</f>
        <v>0.168358579582065</v>
      </c>
      <c r="AJ25" s="39" t="n">
        <f aca="false">0.86*Sheet1!M16+0.35*Sheet1!M18</f>
        <v>196.46356608456</v>
      </c>
      <c r="AK25" s="39" t="n">
        <f aca="false">8314.4621*AJ25/(Sheet1!M$21*Sheet1!M$12*9.80665)</f>
        <v>7172.30058897057</v>
      </c>
      <c r="AL25" s="39" t="n">
        <f aca="false">AL24-LN(AG25/AG24)*(AK24+AK25)/2</f>
        <v>39076.7036686665</v>
      </c>
      <c r="AM25" s="39" t="n">
        <f aca="false">Sheet1!M$10*10/Sheet1!M$11*1000*AL25/(Sheet1!M$10*10/Sheet1!M$11*1000-AL25)</f>
        <v>39371.4366114781</v>
      </c>
      <c r="AN25" s="41"/>
      <c r="AO25" s="37" t="n">
        <f aca="false">AO24+(AO$31-AO$19)/12</f>
        <v>1.90721111390193</v>
      </c>
      <c r="AP25" s="40" t="n">
        <f aca="false">10^AO25</f>
        <v>80.7627528822286</v>
      </c>
      <c r="AQ25" s="39" t="n">
        <f aca="false">AS25-AR25*((Sheet1!R$19-Sheet1!R$20)*COS(RADIANS(38))+Sheet1!R$20)/2</f>
        <v>185.060169704517</v>
      </c>
      <c r="AR25" s="37" t="n">
        <f aca="false">(AV25-AV$4)/(AV$31-AV$4)*(AR$31-AR$4)+AR$4</f>
        <v>0.139972503897617</v>
      </c>
      <c r="AS25" s="39" t="n">
        <f aca="false">(AV25-AV$19)/(AV$31-AV$19)*(AS$31-AS$19)+AS$19</f>
        <v>189.522812961826</v>
      </c>
      <c r="AT25" s="39" t="n">
        <f aca="false">8314.4621*AS25/(Sheet1!R$22*Sheet1!R$12*9.80665)</f>
        <v>13314.4714415791</v>
      </c>
      <c r="AU25" s="39" t="n">
        <f aca="false">AU24-LN(AP25/AP24)*(AT24+AT25)/2</f>
        <v>51834.5112740045</v>
      </c>
      <c r="AV25" s="39" t="n">
        <f aca="false">Sheet1!R$10*10/Sheet1!R$11*1000*AU25/(Sheet1!R$10*10/Sheet1!R$11*1000-AU25)</f>
        <v>52226.2802628736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2614.51785097736</v>
      </c>
      <c r="T26" s="37" t="n">
        <v>0</v>
      </c>
      <c r="U26" s="39" t="n">
        <f aca="false">(X26-X$24)/(X$34-X$24)*(U$34-U$24)+U$24</f>
        <v>2614.51785097736</v>
      </c>
      <c r="V26" s="39" t="n">
        <f aca="false">8314.4621*U26/(Sheet1!H$20*Sheet1!H$12*9.80665)</f>
        <v>286888.292114444</v>
      </c>
      <c r="W26" s="39" t="n">
        <f aca="false">W25-LN(R26/R25)*(V25+V26)/2</f>
        <v>1332676.99582061</v>
      </c>
      <c r="X26" s="39" t="n">
        <f aca="false">Sheet1!H$10*10/Sheet1!H$11*1000*W26/(Sheet1!H$10*10/Sheet1!H$11*1000-W26)</f>
        <v>1349481.54649618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197.907814206099</v>
      </c>
      <c r="AI26" s="37" t="n">
        <f aca="false">(AM26-AM$13)/(AM$30-AM$13)*(AI$30-AI$13)+AI$13</f>
        <v>0.213490566919019</v>
      </c>
      <c r="AJ26" s="39" t="n">
        <f aca="false">(AM26-AM$25)/(AM$35-AM$25)*(AJ$35-AJ$25)+AJ$25</f>
        <v>198.900981506581</v>
      </c>
      <c r="AK26" s="39" t="n">
        <f aca="false">8314.4621*AJ26/(Sheet1!M$21*Sheet1!M$12*9.80665)</f>
        <v>7261.28337807157</v>
      </c>
      <c r="AL26" s="39" t="n">
        <f aca="false">AL25-LN(AG26/AG25)*(AK25+AK26)/2</f>
        <v>40738.431432716</v>
      </c>
      <c r="AM26" s="39" t="n">
        <f aca="false">Sheet1!M$10*10/Sheet1!M$11*1000*AL26/(Sheet1!M$10*10/Sheet1!M$11*1000-AL26)</f>
        <v>41058.8670341288</v>
      </c>
      <c r="AN26" s="41"/>
      <c r="AO26" s="37" t="n">
        <f aca="false">AO25+(AO$31-AO$19)/12</f>
        <v>1.8260870397614</v>
      </c>
      <c r="AP26" s="40" t="n">
        <f aca="false">10^AO26</f>
        <v>67.001887877106</v>
      </c>
      <c r="AQ26" s="39" t="n">
        <f aca="false">AS26-AR26*((Sheet1!R$19-Sheet1!R$20)*COS(RADIANS(38))+Sheet1!R$20)/2</f>
        <v>183.79678323722</v>
      </c>
      <c r="AR26" s="37" t="n">
        <f aca="false">(AV26-AV$4)/(AV$31-AV$4)*(AR$31-AR$4)+AR$4</f>
        <v>0.0986637010417578</v>
      </c>
      <c r="AS26" s="39" t="n">
        <f aca="false">(AV26-AV$19)/(AV$31-AV$19)*(AS$31-AS$19)+AS$19</f>
        <v>186.942407470086</v>
      </c>
      <c r="AT26" s="39" t="n">
        <f aca="false">8314.4621*AS26/(Sheet1!R$22*Sheet1!R$12*9.80665)</f>
        <v>13133.1912321386</v>
      </c>
      <c r="AU26" s="39" t="n">
        <f aca="false">AU25-LN(AP26/AP25)*(AT25+AT26)/2</f>
        <v>54304.6579567157</v>
      </c>
      <c r="AV26" s="39" t="n">
        <f aca="false">Sheet1!R$10*10/Sheet1!R$11*1000*AU26/(Sheet1!R$10*10/Sheet1!R$11*1000-AU26)</f>
        <v>54734.8106587634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2623.65291175962</v>
      </c>
      <c r="T27" s="37" t="n">
        <v>0</v>
      </c>
      <c r="U27" s="39" t="n">
        <f aca="false">(X27-X$24)/(X$34-X$24)*(U$34-U$24)+U$24</f>
        <v>2623.65291175962</v>
      </c>
      <c r="V27" s="39" t="n">
        <f aca="false">8314.4621*U27/(Sheet1!H$20*Sheet1!H$12*9.80665)</f>
        <v>287890.672719803</v>
      </c>
      <c r="W27" s="39" t="n">
        <f aca="false">W26-LN(R27/R26)*(V26+V27)/2</f>
        <v>1398850.8696303</v>
      </c>
      <c r="X27" s="39" t="n">
        <f aca="false">Sheet1!H$10*10/Sheet1!H$11*1000*W27/(Sheet1!H$10*10/Sheet1!H$11*1000-W27)</f>
        <v>1417377.3084314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200.164374100573</v>
      </c>
      <c r="AI27" s="37" t="n">
        <f aca="false">(AM27-AM$13)/(AM$30-AM$13)*(AI$30-AI$13)+AI$13</f>
        <v>0.259212176536574</v>
      </c>
      <c r="AJ27" s="39" t="n">
        <f aca="false">(AM27-AM$25)/(AM$35-AM$25)*(AJ$35-AJ$25)+AJ$25</f>
        <v>201.370240295685</v>
      </c>
      <c r="AK27" s="39" t="n">
        <f aca="false">8314.4621*AJ27/(Sheet1!M$21*Sheet1!M$12*9.80665)</f>
        <v>7351.42867381452</v>
      </c>
      <c r="AL27" s="39" t="n">
        <f aca="false">AL26-LN(AG27/AG26)*(AK26+AK27)/2</f>
        <v>42420.7820796604</v>
      </c>
      <c r="AM27" s="39" t="n">
        <f aca="false">Sheet1!M$10*10/Sheet1!M$11*1000*AL27/(Sheet1!M$10*10/Sheet1!M$11*1000-AL27)</f>
        <v>42768.3427207456</v>
      </c>
      <c r="AN27" s="41"/>
      <c r="AO27" s="37" t="n">
        <f aca="false">AO26+(AO$31-AO$19)/12</f>
        <v>1.74496296562088</v>
      </c>
      <c r="AP27" s="40" t="n">
        <f aca="false">10^AO27</f>
        <v>55.5856854662036</v>
      </c>
      <c r="AQ27" s="39" t="n">
        <f aca="false">AS27-AR27*((Sheet1!R$19-Sheet1!R$20)*COS(RADIANS(38))+Sheet1!R$20)/2</f>
        <v>182.54971198717</v>
      </c>
      <c r="AR27" s="37" t="n">
        <f aca="false">(AV27-AV$4)/(AV$31-AV$4)*(AR$31-AR$4)+AR$4</f>
        <v>0.0578883549786074</v>
      </c>
      <c r="AS27" s="39" t="n">
        <f aca="false">(AV27-AV$19)/(AV$31-AV$19)*(AS$31-AS$19)+AS$19</f>
        <v>184.395325017076</v>
      </c>
      <c r="AT27" s="39" t="n">
        <f aca="false">8314.4621*AS27/(Sheet1!R$22*Sheet1!R$12*9.80665)</f>
        <v>12954.2520529973</v>
      </c>
      <c r="AU27" s="39" t="n">
        <f aca="false">AU26-LN(AP27/AP26)*(AT26+AT27)/2</f>
        <v>56741.1610339889</v>
      </c>
      <c r="AV27" s="39" t="n">
        <f aca="false">Sheet1!R$10*10/Sheet1!R$11*1000*AU27/(Sheet1!R$10*10/Sheet1!R$11*1000-AU27)</f>
        <v>57210.946202058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2632.83142428994</v>
      </c>
      <c r="T28" s="37" t="n">
        <v>0</v>
      </c>
      <c r="U28" s="39" t="n">
        <f aca="false">(X28-X$24)/(X$34-X$24)*(U$34-U$24)+U$24</f>
        <v>2632.83142428994</v>
      </c>
      <c r="V28" s="39" t="n">
        <f aca="false">8314.4621*U28/(Sheet1!H$20*Sheet1!H$12*9.80665)</f>
        <v>288897.821239745</v>
      </c>
      <c r="W28" s="39" t="n">
        <f aca="false">W27-LN(R28/R27)*(V27+V28)/2</f>
        <v>1465256.09903039</v>
      </c>
      <c r="X28" s="39" t="n">
        <f aca="false">Sheet1!H$10*10/Sheet1!H$11*1000*W28/(Sheet1!H$10*10/Sheet1!H$11*1000-W28)</f>
        <v>1485596.02271738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202.450451732206</v>
      </c>
      <c r="AI28" s="37" t="n">
        <f aca="false">(AM28-AM$13)/(AM$30-AM$13)*(AI$30-AI$13)+AI$13</f>
        <v>0.305531863988659</v>
      </c>
      <c r="AJ28" s="39" t="n">
        <f aca="false">(AM28-AM$25)/(AM$35-AM$25)*(AJ$35-AJ$25)+AJ$25</f>
        <v>203.871799105759</v>
      </c>
      <c r="AK28" s="39" t="n">
        <f aca="false">8314.4621*AJ28/(Sheet1!M$21*Sheet1!M$12*9.80665)</f>
        <v>7442.75314727501</v>
      </c>
      <c r="AL28" s="39" t="n">
        <f aca="false">AL27-LN(AG28/AG27)*(AK27+AK28)/2</f>
        <v>44124.0252058746</v>
      </c>
      <c r="AM28" s="39" t="n">
        <f aca="false">Sheet1!M$10*10/Sheet1!M$11*1000*AL28/(Sheet1!M$10*10/Sheet1!M$11*1000-AL28)</f>
        <v>44500.1798142636</v>
      </c>
      <c r="AN28" s="41"/>
      <c r="AO28" s="37" t="n">
        <f aca="false">AO27+(AO$31-AO$19)/12</f>
        <v>1.66383889148036</v>
      </c>
      <c r="AP28" s="40" t="n">
        <f aca="false">10^AO28</f>
        <v>46.1146473128479</v>
      </c>
      <c r="AQ28" s="39" t="n">
        <f aca="false">AS28-AR28*((Sheet1!R$19-Sheet1!R$20)*COS(RADIANS(38))+Sheet1!R$20)/2</f>
        <v>181.318768962827</v>
      </c>
      <c r="AR28" s="37" t="n">
        <f aca="false">(AV28-AV$4)/(AV$31-AV$4)*(AR$31-AR$4)+AR$4</f>
        <v>0.0176403516671704</v>
      </c>
      <c r="AS28" s="39" t="n">
        <f aca="false">(AV28-AV$19)/(AV$31-AV$19)*(AS$31-AS$19)+AS$19</f>
        <v>181.881183681661</v>
      </c>
      <c r="AT28" s="39" t="n">
        <f aca="false">8314.4621*AS28/(Sheet1!R$22*Sheet1!R$12*9.80665)</f>
        <v>12777.6270732002</v>
      </c>
      <c r="AU28" s="39" t="n">
        <f aca="false">AU27-LN(AP28/AP27)*(AT27+AT28)/2</f>
        <v>59144.4552928296</v>
      </c>
      <c r="AV28" s="39" t="n">
        <f aca="false">Sheet1!R$10*10/Sheet1!R$11*1000*AU28/(Sheet1!R$10*10/Sheet1!R$11*1000-AU28)</f>
        <v>59655.0581757919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2642.05368356633</v>
      </c>
      <c r="T29" s="37" t="n">
        <v>0</v>
      </c>
      <c r="U29" s="39" t="n">
        <f aca="false">(X29-X$24)/(X$34-X$24)*(U$34-U$24)+U$24</f>
        <v>2642.05368356633</v>
      </c>
      <c r="V29" s="39" t="n">
        <f aca="false">8314.4621*U29/(Sheet1!H$20*Sheet1!H$12*9.80665)</f>
        <v>289909.770044092</v>
      </c>
      <c r="W29" s="39" t="n">
        <f aca="false">W28-LN(R29/R28)*(V28+V29)/2</f>
        <v>1531893.78560049</v>
      </c>
      <c r="X29" s="39" t="n">
        <f aca="false">Sheet1!H$10*10/Sheet1!H$11*1000*W29/(Sheet1!H$10*10/Sheet1!H$11*1000-W29)</f>
        <v>1554139.88191007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204.766471354164</v>
      </c>
      <c r="AI29" s="37" t="n">
        <f aca="false">(AM29-AM$13)/(AM$30-AM$13)*(AI$30-AI$13)+AI$13</f>
        <v>0.352458225341209</v>
      </c>
      <c r="AJ29" s="39" t="n">
        <f aca="false">(AM29-AM$25)/(AM$35-AM$25)*(AJ$35-AJ$25)+AJ$25</f>
        <v>206.40612217924</v>
      </c>
      <c r="AK29" s="39" t="n">
        <f aca="false">8314.4621*AJ29/(Sheet1!M$21*Sheet1!M$12*9.80665)</f>
        <v>7535.27374656384</v>
      </c>
      <c r="AL29" s="39" t="n">
        <f aca="false">AL28-LN(AG29/AG28)*(AK28+AK29)/2</f>
        <v>45848.4342782854</v>
      </c>
      <c r="AM29" s="39" t="n">
        <f aca="false">Sheet1!M$10*10/Sheet1!M$11*1000*AL29/(Sheet1!M$10*10/Sheet1!M$11*1000-AL29)</f>
        <v>46254.6997111916</v>
      </c>
      <c r="AN29" s="41"/>
      <c r="AO29" s="37" t="n">
        <f aca="false">AO28+(AO$31-AO$19)/12</f>
        <v>1.58271481733984</v>
      </c>
      <c r="AP29" s="40" t="n">
        <f aca="false">10^AO29</f>
        <v>38.2573441157131</v>
      </c>
      <c r="AQ29" s="39" t="n">
        <f aca="false">AS29-AR29*((Sheet1!R$19-Sheet1!R$20)*COS(RADIANS(38))+Sheet1!R$20)/2</f>
        <v>180.103768683786</v>
      </c>
      <c r="AR29" s="37" t="n">
        <f aca="false">(AV29-AV$4)/(AV$31-AV$4)*(AR$31-AR$4)+AR$4</f>
        <v>-0.0220863735241248</v>
      </c>
      <c r="AS29" s="39" t="n">
        <f aca="false">(AV29-AV$19)/(AV$31-AV$19)*(AS$31-AS$19)+AS$19</f>
        <v>179.399604629123</v>
      </c>
      <c r="AT29" s="39" t="n">
        <f aca="false">8314.4621*AS29/(Sheet1!R$22*Sheet1!R$12*9.80665)</f>
        <v>12603.2896786212</v>
      </c>
      <c r="AU29" s="39" t="n">
        <f aca="false">AU28-LN(AP29/AP28)*(AT28+AT29)/2</f>
        <v>61514.9705286044</v>
      </c>
      <c r="AV29" s="39" t="n">
        <f aca="false">Sheet1!R$10*10/Sheet1!R$11*1000*AU29/(Sheet1!R$10*10/Sheet1!R$11*1000-AU29)</f>
        <v>62067.5148625485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2651.31998733298</v>
      </c>
      <c r="T30" s="37" t="n">
        <v>0</v>
      </c>
      <c r="U30" s="39" t="n">
        <f aca="false">(X30-X$24)/(X$34-X$24)*(U$34-U$24)+U$24</f>
        <v>2651.31998733298</v>
      </c>
      <c r="V30" s="39" t="n">
        <f aca="false">8314.4621*U30/(Sheet1!H$20*Sheet1!H$12*9.80665)</f>
        <v>290926.551804</v>
      </c>
      <c r="W30" s="39" t="n">
        <f aca="false">W29-LN(R30/R29)*(V29+V30)/2</f>
        <v>1598765.03840833</v>
      </c>
      <c r="X30" s="39" t="n">
        <f aca="false">Sheet1!H$10*10/Sheet1!H$11*1000*W30/(Sheet1!H$10*10/Sheet1!H$11*1000-W30)</f>
        <v>1623011.09897638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207.112864294056</v>
      </c>
      <c r="AI30" s="37" t="n">
        <v>0.4</v>
      </c>
      <c r="AJ30" s="39" t="n">
        <f aca="false">(AM30-AM$25)/(AM$35-AM$25)*(AJ$35-AJ$25)+AJ$25</f>
        <v>208.973681499827</v>
      </c>
      <c r="AK30" s="39" t="n">
        <f aca="false">8314.4621*AJ30/(Sheet1!M$21*Sheet1!M$12*9.80665)</f>
        <v>7629.00770240244</v>
      </c>
      <c r="AL30" s="39" t="n">
        <f aca="false">AL29-LN(AG30/AG29)*(AK29+AK30)/2</f>
        <v>47594.2866988032</v>
      </c>
      <c r="AM30" s="39" t="n">
        <f aca="false">Sheet1!M$10*10/Sheet1!M$11*1000*AL30/(Sheet1!M$10*10/Sheet1!M$11*1000-AL30)</f>
        <v>48032.2291673421</v>
      </c>
      <c r="AN30" s="41"/>
      <c r="AO30" s="37" t="n">
        <f aca="false">AO29+(AO$31-AO$19)/12</f>
        <v>1.50159074319932</v>
      </c>
      <c r="AP30" s="40" t="n">
        <f aca="false">10^AO30</f>
        <v>31.7388175791234</v>
      </c>
      <c r="AQ30" s="39" t="n">
        <f aca="false">AS30-AR30*((Sheet1!R$19-Sheet1!R$20)*COS(RADIANS(38))+Sheet1!R$20)/2</f>
        <v>178.904527186109</v>
      </c>
      <c r="AR30" s="37" t="n">
        <f aca="false">(AV30-AV$4)/(AV$31-AV$4)*(AR$31-AR$4)+AR$4</f>
        <v>-0.061297835643169</v>
      </c>
      <c r="AS30" s="39" t="n">
        <f aca="false">(AV30-AV$19)/(AV$31-AV$19)*(AS$31-AS$19)+AS$19</f>
        <v>176.950212122053</v>
      </c>
      <c r="AT30" s="39" t="n">
        <f aca="false">8314.4621*AS30/(Sheet1!R$22*Sheet1!R$12*9.80665)</f>
        <v>12431.2134727284</v>
      </c>
      <c r="AU30" s="39" t="n">
        <f aca="false">AU29-LN(AP30/AP29)*(AT29+AT30)/2</f>
        <v>63853.1315856146</v>
      </c>
      <c r="AV30" s="39" t="n">
        <f aca="false">Sheet1!R$10*10/Sheet1!R$11*1000*AU30/(Sheet1!R$10*10/Sheet1!R$11*1000-AU30)</f>
        <v>64448.6815338783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2660.63063611314</v>
      </c>
      <c r="T31" s="37" t="n">
        <v>0</v>
      </c>
      <c r="U31" s="39" t="n">
        <f aca="false">(X31-X$24)/(X$34-X$24)*(U$34-U$24)+U$24</f>
        <v>2660.63063611314</v>
      </c>
      <c r="V31" s="39" t="n">
        <f aca="false">8314.4621*U31/(Sheet1!H$20*Sheet1!H$12*9.80665)</f>
        <v>291948.199495569</v>
      </c>
      <c r="W31" s="39" t="n">
        <f aca="false">W30-LN(R31/R30)*(V30+V31)/2</f>
        <v>1665870.97407958</v>
      </c>
      <c r="X31" s="39" t="n">
        <f aca="false">Sheet1!H$10*10/Sheet1!H$11*1000*W31/(Sheet1!H$10*10/Sheet1!H$11*1000-W31)</f>
        <v>1692211.90753838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209.90410187873</v>
      </c>
      <c r="AI31" s="37" t="n">
        <f aca="false">(AM31-AM$30)/(AM$50-AM$30)*(AI$50-AI$30)+AI$30</f>
        <v>0.359165868641169</v>
      </c>
      <c r="AJ31" s="39" t="n">
        <f aca="false">(AM31-AM$25)/(AM$35-AM$25)*(AJ$35-AJ$25)+AJ$25</f>
        <v>211.574956948962</v>
      </c>
      <c r="AK31" s="39" t="n">
        <f aca="false">8314.4621*AJ31/(Sheet1!M$21*Sheet1!M$12*9.80665)</f>
        <v>7723.97253383526</v>
      </c>
      <c r="AL31" s="39" t="n">
        <f aca="false">AL30-LN(AG31/AG30)*(AK30+AK31)/2</f>
        <v>49361.8638700529</v>
      </c>
      <c r="AM31" s="39" t="n">
        <f aca="false">Sheet1!M$10*10/Sheet1!M$11*1000*AL31/(Sheet1!M$10*10/Sheet1!M$11*1000-AL31)</f>
        <v>49833.1004061585</v>
      </c>
      <c r="AN31" s="41"/>
      <c r="AO31" s="37" t="n">
        <f aca="false">AO4+0.4*(AO61-AO4)</f>
        <v>1.42046666905879</v>
      </c>
      <c r="AP31" s="40" t="n">
        <f aca="false">10^AO31</f>
        <v>26.3309585284864</v>
      </c>
      <c r="AQ31" s="39" t="n">
        <f aca="false">AS31-AR31*((Sheet1!R$19-Sheet1!R$20)*COS(RADIANS(38))+Sheet1!R$20)/2</f>
        <v>177.720862027035</v>
      </c>
      <c r="AR31" s="37" t="n">
        <f aca="false">ROUND(-MIN(Sheet1!R21+Sheet1!R19,5.7*LOG(Sheet1!R15)+4.8)/(Sheet1!R21+Sheet1!R19)/2/0.05,0)*0.05</f>
        <v>-0.1</v>
      </c>
      <c r="AS31" s="39" t="n">
        <f aca="false">Sheet1!R16+0.64*(AS61-Sheet1!R16)+0.1*Sheet1!R18</f>
        <v>174.532633529977</v>
      </c>
      <c r="AT31" s="39" t="n">
        <f aca="false">8314.4621*AS31/(Sheet1!R$22*Sheet1!R$12*9.80665)</f>
        <v>12261.37227726</v>
      </c>
      <c r="AU31" s="39" t="n">
        <f aca="false">AU30-LN(AP31/AP30)*(AT30+AT31)/2</f>
        <v>66159.358397805</v>
      </c>
      <c r="AV31" s="39" t="n">
        <f aca="false">Sheet1!R$10*10/Sheet1!R$11*1000*AU31/(Sheet1!R$10*10/Sheet1!R$11*1000-AU31)</f>
        <v>66798.9204409365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2669.98593324246</v>
      </c>
      <c r="T32" s="37" t="n">
        <v>0</v>
      </c>
      <c r="U32" s="39" t="n">
        <f aca="false">(X32-X$24)/(X$34-X$24)*(U$34-U$24)+U$24</f>
        <v>2669.98593324246</v>
      </c>
      <c r="V32" s="39" t="n">
        <f aca="false">8314.4621*U32/(Sheet1!H$20*Sheet1!H$12*9.80665)</f>
        <v>292974.746403501</v>
      </c>
      <c r="W32" s="39" t="n">
        <f aca="false">W31-LN(R32/R31)*(V31+V32)/2</f>
        <v>1733212.71686845</v>
      </c>
      <c r="X32" s="39" t="n">
        <f aca="false">Sheet1!H$10*10/Sheet1!H$11*1000*W32/(Sheet1!H$10*10/Sheet1!H$11*1000-W32)</f>
        <v>1761744.56212113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212.732041336086</v>
      </c>
      <c r="AI32" s="37" t="n">
        <f aca="false">(AM32-AM$30)/(AM$50-AM$30)*(AI$50-AI$30)+AI$30</f>
        <v>0.317794810902992</v>
      </c>
      <c r="AJ32" s="39" t="n">
        <f aca="false">(AM32-AM$25)/(AM$35-AM$25)*(AJ$35-AJ$25)+AJ$25</f>
        <v>214.210436466169</v>
      </c>
      <c r="AK32" s="39" t="n">
        <f aca="false">8314.4621*AJ32/(Sheet1!M$21*Sheet1!M$12*9.80665)</f>
        <v>7820.1860540833</v>
      </c>
      <c r="AL32" s="39" t="n">
        <f aca="false">AL31-LN(AG32/AG31)*(AK31+AK32)/2</f>
        <v>51151.4512624367</v>
      </c>
      <c r="AM32" s="39" t="n">
        <f aca="false">Sheet1!M$10*10/Sheet1!M$11*1000*AL32/(Sheet1!M$10*10/Sheet1!M$11*1000-AL32)</f>
        <v>51657.6512297181</v>
      </c>
      <c r="AN32" s="41"/>
      <c r="AO32" s="37" t="n">
        <f aca="false">AO31+(AO$41-AO$31)/10</f>
        <v>1.32311778009017</v>
      </c>
      <c r="AP32" s="40" t="n">
        <f aca="false">10^AO32</f>
        <v>21.0434905907419</v>
      </c>
      <c r="AQ32" s="39" t="n">
        <f aca="false">AS32-AR32*((Sheet1!R$19-Sheet1!R$20)*COS(RADIANS(38))+Sheet1!R$20)/2</f>
        <v>175.323892716021</v>
      </c>
      <c r="AR32" s="37" t="n">
        <f aca="false">(AV32-AV$31)/(AV$51-AV$31)*(AR$51-AR$31)+AR$31</f>
        <v>-0.0944614190954705</v>
      </c>
      <c r="AS32" s="39" t="n">
        <f aca="false">(AV32-AV$31)/(AV$41-AV$31)*(AS$41-AS$31)+AS$31</f>
        <v>172.312246833694</v>
      </c>
      <c r="AT32" s="39" t="n">
        <f aca="false">8314.4621*AS32/(Sheet1!R$22*Sheet1!R$12*9.80665)</f>
        <v>12105.3843262851</v>
      </c>
      <c r="AU32" s="39" t="n">
        <f aca="false">AU31-LN(AP32/AP31)*(AT31+AT32)/2</f>
        <v>68890.3126028051</v>
      </c>
      <c r="AV32" s="39" t="n">
        <f aca="false">Sheet1!R$10*10/Sheet1!R$11*1000*AU32/(Sheet1!R$10*10/Sheet1!R$11*1000-AU32)</f>
        <v>69584.0414549028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2679.38618490281</v>
      </c>
      <c r="T33" s="37" t="n">
        <v>0</v>
      </c>
      <c r="U33" s="39" t="n">
        <f aca="false">(X33-X$24)/(X$34-X$24)*(U$34-U$24)+U$24</f>
        <v>2679.38618490281</v>
      </c>
      <c r="V33" s="39" t="n">
        <f aca="false">8314.4621*U33/(Sheet1!H$20*Sheet1!H$12*9.80665)</f>
        <v>294006.22612481</v>
      </c>
      <c r="W33" s="39" t="n">
        <f aca="false">W32-LN(R33/R32)*(V32+V33)/2</f>
        <v>1800791.39872919</v>
      </c>
      <c r="X33" s="39" t="n">
        <f aca="false">Sheet1!H$10*10/Sheet1!H$11*1000*W33/(Sheet1!H$10*10/Sheet1!H$11*1000-W33)</f>
        <v>1831611.33840414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215.597215061028</v>
      </c>
      <c r="AI33" s="37" t="n">
        <f aca="false">(AM33-AM$30)/(AM$50-AM$30)*(AI$50-AI$30)+AI$30</f>
        <v>0.275879038167441</v>
      </c>
      <c r="AJ33" s="39" t="n">
        <f aca="false">(AM33-AM$25)/(AM$35-AM$25)*(AJ$35-AJ$25)+AJ$25</f>
        <v>216.880616213361</v>
      </c>
      <c r="AK33" s="39" t="n">
        <f aca="false">8314.4621*AJ33/(Sheet1!M$21*Sheet1!M$12*9.80665)</f>
        <v>7917.6663765427</v>
      </c>
      <c r="AL33" s="39" t="n">
        <f aca="false">AL32-LN(AG33/AG32)*(AK32+AK33)/2</f>
        <v>52963.3384825617</v>
      </c>
      <c r="AM33" s="39" t="n">
        <f aca="false">Sheet1!M$10*10/Sheet1!M$11*1000*AL33/(Sheet1!M$10*10/Sheet1!M$11*1000-AL33)</f>
        <v>53506.2251324882</v>
      </c>
      <c r="AN33" s="41"/>
      <c r="AO33" s="37" t="n">
        <f aca="false">AO32+(AO$41-AO$31)/10</f>
        <v>1.22576889112154</v>
      </c>
      <c r="AP33" s="40" t="n">
        <f aca="false">10^AO33</f>
        <v>16.8177886788118</v>
      </c>
      <c r="AQ33" s="39" t="n">
        <f aca="false">AS33-AR33*((Sheet1!R$19-Sheet1!R$20)*COS(RADIANS(38))+Sheet1!R$20)/2</f>
        <v>172.955551265116</v>
      </c>
      <c r="AR33" s="37" t="n">
        <f aca="false">(AV33-AV$31)/(AV$51-AV$31)*(AR$51-AR$31)+AR$31</f>
        <v>-0.0889889874397474</v>
      </c>
      <c r="AS33" s="39" t="n">
        <f aca="false">(AV33-AV$31)/(AV$41-AV$31)*(AS$41-AS$31)+AS$31</f>
        <v>170.118379008319</v>
      </c>
      <c r="AT33" s="39" t="n">
        <f aca="false">8314.4621*AS33/(Sheet1!R$22*Sheet1!R$12*9.80665)</f>
        <v>11951.2593950904</v>
      </c>
      <c r="AU33" s="39" t="n">
        <f aca="false">AU32-LN(AP33/AP32)*(AT32+AT33)/2</f>
        <v>71586.5102707181</v>
      </c>
      <c r="AV33" s="39" t="n">
        <f aca="false">Sheet1!R$10*10/Sheet1!R$11*1000*AU33/(Sheet1!R$10*10/Sheet1!R$11*1000-AU33)</f>
        <v>72335.8987744165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2688.8316928128</v>
      </c>
      <c r="T34" s="37" t="n">
        <v>0</v>
      </c>
      <c r="U34" s="39" t="n">
        <f aca="false">1060/1140*(U$44-U$4)+U$4</f>
        <v>2688.8316928128</v>
      </c>
      <c r="V34" s="39" t="n">
        <f aca="false">8314.4621*U34/(Sheet1!H$20*Sheet1!H$12*9.80665)</f>
        <v>295042.671766762</v>
      </c>
      <c r="W34" s="39" t="n">
        <f aca="false">W33-LN(R34/R33)*(V33+V34)/2</f>
        <v>1868608.15929568</v>
      </c>
      <c r="X34" s="39" t="n">
        <f aca="false">Sheet1!H$10*10/Sheet1!H$11*1000*W34/(Sheet1!H$10*10/Sheet1!H$11*1000-W34)</f>
        <v>1901814.53338035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2688.8316928128</v>
      </c>
      <c r="AA34" s="39" t="n">
        <f aca="false">IF(Y34=LOG(Sheet1!H$17*101325),(LOG(Sheet1!H$17*101325)-Q44)/(Q34-Q44)*(X34-X44)+X44,IF(Y34=0,0,X34))</f>
        <v>1901814.53338035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218.500164452013</v>
      </c>
      <c r="AI34" s="37" t="n">
        <f aca="false">(AM34-AM$30)/(AM$50-AM$30)*(AI$50-AI$30)+AI$30</f>
        <v>0.23341063009985</v>
      </c>
      <c r="AJ34" s="39" t="n">
        <f aca="false">(AM34-AM$25)/(AM$35-AM$25)*(AJ$35-AJ$25)+AJ$25</f>
        <v>219.586000743262</v>
      </c>
      <c r="AK34" s="39" t="n">
        <f aca="false">8314.4621*AJ34/(Sheet1!M$21*Sheet1!M$12*9.80665)</f>
        <v>8016.43192093298</v>
      </c>
      <c r="AL34" s="39" t="n">
        <f aca="false">AL33-LN(AG34/AG33)*(AK33+AK34)/2</f>
        <v>54797.8193430652</v>
      </c>
      <c r="AM34" s="39" t="n">
        <f aca="false">Sheet1!M$10*10/Sheet1!M$11*1000*AL34/(Sheet1!M$10*10/Sheet1!M$11*1000-AL34)</f>
        <v>55379.1714179172</v>
      </c>
      <c r="AN34" s="41"/>
      <c r="AO34" s="37" t="n">
        <f aca="false">AO33+(AO$41-AO$31)/10</f>
        <v>1.12842000215291</v>
      </c>
      <c r="AP34" s="40" t="n">
        <f aca="false">10^AO34</f>
        <v>13.4406416476174</v>
      </c>
      <c r="AQ34" s="39" t="n">
        <f aca="false">AS34-AR34*((Sheet1!R$19-Sheet1!R$20)*COS(RADIANS(38))+Sheet1!R$20)/2</f>
        <v>170.615542315585</v>
      </c>
      <c r="AR34" s="37" t="n">
        <f aca="false">(AV34-AV$31)/(AV$51-AV$31)*(AR$51-AR$31)+AR$31</f>
        <v>-0.0835820225592416</v>
      </c>
      <c r="AS34" s="39" t="n">
        <f aca="false">(AV34-AV$31)/(AV$41-AV$31)*(AS$41-AS$31)+AS$31</f>
        <v>167.950756453934</v>
      </c>
      <c r="AT34" s="39" t="n">
        <f aca="false">8314.4621*AS34/(Sheet1!R$22*Sheet1!R$12*9.80665)</f>
        <v>11798.978262569</v>
      </c>
      <c r="AU34" s="39" t="n">
        <f aca="false">AU33-LN(AP34/AP33)*(AT33+AT34)/2</f>
        <v>74248.366850822</v>
      </c>
      <c r="AV34" s="39" t="n">
        <f aca="false">Sheet1!R$10*10/Sheet1!R$11*1000*AU34/(Sheet1!R$10*10/Sheet1!R$11*1000-AU34)</f>
        <v>75054.8355869417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2693.39215964764</v>
      </c>
      <c r="T35" s="37" t="n">
        <v>0</v>
      </c>
      <c r="U35" s="39" t="n">
        <f aca="false">(X35-X$34)/(X$44-X$34)*(U$44-U$34)+U$34</f>
        <v>2693.39215964764</v>
      </c>
      <c r="V35" s="39" t="n">
        <f aca="false">8314.4621*U35/(Sheet1!H$20*Sheet1!H$12*9.80665)</f>
        <v>295543.086992844</v>
      </c>
      <c r="W35" s="39" t="n">
        <f aca="false">W34-LN(R35/R34)*(V34+V35)/2</f>
        <v>1936601.8575084</v>
      </c>
      <c r="X35" s="39" t="n">
        <f aca="false">Sheet1!H$10*10/Sheet1!H$11*1000*W35/(Sheet1!H$10*10/Sheet1!H$11*1000-W35)</f>
        <v>1972291.86012346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221.441440096293</v>
      </c>
      <c r="AI35" s="37" t="n">
        <f aca="false">(AM35-AM$30)/(AM$50-AM$30)*(AI$50-AI$30)+AI$30</f>
        <v>0.190381531939049</v>
      </c>
      <c r="AJ35" s="39" t="n">
        <f aca="false">1.04*Sheet1!M16+0.06*Sheet1!M18</f>
        <v>222.327103172026</v>
      </c>
      <c r="AK35" s="39" t="n">
        <f aca="false">8314.4621*AJ35/(Sheet1!M$21*Sheet1!M$12*9.80665)</f>
        <v>8116.50141959916</v>
      </c>
      <c r="AL35" s="39" t="n">
        <f aca="false">AL34-LN(AG35/AG34)*(AK34+AK35)/2</f>
        <v>56655.191933874</v>
      </c>
      <c r="AM35" s="39" t="n">
        <f aca="false">Sheet1!M$10*10/Sheet1!M$11*1000*AL35/(Sheet1!M$10*10/Sheet1!M$11*1000-AL35)</f>
        <v>57276.8453179458</v>
      </c>
      <c r="AN35" s="41"/>
      <c r="AO35" s="37" t="n">
        <f aca="false">AO34+(AO$41-AO$31)/10</f>
        <v>1.03107111318429</v>
      </c>
      <c r="AP35" s="40" t="n">
        <f aca="false">10^AO35</f>
        <v>10.741652862321</v>
      </c>
      <c r="AQ35" s="39" t="n">
        <f aca="false">AS35-AR35*((Sheet1!R$19-Sheet1!R$20)*COS(RADIANS(38))+Sheet1!R$20)/2</f>
        <v>168.303572398394</v>
      </c>
      <c r="AR35" s="37" t="n">
        <f aca="false">(AV35-AV$31)/(AV$51-AV$31)*(AR$51-AR$31)+AR$31</f>
        <v>-0.0782398463468212</v>
      </c>
      <c r="AS35" s="39" t="n">
        <f aca="false">(AV35-AV$31)/(AV$41-AV$31)*(AS$41-AS$31)+AS$31</f>
        <v>165.809107321111</v>
      </c>
      <c r="AT35" s="39" t="n">
        <f aca="false">8314.4621*AS35/(Sheet1!R$22*Sheet1!R$12*9.80665)</f>
        <v>11648.52183059</v>
      </c>
      <c r="AU35" s="39" t="n">
        <f aca="false">AU34-LN(AP35/AP34)*(AT34+AT35)/2</f>
        <v>76876.2934976879</v>
      </c>
      <c r="AV35" s="39" t="n">
        <f aca="false">Sheet1!R$10*10/Sheet1!R$11*1000*AU35/(Sheet1!R$10*10/Sheet1!R$11*1000-AU35)</f>
        <v>77741.1928842333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2697.96628690613</v>
      </c>
      <c r="T36" s="37" t="n">
        <v>0</v>
      </c>
      <c r="U36" s="39" t="n">
        <f aca="false">(X36-X$34)/(X$44-X$34)*(U$44-U$34)+U$34</f>
        <v>2697.96628690613</v>
      </c>
      <c r="V36" s="39" t="n">
        <f aca="false">8314.4621*U36/(Sheet1!H$20*Sheet1!H$12*9.80665)</f>
        <v>296045.001162836</v>
      </c>
      <c r="W36" s="39" t="n">
        <f aca="false">W35-LN(R36/R35)*(V35+V36)/2</f>
        <v>2004710.95315741</v>
      </c>
      <c r="X36" s="39" t="n">
        <f aca="false">Sheet1!H$10*10/Sheet1!H$11*1000*W36/(Sheet1!H$10*10/Sheet1!H$11*1000-W36)</f>
        <v>2042980.29509976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221.439653652989</v>
      </c>
      <c r="AI36" s="37" t="n">
        <f aca="false">(AM36-AM$30)/(AM$50-AM$30)*(AI$50-AI$30)+AI$30</f>
        <v>0.147074087842674</v>
      </c>
      <c r="AJ36" s="39" t="n">
        <f aca="false">(AM36-AM$35)/(AM$37-AM$35)*(AJ$37-AJ$35)+AJ$35</f>
        <v>222.123848635941</v>
      </c>
      <c r="AK36" s="39" t="n">
        <f aca="false">8314.4621*AJ36/(Sheet1!M$21*Sheet1!M$12*9.80665)</f>
        <v>8109.08120088927</v>
      </c>
      <c r="AL36" s="39" t="n">
        <f aca="false">AL35-LN(AG36/AG35)*(AK35+AK36)/2</f>
        <v>58523.231167228</v>
      </c>
      <c r="AM36" s="39" t="n">
        <f aca="false">Sheet1!M$10*10/Sheet1!M$11*1000*AL36/(Sheet1!M$10*10/Sheet1!M$11*1000-AL36)</f>
        <v>59186.7948602652</v>
      </c>
      <c r="AN36" s="41"/>
      <c r="AO36" s="37" t="n">
        <f aca="false">AO35+(AO$41-AO$31)/10</f>
        <v>0.933722224215662</v>
      </c>
      <c r="AP36" s="40" t="n">
        <f aca="false">10^AO36</f>
        <v>8.5846427008239</v>
      </c>
      <c r="AQ36" s="39" t="n">
        <f aca="false">AS36-AR36*((Sheet1!R$19-Sheet1!R$20)*COS(RADIANS(38))+Sheet1!R$20)/2</f>
        <v>166.019349952487</v>
      </c>
      <c r="AR36" s="37" t="n">
        <f aca="false">(AV36-AV$31)/(AV$51-AV$31)*(AR$51-AR$31)+AR$31</f>
        <v>-0.0729617851040403</v>
      </c>
      <c r="AS36" s="39" t="n">
        <f aca="false">(AV36-AV$31)/(AV$41-AV$31)*(AS$41-AS$31)+AS$31</f>
        <v>163.693161527838</v>
      </c>
      <c r="AT36" s="39" t="n">
        <f aca="false">8314.4621*AS36/(Sheet1!R$22*Sheet1!R$12*9.80665)</f>
        <v>11499.8711251885</v>
      </c>
      <c r="AU36" s="39" t="n">
        <f aca="false">AU35-LN(AP36/AP35)*(AT35+AT36)/2</f>
        <v>79470.6970988788</v>
      </c>
      <c r="AV36" s="39" t="n">
        <f aca="false">Sheet1!R$10*10/Sheet1!R$11*1000*AU36/(Sheet1!R$10*10/Sheet1!R$11*1000-AU36)</f>
        <v>80395.3094411023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2702.55413955521</v>
      </c>
      <c r="T37" s="37" t="n">
        <v>0</v>
      </c>
      <c r="U37" s="39" t="n">
        <f aca="false">(X37-X$34)/(X$44-X$34)*(U$44-U$34)+U$34</f>
        <v>2702.55413955521</v>
      </c>
      <c r="V37" s="39" t="n">
        <f aca="false">8314.4621*U37/(Sheet1!H$20*Sheet1!H$12*9.80665)</f>
        <v>296548.421405491</v>
      </c>
      <c r="W37" s="39" t="n">
        <f aca="false">W36-LN(R37/R36)*(V36+V37)/2</f>
        <v>2072935.79220801</v>
      </c>
      <c r="X37" s="39" t="n">
        <f aca="false">Sheet1!H$10*10/Sheet1!H$11*1000*W37/(Sheet1!H$10*10/Sheet1!H$11*1000-W37)</f>
        <v>2113880.84227734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221.437867551676</v>
      </c>
      <c r="AI37" s="37" t="n">
        <f aca="false">(AM37-AM$30)/(AM$50-AM$30)*(AI$50-AI$30)+AI$30</f>
        <v>0.103774934377148</v>
      </c>
      <c r="AJ37" s="39" t="n">
        <f aca="false">1.05*Sheet1!M16</f>
        <v>221.920633010218</v>
      </c>
      <c r="AK37" s="39" t="n">
        <f aca="false">8314.4621*AJ37/(Sheet1!M$21*Sheet1!M$12*9.80665)</f>
        <v>8101.662402681</v>
      </c>
      <c r="AL37" s="39" t="n">
        <f aca="false">AL36-LN(AG37/AG36)*(AK36+AK37)/2</f>
        <v>60389.5619956244</v>
      </c>
      <c r="AM37" s="39" t="n">
        <f aca="false">Sheet1!M$10*10/Sheet1!M$11*1000*AL37/(Sheet1!M$10*10/Sheet1!M$11*1000-AL37)</f>
        <v>61096.3787682942</v>
      </c>
      <c r="AN37" s="41"/>
      <c r="AO37" s="37" t="n">
        <f aca="false">AO36+(AO$41-AO$31)/10</f>
        <v>0.836373335247035</v>
      </c>
      <c r="AP37" s="40" t="n">
        <f aca="false">10^AO37</f>
        <v>6.86077750281024</v>
      </c>
      <c r="AQ37" s="39" t="n">
        <f aca="false">AS37-AR37*((Sheet1!R$19-Sheet1!R$20)*COS(RADIANS(38))+Sheet1!R$20)/2</f>
        <v>163.762585342063</v>
      </c>
      <c r="AR37" s="37" t="n">
        <f aca="false">(AV37-AV$31)/(AV$51-AV$31)*(AR$51-AR$31)+AR$31</f>
        <v>-0.067747169581061</v>
      </c>
      <c r="AS37" s="39" t="n">
        <f aca="false">(AV37-AV$31)/(AV$41-AV$31)*(AS$41-AS$31)+AS$31</f>
        <v>161.602650775529</v>
      </c>
      <c r="AT37" s="39" t="n">
        <f aca="false">8314.4621*AS37/(Sheet1!R$22*Sheet1!R$12*9.80665)</f>
        <v>11353.0072976896</v>
      </c>
      <c r="AU37" s="39" t="n">
        <f aca="false">AU36-LN(AP37/AP36)*(AT36+AT37)/2</f>
        <v>82031.9803029074</v>
      </c>
      <c r="AV37" s="39" t="n">
        <f aca="false">Sheet1!R$10*10/Sheet1!R$11*1000*AU37/(Sheet1!R$10*10/Sheet1!R$11*1000-AU37)</f>
        <v>83017.5217953404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2707.15582769247</v>
      </c>
      <c r="T38" s="37" t="n">
        <v>0</v>
      </c>
      <c r="U38" s="39" t="n">
        <f aca="false">(X38-X$34)/(X$44-X$34)*(U$44-U$34)+U$34</f>
        <v>2707.15582769247</v>
      </c>
      <c r="V38" s="39" t="n">
        <f aca="false">8314.4621*U38/(Sheet1!H$20*Sheet1!H$12*9.80665)</f>
        <v>297053.359801704</v>
      </c>
      <c r="W38" s="39" t="n">
        <f aca="false">W37-LN(R38/R37)*(V37+V38)/2</f>
        <v>2141276.72283713</v>
      </c>
      <c r="X38" s="39" t="n">
        <f aca="false">Sheet1!H$10*10/Sheet1!H$11*1000*W38/(Sheet1!H$10*10/Sheet1!H$11*1000-W38)</f>
        <v>2184994.51287589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217.675739779552</v>
      </c>
      <c r="AI38" s="37" t="n">
        <f aca="false">(AM38-AM$30)/(AM$50-AM$30)*(AI$50-AI$30)+AI$30</f>
        <v>0.060851020240964</v>
      </c>
      <c r="AJ38" s="39" t="n">
        <f aca="false">(AM38-AM$37)/(AM$50-AM$37)*(AJ$50-AJ$37)+AJ$37</f>
        <v>217.958821343184</v>
      </c>
      <c r="AK38" s="39" t="n">
        <f aca="false">8314.4621*AJ38/(Sheet1!M$21*Sheet1!M$12*9.80665)</f>
        <v>7957.02843965588</v>
      </c>
      <c r="AL38" s="39" t="n">
        <f aca="false">AL37-LN(AG38/AG37)*(AK37+AK38)/2</f>
        <v>62238.3871029527</v>
      </c>
      <c r="AM38" s="39" t="n">
        <f aca="false">Sheet1!M$10*10/Sheet1!M$11*1000*AL38/(Sheet1!M$10*10/Sheet1!M$11*1000-AL38)</f>
        <v>62989.4138311929</v>
      </c>
      <c r="AN38" s="41"/>
      <c r="AO38" s="37" t="n">
        <f aca="false">AO37+(AO$41-AO$31)/10</f>
        <v>0.739024446278409</v>
      </c>
      <c r="AP38" s="40" t="n">
        <f aca="false">10^AO38</f>
        <v>5.483078281004</v>
      </c>
      <c r="AQ38" s="39" t="n">
        <f aca="false">AS38-AR38*((Sheet1!R$19-Sheet1!R$20)*COS(RADIANS(38))+Sheet1!R$20)/2</f>
        <v>161.532990872871</v>
      </c>
      <c r="AR38" s="37" t="n">
        <f aca="false">(AV38-AV$31)/(AV$51-AV$31)*(AR$51-AR$31)+AR$31</f>
        <v>-0.0625953350143156</v>
      </c>
      <c r="AS38" s="39" t="n">
        <f aca="false">(AV38-AV$31)/(AV$41-AV$31)*(AS$41-AS$31)+AS$31</f>
        <v>159.537308564116</v>
      </c>
      <c r="AT38" s="39" t="n">
        <f aca="false">8314.4621*AS38/(Sheet1!R$22*Sheet1!R$12*9.80665)</f>
        <v>11207.9116257691</v>
      </c>
      <c r="AU38" s="39" t="n">
        <f aca="false">AU37-LN(AP38/AP37)*(AT37+AT38)/2</f>
        <v>84560.5415474402</v>
      </c>
      <c r="AV38" s="39" t="n">
        <f aca="false">Sheet1!R$10*10/Sheet1!R$11*1000*AU38/(Sheet1!R$10*10/Sheet1!R$11*1000-AU38)</f>
        <v>85608.1642287814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2711.77133910867</v>
      </c>
      <c r="T39" s="37" t="n">
        <v>0</v>
      </c>
      <c r="U39" s="39" t="n">
        <f aca="false">(X39-X$34)/(X$44-X$34)*(U$44-U$34)+U$34</f>
        <v>2711.77133910867</v>
      </c>
      <c r="V39" s="39" t="n">
        <f aca="false">8314.4621*U39/(Sheet1!H$20*Sheet1!H$12*9.80665)</f>
        <v>297559.815011767</v>
      </c>
      <c r="W39" s="39" t="n">
        <f aca="false">W38-LN(R39/R38)*(V38+V39)/2</f>
        <v>2209734.0944583</v>
      </c>
      <c r="X39" s="39" t="n">
        <f aca="false">Sheet1!H$10*10/Sheet1!H$11*1000*W39/(Sheet1!H$10*10/Sheet1!H$11*1000-W39)</f>
        <v>2256322.32439955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213.977600401631</v>
      </c>
      <c r="AI39" s="37" t="n">
        <f aca="false">(AM39-AM$30)/(AM$50-AM$30)*(AI$50-AI$30)+AI$30</f>
        <v>0.0186571802821798</v>
      </c>
      <c r="AJ39" s="39" t="n">
        <f aca="false">(AM39-AM$37)/(AM$50-AM$37)*(AJ$50-AJ$37)+AJ$37</f>
        <v>214.064394406831</v>
      </c>
      <c r="AK39" s="39" t="n">
        <f aca="false">8314.4621*AJ39/(Sheet1!M$21*Sheet1!M$12*9.80665)</f>
        <v>7814.85449277107</v>
      </c>
      <c r="AL39" s="39" t="n">
        <f aca="false">AL37-LN(AG39/AG37)*(AK37+AK39)/2</f>
        <v>64054.47544921</v>
      </c>
      <c r="AM39" s="39" t="n">
        <f aca="false">Sheet1!M$10*10/Sheet1!M$11*1000*AL39/(Sheet1!M$10*10/Sheet1!M$11*1000-AL39)</f>
        <v>64850.2510844522</v>
      </c>
      <c r="AN39" s="41"/>
      <c r="AO39" s="37" t="n">
        <f aca="false">AO38+(AO$41-AO$31)/10</f>
        <v>0.641675557309782</v>
      </c>
      <c r="AP39" s="40" t="n">
        <f aca="false">10^AO39</f>
        <v>4.38203212730675</v>
      </c>
      <c r="AQ39" s="39" t="n">
        <f aca="false">AS39-AR39*((Sheet1!R$19-Sheet1!R$20)*COS(RADIANS(38))+Sheet1!R$20)/2</f>
        <v>159.33028080756</v>
      </c>
      <c r="AR39" s="37" t="n">
        <f aca="false">(AV39-AV$31)/(AV$51-AV$31)*(AR$51-AR$31)+AR$31</f>
        <v>-0.0575056211619569</v>
      </c>
      <c r="AS39" s="39" t="n">
        <f aca="false">(AV39-AV$31)/(AV$41-AV$31)*(AS$41-AS$31)+AS$31</f>
        <v>157.496870206265</v>
      </c>
      <c r="AT39" s="39" t="n">
        <f aca="false">8314.4621*AS39/(Sheet1!R$22*Sheet1!R$12*9.80665)</f>
        <v>11064.5655144522</v>
      </c>
      <c r="AU39" s="39" t="n">
        <f aca="false">AU38-LN(AP39/AP38)*(AT38+AT39)/2</f>
        <v>87056.7750877303</v>
      </c>
      <c r="AV39" s="39" t="n">
        <f aca="false">Sheet1!R$10*10/Sheet1!R$11*1000*AU39/(Sheet1!R$10*10/Sheet1!R$11*1000-AU39)</f>
        <v>88167.5687494749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2716.40077348203</v>
      </c>
      <c r="T40" s="37" t="n">
        <v>0</v>
      </c>
      <c r="U40" s="39" t="n">
        <f aca="false">(X40-X$34)/(X$44-X$34)*(U$44-U$34)+U$34</f>
        <v>2716.40077348203</v>
      </c>
      <c r="V40" s="39" t="n">
        <f aca="false">8314.4621*U40/(Sheet1!H$20*Sheet1!H$12*9.80665)</f>
        <v>298067.797973264</v>
      </c>
      <c r="W40" s="39" t="n">
        <f aca="false">W39-LN(R40/R39)*(V39+V40)/2</f>
        <v>2278308.25759005</v>
      </c>
      <c r="X40" s="39" t="n">
        <f aca="false">Sheet1!H$10*10/Sheet1!H$11*1000*W40/(Sheet1!H$10*10/Sheet1!H$11*1000-W40)</f>
        <v>2327865.30054261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210.34358628907</v>
      </c>
      <c r="AI40" s="37" t="n">
        <f aca="false">(AM40-AM$30)/(AM$50-AM$30)*(AI$50-AI$30)+AI$30</f>
        <v>-0.0228050238707514</v>
      </c>
      <c r="AJ40" s="39" t="n">
        <f aca="false">(AM40-AM$37)/(AM$50-AM$37)*(AJ$50-AJ$37)+AJ$37</f>
        <v>210.237496337078</v>
      </c>
      <c r="AK40" s="39" t="n">
        <f aca="false">8314.4621*AJ40/(Sheet1!M$21*Sheet1!M$12*9.80665)</f>
        <v>7675.14582400036</v>
      </c>
      <c r="AL40" s="39" t="n">
        <f aca="false">AL39-LN(AG40/AG39)*(AK39+AK40)/2</f>
        <v>65837.8276402036</v>
      </c>
      <c r="AM40" s="39" t="n">
        <f aca="false">Sheet1!M$10*10/Sheet1!M$11*1000*AL40/(Sheet1!M$10*10/Sheet1!M$11*1000-AL40)</f>
        <v>66678.8216569666</v>
      </c>
      <c r="AN40" s="41"/>
      <c r="AO40" s="37" t="n">
        <f aca="false">AO39+(AO$41-AO$31)/10</f>
        <v>0.544326668341156</v>
      </c>
      <c r="AP40" s="40" t="n">
        <f aca="false">10^AO40</f>
        <v>3.50208488382777</v>
      </c>
      <c r="AQ40" s="39" t="n">
        <f aca="false">AS40-AR40*((Sheet1!R$19-Sheet1!R$20)*COS(RADIANS(38))+Sheet1!R$20)/2</f>
        <v>157.154171380077</v>
      </c>
      <c r="AR40" s="37" t="n">
        <f aca="false">(AV40-AV$31)/(AV$51-AV$31)*(AR$51-AR$31)+AR$31</f>
        <v>-0.0524773723371413</v>
      </c>
      <c r="AS40" s="39" t="n">
        <f aca="false">(AV40-AV$31)/(AV$41-AV$31)*(AS$41-AS$31)+AS$31</f>
        <v>155.481072840717</v>
      </c>
      <c r="AT40" s="39" t="n">
        <f aca="false">8314.4621*AS40/(Sheet1!R$22*Sheet1!R$12*9.80665)</f>
        <v>10922.9504970506</v>
      </c>
      <c r="AU40" s="39" t="n">
        <f aca="false">AU39-LN(AP40/AP39)*(AT39+AT40)/2</f>
        <v>89521.0710252695</v>
      </c>
      <c r="AV40" s="39" t="n">
        <f aca="false">Sheet1!R$10*10/Sheet1!R$11*1000*AU40/(Sheet1!R$10*10/Sheet1!R$11*1000-AU40)</f>
        <v>90696.0650749492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2721.04419752485</v>
      </c>
      <c r="T41" s="37" t="n">
        <v>0</v>
      </c>
      <c r="U41" s="39" t="n">
        <f aca="false">(X41-X$34)/(X$44-X$34)*(U$44-U$34)+U$34</f>
        <v>2721.04419752485</v>
      </c>
      <c r="V41" s="39" t="n">
        <f aca="false">8314.4621*U41/(Sheet1!H$20*Sheet1!H$12*9.80665)</f>
        <v>298577.316006469</v>
      </c>
      <c r="W41" s="39" t="n">
        <f aca="false">W40-LN(R41/R40)*(V40+V41)/2</f>
        <v>2346999.56485292</v>
      </c>
      <c r="X41" s="39" t="n">
        <f aca="false">Sheet1!H$10*10/Sheet1!H$11*1000*W41/(Sheet1!H$10*10/Sheet1!H$11*1000-W41)</f>
        <v>2399624.47227432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206.772111972262</v>
      </c>
      <c r="AI41" s="37" t="n">
        <f aca="false">(AM41-AM$30)/(AM$50-AM$30)*(AI$50-AI$30)+AI$30</f>
        <v>-0.0635536815984677</v>
      </c>
      <c r="AJ41" s="39" t="n">
        <f aca="false">(AM41-AM$37)/(AM$50-AM$37)*(AJ$50-AJ$37)+AJ$37</f>
        <v>206.476457511741</v>
      </c>
      <c r="AK41" s="39" t="n">
        <f aca="false">8314.4621*AJ41/(Sheet1!M$21*Sheet1!M$12*9.80665)</f>
        <v>7537.84148040264</v>
      </c>
      <c r="AL41" s="39" t="n">
        <f aca="false">AL40-LN(AG41/AG40)*(AK40+AK41)/2</f>
        <v>67589.2875295549</v>
      </c>
      <c r="AM41" s="39" t="n">
        <f aca="false">Sheet1!M$10*10/Sheet1!M$11*1000*AL41/(Sheet1!M$10*10/Sheet1!M$11*1000-AL41)</f>
        <v>68475.9233285404</v>
      </c>
      <c r="AN41" s="41"/>
      <c r="AO41" s="37" t="n">
        <f aca="false">AO4+0.6*(AO61-AO4)</f>
        <v>0.44697777937253</v>
      </c>
      <c r="AP41" s="40" t="n">
        <f aca="false">10^AO41</f>
        <v>2.79883811373902</v>
      </c>
      <c r="AQ41" s="39" t="n">
        <f aca="false">AS41-AR41*((Sheet1!R$19-Sheet1!R$20)*COS(RADIANS(38))+Sheet1!R$20)/2</f>
        <v>155.004380809157</v>
      </c>
      <c r="AR41" s="37" t="n">
        <f aca="false">(AV41-AV$31)/(AV$51-AV$31)*(AR$51-AR$31)+AR$31</f>
        <v>-0.0475099374391937</v>
      </c>
      <c r="AS41" s="39" t="n">
        <f aca="false">Sheet1!R16+0.84*(AS61-Sheet1!R16)+0.03*Sheet1!R18</f>
        <v>153.489655444786</v>
      </c>
      <c r="AT41" s="39" t="n">
        <f aca="false">8314.4621*AS41/(Sheet1!R$22*Sheet1!R$12*9.80665)</f>
        <v>10783.0482360403</v>
      </c>
      <c r="AU41" s="39" t="n">
        <f aca="false">AU40-LN(AP41/AP40)*(AT40+AT41)/2</f>
        <v>91953.8153366415</v>
      </c>
      <c r="AV41" s="39" t="n">
        <f aca="false">Sheet1!R$10*10/Sheet1!R$11*1000*AU41/(Sheet1!R$10*10/Sheet1!R$11*1000-AU41)</f>
        <v>93193.9806165402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2725.70167839561</v>
      </c>
      <c r="T42" s="37" t="n">
        <v>0</v>
      </c>
      <c r="U42" s="39" t="n">
        <f aca="false">(X42-X$34)/(X$44-X$34)*(U$44-U$34)+U$34</f>
        <v>2725.70167839561</v>
      </c>
      <c r="V42" s="39" t="n">
        <f aca="false">8314.4621*U42/(Sheet1!H$20*Sheet1!H$12*9.80665)</f>
        <v>299088.376480609</v>
      </c>
      <c r="W42" s="39" t="n">
        <f aca="false">W41-LN(R42/R41)*(V41+V42)/2</f>
        <v>2415808.37055866</v>
      </c>
      <c r="X42" s="39" t="n">
        <f aca="false">Sheet1!H$10*10/Sheet1!H$11*1000*W42/(Sheet1!H$10*10/Sheet1!H$11*1000-W42)</f>
        <v>2471600.87745872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203.262186504868</v>
      </c>
      <c r="AI42" s="37" t="n">
        <f aca="false">(AM42-AM$30)/(AM$50-AM$30)*(AI$50-AI$30)+AI$30</f>
        <v>-0.103600099081457</v>
      </c>
      <c r="AJ42" s="39" t="n">
        <f aca="false">(AM42-AM$37)/(AM$50-AM$37)*(AJ$50-AJ$37)+AJ$37</f>
        <v>202.780234387642</v>
      </c>
      <c r="AK42" s="39" t="n">
        <f aca="false">8314.4621*AJ42/(Sheet1!M$21*Sheet1!M$12*9.80665)</f>
        <v>7402.9033653196</v>
      </c>
      <c r="AL42" s="39" t="n">
        <f aca="false">AL41-LN(AG42/AG41)*(AK41+AK42)/2</f>
        <v>69309.4043475543</v>
      </c>
      <c r="AM42" s="39" t="n">
        <f aca="false">Sheet1!M$10*10/Sheet1!M$11*1000*AL42/(Sheet1!M$10*10/Sheet1!M$11*1000-AL42)</f>
        <v>70242.0547255575</v>
      </c>
      <c r="AN42" s="41"/>
      <c r="AO42" s="37" t="n">
        <f aca="false">AO41+(AO$51-AO$41)/10</f>
        <v>0.349628890403903</v>
      </c>
      <c r="AP42" s="40" t="n">
        <f aca="false">10^AO42</f>
        <v>2.23680894289352</v>
      </c>
      <c r="AQ42" s="39" t="n">
        <f aca="false">AS42-AR42*((Sheet1!R$19-Sheet1!R$20)*COS(RADIANS(38))+Sheet1!R$20)/2</f>
        <v>153.561671492589</v>
      </c>
      <c r="AR42" s="37" t="n">
        <f aca="false">(AV42-AV$31)/(AV$51-AV$31)*(AR$51-AR$31)+AR$31</f>
        <v>-0.0425917033564275</v>
      </c>
      <c r="AS42" s="39" t="n">
        <f aca="false">(AV42-AV$41)/(AV$51-AV$41)*(AS$51-AS$41)+AS$41</f>
        <v>152.203750668797</v>
      </c>
      <c r="AT42" s="39" t="n">
        <f aca="false">8314.4621*AS42/(Sheet1!R$22*Sheet1!R$12*9.80665)</f>
        <v>10692.7100749032</v>
      </c>
      <c r="AU42" s="39" t="n">
        <f aca="false">AU41-LN(AP42/AP41)*(AT41+AT42)/2</f>
        <v>94360.7549806442</v>
      </c>
      <c r="AV42" s="39" t="n">
        <f aca="false">Sheet1!R$10*10/Sheet1!R$11*1000*AU42/(Sheet1!R$10*10/Sheet1!R$11*1000-AU42)</f>
        <v>95667.1551230848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2730.37328274495</v>
      </c>
      <c r="T43" s="37" t="n">
        <v>0</v>
      </c>
      <c r="U43" s="39" t="n">
        <f aca="false">(X43-X$34)/(X$44-X$34)*(U$44-U$34)+U$34</f>
        <v>2730.37328274495</v>
      </c>
      <c r="V43" s="39" t="n">
        <f aca="false">8314.4621*U43/(Sheet1!H$20*Sheet1!H$12*9.80665)</f>
        <v>299600.986709189</v>
      </c>
      <c r="W43" s="39" t="n">
        <f aca="false">W42-LN(R43/R42)*(V42+V43)/2</f>
        <v>2484735.0307094</v>
      </c>
      <c r="X43" s="39" t="n">
        <f aca="false">Sheet1!H$10*10/Sheet1!H$11*1000*W43/(Sheet1!H$10*10/Sheet1!H$11*1000-W43)</f>
        <v>2543795.56090128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199.812831647838</v>
      </c>
      <c r="AI43" s="37" t="n">
        <f aca="false">(AM43-AM$30)/(AM$50-AM$30)*(AI$50-AI$30)+AI$30</f>
        <v>-0.142955437516644</v>
      </c>
      <c r="AJ43" s="39" t="n">
        <f aca="false">(AM43-AM$37)/(AM$50-AM$37)*(AJ$50-AJ$37)+AJ$37</f>
        <v>199.147796803364</v>
      </c>
      <c r="AK43" s="39" t="n">
        <f aca="false">8314.4621*AJ43/(Sheet1!M$21*Sheet1!M$12*9.80665)</f>
        <v>7270.29387062123</v>
      </c>
      <c r="AL43" s="39" t="n">
        <f aca="false">AL42-LN(AG43/AG42)*(AK42+AK43)/2</f>
        <v>70998.7186086562</v>
      </c>
      <c r="AM43" s="39" t="n">
        <f aca="false">Sheet1!M$10*10/Sheet1!M$11*1000*AL43/(Sheet1!M$10*10/Sheet1!M$11*1000-AL43)</f>
        <v>71977.7080803211</v>
      </c>
      <c r="AN43" s="41"/>
      <c r="AO43" s="37" t="n">
        <f aca="false">AO42+(AO$51-AO$41)/10</f>
        <v>0.252280001435277</v>
      </c>
      <c r="AP43" s="40" t="n">
        <f aca="false">10^AO43</f>
        <v>1.78763974323774</v>
      </c>
      <c r="AQ43" s="39" t="n">
        <f aca="false">AS43-AR43*((Sheet1!R$19-Sheet1!R$20)*COS(RADIANS(38))+Sheet1!R$20)/2</f>
        <v>152.130046551727</v>
      </c>
      <c r="AR43" s="37" t="n">
        <f aca="false">(AV43-AV$31)/(AV$51-AV$31)*(AR$51-AR$31)+AR$31</f>
        <v>-0.0377112562025729</v>
      </c>
      <c r="AS43" s="39" t="n">
        <f aca="false">(AV43-AV$41)/(AV$51-AV$41)*(AS$51-AS$41)+AS$41</f>
        <v>150.927725534878</v>
      </c>
      <c r="AT43" s="39" t="n">
        <f aca="false">8314.4621*AS43/(Sheet1!R$22*Sheet1!R$12*9.80665)</f>
        <v>10603.0659843646</v>
      </c>
      <c r="AU43" s="39" t="n">
        <f aca="false">AU42-LN(AP43/AP42)*(AT42+AT43)/2</f>
        <v>96747.5227447765</v>
      </c>
      <c r="AV43" s="39" t="n">
        <f aca="false">Sheet1!R$10*10/Sheet1!R$11*1000*AU43/(Sheet1!R$10*10/Sheet1!R$11*1000-AU43)</f>
        <v>98121.3281612788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2735.05908011991</v>
      </c>
      <c r="T44" s="37" t="n">
        <v>0</v>
      </c>
      <c r="U44" s="39" t="n">
        <f aca="false">Sheet1!H16*1.03</f>
        <v>2735.05908011991</v>
      </c>
      <c r="V44" s="39" t="n">
        <f aca="false">8314.4621*U44/(Sheet1!H$20*Sheet1!H$12*9.80665)</f>
        <v>300115.154323533</v>
      </c>
      <c r="W44" s="39" t="n">
        <f aca="false">W43-LN(R44/R43)*(V43+V44)/2</f>
        <v>2553779.9030279</v>
      </c>
      <c r="X44" s="39" t="n">
        <f aca="false">Sheet1!H$10*10/Sheet1!H$11*1000*W44/(Sheet1!H$10*10/Sheet1!H$11*1000-W44)</f>
        <v>2616209.57442842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2735.05908011991</v>
      </c>
      <c r="AA44" s="39" t="n">
        <f aca="false">IF(Y44=LOG(Sheet1!H$17*101325),(LOG(Sheet1!H$17*101325)-Q54)/(Q44-Q54)*(X44-X54)+X54,IF(Y44=0,0,X44))</f>
        <v>2616209.57442842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196.423081814142</v>
      </c>
      <c r="AI44" s="37" t="n">
        <f aca="false">(AM44-AM$30)/(AM$50-AM$30)*(AI$50-AI$30)+AI$30</f>
        <v>-0.181630713748037</v>
      </c>
      <c r="AJ44" s="39" t="n">
        <f aca="false">(AM44-AM$37)/(AM$50-AM$37)*(AJ$50-AJ$37)+AJ$37</f>
        <v>195.578127921045</v>
      </c>
      <c r="AK44" s="39" t="n">
        <f aca="false">8314.4621*AJ44/(Sheet1!M$21*Sheet1!M$12*9.80665)</f>
        <v>7139.97587458084</v>
      </c>
      <c r="AL44" s="39" t="n">
        <f aca="false">AL43-LN(AG44/AG43)*(AK43+AK44)/2</f>
        <v>72657.7622237225</v>
      </c>
      <c r="AM44" s="39" t="n">
        <f aca="false">Sheet1!M$10*10/Sheet1!M$11*1000*AL44/(Sheet1!M$10*10/Sheet1!M$11*1000-AL44)</f>
        <v>73683.3692588668</v>
      </c>
      <c r="AN44" s="41"/>
      <c r="AO44" s="37" t="n">
        <f aca="false">AO43+(AO$51-AO$41)/10</f>
        <v>0.15493111246665</v>
      </c>
      <c r="AP44" s="40" t="n">
        <f aca="false">10^AO44</f>
        <v>1.42866732617281</v>
      </c>
      <c r="AQ44" s="39" t="n">
        <f aca="false">AS44-AR44*((Sheet1!R$19-Sheet1!R$20)*COS(RADIANS(38))+Sheet1!R$20)/2</f>
        <v>150.709437233067</v>
      </c>
      <c r="AR44" s="37" t="n">
        <f aca="false">(AV44-AV$31)/(AV$51-AV$31)*(AR$51-AR$31)+AR$31</f>
        <v>-0.0328683615951217</v>
      </c>
      <c r="AS44" s="39" t="n">
        <f aca="false">(AV44-AV$41)/(AV$51-AV$41)*(AS$51-AS$41)+AS$41</f>
        <v>149.661518762176</v>
      </c>
      <c r="AT44" s="39" t="n">
        <f aca="false">8314.4621*AS44/(Sheet1!R$22*Sheet1!R$12*9.80665)</f>
        <v>10514.1116592846</v>
      </c>
      <c r="AU44" s="39" t="n">
        <f aca="false">AU43-LN(AP44/AP43)*(AT43+AT44)/2</f>
        <v>99114.2737253017</v>
      </c>
      <c r="AV44" s="39" t="n">
        <f aca="false">Sheet1!R$10*10/Sheet1!R$11*1000*AU44/(Sheet1!R$10*10/Sheet1!R$11*1000-AU44)</f>
        <v>100556.617592296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2730.11844528651</v>
      </c>
      <c r="T45" s="37" t="n">
        <f aca="false">(X45-X$44)/(X$54-X$44)*(T$54-T$44)+T$44</f>
        <v>0.0994042588185079</v>
      </c>
      <c r="U45" s="39" t="n">
        <f aca="false">(X45-X$44)/(X$54-X$44)*(U$54-U$44)+U$44</f>
        <v>2735.05908011991</v>
      </c>
      <c r="V45" s="39" t="n">
        <f aca="false">8314.4621*U45/(Sheet1!H$20*Sheet1!H$12*9.80665)</f>
        <v>300115.154323533</v>
      </c>
      <c r="W45" s="39" t="n">
        <f aca="false">W44-LN(R45/R44)*(V44+V45)/2</f>
        <v>2622883.97108059</v>
      </c>
      <c r="X45" s="39" t="n">
        <f aca="false">Sheet1!H$10*10/Sheet1!H$11*1000*W45/(Sheet1!H$10*10/Sheet1!H$11*1000-W45)</f>
        <v>2688781.58001306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193.091984009285</v>
      </c>
      <c r="AI45" s="37" t="n">
        <f aca="false">(AM45-AM$30)/(AM$50-AM$30)*(AI$50-AI$30)+AI$30</f>
        <v>-0.219636800945385</v>
      </c>
      <c r="AJ45" s="39" t="n">
        <f aca="false">(AM45-AM$37)/(AM$50-AM$37)*(AJ$50-AJ$37)+AJ$37</f>
        <v>192.070224163736</v>
      </c>
      <c r="AK45" s="39" t="n">
        <f aca="false">8314.4621*AJ45/(Sheet1!M$21*Sheet1!M$12*9.80665)</f>
        <v>7011.9127395883</v>
      </c>
      <c r="AL45" s="39" t="n">
        <f aca="false">AL44-LN(AG45/AG44)*(AK44+AK45)/2</f>
        <v>74287.0586117574</v>
      </c>
      <c r="AM45" s="39" t="n">
        <f aca="false">Sheet1!M$10*10/Sheet1!M$11*1000*AL45/(Sheet1!M$10*10/Sheet1!M$11*1000-AL45)</f>
        <v>75359.5177908926</v>
      </c>
      <c r="AN45" s="41"/>
      <c r="AO45" s="37" t="n">
        <f aca="false">AO44+(AO$51-AO$41)/10</f>
        <v>0.0575822234980237</v>
      </c>
      <c r="AP45" s="40" t="n">
        <f aca="false">10^AO45</f>
        <v>1.14177945337967</v>
      </c>
      <c r="AQ45" s="39" t="n">
        <f aca="false">AS45-AR45*((Sheet1!R$19-Sheet1!R$20)*COS(RADIANS(38))+Sheet1!R$20)/2</f>
        <v>149.299774942008</v>
      </c>
      <c r="AR45" s="37" t="n">
        <f aca="false">(AV45-AV$31)/(AV$51-AV$31)*(AR$51-AR$31)+AR$31</f>
        <v>-0.0280627856932688</v>
      </c>
      <c r="AS45" s="39" t="n">
        <f aca="false">(AV45-AV$41)/(AV$51-AV$41)*(AS$51-AS$41)+AS$41</f>
        <v>148.405069211467</v>
      </c>
      <c r="AT45" s="39" t="n">
        <f aca="false">8314.4621*AS45/(Sheet1!R$22*Sheet1!R$12*9.80665)</f>
        <v>10425.8428044736</v>
      </c>
      <c r="AU45" s="39" t="n">
        <f aca="false">AU44-LN(AP45/AP44)*(AT44+AT45)/2</f>
        <v>101461.162054583</v>
      </c>
      <c r="AV45" s="39" t="n">
        <f aca="false">Sheet1!R$10*10/Sheet1!R$11*1000*AU45/(Sheet1!R$10*10/Sheet1!R$11*1000-AU45)</f>
        <v>102973.141004912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2725.17126536595</v>
      </c>
      <c r="T46" s="37" t="n">
        <f aca="false">(X46-X$44)/(X$54-X$44)*(T$54-T$44)+T$44</f>
        <v>0.198940203049917</v>
      </c>
      <c r="U46" s="39" t="n">
        <f aca="false">(X46-X$44)/(X$54-X$44)*(U$54-U$44)+U$44</f>
        <v>2735.05908011991</v>
      </c>
      <c r="V46" s="39" t="n">
        <f aca="false">8314.4621*U46/(Sheet1!H$20*Sheet1!H$12*9.80665)</f>
        <v>300115.154323533</v>
      </c>
      <c r="W46" s="39" t="n">
        <f aca="false">W45-LN(R46/R45)*(V45+V46)/2</f>
        <v>2691988.03913329</v>
      </c>
      <c r="X46" s="39" t="n">
        <f aca="false">Sheet1!H$10*10/Sheet1!H$11*1000*W46/(Sheet1!H$10*10/Sheet1!H$11*1000-W46)</f>
        <v>2761449.72508543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189.818597767821</v>
      </c>
      <c r="AI46" s="37" t="n">
        <f aca="false">(AM46-AM$30)/(AM$50-AM$30)*(AI$50-AI$30)+AI$30</f>
        <v>-0.256984429328518</v>
      </c>
      <c r="AJ46" s="39" t="n">
        <f aca="false">(AM46-AM$37)/(AM$50-AM$37)*(AJ$50-AJ$37)+AJ$37</f>
        <v>188.623095148546</v>
      </c>
      <c r="AK46" s="39" t="n">
        <f aca="false">8314.4621*AJ46/(Sheet1!M$21*Sheet1!M$12*9.80665)</f>
        <v>6886.06830970934</v>
      </c>
      <c r="AL46" s="39" t="n">
        <f aca="false">AL45-LN(AG46/AG45)*(AK45+AK46)/2</f>
        <v>75887.1228110987</v>
      </c>
      <c r="AM46" s="39" t="n">
        <f aca="false">Sheet1!M$10*10/Sheet1!M$11*1000*AL46/(Sheet1!M$10*10/Sheet1!M$11*1000-AL46)</f>
        <v>77006.6269017037</v>
      </c>
      <c r="AN46" s="41"/>
      <c r="AO46" s="37" t="n">
        <f aca="false">AO45+(AO$51-AO$41)/10</f>
        <v>-0.0397666654706028</v>
      </c>
      <c r="AP46" s="40" t="n">
        <f aca="false">10^AO46</f>
        <v>0.912500969454019</v>
      </c>
      <c r="AQ46" s="39" t="n">
        <f aca="false">AS46-AR46*((Sheet1!R$19-Sheet1!R$20)*COS(RADIANS(38))+Sheet1!R$20)/2</f>
        <v>147.900991247269</v>
      </c>
      <c r="AR46" s="37" t="n">
        <f aca="false">(AV46-AV$31)/(AV$51-AV$31)*(AR$51-AR$31)+AR$31</f>
        <v>-0.0232942952129765</v>
      </c>
      <c r="AS46" s="39" t="n">
        <f aca="false">(AV46-AV$41)/(AV$51-AV$41)*(AS$51-AS$41)+AS$41</f>
        <v>147.1583158891</v>
      </c>
      <c r="AT46" s="39" t="n">
        <f aca="false">8314.4621*AS46/(Sheet1!R$22*Sheet1!R$12*9.80665)</f>
        <v>10338.2551349686</v>
      </c>
      <c r="AU46" s="39" t="n">
        <f aca="false">AU45-LN(AP46/AP45)*(AT45+AT46)/2</f>
        <v>103788.340903348</v>
      </c>
      <c r="AV46" s="39" t="n">
        <f aca="false">Sheet1!R$10*10/Sheet1!R$11*1000*AU46/(Sheet1!R$10*10/Sheet1!R$11*1000-AU46)</f>
        <v>105371.015707924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2720.21752734374</v>
      </c>
      <c r="T47" s="37" t="n">
        <f aca="false">(X47-X$44)/(X$54-X$44)*(T$54-T$44)+T$44</f>
        <v>0.298608094542291</v>
      </c>
      <c r="U47" s="39" t="n">
        <f aca="false">(X47-X$44)/(X$54-X$44)*(U$54-U$44)+U$44</f>
        <v>2735.05908011991</v>
      </c>
      <c r="V47" s="39" t="n">
        <f aca="false">8314.4621*U47/(Sheet1!H$20*Sheet1!H$12*9.80665)</f>
        <v>300115.154323533</v>
      </c>
      <c r="W47" s="39" t="n">
        <f aca="false">W46-LN(R47/R46)*(V46+V47)/2</f>
        <v>2761092.10718599</v>
      </c>
      <c r="X47" s="39" t="n">
        <f aca="false">Sheet1!H$10*10/Sheet1!H$11*1000*W47/(Sheet1!H$10*10/Sheet1!H$11*1000-W47)</f>
        <v>2834214.20081277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186.601995086063</v>
      </c>
      <c r="AI47" s="37" t="n">
        <f aca="false">(AM47-AM$30)/(AM$50-AM$30)*(AI$50-AI$30)+AI$30</f>
        <v>-0.293684186935109</v>
      </c>
      <c r="AJ47" s="39" t="n">
        <f aca="false">(AM47-AM$37)/(AM$50-AM$37)*(AJ$50-AJ$37)+AJ$37</f>
        <v>185.235763615784</v>
      </c>
      <c r="AK47" s="39" t="n">
        <f aca="false">8314.4621*AJ47/(Sheet1!M$21*Sheet1!M$12*9.80665)</f>
        <v>6762.40690809853</v>
      </c>
      <c r="AL47" s="39" t="n">
        <f aca="false">AL46-LN(AG47/AG46)*(AK46+AK47)/2</f>
        <v>77458.4615900299</v>
      </c>
      <c r="AM47" s="39" t="n">
        <f aca="false">Sheet1!M$10*10/Sheet1!M$11*1000*AL47/(Sheet1!M$10*10/Sheet1!M$11*1000-AL47)</f>
        <v>78625.1635460726</v>
      </c>
      <c r="AN47" s="41"/>
      <c r="AO47" s="37" t="n">
        <f aca="false">AO46+(AO$51-AO$41)/10</f>
        <v>-0.137115554439229</v>
      </c>
      <c r="AP47" s="40" t="n">
        <f aca="false">10^AO47</f>
        <v>0.729263446447437</v>
      </c>
      <c r="AQ47" s="39" t="n">
        <f aca="false">AS47-AR47*((Sheet1!R$19-Sheet1!R$20)*COS(RADIANS(38))+Sheet1!R$20)/2</f>
        <v>146.513017885219</v>
      </c>
      <c r="AR47" s="37" t="n">
        <f aca="false">(AV47-AV$31)/(AV$51-AV$31)*(AR$51-AR$31)+AR$31</f>
        <v>-0.0185626574417262</v>
      </c>
      <c r="AS47" s="39" t="n">
        <f aca="false">(AV47-AV$41)/(AV$51-AV$41)*(AS$51-AS$41)+AS$41</f>
        <v>145.92119795085</v>
      </c>
      <c r="AT47" s="39" t="n">
        <f aca="false">8314.4621*AS47/(Sheet1!R$22*Sheet1!R$12*9.80665)</f>
        <v>10251.3443763044</v>
      </c>
      <c r="AU47" s="39" t="n">
        <f aca="false">AU46-LN(AP47/AP46)*(AT46+AT47)/2</f>
        <v>106095.962483004</v>
      </c>
      <c r="AV47" s="39" t="n">
        <f aca="false">Sheet1!R$10*10/Sheet1!R$11*1000*AU47/(Sheet1!R$10*10/Sheet1!R$11*1000-AU47)</f>
        <v>107750.35872274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2715.25721817086</v>
      </c>
      <c r="T48" s="37" t="n">
        <f aca="false">(X48-X$44)/(X$54-X$44)*(T$54-T$44)+T$44</f>
        <v>0.398408195838381</v>
      </c>
      <c r="U48" s="39" t="n">
        <f aca="false">(X48-X$44)/(X$54-X$44)*(U$54-U$44)+U$44</f>
        <v>2735.05908011991</v>
      </c>
      <c r="V48" s="39" t="n">
        <f aca="false">8314.4621*U48/(Sheet1!H$20*Sheet1!H$12*9.80665)</f>
        <v>300115.154323533</v>
      </c>
      <c r="W48" s="39" t="n">
        <f aca="false">W47-LN(R48/R47)*(V47+V48)/2</f>
        <v>2830196.17523869</v>
      </c>
      <c r="X48" s="39" t="n">
        <f aca="false">Sheet1!H$10*10/Sheet1!H$11*1000*W48/(Sheet1!H$10*10/Sheet1!H$11*1000-W48)</f>
        <v>2907075.19886952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183.441260351178</v>
      </c>
      <c r="AI48" s="37" t="n">
        <f aca="false">(AM48-AM$30)/(AM$50-AM$30)*(AI$50-AI$30)+AI$30</f>
        <v>-0.32974652042965</v>
      </c>
      <c r="AJ48" s="39" t="n">
        <f aca="false">(AM48-AM$37)/(AM$50-AM$37)*(AJ$50-AJ$37)+AJ$37</f>
        <v>181.907265354282</v>
      </c>
      <c r="AK48" s="39" t="n">
        <f aca="false">8314.4621*AJ48/(Sheet1!M$21*Sheet1!M$12*9.80665)</f>
        <v>6640.89333427345</v>
      </c>
      <c r="AL48" s="39" t="n">
        <f aca="false">AL47-LN(AG48/AG47)*(AK47+AK48)/2</f>
        <v>79001.5735567803</v>
      </c>
      <c r="AM48" s="39" t="n">
        <f aca="false">Sheet1!M$10*10/Sheet1!M$11*1000*AL48/(Sheet1!M$10*10/Sheet1!M$11*1000-AL48)</f>
        <v>80215.5884439168</v>
      </c>
      <c r="AN48" s="41"/>
      <c r="AO48" s="37" t="n">
        <f aca="false">AO47+(AO$51-AO$41)/10</f>
        <v>-0.234464443407856</v>
      </c>
      <c r="AP48" s="40" t="n">
        <f aca="false">10^AO48</f>
        <v>0.582821489650145</v>
      </c>
      <c r="AQ48" s="39" t="n">
        <f aca="false">AS48-AR48*((Sheet1!R$19-Sheet1!R$20)*COS(RADIANS(38))+Sheet1!R$20)/2</f>
        <v>145.13578676411</v>
      </c>
      <c r="AR48" s="37" t="n">
        <f aca="false">(AV48-AV$31)/(AV$51-AV$31)*(AR$51-AR$31)+AR$31</f>
        <v>-0.0138676402529587</v>
      </c>
      <c r="AS48" s="39" t="n">
        <f aca="false">(AV48-AV$41)/(AV$51-AV$41)*(AS$51-AS$41)+AS$41</f>
        <v>144.693654705696</v>
      </c>
      <c r="AT48" s="39" t="n">
        <f aca="false">8314.4621*AS48/(Sheet1!R$22*Sheet1!R$12*9.80665)</f>
        <v>10165.1062647785</v>
      </c>
      <c r="AU48" s="39" t="n">
        <f aca="false">AU47-LN(AP48/AP47)*(AT47+AT48)/2</f>
        <v>108384.178048031</v>
      </c>
      <c r="AV48" s="39" t="n">
        <f aca="false">Sheet1!R$10*10/Sheet1!R$11*1000*AU48/(Sheet1!R$10*10/Sheet1!R$11*1000-AU48)</f>
        <v>110111.286776112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2710.29032476366</v>
      </c>
      <c r="T49" s="37" t="n">
        <f aca="false">(X49-X$44)/(X$54-X$44)*(T$54-T$44)+T$44</f>
        <v>0.498340770177921</v>
      </c>
      <c r="U49" s="39" t="n">
        <f aca="false">(X49-X$44)/(X$54-X$44)*(U$54-U$44)+U$44</f>
        <v>2735.05908011991</v>
      </c>
      <c r="V49" s="39" t="n">
        <f aca="false">8314.4621*U49/(Sheet1!H$20*Sheet1!H$12*9.80665)</f>
        <v>300115.154323533</v>
      </c>
      <c r="W49" s="39" t="n">
        <f aca="false">W48-LN(R49/R48)*(V48+V49)/2</f>
        <v>2899300.24329138</v>
      </c>
      <c r="X49" s="39" t="n">
        <f aca="false">Sheet1!H$10*10/Sheet1!H$11*1000*W49/(Sheet1!H$10*10/Sheet1!H$11*1000-W49)</f>
        <v>2980032.91143893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180.33549026686</v>
      </c>
      <c r="AI49" s="37" t="n">
        <f aca="false">(AM49-AM$30)/(AM$50-AM$30)*(AI$50-AI$30)+AI$30</f>
        <v>-0.365181735951513</v>
      </c>
      <c r="AJ49" s="39" t="n">
        <f aca="false">(AM49-AM$37)/(AM$50-AM$37)*(AJ$50-AJ$37)+AJ$37</f>
        <v>178.63664912313</v>
      </c>
      <c r="AK49" s="39" t="n">
        <f aca="false">8314.4621*AJ49/(Sheet1!M$21*Sheet1!M$12*9.80665)</f>
        <v>6521.49286125705</v>
      </c>
      <c r="AL49" s="39" t="n">
        <f aca="false">AL48-LN(AG49/AG48)*(AK48+AK49)/2</f>
        <v>80516.9492688833</v>
      </c>
      <c r="AM49" s="39" t="n">
        <f aca="false">Sheet1!M$10*10/Sheet1!M$11*1000*AL49/(Sheet1!M$10*10/Sheet1!M$11*1000-AL49)</f>
        <v>81778.3561176996</v>
      </c>
      <c r="AN49" s="41"/>
      <c r="AO49" s="37" t="n">
        <f aca="false">AO48+(AO$51-AO$41)/10</f>
        <v>-0.331813332376482</v>
      </c>
      <c r="AP49" s="40" t="n">
        <f aca="false">10^AO49</f>
        <v>0.465786253860315</v>
      </c>
      <c r="AQ49" s="39" t="n">
        <f aca="false">AS49-AR49*((Sheet1!R$19-Sheet1!R$20)*COS(RADIANS(38))+Sheet1!R$20)/2</f>
        <v>143.769229968227</v>
      </c>
      <c r="AR49" s="37" t="n">
        <f aca="false">(AV49-AV$31)/(AV$51-AV$31)*(AR$51-AR$31)+AR$31</f>
        <v>-0.00920901212020671</v>
      </c>
      <c r="AS49" s="39" t="n">
        <f aca="false">(AV49-AV$41)/(AV$51-AV$41)*(AS$51-AS$41)+AS$41</f>
        <v>143.475625619513</v>
      </c>
      <c r="AT49" s="39" t="n">
        <f aca="false">8314.4621*AS49/(Sheet1!R$22*Sheet1!R$12*9.80665)</f>
        <v>10079.5365477109</v>
      </c>
      <c r="AU49" s="39" t="n">
        <f aca="false">AU48-LN(AP49/AP48)*(AT48+AT49)/2</f>
        <v>110653.137898413</v>
      </c>
      <c r="AV49" s="39" t="n">
        <f aca="false">Sheet1!R$10*10/Sheet1!R$11*1000*AU49/(Sheet1!R$10*10/Sheet1!R$11*1000-AU49)</f>
        <v>112453.916293028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2705.31683400372</v>
      </c>
      <c r="T50" s="37" t="n">
        <f aca="false">(X50-X$44)/(X$54-X$44)*(T$54-T$44)+T$44</f>
        <v>0.598406081499962</v>
      </c>
      <c r="U50" s="39" t="n">
        <f aca="false">(X50-X$44)/(X$54-X$44)*(U$54-U$44)+U$44</f>
        <v>2735.05908011991</v>
      </c>
      <c r="V50" s="39" t="n">
        <f aca="false">8314.4621*U50/(Sheet1!H$20*Sheet1!H$12*9.80665)</f>
        <v>300115.154323533</v>
      </c>
      <c r="W50" s="39" t="n">
        <f aca="false">W49-LN(R50/R49)*(V49+V50)/2</f>
        <v>2968404.31134408</v>
      </c>
      <c r="X50" s="39" t="n">
        <f aca="false">Sheet1!H$10*10/Sheet1!H$11*1000*W50/(Sheet1!H$10*10/Sheet1!H$11*1000-W50)</f>
        <v>3053087.53121484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177.283793775753</v>
      </c>
      <c r="AI50" s="37" t="n">
        <v>-0.4</v>
      </c>
      <c r="AJ50" s="39" t="n">
        <f aca="false">0.83*Sheet1!M16</f>
        <v>175.422976569982</v>
      </c>
      <c r="AK50" s="39" t="n">
        <f aca="false">8314.4621*AJ50/(Sheet1!M$21*Sheet1!M$12*9.80665)</f>
        <v>6404.17123259545</v>
      </c>
      <c r="AL50" s="39" t="n">
        <f aca="false">AL49-LN(AG50/AG49)*(AK49+AK50)/2</f>
        <v>82005.0713418609</v>
      </c>
      <c r="AM50" s="39" t="n">
        <f aca="false">Sheet1!M$10*10/Sheet1!M$11*1000*AL50/(Sheet1!M$10*10/Sheet1!M$11*1000-AL50)</f>
        <v>83313.9149314633</v>
      </c>
      <c r="AN50" s="41"/>
      <c r="AO50" s="37" t="n">
        <f aca="false">AO49+(AO$51-AO$41)/10</f>
        <v>-0.429162221345109</v>
      </c>
      <c r="AP50" s="40" t="n">
        <f aca="false">10^AO50</f>
        <v>0.372252633332825</v>
      </c>
      <c r="AQ50" s="39" t="n">
        <f aca="false">AS50-AR50*((Sheet1!R$19-Sheet1!R$20)*COS(RADIANS(38))+Sheet1!R$20)/2</f>
        <v>142.41327976194</v>
      </c>
      <c r="AR50" s="37" t="n">
        <f aca="false">(AV50-AV$31)/(AV$51-AV$31)*(AR$51-AR$31)+AR$31</f>
        <v>-0.00458654213092213</v>
      </c>
      <c r="AS50" s="39" t="n">
        <f aca="false">(AV50-AV$41)/(AV$51-AV$41)*(AS$51-AS$41)+AS$41</f>
        <v>142.267050318692</v>
      </c>
      <c r="AT50" s="39" t="n">
        <f aca="false">8314.4621*AS50/(Sheet1!R$22*Sheet1!R$12*9.80665)</f>
        <v>9994.6309836983</v>
      </c>
      <c r="AU50" s="39" t="n">
        <f aca="false">AU49-LN(AP50/AP49)*(AT49+AT50)/2</f>
        <v>112902.991382147</v>
      </c>
      <c r="AV50" s="39" t="n">
        <f aca="false">Sheet1!R$10*10/Sheet1!R$11*1000*AU50/(Sheet1!R$10*10/Sheet1!R$11*1000-AU50)</f>
        <v>114778.363389767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2700.33673273774</v>
      </c>
      <c r="T51" s="37" t="n">
        <f aca="false">(X51-X$44)/(X$54-X$44)*(T$54-T$44)+T$44</f>
        <v>0.698604394445171</v>
      </c>
      <c r="U51" s="39" t="n">
        <f aca="false">(X51-X$44)/(X$54-X$44)*(U$54-U$44)+U$44</f>
        <v>2735.05908011991</v>
      </c>
      <c r="V51" s="39" t="n">
        <f aca="false">8314.4621*U51/(Sheet1!H$20*Sheet1!H$12*9.80665)</f>
        <v>300115.154323533</v>
      </c>
      <c r="W51" s="39" t="n">
        <f aca="false">W50-LN(R51/R50)*(V50+V51)/2</f>
        <v>3037508.37939678</v>
      </c>
      <c r="X51" s="39" t="n">
        <f aca="false">Sheet1!H$10*10/Sheet1!H$11*1000*W51/(Sheet1!H$10*10/Sheet1!H$11*1000-W51)</f>
        <v>3126239.25140329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175.37468106847</v>
      </c>
      <c r="AI51" s="37" t="n">
        <f aca="false">(AM51-AM$50)/(AM$62-AM$50)*(AI$62-AI$50)+AI$50</f>
        <v>-0.347486915099103</v>
      </c>
      <c r="AJ51" s="39" t="n">
        <f aca="false">(AM51-AM$50)/(AM$62-AM$50)*(AJ$62-AJ$50)+AJ$50</f>
        <v>173.758156992478</v>
      </c>
      <c r="AK51" s="39" t="n">
        <f aca="false">8314.4621*AJ51/(Sheet1!M$21*Sheet1!M$12*9.80665)</f>
        <v>6343.39362036825</v>
      </c>
      <c r="AL51" s="39" t="n">
        <f aca="false">AL50-LN(AG51/AG50)*(AK50+AK51)/2</f>
        <v>83472.6889819814</v>
      </c>
      <c r="AM51" s="39" t="n">
        <f aca="false">Sheet1!M$10*10/Sheet1!M$11*1000*AL51/(Sheet1!M$10*10/Sheet1!M$11*1000-AL51)</f>
        <v>84829.187134135</v>
      </c>
      <c r="AN51" s="41"/>
      <c r="AO51" s="37" t="n">
        <f aca="false">AO4+0.8*(AO61-AO4)</f>
        <v>-0.526511110313735</v>
      </c>
      <c r="AP51" s="40" t="n">
        <f aca="false">10^AO51</f>
        <v>0.297501314980366</v>
      </c>
      <c r="AQ51" s="39" t="n">
        <f aca="false">AS51-AR51*((Sheet1!R$19-Sheet1!R$20)*COS(RADIANS(38))+Sheet1!R$20)/2</f>
        <v>141.067868593671</v>
      </c>
      <c r="AR51" s="37" t="n">
        <v>0</v>
      </c>
      <c r="AS51" s="39" t="n">
        <f aca="false">Sheet1!R16+0.96*(AS61-Sheet1!R16)</f>
        <v>141.067868593671</v>
      </c>
      <c r="AT51" s="39" t="n">
        <f aca="false">8314.4621*AS51/(Sheet1!R$22*Sheet1!R$12*9.80665)</f>
        <v>9910.38534286206</v>
      </c>
      <c r="AU51" s="39" t="n">
        <f aca="false">AU50-LN(AP51/AP50)*(AT50+AT51)/2</f>
        <v>115133.88689779</v>
      </c>
      <c r="AV51" s="39" t="n">
        <f aca="false">Sheet1!R$10*10/Sheet1!R$11*1000*AU51/(Sheet1!R$10*10/Sheet1!R$11*1000-AU51)</f>
        <v>117084.743867088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2695.35000777746</v>
      </c>
      <c r="T52" s="37" t="n">
        <f aca="false">(X52-X$44)/(X$54-X$44)*(T$54-T$44)+T$44</f>
        <v>0.79893597435818</v>
      </c>
      <c r="U52" s="39" t="n">
        <f aca="false">(X52-X$44)/(X$54-X$44)*(U$54-U$44)+U$44</f>
        <v>2735.05908011991</v>
      </c>
      <c r="V52" s="39" t="n">
        <f aca="false">8314.4621*U52/(Sheet1!H$20*Sheet1!H$12*9.80665)</f>
        <v>300115.154323533</v>
      </c>
      <c r="W52" s="39" t="n">
        <f aca="false">W51-LN(R52/R51)*(V51+V52)/2</f>
        <v>3106612.44744947</v>
      </c>
      <c r="X52" s="39" t="n">
        <f aca="false">Sheet1!H$10*10/Sheet1!H$11*1000*W52/(Sheet1!H$10*10/Sheet1!H$11*1000-W52)</f>
        <v>3199488.26572426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173.482615780661</v>
      </c>
      <c r="AI52" s="37" t="n">
        <f aca="false">(AM52-AM$50)/(AM$62-AM$50)*(AI$62-AI$50)+AI$50</f>
        <v>-0.295442745722572</v>
      </c>
      <c r="AJ52" s="39" t="n">
        <f aca="false">(AM52-AM$50)/(AM$62-AM$50)*(AJ$62-AJ$50)+AJ$50</f>
        <v>172.108203419259</v>
      </c>
      <c r="AK52" s="39" t="n">
        <f aca="false">8314.4621*AJ52/(Sheet1!M$21*Sheet1!M$12*9.80665)</f>
        <v>6283.1587217516</v>
      </c>
      <c r="AL52" s="39" t="n">
        <f aca="false">AL51-LN(AG52/AG51)*(AK51+AK52)/2</f>
        <v>84926.3745419251</v>
      </c>
      <c r="AM52" s="39" t="n">
        <f aca="false">Sheet1!M$10*10/Sheet1!M$11*1000*AL52/(Sheet1!M$10*10/Sheet1!M$11*1000-AL52)</f>
        <v>86330.9287156137</v>
      </c>
      <c r="AN52" s="41"/>
      <c r="AO52" s="37" t="n">
        <f aca="false">AO51+(AO$61-AO$51)/10</f>
        <v>-0.623859999282362</v>
      </c>
      <c r="AP52" s="40" t="n">
        <f aca="false">10^AO52</f>
        <v>0.237760661684599</v>
      </c>
      <c r="AQ52" s="39" t="n">
        <f aca="false">AS52-AR52*((Sheet1!R$19-Sheet1!R$20)*COS(RADIANS(38))+Sheet1!R$20)/2</f>
        <v>140.609242606409</v>
      </c>
      <c r="AR52" s="37" t="n">
        <f aca="false">(AV52-AV$51)/(AV$116-AV$51)*(AR$116-AR$51)+AR$51</f>
        <v>0.00180713324306422</v>
      </c>
      <c r="AS52" s="39" t="n">
        <f aca="false">(AV52-AV$51)/(AV$61-AV$51)*(AS$61-AS$51)+AS$51</f>
        <v>140.666858143444</v>
      </c>
      <c r="AT52" s="39" t="n">
        <f aca="false">8314.4621*AS52/(Sheet1!R$22*Sheet1!R$12*9.80665)</f>
        <v>9882.21331383883</v>
      </c>
      <c r="AU52" s="39" t="n">
        <f aca="false">AU51-LN(AP52/AP51)*(AT51+AT52)/2</f>
        <v>117352.182972596</v>
      </c>
      <c r="AV52" s="39" t="n">
        <f aca="false">Sheet1!R$10*10/Sheet1!R$11*1000*AU52/(Sheet1!R$10*10/Sheet1!R$11*1000-AU52)</f>
        <v>119379.600736537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2690.35664589949</v>
      </c>
      <c r="T53" s="37" t="n">
        <f aca="false">(X53-X$44)/(X$54-X$44)*(T$54-T$44)+T$44</f>
        <v>0.899401087289925</v>
      </c>
      <c r="U53" s="39" t="n">
        <f aca="false">(X53-X$44)/(X$54-X$44)*(U$54-U$44)+U$44</f>
        <v>2735.05908011991</v>
      </c>
      <c r="V53" s="39" t="n">
        <f aca="false">8314.4621*U53/(Sheet1!H$20*Sheet1!H$12*9.80665)</f>
        <v>300115.154323533</v>
      </c>
      <c r="W53" s="39" t="n">
        <f aca="false">W52-LN(R53/R52)*(V52+V53)/2</f>
        <v>3175716.51550217</v>
      </c>
      <c r="X53" s="39" t="n">
        <f aca="false">Sheet1!H$10*10/Sheet1!H$11*1000*W53/(Sheet1!H$10*10/Sheet1!H$11*1000-W53)</f>
        <v>3272834.7684134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171.607465643714</v>
      </c>
      <c r="AI53" s="37" t="n">
        <f aca="false">(AM53-AM$50)/(AM$62-AM$50)*(AI$62-AI$50)+AI$50</f>
        <v>-0.243863853618517</v>
      </c>
      <c r="AJ53" s="39" t="n">
        <f aca="false">(AM53-AM$50)/(AM$62-AM$50)*(AJ$62-AJ$50)+AJ$50</f>
        <v>170.473000507017</v>
      </c>
      <c r="AK53" s="39" t="n">
        <f aca="false">8314.4621*AJ53/(Sheet1!M$21*Sheet1!M$12*9.80665)</f>
        <v>6223.46232590426</v>
      </c>
      <c r="AL53" s="39" t="n">
        <f aca="false">AL52-LN(AG53/AG52)*(AK52+AK53)/2</f>
        <v>86366.252501328</v>
      </c>
      <c r="AM53" s="39" t="n">
        <f aca="false">Sheet1!M$10*10/Sheet1!M$11*1000*AL53/(Sheet1!M$10*10/Sheet1!M$11*1000-AL53)</f>
        <v>87819.2446581521</v>
      </c>
      <c r="AN53" s="41"/>
      <c r="AO53" s="37" t="n">
        <f aca="false">AO52+(AO$61-AO$51)/10</f>
        <v>-0.721208888250988</v>
      </c>
      <c r="AP53" s="40" t="n">
        <f aca="false">10^AO53</f>
        <v>0.190016411350751</v>
      </c>
      <c r="AQ53" s="39" t="n">
        <f aca="false">AS53-AR53*((Sheet1!R$19-Sheet1!R$20)*COS(RADIANS(38))+Sheet1!R$20)/2</f>
        <v>140.151622398491</v>
      </c>
      <c r="AR53" s="37" t="n">
        <f aca="false">(AV53-AV$51)/(AV$116-AV$51)*(AR$116-AR$51)+AR$51</f>
        <v>0.00361030339345557</v>
      </c>
      <c r="AS53" s="39" t="n">
        <f aca="false">(AV53-AV$51)/(AV$61-AV$51)*(AS$61-AS$51)+AS$51</f>
        <v>140.266727120112</v>
      </c>
      <c r="AT53" s="39" t="n">
        <f aca="false">8314.4621*AS53/(Sheet1!R$22*Sheet1!R$12*9.80665)</f>
        <v>9854.10306684646</v>
      </c>
      <c r="AU53" s="39" t="n">
        <f aca="false">AU52-LN(AP53/AP52)*(AT52+AT53)/2</f>
        <v>119564.171095923</v>
      </c>
      <c r="AV53" s="39" t="n">
        <f aca="false">Sheet1!R$10*10/Sheet1!R$11*1000*AU53/(Sheet1!R$10*10/Sheet1!R$11*1000-AU53)</f>
        <v>121669.424922048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2685.35663384523</v>
      </c>
      <c r="T54" s="37" t="n">
        <v>1</v>
      </c>
      <c r="U54" s="39" t="n">
        <f aca="false">Sheet1!H16*1.03</f>
        <v>2735.05908011991</v>
      </c>
      <c r="V54" s="39" t="n">
        <f aca="false">8314.4621*U54/(Sheet1!H$20*Sheet1!H$12*9.80665)</f>
        <v>300115.154323533</v>
      </c>
      <c r="W54" s="39" t="n">
        <f aca="false">W53-LN(R54/R53)*(V53+V54)/2</f>
        <v>3244820.58355487</v>
      </c>
      <c r="X54" s="39" t="n">
        <f aca="false">Sheet1!H$10*10/Sheet1!H$11*1000*W54/(Sheet1!H$10*10/Sheet1!H$11*1000-W54)</f>
        <v>3346278.95422373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2685.35663384523</v>
      </c>
      <c r="AA54" s="39" t="n">
        <f aca="false">IF(Y54=LOG(Sheet1!H$17*101325),(LOG(Sheet1!H$17*101325)-Q64)/(Q54-Q64)*(X54-X64)+X64,IF(Y54=0,0,X54))</f>
        <v>3346278.95422373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169.749099044676</v>
      </c>
      <c r="AI54" s="37" t="n">
        <f aca="false">(AM54-AM$50)/(AM$62-AM$50)*(AI$62-AI$50)+AI$50</f>
        <v>-0.192746618570015</v>
      </c>
      <c r="AJ54" s="39" t="n">
        <f aca="false">(AM54-AM$50)/(AM$62-AM$50)*(AJ$62-AJ$50)+AJ$50</f>
        <v>168.852433484203</v>
      </c>
      <c r="AK54" s="39" t="n">
        <f aca="false">8314.4621*AJ54/(Sheet1!M$21*Sheet1!M$12*9.80665)</f>
        <v>6164.30024285834</v>
      </c>
      <c r="AL54" s="39" t="n">
        <f aca="false">AL53-LN(AG54/AG53)*(AK53+AK54)/2</f>
        <v>87792.4463726471</v>
      </c>
      <c r="AM54" s="39" t="n">
        <f aca="false">Sheet1!M$10*10/Sheet1!M$11*1000*AL54/(Sheet1!M$10*10/Sheet1!M$11*1000-AL54)</f>
        <v>89294.2394236017</v>
      </c>
      <c r="AN54" s="41"/>
      <c r="AO54" s="37" t="n">
        <f aca="false">AO53+(AO$61-AO$51)/10</f>
        <v>-0.818557777219615</v>
      </c>
      <c r="AP54" s="40" t="n">
        <f aca="false">10^AO54</f>
        <v>0.151859589920365</v>
      </c>
      <c r="AQ54" s="39" t="n">
        <f aca="false">AS54-AR54*((Sheet1!R$19-Sheet1!R$20)*COS(RADIANS(38))+Sheet1!R$20)/2</f>
        <v>139.695007361893</v>
      </c>
      <c r="AR54" s="37" t="n">
        <f aca="false">(AV54-AV$51)/(AV$116-AV$51)*(AR$116-AR$51)+AR$51</f>
        <v>0.00540951284699023</v>
      </c>
      <c r="AS54" s="39" t="n">
        <f aca="false">(AV54-AV$51)/(AV$61-AV$51)*(AS$61-AS$51)+AS$51</f>
        <v>139.867474992033</v>
      </c>
      <c r="AT54" s="39" t="n">
        <f aca="false">8314.4621*AS54/(Sheet1!R$22*Sheet1!R$12*9.80665)</f>
        <v>9826.05456453574</v>
      </c>
      <c r="AU54" s="39" t="n">
        <f aca="false">AU53-LN(AP54/AP53)*(AT53+AT54)/2</f>
        <v>121769.865112281</v>
      </c>
      <c r="AV54" s="39" t="n">
        <f aca="false">Sheet1!R$10*10/Sheet1!R$11*1000*AU54/(Sheet1!R$10*10/Sheet1!R$11*1000-AU54)</f>
        <v>123954.219466041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2678.56910056683</v>
      </c>
      <c r="T55" s="37" t="n">
        <f aca="false">(X55-X$54)/(X$100-X$54)*(T$100-T$54)+T$54</f>
        <v>1.02242278451159</v>
      </c>
      <c r="U55" s="39" t="n">
        <f aca="false">(X55-X$54)/(X$77-X$54)*(U$77-U$54)+U$54</f>
        <v>2729.38601408403</v>
      </c>
      <c r="V55" s="39" t="n">
        <f aca="false">8314.4621*U55/(Sheet1!H$20*Sheet1!H$12*9.80665)</f>
        <v>299492.654758087</v>
      </c>
      <c r="W55" s="39" t="n">
        <f aca="false">W54-LN(R55/R54)*(V54+V55)/2</f>
        <v>3313852.98369658</v>
      </c>
      <c r="X55" s="39" t="n">
        <f aca="false">Sheet1!H$10*10/Sheet1!H$11*1000*W55/(Sheet1!H$10*10/Sheet1!H$11*1000-W55)</f>
        <v>3419744.69709548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167.907385030239</v>
      </c>
      <c r="AI55" s="37" t="n">
        <f aca="false">(AM55-AM$50)/(AM$62-AM$50)*(AI$62-AI$50)+AI$50</f>
        <v>-0.14208743850466</v>
      </c>
      <c r="AJ55" s="39" t="n">
        <f aca="false">(AM55-AM$50)/(AM$62-AM$50)*(AJ$62-AJ$50)+AJ$50</f>
        <v>167.246388154506</v>
      </c>
      <c r="AK55" s="39" t="n">
        <f aca="false">8314.4621*AJ55/(Sheet1!M$21*Sheet1!M$12*9.80665)</f>
        <v>6105.66830364603</v>
      </c>
      <c r="AL55" s="39" t="n">
        <f aca="false">AL54-LN(AG55/AG54)*(AK54+AK55)/2</f>
        <v>89205.0787059815</v>
      </c>
      <c r="AM55" s="39" t="n">
        <f aca="false">Sheet1!M$10*10/Sheet1!M$11*1000*AL55/(Sheet1!M$10*10/Sheet1!M$11*1000-AL55)</f>
        <v>90756.0169502513</v>
      </c>
      <c r="AN55" s="41"/>
      <c r="AO55" s="37" t="n">
        <f aca="false">AO54+(AO$61-AO$51)/10</f>
        <v>-0.915906666188241</v>
      </c>
      <c r="AP55" s="40" t="n">
        <f aca="false">10^AO55</f>
        <v>0.121364964672511</v>
      </c>
      <c r="AQ55" s="39" t="n">
        <f aca="false">AS55-AR55*((Sheet1!R$19-Sheet1!R$20)*COS(RADIANS(38))+Sheet1!R$20)/2</f>
        <v>139.23939688022</v>
      </c>
      <c r="AR55" s="37" t="n">
        <f aca="false">(AV55-AV$51)/(AV$116-AV$51)*(AR$116-AR$51)+AR$51</f>
        <v>0.00720476403246127</v>
      </c>
      <c r="AS55" s="39" t="n">
        <f aca="false">(AV55-AV$51)/(AV$61-AV$51)*(AS$61-AS$51)+AS$51</f>
        <v>139.469101220248</v>
      </c>
      <c r="AT55" s="39" t="n">
        <f aca="false">8314.4621*AS55/(Sheet1!R$22*Sheet1!R$12*9.80665)</f>
        <v>9798.06776904338</v>
      </c>
      <c r="AU55" s="39" t="n">
        <f aca="false">AU54-LN(AP55/AP54)*(AT54+AT55)/2</f>
        <v>123969.27885775</v>
      </c>
      <c r="AV55" s="39" t="n">
        <f aca="false">Sheet1!R$10*10/Sheet1!R$11*1000*AU55/(Sheet1!R$10*10/Sheet1!R$11*1000-AU55)</f>
        <v>126233.98745281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2671.78664117904</v>
      </c>
      <c r="T56" s="37" t="n">
        <f aca="false">(X56-X$54)/(X$100-X$54)*(T$100-T$54)+T$54</f>
        <v>1.04482880728061</v>
      </c>
      <c r="U56" s="39" t="n">
        <f aca="false">(X56-X$54)/(X$77-X$54)*(U$77-U$54)+U$54</f>
        <v>2723.71718883914</v>
      </c>
      <c r="V56" s="39" t="n">
        <f aca="false">8314.4621*U56/(Sheet1!H$20*Sheet1!H$12*9.80665)</f>
        <v>298870.620530172</v>
      </c>
      <c r="W56" s="39" t="n">
        <f aca="false">W55-LN(R56/R55)*(V55+V56)/2</f>
        <v>3382742.10159027</v>
      </c>
      <c r="X56" s="39" t="n">
        <f aca="false">Sheet1!H$10*10/Sheet1!H$11*1000*W56/(Sheet1!H$10*10/Sheet1!H$11*1000-W56)</f>
        <v>3493155.52199443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166.082193310543</v>
      </c>
      <c r="AI56" s="37" t="n">
        <f aca="false">(AM56-AM$50)/(AM$62-AM$50)*(AI$62-AI$50)+AI$50</f>
        <v>-0.0918827295992299</v>
      </c>
      <c r="AJ56" s="39" t="n">
        <f aca="false">(AM56-AM$50)/(AM$62-AM$50)*(AJ$62-AJ$50)+AJ$50</f>
        <v>165.654750900165</v>
      </c>
      <c r="AK56" s="39" t="n">
        <f aca="false">8314.4621*AJ56/(Sheet1!M$21*Sheet1!M$12*9.80665)</f>
        <v>6047.56236042079</v>
      </c>
      <c r="AL56" s="39" t="n">
        <f aca="false">AL55-LN(AG56/AG55)*(AK55+AK56)/2</f>
        <v>90604.2710939214</v>
      </c>
      <c r="AM56" s="39" t="n">
        <f aca="false">Sheet1!M$10*10/Sheet1!M$11*1000*AL56/(Sheet1!M$10*10/Sheet1!M$11*1000-AL56)</f>
        <v>92204.6806498071</v>
      </c>
      <c r="AN56" s="41"/>
      <c r="AO56" s="37" t="n">
        <f aca="false">AO55+(AO$61-AO$51)/10</f>
        <v>-1.01325555515687</v>
      </c>
      <c r="AP56" s="40" t="n">
        <f aca="false">10^AO56</f>
        <v>0.096993905078264</v>
      </c>
      <c r="AQ56" s="39" t="n">
        <f aca="false">AS56-AR56*((Sheet1!R$19-Sheet1!R$20)*COS(RADIANS(38))+Sheet1!R$20)/2</f>
        <v>138.784790328746</v>
      </c>
      <c r="AR56" s="37" t="n">
        <f aca="false">(AV56-AV$51)/(AV$116-AV$51)*(AR$116-AR$51)+AR$51</f>
        <v>0.00899605941148367</v>
      </c>
      <c r="AS56" s="39" t="n">
        <f aca="false">(AV56-AV$51)/(AV$61-AV$51)*(AS$61-AS$51)+AS$51</f>
        <v>139.071605258515</v>
      </c>
      <c r="AT56" s="39" t="n">
        <f aca="false">8314.4621*AS56/(Sheet1!R$22*Sheet1!R$12*9.80665)</f>
        <v>9770.1426419944</v>
      </c>
      <c r="AU56" s="39" t="n">
        <f aca="false">AU55-LN(AP56/AP55)*(AT55+AT56)/2</f>
        <v>126162.426159865</v>
      </c>
      <c r="AV56" s="39" t="n">
        <f aca="false">Sheet1!R$10*10/Sheet1!R$11*1000*AU56/(Sheet1!R$10*10/Sheet1!R$11*1000-AU56)</f>
        <v>128508.73200833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2665.00928335743</v>
      </c>
      <c r="T57" s="37" t="n">
        <f aca="false">(X57-X$54)/(X$100-X$54)*(T$100-T$54)+T$54</f>
        <v>1.06721797688081</v>
      </c>
      <c r="U57" s="39" t="n">
        <f aca="false">(X57-X$54)/(X$77-X$54)*(U$77-U$54)+U$54</f>
        <v>2718.05262751672</v>
      </c>
      <c r="V57" s="39" t="n">
        <f aca="false">8314.4621*U57/(Sheet1!H$20*Sheet1!H$12*9.80665)</f>
        <v>298249.054177982</v>
      </c>
      <c r="W57" s="39" t="n">
        <f aca="false">W56-LN(R57/R56)*(V56+V57)/2</f>
        <v>3451488.04467609</v>
      </c>
      <c r="X57" s="39" t="n">
        <f aca="false">Sheet1!H$10*10/Sheet1!H$11*1000*W57/(Sheet1!H$10*10/Sheet1!H$11*1000-W57)</f>
        <v>3566511.12937273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164.273394262809</v>
      </c>
      <c r="AI57" s="37" t="n">
        <f aca="false">(AM57-AM$50)/(AM$62-AM$50)*(AI$62-AI$50)+AI$50</f>
        <v>-0.0421289263795427</v>
      </c>
      <c r="AJ57" s="39" t="n">
        <f aca="false">(AM57-AM$50)/(AM$62-AM$50)*(AJ$62-AJ$50)+AJ$50</f>
        <v>164.077408685139</v>
      </c>
      <c r="AK57" s="39" t="n">
        <f aca="false">8314.4621*AJ57/(Sheet1!M$21*Sheet1!M$12*9.80665)</f>
        <v>5989.97828657289</v>
      </c>
      <c r="AL57" s="39" t="n">
        <f aca="false">AL56-LN(AG57/AG56)*(AK56+AK57)/2</f>
        <v>91990.1441764253</v>
      </c>
      <c r="AM57" s="39" t="n">
        <f aca="false">Sheet1!M$10*10/Sheet1!M$11*1000*AL57/(Sheet1!M$10*10/Sheet1!M$11*1000-AL57)</f>
        <v>93640.3334045114</v>
      </c>
      <c r="AN57" s="41"/>
      <c r="AO57" s="37" t="n">
        <f aca="false">AO56+(AO$61-AO$51)/10</f>
        <v>-1.11060444412549</v>
      </c>
      <c r="AP57" s="40" t="n">
        <f aca="false">10^AO57</f>
        <v>0.0775167499757211</v>
      </c>
      <c r="AQ57" s="39" t="n">
        <f aca="false">AS57-AR57*((Sheet1!R$19-Sheet1!R$20)*COS(RADIANS(38))+Sheet1!R$20)/2</f>
        <v>138.331187074457</v>
      </c>
      <c r="AR57" s="37" t="n">
        <f aca="false">(AV57-AV$51)/(AV$116-AV$51)*(AR$116-AR$51)+AR$51</f>
        <v>0.0107834014783395</v>
      </c>
      <c r="AS57" s="39" t="n">
        <f aca="false">(AV57-AV$51)/(AV$61-AV$51)*(AS$61-AS$51)+AS$51</f>
        <v>138.674986553342</v>
      </c>
      <c r="AT57" s="39" t="n">
        <f aca="false">8314.4621*AS57/(Sheet1!R$22*Sheet1!R$12*9.80665)</f>
        <v>9742.27914450456</v>
      </c>
      <c r="AU57" s="39" t="n">
        <f aca="false">AU56-LN(AP57/AP56)*(AT56+AT57)/2</f>
        <v>128349.320837502</v>
      </c>
      <c r="AV57" s="39" t="n">
        <f aca="false">Sheet1!R$10*10/Sheet1!R$11*1000*AU57/(Sheet1!R$10*10/Sheet1!R$11*1000-AU57)</f>
        <v>130778.456300062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2658.237054723</v>
      </c>
      <c r="T58" s="37" t="n">
        <f aca="false">(X58-X$54)/(X$100-X$54)*(T$100-T$54)+T$54</f>
        <v>1.08959020206621</v>
      </c>
      <c r="U58" s="39" t="n">
        <f aca="false">(X58-X$54)/(X$77-X$54)*(U$77-U$54)+U$54</f>
        <v>2712.39235320261</v>
      </c>
      <c r="V58" s="39" t="n">
        <f aca="false">8314.4621*U58/(Sheet1!H$20*Sheet1!H$12*9.80665)</f>
        <v>297627.958234703</v>
      </c>
      <c r="W58" s="39" t="n">
        <f aca="false">W57-LN(R58/R57)*(V57+V58)/2</f>
        <v>3520090.92097806</v>
      </c>
      <c r="X58" s="39" t="n">
        <f aca="false">Sheet1!H$10*10/Sheet1!H$11*1000*W58/(Sheet1!H$10*10/Sheet1!H$11*1000-W58)</f>
        <v>3639811.22027312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162.480858934791</v>
      </c>
      <c r="AI58" s="37" t="n">
        <f aca="false">(AM58-AM$50)/(AM$62-AM$50)*(AI$62-AI$50)+AI$50</f>
        <v>0.00717751818442891</v>
      </c>
      <c r="AJ58" s="39" t="n">
        <f aca="false">(AM58-AM$50)/(AM$62-AM$50)*(AJ$62-AJ$50)+AJ$50</f>
        <v>162.514249058122</v>
      </c>
      <c r="AK58" s="39" t="n">
        <f aca="false">8314.4621*AJ58/(Sheet1!M$21*Sheet1!M$12*9.80665)</f>
        <v>5932.91197683949</v>
      </c>
      <c r="AL58" s="39" t="n">
        <f aca="false">AL57-LN(AG58/AG57)*(AK57+AK58)/2</f>
        <v>93362.8176457221</v>
      </c>
      <c r="AM58" s="39" t="n">
        <f aca="false">Sheet1!M$10*10/Sheet1!M$11*1000*AL58/(Sheet1!M$10*10/Sheet1!M$11*1000-AL58)</f>
        <v>95063.0775643976</v>
      </c>
      <c r="AN58" s="41"/>
      <c r="AO58" s="37" t="n">
        <f aca="false">AO57+(AO$61-AO$51)/10</f>
        <v>-1.20795333309412</v>
      </c>
      <c r="AP58" s="40" t="n">
        <f aca="false">10^AO58</f>
        <v>0.0619507640397604</v>
      </c>
      <c r="AQ58" s="39" t="n">
        <f aca="false">AS58-AR58*((Sheet1!R$19-Sheet1!R$20)*COS(RADIANS(38))+Sheet1!R$20)/2</f>
        <v>137.878586476087</v>
      </c>
      <c r="AR58" s="37" t="n">
        <f aca="false">(AV58-AV$51)/(AV$116-AV$51)*(AR$116-AR$51)+AR$51</f>
        <v>0.0125667927598223</v>
      </c>
      <c r="AS58" s="39" t="n">
        <f aca="false">(AV58-AV$51)/(AV$61-AV$51)*(AS$61-AS$51)+AS$51</f>
        <v>138.279244544022</v>
      </c>
      <c r="AT58" s="39" t="n">
        <f aca="false">8314.4621*AS58/(Sheet1!R$22*Sheet1!R$12*9.80665)</f>
        <v>9714.47723718282</v>
      </c>
      <c r="AU58" s="39" t="n">
        <f aca="false">AU57-LN(AP58/AP57)*(AT57+AT58)/2</f>
        <v>130529.976700765</v>
      </c>
      <c r="AV58" s="39" t="n">
        <f aca="false">Sheet1!R$10*10/Sheet1!R$11*1000*AU58/(Sheet1!R$10*10/Sheet1!R$11*1000-AU58)</f>
        <v>133043.163536749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2651.46998284162</v>
      </c>
      <c r="T59" s="37" t="n">
        <f aca="false">(X59-X$54)/(X$100-X$54)*(T$100-T$54)+T$54</f>
        <v>1.11194539177301</v>
      </c>
      <c r="U59" s="39" t="n">
        <f aca="false">(X59-X$54)/(X$77-X$54)*(U$77-U$54)+U$54</f>
        <v>2706.7363889366</v>
      </c>
      <c r="V59" s="39" t="n">
        <f aca="false">8314.4621*U59/(Sheet1!H$20*Sheet1!H$12*9.80665)</f>
        <v>297007.335228465</v>
      </c>
      <c r="W59" s="39" t="n">
        <f aca="false">W58-LN(R59/R58)*(V58+V59)/2</f>
        <v>3588550.83910288</v>
      </c>
      <c r="X59" s="39" t="n">
        <f aca="false">Sheet1!H$10*10/Sheet1!H$11*1000*W59/(Sheet1!H$10*10/Sheet1!H$11*1000-W59)</f>
        <v>3713055.49633526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160.704459048075</v>
      </c>
      <c r="AI59" s="37" t="n">
        <f aca="false">(AM59-AM$50)/(AM$62-AM$50)*(AI$62-AI$50)+AI$50</f>
        <v>0.0560401325880915</v>
      </c>
      <c r="AJ59" s="39" t="n">
        <f aca="false">(AM59-AM$50)/(AM$62-AM$50)*(AJ$62-AJ$50)+AJ$50</f>
        <v>160.965160155409</v>
      </c>
      <c r="AK59" s="39" t="n">
        <f aca="false">8314.4621*AJ59/(Sheet1!M$21*Sheet1!M$12*9.80665)</f>
        <v>5876.35934740937</v>
      </c>
      <c r="AL59" s="39" t="n">
        <f aca="false">AL58-LN(AG59/AG58)*(AK58+AK59)/2</f>
        <v>94722.410251239</v>
      </c>
      <c r="AM59" s="39" t="n">
        <f aca="false">Sheet1!M$10*10/Sheet1!M$11*1000*AL59/(Sheet1!M$10*10/Sheet1!M$11*1000-AL59)</f>
        <v>96473.0149446804</v>
      </c>
      <c r="AN59" s="41"/>
      <c r="AO59" s="37" t="n">
        <f aca="false">AO58+(AO$61-AO$51)/10</f>
        <v>-1.30530222206275</v>
      </c>
      <c r="AP59" s="40" t="n">
        <f aca="false">10^AO59</f>
        <v>0.0495105530909402</v>
      </c>
      <c r="AQ59" s="39" t="n">
        <f aca="false">AS59-AR59*((Sheet1!R$19-Sheet1!R$20)*COS(RADIANS(38))+Sheet1!R$20)/2</f>
        <v>137.426987884158</v>
      </c>
      <c r="AR59" s="37" t="n">
        <f aca="false">(AV59-AV$51)/(AV$116-AV$51)*(AR$116-AR$51)+AR$51</f>
        <v>0.0143462358150816</v>
      </c>
      <c r="AS59" s="39" t="n">
        <f aca="false">(AV59-AV$51)/(AV$61-AV$51)*(AS$61-AS$51)+AS$51</f>
        <v>137.88437866267</v>
      </c>
      <c r="AT59" s="39" t="n">
        <f aca="false">8314.4621*AS59/(Sheet1!R$22*Sheet1!R$12*9.80665)</f>
        <v>9686.73688013368</v>
      </c>
      <c r="AU59" s="39" t="n">
        <f aca="false">AU58-LN(AP59/AP58)*(AT58+AT59)/2</f>
        <v>132704.407550872</v>
      </c>
      <c r="AV59" s="39" t="n">
        <f aca="false">Sheet1!R$10*10/Sheet1!R$11*1000*AU59/(Sheet1!R$10*10/Sheet1!R$11*1000-AU59)</f>
        <v>135302.856968225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2644.70809522343</v>
      </c>
      <c r="T60" s="37" t="n">
        <f aca="false">(X60-X$54)/(X$100-X$54)*(T$100-T$54)+T$54</f>
        <v>1.13428345512154</v>
      </c>
      <c r="U60" s="39" t="n">
        <f aca="false">(X60-X$54)/(X$77-X$54)*(U$77-U$54)+U$54</f>
        <v>2701.08475771186</v>
      </c>
      <c r="V60" s="39" t="n">
        <f aca="false">8314.4621*U60/(Sheet1!H$20*Sheet1!H$12*9.80665)</f>
        <v>296387.187682285</v>
      </c>
      <c r="W60" s="39" t="n">
        <f aca="false">W59-LN(R60/R59)*(V59+V60)/2</f>
        <v>3656867.90823881</v>
      </c>
      <c r="X60" s="39" t="n">
        <f aca="false">Sheet1!H$10*10/Sheet1!H$11*1000*W60/(Sheet1!H$10*10/Sheet1!H$11*1000-W60)</f>
        <v>3786243.65980209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158.944067001189</v>
      </c>
      <c r="AI60" s="37" t="n">
        <f aca="false">(AM60-AM$50)/(AM$62-AM$50)*(AI$62-AI$50)+AI$50</f>
        <v>0.104462426706353</v>
      </c>
      <c r="AJ60" s="39" t="n">
        <f aca="false">(AM60-AM$50)/(AM$62-AM$50)*(AJ$62-AJ$50)+AJ$50</f>
        <v>159.430030703618</v>
      </c>
      <c r="AK60" s="39" t="n">
        <f aca="false">8314.4621*AJ60/(Sheet1!M$21*Sheet1!M$12*9.80665)</f>
        <v>5820.3163360223</v>
      </c>
      <c r="AL60" s="39" t="n">
        <f aca="false">AL59-LN(AG60/AG59)*(AK59+AK60)/2</f>
        <v>96069.0398045518</v>
      </c>
      <c r="AM60" s="39" t="n">
        <f aca="false">Sheet1!M$10*10/Sheet1!M$11*1000*AL60/(Sheet1!M$10*10/Sheet1!M$11*1000-AL60)</f>
        <v>97870.2468232772</v>
      </c>
      <c r="AN60" s="41"/>
      <c r="AO60" s="37" t="n">
        <f aca="false">AO59+(AO$61-AO$51)/10</f>
        <v>-1.40265111103137</v>
      </c>
      <c r="AP60" s="40" t="n">
        <f aca="false">10^AO60</f>
        <v>0.0395684364085897</v>
      </c>
      <c r="AQ60" s="39" t="n">
        <f aca="false">AS60-AR60*((Sheet1!R$19-Sheet1!R$20)*COS(RADIANS(38))+Sheet1!R$20)/2</f>
        <v>136.976390641021</v>
      </c>
      <c r="AR60" s="37" t="n">
        <f aca="false">(AV60-AV$51)/(AV$116-AV$51)*(AR$116-AR$51)+AR$51</f>
        <v>0.0161217332354666</v>
      </c>
      <c r="AS60" s="39" t="n">
        <f aca="false">(AV60-AV$51)/(AV$61-AV$51)*(AS$61-AS$51)+AS$51</f>
        <v>137.490388334254</v>
      </c>
      <c r="AT60" s="39" t="n">
        <f aca="false">8314.4621*AS60/(Sheet1!R$22*Sheet1!R$12*9.80665)</f>
        <v>9659.05803295972</v>
      </c>
      <c r="AU60" s="39" t="n">
        <f aca="false">AU59-LN(AP60/AP59)*(AT59+AT60)/2</f>
        <v>134872.627180041</v>
      </c>
      <c r="AV60" s="39" t="n">
        <f aca="false">Sheet1!R$10*10/Sheet1!R$11*1000*AU60/(Sheet1!R$10*10/Sheet1!R$11*1000-AU60)</f>
        <v>137557.539885213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2637.95141932221</v>
      </c>
      <c r="T61" s="37" t="n">
        <f aca="false">(X61-X$54)/(X$100-X$54)*(T$100-T$54)+T$54</f>
        <v>1.15660430141819</v>
      </c>
      <c r="U61" s="39" t="n">
        <f aca="false">(X61-X$54)/(X$77-X$54)*(U$77-U$54)+U$54</f>
        <v>2695.43748247451</v>
      </c>
      <c r="V61" s="39" t="n">
        <f aca="false">8314.4621*U61/(Sheet1!H$20*Sheet1!H$12*9.80665)</f>
        <v>295767.518114018</v>
      </c>
      <c r="W61" s="39" t="n">
        <f aca="false">W60-LN(R61/R60)*(V60+V61)/2</f>
        <v>3725042.23815445</v>
      </c>
      <c r="X61" s="39" t="n">
        <f aca="false">Sheet1!H$10*10/Sheet1!H$11*1000*W61/(Sheet1!H$10*10/Sheet1!H$11*1000-W61)</f>
        <v>3859375.41352615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157.199555872572</v>
      </c>
      <c r="AI61" s="37" t="n">
        <f aca="false">(AM61-AM$50)/(AM$62-AM$50)*(AI$62-AI$50)+AI$50</f>
        <v>0.152447891712248</v>
      </c>
      <c r="AJ61" s="39" t="n">
        <f aca="false">(AM61-AM$50)/(AM$62-AM$50)*(AJ$62-AJ$50)+AJ$50</f>
        <v>157.908750022276</v>
      </c>
      <c r="AK61" s="39" t="n">
        <f aca="false">8314.4621*AJ61/(Sheet1!M$21*Sheet1!M$12*9.80665)</f>
        <v>5764.77890206324</v>
      </c>
      <c r="AL61" s="39" t="n">
        <f aca="false">AL60-LN(AG61/AG60)*(AK60+AK61)/2</f>
        <v>97402.8231843584</v>
      </c>
      <c r="AM61" s="39" t="n">
        <f aca="false">Sheet1!M$10*10/Sheet1!M$11*1000*AL61/(Sheet1!M$10*10/Sheet1!M$11*1000-AL61)</f>
        <v>99254.8739384606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136.526794080895</v>
      </c>
      <c r="AR61" s="37" t="n">
        <f aca="false">(AV61-AV$51)/(AV$116-AV$51)*(AR$116-AR$51)+AR$51</f>
        <v>0.0178932876443701</v>
      </c>
      <c r="AS61" s="39" t="n">
        <f aca="false">MIN(IF(Sheet1!R15&gt;1,36*LOG(Sheet1!R15)+30,30),(Sheet1!R15*(1-MAX(Sheet1!R14,0.56707137))/(4*0.000000056704))^0.25)</f>
        <v>137.097272976633</v>
      </c>
      <c r="AT61" s="39" t="n">
        <f aca="false">8314.4621*AS61/(Sheet1!R$22*Sheet1!R$12*9.80665)</f>
        <v>9631.44065476394</v>
      </c>
      <c r="AU61" s="39" t="n">
        <f aca="false">AU60-LN(AP61/AP60)*(AT60+AT61)/2</f>
        <v>137034.649371378</v>
      </c>
      <c r="AV61" s="39" t="n">
        <f aca="false">Sheet1!R$10*10/Sheet1!R$11*1000*AU61/(Sheet1!R$10*10/Sheet1!R$11*1000-AU61)</f>
        <v>139807.215619129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2631.19998253488</v>
      </c>
      <c r="T62" s="37" t="n">
        <f aca="false">(X62-X$54)/(X$100-X$54)*(T$100-T$54)+T$54</f>
        <v>1.17890784015732</v>
      </c>
      <c r="U62" s="39" t="n">
        <f aca="false">(X62-X$54)/(X$77-X$54)*(U$77-U$54)+U$54</f>
        <v>2689.7945861231</v>
      </c>
      <c r="V62" s="39" t="n">
        <f aca="false">8314.4621*U62/(Sheet1!H$20*Sheet1!H$12*9.80665)</f>
        <v>295148.329036295</v>
      </c>
      <c r="W62" s="39" t="n">
        <f aca="false">W61-LN(R62/R61)*(V61+V62)/2</f>
        <v>3793073.93919756</v>
      </c>
      <c r="X62" s="39" t="n">
        <f aca="false">Sheet1!H$10*10/Sheet1!H$11*1000*W62/(Sheet1!H$10*10/Sheet1!H$11*1000-W62)</f>
        <v>3932450.46097586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155.470799423364</v>
      </c>
      <c r="AI62" s="37" t="n">
        <v>0.2</v>
      </c>
      <c r="AJ62" s="39" t="n">
        <f aca="false">0.74*Sheet1!M16</f>
        <v>156.401208026249</v>
      </c>
      <c r="AK62" s="39" t="n">
        <f aca="false">8314.4621*AJ62/(Sheet1!M$21*Sheet1!M$12*9.80665)</f>
        <v>5709.74302665137</v>
      </c>
      <c r="AL62" s="39" t="n">
        <f aca="false">AL61-LN(AG62/AG61)*(AK61+AK62)/2</f>
        <v>98723.876341473</v>
      </c>
      <c r="AM62" s="39" t="n">
        <f aca="false">Sheet1!M$10*10/Sheet1!M$11*1000*AL62/(Sheet1!M$10*10/Sheet1!M$11*1000-AL62)</f>
        <v>100626.996486638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136.454320929898</v>
      </c>
      <c r="AR62" s="37" t="n">
        <f aca="false">(AV62-AV$51)/(AV$116-AV$51)*(AR$116-AR$51)+AR$51</f>
        <v>0.0201664356029718</v>
      </c>
      <c r="AS62" s="39" t="n">
        <f aca="false">(AV62-AV$61)/(AV$69-AV$61)*(AS$69-AS$61)+AS$61</f>
        <v>137.097272976633</v>
      </c>
      <c r="AT62" s="39" t="n">
        <f aca="false">8314.4621*AS62/(Sheet1!R$22*Sheet1!R$12*9.80665)</f>
        <v>9631.44065476394</v>
      </c>
      <c r="AU62" s="39" t="n">
        <f aca="false">AU61-LN(AP62/AP61)*(AT61+AT62)/2</f>
        <v>139806.800830843</v>
      </c>
      <c r="AV62" s="39" t="n">
        <f aca="false">Sheet1!R$10*10/Sheet1!R$11*1000*AU62/(Sheet1!R$10*10/Sheet1!R$11*1000-AU62)</f>
        <v>142693.858996473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2624.45381220087</v>
      </c>
      <c r="T63" s="37" t="n">
        <f aca="false">(X63-X$54)/(X$100-X$54)*(T$100-T$54)+T$54</f>
        <v>1.20119398102319</v>
      </c>
      <c r="U63" s="39" t="n">
        <f aca="false">(X63-X$54)/(X$77-X$54)*(U$77-U$54)+U$54</f>
        <v>2684.15609150814</v>
      </c>
      <c r="V63" s="39" t="n">
        <f aca="false">8314.4621*U63/(Sheet1!H$20*Sheet1!H$12*9.80665)</f>
        <v>294529.622956481</v>
      </c>
      <c r="W63" s="39" t="n">
        <f aca="false">W62-LN(R63/R62)*(V62+V63)/2</f>
        <v>3860963.12229385</v>
      </c>
      <c r="X63" s="39" t="n">
        <f aca="false">Sheet1!H$10*10/Sheet1!H$11*1000*W63/(Sheet1!H$10*10/Sheet1!H$11*1000-W63)</f>
        <v>4005468.5062418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157.05206478782</v>
      </c>
      <c r="AI63" s="37" t="n">
        <f aca="false">(AM63-AM$62)/(AM$95-AM$62)*(AI$95-AI$62)+AI$62</f>
        <v>0.2</v>
      </c>
      <c r="AJ63" s="39" t="n">
        <f aca="false">(AM63-AM$62)/(AM$70-AM$62)*(AJ$70-AJ$62)+AJ$62</f>
        <v>157.982473390705</v>
      </c>
      <c r="AK63" s="39" t="n">
        <f aca="false">8314.4621*AJ63/(Sheet1!M$21*Sheet1!M$12*9.80665)</f>
        <v>5767.47032301901</v>
      </c>
      <c r="AL63" s="39" t="n">
        <f aca="false">AL62-LN(AG63/AG62)*(AK62+AK63)/2</f>
        <v>100045.239359876</v>
      </c>
      <c r="AM63" s="39" t="n">
        <f aca="false">Sheet1!M$10*10/Sheet1!M$11*1000*AL63/(Sheet1!M$10*10/Sheet1!M$11*1000-AL63)</f>
        <v>102000.149195314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136.381788404274</v>
      </c>
      <c r="AR63" s="37" t="n">
        <f aca="false">(AV63-AV$51)/(AV$116-AV$51)*(AR$116-AR$51)+AR$51</f>
        <v>0.0224414458693526</v>
      </c>
      <c r="AS63" s="39" t="n">
        <f aca="false">(AV63-AV$61)/(AV$69-AV$61)*(AS$69-AS$61)+AS$61</f>
        <v>137.097272976633</v>
      </c>
      <c r="AT63" s="39" t="n">
        <f aca="false">8314.4621*AS63/(Sheet1!R$22*Sheet1!R$12*9.80665)</f>
        <v>9631.44065476394</v>
      </c>
      <c r="AU63" s="39" t="n">
        <f aca="false">AU62-LN(AP63/AP62)*(AT62+AT63)/2</f>
        <v>142578.952290307</v>
      </c>
      <c r="AV63" s="39" t="n">
        <f aca="false">Sheet1!R$10*10/Sheet1!R$11*1000*AU63/(Sheet1!R$10*10/Sheet1!R$11*1000-AU63)</f>
        <v>145582.867296169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2617.71293560153</v>
      </c>
      <c r="T64" s="37" t="n">
        <f aca="false">(X64-X$54)/(X$100-X$54)*(T$100-T$54)+T$54</f>
        <v>1.22346263389188</v>
      </c>
      <c r="U64" s="39" t="n">
        <f aca="false">(X64-X$54)/(X$77-X$54)*(U$77-U$54)+U$54</f>
        <v>2678.52202143162</v>
      </c>
      <c r="V64" s="39" t="n">
        <f aca="false">8314.4621*U64/(Sheet1!H$20*Sheet1!H$12*9.80665)</f>
        <v>293911.402376613</v>
      </c>
      <c r="W64" s="39" t="n">
        <f aca="false">W63-LN(R64/R63)*(V63+V64)/2</f>
        <v>3928709.89894576</v>
      </c>
      <c r="X64" s="39" t="n">
        <f aca="false">Sheet1!H$10*10/Sheet1!H$11*1000*W64/(Sheet1!H$10*10/Sheet1!H$11*1000-W64)</f>
        <v>4078429.25404302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158.650150259919</v>
      </c>
      <c r="AI64" s="37" t="n">
        <f aca="false">(AM64-AM$62)/(AM$95-AM$62)*(AI$95-AI$62)+AI$62</f>
        <v>0.2</v>
      </c>
      <c r="AJ64" s="39" t="n">
        <f aca="false">(AM64-AM$62)/(AM$70-AM$62)*(AJ$70-AJ$62)+AJ$62</f>
        <v>159.580558862804</v>
      </c>
      <c r="AK64" s="39" t="n">
        <f aca="false">8314.4621*AJ64/(Sheet1!M$21*Sheet1!M$12*9.80665)</f>
        <v>5825.81167150003</v>
      </c>
      <c r="AL64" s="39" t="n">
        <f aca="false">AL63-LN(AG64/AG63)*(AK63+AK64)/2</f>
        <v>101379.965274849</v>
      </c>
      <c r="AM64" s="39" t="n">
        <f aca="false">Sheet1!M$10*10/Sheet1!M$11*1000*AL64/(Sheet1!M$10*10/Sheet1!M$11*1000-AL64)</f>
        <v>103387.908292577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136.309196431028</v>
      </c>
      <c r="AR64" s="37" t="n">
        <f aca="false">(AV64-AV$51)/(AV$116-AV$51)*(AR$116-AR$51)+AR$51</f>
        <v>0.0247183207330325</v>
      </c>
      <c r="AS64" s="39" t="n">
        <f aca="false">(AV64-AV$61)/(AV$69-AV$61)*(AS$69-AS$61)+AS$61</f>
        <v>137.097272976633</v>
      </c>
      <c r="AT64" s="39" t="n">
        <f aca="false">8314.4621*AS64/(Sheet1!R$22*Sheet1!R$12*9.80665)</f>
        <v>9631.44065476394</v>
      </c>
      <c r="AU64" s="39" t="n">
        <f aca="false">AU63-LN(AP64/AP63)*(AT63+AT64)/2</f>
        <v>145351.103749772</v>
      </c>
      <c r="AV64" s="39" t="n">
        <f aca="false">Sheet1!R$10*10/Sheet1!R$11*1000*AU64/(Sheet1!R$10*10/Sheet1!R$11*1000-AU64)</f>
        <v>148474.243425652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2610.97737995958</v>
      </c>
      <c r="T65" s="37" t="n">
        <f aca="false">(X65-X$54)/(X$100-X$54)*(T$100-T$54)+T$54</f>
        <v>1.24571370883318</v>
      </c>
      <c r="U65" s="39" t="n">
        <f aca="false">(X65-X$54)/(X$77-X$54)*(U$77-U$54)+U$54</f>
        <v>2672.89239864649</v>
      </c>
      <c r="V65" s="39" t="n">
        <f aca="false">8314.4621*U65/(Sheet1!H$20*Sheet1!H$12*9.80665)</f>
        <v>293293.669793349</v>
      </c>
      <c r="W65" s="39" t="n">
        <f aca="false">W64-LN(R65/R64)*(V64+V65)/2</f>
        <v>3996314.38123121</v>
      </c>
      <c r="X65" s="39" t="n">
        <f aca="false">Sheet1!H$10*10/Sheet1!H$11*1000*W65/(Sheet1!H$10*10/Sheet1!H$11*1000-W65)</f>
        <v>4151332.40973325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160.26525193049</v>
      </c>
      <c r="AI65" s="37" t="n">
        <f aca="false">(AM65-AM$62)/(AM$95-AM$62)*(AI$95-AI$62)+AI$62</f>
        <v>0.2</v>
      </c>
      <c r="AJ65" s="39" t="n">
        <f aca="false">(AM65-AM$62)/(AM$70-AM$62)*(AJ$70-AJ$62)+AJ$62</f>
        <v>161.195660533376</v>
      </c>
      <c r="AK65" s="39" t="n">
        <f aca="false">8314.4621*AJ65/(Sheet1!M$21*Sheet1!M$12*9.80665)</f>
        <v>5884.77423078749</v>
      </c>
      <c r="AL65" s="39" t="n">
        <f aca="false">AL64-LN(AG65/AG64)*(AK64+AK65)/2</f>
        <v>102728.196301291</v>
      </c>
      <c r="AM65" s="39" t="n">
        <f aca="false">Sheet1!M$10*10/Sheet1!M$11*1000*AL65/(Sheet1!M$10*10/Sheet1!M$11*1000-AL65)</f>
        <v>104790.444061452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136.236544937045</v>
      </c>
      <c r="AR65" s="37" t="n">
        <f aca="false">(AV65-AV$51)/(AV$116-AV$51)*(AR$116-AR$51)+AR$51</f>
        <v>0.0269970624872856</v>
      </c>
      <c r="AS65" s="39" t="n">
        <f aca="false">(AV65-AV$61)/(AV$69-AV$61)*(AS$69-AS$61)+AS$61</f>
        <v>137.097272976633</v>
      </c>
      <c r="AT65" s="39" t="n">
        <f aca="false">8314.4621*AS65/(Sheet1!R$22*Sheet1!R$12*9.80665)</f>
        <v>9631.44065476394</v>
      </c>
      <c r="AU65" s="39" t="n">
        <f aca="false">AU64-LN(AP65/AP64)*(AT64+AT65)/2</f>
        <v>148123.255209236</v>
      </c>
      <c r="AV65" s="39" t="n">
        <f aca="false">Sheet1!R$10*10/Sheet1!R$11*1000*AU65/(Sheet1!R$10*10/Sheet1!R$11*1000-AU65)</f>
        <v>151367.990297122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2604.24717243853</v>
      </c>
      <c r="T66" s="37" t="n">
        <f aca="false">(X66-X$54)/(X$100-X$54)*(T$100-T$54)+T$54</f>
        <v>1.26794711611248</v>
      </c>
      <c r="U66" s="39" t="n">
        <f aca="false">(X66-X$54)/(X$77-X$54)*(U$77-U$54)+U$54</f>
        <v>2667.26724585625</v>
      </c>
      <c r="V66" s="39" t="n">
        <f aca="false">8314.4621*U66/(Sheet1!H$20*Sheet1!H$12*9.80665)</f>
        <v>292676.42769792</v>
      </c>
      <c r="W66" s="39" t="n">
        <f aca="false">W65-LN(R66/R65)*(V65+V66)/2</f>
        <v>4063776.6818024</v>
      </c>
      <c r="X66" s="39" t="n">
        <f aca="false">Sheet1!H$10*10/Sheet1!H$11*1000*W66/(Sheet1!H$10*10/Sheet1!H$11*1000-W66)</f>
        <v>4224177.67930715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161.897568533728</v>
      </c>
      <c r="AI66" s="37" t="n">
        <f aca="false">(AM66-AM$62)/(AM$95-AM$62)*(AI$95-AI$62)+AI$62</f>
        <v>0.2</v>
      </c>
      <c r="AJ66" s="39" t="n">
        <f aca="false">(AM66-AM$62)/(AM$70-AM$62)*(AJ$70-AJ$62)+AJ$62</f>
        <v>162.827977136613</v>
      </c>
      <c r="AK66" s="39" t="n">
        <f aca="false">8314.4621*AJ66/(Sheet1!M$21*Sheet1!M$12*9.80665)</f>
        <v>5944.36525607585</v>
      </c>
      <c r="AL66" s="39" t="n">
        <f aca="false">AL65-LN(AG66/AG65)*(AK65+AK66)/2</f>
        <v>104090.076313561</v>
      </c>
      <c r="AM66" s="39" t="n">
        <f aca="false">Sheet1!M$10*10/Sheet1!M$11*1000*AL66/(Sheet1!M$10*10/Sheet1!M$11*1000-AL66)</f>
        <v>106207.929080436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136.163833849089</v>
      </c>
      <c r="AR66" s="37" t="n">
        <f aca="false">(AV66-AV$51)/(AV$116-AV$51)*(AR$116-AR$51)+AR$51</f>
        <v>0.0292776734291486</v>
      </c>
      <c r="AS66" s="39" t="n">
        <f aca="false">(AV66-AV$61)/(AV$69-AV$61)*(AS$69-AS$61)+AS$61</f>
        <v>137.097272976633</v>
      </c>
      <c r="AT66" s="39" t="n">
        <f aca="false">8314.4621*AS66/(Sheet1!R$22*Sheet1!R$12*9.80665)</f>
        <v>9631.44065476394</v>
      </c>
      <c r="AU66" s="39" t="n">
        <f aca="false">AU65-LN(AP66/AP65)*(AT65+AT66)/2</f>
        <v>150895.406668701</v>
      </c>
      <c r="AV66" s="39" t="n">
        <f aca="false">Sheet1!R$10*10/Sheet1!R$11*1000*AU66/(Sheet1!R$10*10/Sheet1!R$11*1000-AU66)</f>
        <v>154264.110827559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2597.52234014211</v>
      </c>
      <c r="T67" s="37" t="n">
        <f aca="false">(X67-X$54)/(X$100-X$54)*(T$100-T$54)+T$54</f>
        <v>1.29016276619272</v>
      </c>
      <c r="U67" s="39" t="n">
        <f aca="false">(X67-X$54)/(X$77-X$54)*(U$77-U$54)+U$54</f>
        <v>2661.6465857144</v>
      </c>
      <c r="V67" s="39" t="n">
        <f aca="false">8314.4621*U67/(Sheet1!H$20*Sheet1!H$12*9.80665)</f>
        <v>292059.678576069</v>
      </c>
      <c r="W67" s="39" t="n">
        <f aca="false">W66-LN(R67/R66)*(V66+V67)/2</f>
        <v>4131096.91388449</v>
      </c>
      <c r="X67" s="39" t="n">
        <f aca="false">Sheet1!H$10*10/Sheet1!H$11*1000*W67/(Sheet1!H$10*10/Sheet1!H$11*1000-W67)</f>
        <v>4296964.7694065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163.547301490258</v>
      </c>
      <c r="AI67" s="37" t="n">
        <f aca="false">(AM67-AM$62)/(AM$95-AM$62)*(AI$95-AI$62)+AI$62</f>
        <v>0.2</v>
      </c>
      <c r="AJ67" s="39" t="n">
        <f aca="false">(AM67-AM$62)/(AM$70-AM$62)*(AJ$70-AJ$62)+AJ$62</f>
        <v>164.477710093143</v>
      </c>
      <c r="AK67" s="39" t="n">
        <f aca="false">8314.4621*AJ67/(Sheet1!M$21*Sheet1!M$12*9.80665)</f>
        <v>6004.59210063323</v>
      </c>
      <c r="AL67" s="39" t="n">
        <f aca="false">AL66-LN(AG67/AG66)*(AK66+AK67)/2</f>
        <v>105465.75086788</v>
      </c>
      <c r="AM67" s="39" t="n">
        <f aca="false">Sheet1!M$10*10/Sheet1!M$11*1000*AL67/(Sheet1!M$10*10/Sheet1!M$11*1000-AL67)</f>
        <v>107640.538260889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136.091063093807</v>
      </c>
      <c r="AR67" s="37" t="n">
        <f aca="false">(AV67-AV$51)/(AV$116-AV$51)*(AR$116-AR$51)+AR$51</f>
        <v>0.0315601558594279</v>
      </c>
      <c r="AS67" s="39" t="n">
        <f aca="false">(AV67-AV$61)/(AV$69-AV$61)*(AS$69-AS$61)+AS$61</f>
        <v>137.097272976633</v>
      </c>
      <c r="AT67" s="39" t="n">
        <f aca="false">8314.4621*AS67/(Sheet1!R$22*Sheet1!R$12*9.80665)</f>
        <v>9631.44065476394</v>
      </c>
      <c r="AU67" s="39" t="n">
        <f aca="false">AU66-LN(AP67/AP66)*(AT66+AT67)/2</f>
        <v>153667.558128166</v>
      </c>
      <c r="AV67" s="39" t="n">
        <f aca="false">Sheet1!R$10*10/Sheet1!R$11*1000*AU67/(Sheet1!R$10*10/Sheet1!R$11*1000-AU67)</f>
        <v>157162.60793873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2590.80291011367</v>
      </c>
      <c r="T68" s="37" t="n">
        <f aca="false">(X68-X$54)/(X$100-X$54)*(T$100-T$54)+T$54</f>
        <v>1.31236056973622</v>
      </c>
      <c r="U68" s="39" t="n">
        <f aca="false">(X68-X$54)/(X$77-X$54)*(U$77-U$54)+U$54</f>
        <v>2656.03044082399</v>
      </c>
      <c r="V68" s="39" t="n">
        <f aca="false">8314.4621*U68/(Sheet1!H$20*Sheet1!H$12*9.80665)</f>
        <v>291443.424908009</v>
      </c>
      <c r="W68" s="39" t="n">
        <f aca="false">W67-LN(R68/R67)*(V67+V68)/2</f>
        <v>4198275.1912744</v>
      </c>
      <c r="X68" s="39" t="n">
        <f aca="false">Sheet1!H$10*10/Sheet1!H$11*1000*W68/(Sheet1!H$10*10/Sheet1!H$11*1000-W68)</f>
        <v>4369693.38732643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165.21465495106</v>
      </c>
      <c r="AI68" s="37" t="n">
        <f aca="false">(AM68-AM$62)/(AM$95-AM$62)*(AI$95-AI$62)+AI$62</f>
        <v>0.2</v>
      </c>
      <c r="AJ68" s="39" t="n">
        <f aca="false">(AM68-AM$62)/(AM$70-AM$62)*(AJ$70-AJ$62)+AJ$62</f>
        <v>166.145063553945</v>
      </c>
      <c r="AK68" s="39" t="n">
        <f aca="false">8314.4621*AJ68/(Sheet1!M$21*Sheet1!M$12*9.80665)</f>
        <v>6065.46221740485</v>
      </c>
      <c r="AL68" s="39" t="n">
        <f aca="false">AL67-LN(AG68/AG67)*(AK67+AK68)/2</f>
        <v>106855.367225097</v>
      </c>
      <c r="AM68" s="39" t="n">
        <f aca="false">Sheet1!M$10*10/Sheet1!M$11*1000*AL68/(Sheet1!M$10*10/Sheet1!M$11*1000-AL68)</f>
        <v>109088.448885181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136.018232597722</v>
      </c>
      <c r="AR68" s="37" t="n">
        <f aca="false">(AV68-AV$51)/(AV$116-AV$51)*(AR$116-AR$51)+AR$51</f>
        <v>0.0338445120827078</v>
      </c>
      <c r="AS68" s="39" t="n">
        <f aca="false">(AV68-AV$61)/(AV$69-AV$61)*(AS$69-AS$61)+AS$61</f>
        <v>137.097272976633</v>
      </c>
      <c r="AT68" s="39" t="n">
        <f aca="false">8314.4621*AS68/(Sheet1!R$22*Sheet1!R$12*9.80665)</f>
        <v>9631.44065476394</v>
      </c>
      <c r="AU68" s="39" t="n">
        <f aca="false">AU67-LN(AP68/AP67)*(AT67+AT68)/2</f>
        <v>156439.70958763</v>
      </c>
      <c r="AV68" s="39" t="n">
        <f aca="false">Sheet1!R$10*10/Sheet1!R$11*1000*AU68/(Sheet1!R$10*10/Sheet1!R$11*1000-AU68)</f>
        <v>160063.484557198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2584.08890933564</v>
      </c>
      <c r="T69" s="37" t="n">
        <f aca="false">(X69-X$54)/(X$100-X$54)*(T$100-T$54)+T$54</f>
        <v>1.3345404376066</v>
      </c>
      <c r="U69" s="39" t="n">
        <f aca="false">(X69-X$54)/(X$77-X$54)*(U$77-U$54)+U$54</f>
        <v>2650.41883373716</v>
      </c>
      <c r="V69" s="39" t="n">
        <f aca="false">8314.4621*U69/(Sheet1!H$20*Sheet1!H$12*9.80665)</f>
        <v>290827.669168358</v>
      </c>
      <c r="W69" s="39" t="n">
        <f aca="false">W68-LN(R69/R68)*(V68+V69)/2</f>
        <v>4265311.62833948</v>
      </c>
      <c r="X69" s="39" t="n">
        <f aca="false">Sheet1!H$10*10/Sheet1!H$11*1000*W69/(Sheet1!H$10*10/Sheet1!H$11*1000-W69)</f>
        <v>4442363.24102157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166.899835842268</v>
      </c>
      <c r="AI69" s="37" t="n">
        <f aca="false">(AM69-AM$62)/(AM$95-AM$62)*(AI$95-AI$62)+AI$62</f>
        <v>0.2</v>
      </c>
      <c r="AJ69" s="39" t="n">
        <f aca="false">(AM69-AM$62)/(AM$70-AM$62)*(AJ$70-AJ$62)+AJ$62</f>
        <v>167.830244445153</v>
      </c>
      <c r="AK69" s="39" t="n">
        <f aca="false">8314.4621*AJ69/(Sheet1!M$21*Sheet1!M$12*9.80665)</f>
        <v>6126.98316064847</v>
      </c>
      <c r="AL69" s="39" t="n">
        <f aca="false">AL68-LN(AG69/AG68)*(AK68+AK69)/2</f>
        <v>108259.074373829</v>
      </c>
      <c r="AM69" s="39" t="n">
        <f aca="false">Sheet1!M$10*10/Sheet1!M$11*1000*AL69/(Sheet1!M$10*10/Sheet1!M$11*1000-AL69)</f>
        <v>110551.840645595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135.945342287238</v>
      </c>
      <c r="AR69" s="37" t="n">
        <f aca="false">(AV69-AV$51)/(AV$116-AV$51)*(AR$116-AR$51)+AR$51</f>
        <v>0.0361307444073577</v>
      </c>
      <c r="AS69" s="39" t="n">
        <f aca="false">MIN(IF(Sheet1!R15&gt;1,36*LOG(Sheet1!R15)+30,30),(Sheet1!R15*(1-MAX(Sheet1!R14,0.56707137))/(4*0.000000056704))^0.25)</f>
        <v>137.097272976633</v>
      </c>
      <c r="AT69" s="39" t="n">
        <f aca="false">8314.4621*AS69/(Sheet1!R$22*Sheet1!R$12*9.80665)</f>
        <v>9631.44065476394</v>
      </c>
      <c r="AU69" s="39" t="n">
        <f aca="false">AU68-LN(AP69/AP68)*(AT68+AT69)/2</f>
        <v>159211.861047095</v>
      </c>
      <c r="AV69" s="39" t="n">
        <f aca="false">Sheet1!R$10*10/Sheet1!R$11*1000*AU69/(Sheet1!R$10*10/Sheet1!R$11*1000-AU69)</f>
        <v>162966.743614334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2577.38036472894</v>
      </c>
      <c r="T70" s="37" t="n">
        <f aca="false">(X70-X$54)/(X$100-X$54)*(T$100-T$54)+T$54</f>
        <v>1.35670228087066</v>
      </c>
      <c r="U70" s="39" t="n">
        <f aca="false">(X70-X$54)/(X$77-X$54)*(U$77-U$54)+U$54</f>
        <v>2644.81178695465</v>
      </c>
      <c r="V70" s="39" t="n">
        <f aca="false">8314.4621*U70/(Sheet1!H$20*Sheet1!H$12*9.80665)</f>
        <v>290212.413826101</v>
      </c>
      <c r="W70" s="39" t="n">
        <f aca="false">W69-LN(R70/R69)*(V69+V70)/2</f>
        <v>4332206.34001623</v>
      </c>
      <c r="X70" s="39" t="n">
        <f aca="false">Sheet1!H$10*10/Sheet1!H$11*1000*W70/(Sheet1!H$10*10/Sheet1!H$11*1000-W70)</f>
        <v>4514974.0391122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168.60305391086</v>
      </c>
      <c r="AI70" s="37" t="n">
        <f aca="false">(AM70-AM$62)/(AM$95-AM$62)*(AI$95-AI$62)+AI$62</f>
        <v>0.2</v>
      </c>
      <c r="AJ70" s="39" t="n">
        <f aca="false">0.016*(320*LOG(Sheet1!M15)-AJ62)+AJ62</f>
        <v>169.533462513745</v>
      </c>
      <c r="AK70" s="39" t="n">
        <f aca="false">8314.4621*AJ70/(Sheet1!M$21*Sheet1!M$12*9.80665)</f>
        <v>6189.16258760265</v>
      </c>
      <c r="AL70" s="39" t="n">
        <f aca="false">AL69-LN(AG70/AG69)*(AK69+AK70)/2</f>
        <v>109677.023053982</v>
      </c>
      <c r="AM70" s="39" t="n">
        <f aca="false">Sheet1!M$10*10/Sheet1!M$11*1000*AL70/(Sheet1!M$10*10/Sheet1!M$11*1000-AL70)</f>
        <v>112030.895684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136.77022403663</v>
      </c>
      <c r="AR70" s="37" t="n">
        <f aca="false">(AV70-AV$51)/(AV$116-AV$51)*(AR$116-AR$51)+AR$51</f>
        <v>0.037966981709749</v>
      </c>
      <c r="AS70" s="39" t="n">
        <f aca="false">(AV70-AV$69)/(AV$77-AV$69)*(AS$77-AS$69)+AS$69</f>
        <v>137.980698166973</v>
      </c>
      <c r="AT70" s="39" t="n">
        <f aca="false">8314.4621*AS70/(Sheet1!R$22*Sheet1!R$12*9.80665)</f>
        <v>9693.50357628633</v>
      </c>
      <c r="AU70" s="39" t="n">
        <f aca="false">AU69-LN(AP70/AP69)*(AT69+AT70)/2</f>
        <v>161436.727472563</v>
      </c>
      <c r="AV70" s="39" t="n">
        <f aca="false">Sheet1!R$10*10/Sheet1!R$11*1000*AU70/(Sheet1!R$10*10/Sheet1!R$11*1000-AU70)</f>
        <v>165298.559380273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2570.67730315244</v>
      </c>
      <c r="T71" s="37" t="n">
        <f aca="false">(X71-X$54)/(X$100-X$54)*(T$100-T$54)+T$54</f>
        <v>1.37884601080021</v>
      </c>
      <c r="U71" s="39" t="n">
        <f aca="false">(X71-X$54)/(X$77-X$54)*(U$77-U$54)+U$54</f>
        <v>2639.20932292529</v>
      </c>
      <c r="V71" s="39" t="n">
        <f aca="false">8314.4621*U71/(Sheet1!H$20*Sheet1!H$12*9.80665)</f>
        <v>289597.661344524</v>
      </c>
      <c r="W71" s="39" t="n">
        <f aca="false">W70-LN(R71/R70)*(V70+V71)/2</f>
        <v>4398959.44180901</v>
      </c>
      <c r="X71" s="39" t="n">
        <f aca="false">Sheet1!H$10*10/Sheet1!H$11*1000*W71/(Sheet1!H$10*10/Sheet1!H$11*1000-W71)</f>
        <v>4587525.49089042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174.988869820334</v>
      </c>
      <c r="AI71" s="37" t="n">
        <f aca="false">(AM71-AM$62)/(AM$95-AM$62)*(AI$95-AI$62)+AI$62</f>
        <v>0.2</v>
      </c>
      <c r="AJ71" s="39" t="n">
        <f aca="false">(AM71-AM$70)/(AM$75-AM$70)*(AJ$75-AJ$70)+AJ$70</f>
        <v>175.91927842322</v>
      </c>
      <c r="AK71" s="39" t="n">
        <f aca="false">8314.4621*AJ71/(Sheet1!M$21*Sheet1!M$12*9.80665)</f>
        <v>6422.28973744206</v>
      </c>
      <c r="AL71" s="39" t="n">
        <f aca="false">AL70-LN(AG71/AG70)*(AK70+AK71)/2</f>
        <v>111128.970160215</v>
      </c>
      <c r="AM71" s="39" t="n">
        <f aca="false">Sheet1!M$10*10/Sheet1!M$11*1000*AL71/(Sheet1!M$10*10/Sheet1!M$11*1000-AL71)</f>
        <v>113546.265084424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137.600972262113</v>
      </c>
      <c r="AR71" s="37" t="n">
        <f aca="false">(AV71-AV$51)/(AV$116-AV$51)*(AR$116-AR$51)+AR$51</f>
        <v>0.0398162781472721</v>
      </c>
      <c r="AS71" s="39" t="n">
        <f aca="false">(AV71-AV$69)/(AV$77-AV$69)*(AS$77-AS$69)+AS$69</f>
        <v>138.870406188472</v>
      </c>
      <c r="AT71" s="39" t="n">
        <f aca="false">8314.4621*AS71/(Sheet1!R$22*Sheet1!R$12*9.80665)</f>
        <v>9756.00788306855</v>
      </c>
      <c r="AU71" s="39" t="n">
        <f aca="false">AU70-LN(AP71/AP70)*(AT70+AT71)/2</f>
        <v>163675.935230179</v>
      </c>
      <c r="AV71" s="39" t="n">
        <f aca="false">Sheet1!R$10*10/Sheet1!R$11*1000*AU71/(Sheet1!R$10*10/Sheet1!R$11*1000-AU71)</f>
        <v>167646.958785566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2563.97975140236</v>
      </c>
      <c r="T72" s="37" t="n">
        <f aca="false">(X72-X$54)/(X$100-X$54)*(T$100-T$54)+T$54</f>
        <v>1.40097153887401</v>
      </c>
      <c r="U72" s="39" t="n">
        <f aca="false">(X72-X$54)/(X$77-X$54)*(U$77-U$54)+U$54</f>
        <v>2633.6114640456</v>
      </c>
      <c r="V72" s="39" t="n">
        <f aca="false">8314.4621*U72/(Sheet1!H$20*Sheet1!H$12*9.80665)</f>
        <v>288983.414181173</v>
      </c>
      <c r="W72" s="39" t="n">
        <f aca="false">W71-LN(R72/R71)*(V71+V72)/2</f>
        <v>4465571.04978871</v>
      </c>
      <c r="X72" s="39" t="n">
        <f aca="false">Sheet1!H$10*10/Sheet1!H$11*1000*W72/(Sheet1!H$10*10/Sheet1!H$11*1000-W72)</f>
        <v>4660017.30632623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181.619131076053</v>
      </c>
      <c r="AI72" s="37" t="n">
        <f aca="false">(AM72-AM$62)/(AM$95-AM$62)*(AI$95-AI$62)+AI$62</f>
        <v>0.2</v>
      </c>
      <c r="AJ72" s="39" t="n">
        <f aca="false">(AM72-AM$70)/(AM$75-AM$70)*(AJ$75-AJ$70)+AJ$70</f>
        <v>182.549539678938</v>
      </c>
      <c r="AK72" s="39" t="n">
        <f aca="false">8314.4621*AJ72/(Sheet1!M$21*Sheet1!M$12*9.80665)</f>
        <v>6664.34085998429</v>
      </c>
      <c r="AL72" s="39" t="n">
        <f aca="false">AL71-LN(AG72/AG71)*(AK71+AK72)/2</f>
        <v>112635.624186773</v>
      </c>
      <c r="AM72" s="39" t="n">
        <f aca="false">Sheet1!M$10*10/Sheet1!M$11*1000*AL72/(Sheet1!M$10*10/Sheet1!M$11*1000-AL72)</f>
        <v>115119.641950617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138.437636008272</v>
      </c>
      <c r="AR72" s="37" t="n">
        <f aca="false">(AV72-AV$51)/(AV$116-AV$51)*(AR$116-AR$51)+AR$51</f>
        <v>0.041678742896177</v>
      </c>
      <c r="AS72" s="39" t="n">
        <f aca="false">(AV72-AV$69)/(AV$77-AV$69)*(AS$77-AS$69)+AS$69</f>
        <v>139.766449566504</v>
      </c>
      <c r="AT72" s="39" t="n">
        <f aca="false">8314.4621*AS72/(Sheet1!R$22*Sheet1!R$12*9.80665)</f>
        <v>9818.95726515494</v>
      </c>
      <c r="AU72" s="39" t="n">
        <f aca="false">AU71-LN(AP72/AP71)*(AT71+AT72)/2</f>
        <v>165929.586377488</v>
      </c>
      <c r="AV72" s="39" t="n">
        <f aca="false">Sheet1!R$10*10/Sheet1!R$11*1000*AU72/(Sheet1!R$10*10/Sheet1!R$11*1000-AU72)</f>
        <v>170012.080471824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2557.28773621174</v>
      </c>
      <c r="T73" s="37" t="n">
        <f aca="false">(X73-X$54)/(X$100-X$54)*(T$100-T$54)+T$54</f>
        <v>1.42307877677955</v>
      </c>
      <c r="U73" s="39" t="n">
        <f aca="false">(X73-X$54)/(X$77-X$54)*(U$77-U$54)+U$54</f>
        <v>2628.01823265926</v>
      </c>
      <c r="V73" s="39" t="n">
        <f aca="false">8314.4621*U73/(Sheet1!H$20*Sheet1!H$12*9.80665)</f>
        <v>288369.674787798</v>
      </c>
      <c r="W73" s="39" t="n">
        <f aca="false">W72-LN(R73/R72)*(V72+V73)/2</f>
        <v>4532041.28059141</v>
      </c>
      <c r="X73" s="39" t="n">
        <f aca="false">Sheet1!H$10*10/Sheet1!H$11*1000*W73/(Sheet1!H$10*10/Sheet1!H$11*1000-W73)</f>
        <v>4732449.19607363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188.503496772242</v>
      </c>
      <c r="AI73" s="37" t="n">
        <f aca="false">(AM73-AM$62)/(AM$95-AM$62)*(AI$95-AI$62)+AI$62</f>
        <v>0.2</v>
      </c>
      <c r="AJ73" s="39" t="n">
        <f aca="false">(AM73-AM$70)/(AM$75-AM$70)*(AJ$75-AJ$70)+AJ$70</f>
        <v>189.433905375128</v>
      </c>
      <c r="AK73" s="39" t="n">
        <f aca="false">8314.4621*AJ73/(Sheet1!M$21*Sheet1!M$12*9.80665)</f>
        <v>6915.66858003706</v>
      </c>
      <c r="AL73" s="39" t="n">
        <f aca="false">AL72-LN(AG73/AG72)*(AK72+AK73)/2</f>
        <v>114199.080551738</v>
      </c>
      <c r="AM73" s="39" t="n">
        <f aca="false">Sheet1!M$10*10/Sheet1!M$11*1000*AL73/(Sheet1!M$10*10/Sheet1!M$11*1000-AL73)</f>
        <v>116753.318408758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139.280264828978</v>
      </c>
      <c r="AR73" s="37" t="n">
        <f aca="false">(AV73-AV$51)/(AV$116-AV$51)*(AR$116-AR$51)+AR$51</f>
        <v>0.0435544862664138</v>
      </c>
      <c r="AS73" s="39" t="n">
        <f aca="false">(AV73-AV$69)/(AV$77-AV$69)*(AS$77-AS$69)+AS$69</f>
        <v>140.668881371871</v>
      </c>
      <c r="AT73" s="39" t="n">
        <f aca="false">8314.4621*AS73/(Sheet1!R$22*Sheet1!R$12*9.80665)</f>
        <v>9882.35545090769</v>
      </c>
      <c r="AU73" s="39" t="n">
        <f aca="false">AU72-LN(AP73/AP72)*(AT72+AT73)/2</f>
        <v>168197.783826109</v>
      </c>
      <c r="AV73" s="39" t="n">
        <f aca="false">Sheet1!R$10*10/Sheet1!R$11*1000*AU73/(Sheet1!R$10*10/Sheet1!R$11*1000-AU73)</f>
        <v>172394.064520334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2550.60128424985</v>
      </c>
      <c r="T74" s="37" t="n">
        <f aca="false">(X74-X$54)/(X$100-X$54)*(T$100-T$54)+T$54</f>
        <v>1.44516763641498</v>
      </c>
      <c r="U74" s="39" t="n">
        <f aca="false">(X74-X$54)/(X$77-X$54)*(U$77-U$54)+U$54</f>
        <v>2622.42965105667</v>
      </c>
      <c r="V74" s="39" t="n">
        <f aca="false">8314.4621*U74/(Sheet1!H$20*Sheet1!H$12*9.80665)</f>
        <v>287756.4456103</v>
      </c>
      <c r="W74" s="39" t="n">
        <f aca="false">W73-LN(R74/R73)*(V73+V74)/2</f>
        <v>4598370.25141707</v>
      </c>
      <c r="X74" s="39" t="n">
        <f aca="false">Sheet1!H$10*10/Sheet1!H$11*1000*W74/(Sheet1!H$10*10/Sheet1!H$11*1000-W74)</f>
        <v>4804820.87147675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195.652031059658</v>
      </c>
      <c r="AI74" s="37" t="n">
        <f aca="false">(AM74-AM$62)/(AM$95-AM$62)*(AI$95-AI$62)+AI$62</f>
        <v>0.2</v>
      </c>
      <c r="AJ74" s="39" t="n">
        <f aca="false">(AM74-AM$70)/(AM$75-AM$70)*(AJ$75-AJ$70)+AJ$70</f>
        <v>196.582439662543</v>
      </c>
      <c r="AK74" s="39" t="n">
        <f aca="false">8314.4621*AJ74/(Sheet1!M$21*Sheet1!M$12*9.80665)</f>
        <v>7176.64030981743</v>
      </c>
      <c r="AL74" s="39" t="n">
        <f aca="false">AL73-LN(AG74/AG73)*(AK73+AK74)/2</f>
        <v>115821.517570521</v>
      </c>
      <c r="AM74" s="39" t="n">
        <f aca="false">Sheet1!M$10*10/Sheet1!M$11*1000*AL74/(Sheet1!M$10*10/Sheet1!M$11*1000-AL74)</f>
        <v>118449.682705912</v>
      </c>
      <c r="AN74" s="41"/>
      <c r="AO74" s="37" t="n">
        <f aca="false">AO73+(AO$77-AO$69)/8</f>
        <v>-3</v>
      </c>
      <c r="AP74" s="40" t="n">
        <f aca="false">10^AO74</f>
        <v>0.000999999999999999</v>
      </c>
      <c r="AQ74" s="39" t="n">
        <f aca="false">AS74-AR74*((Sheet1!R$19-Sheet1!R$20)*COS(RADIANS(38))+Sheet1!R$20)/2</f>
        <v>140.128908794043</v>
      </c>
      <c r="AR74" s="37" t="n">
        <f aca="false">(AV74-AV$51)/(AV$116-AV$51)*(AR$116-AR$51)+AR$51</f>
        <v>0.0454436197164509</v>
      </c>
      <c r="AS74" s="39" t="n">
        <f aca="false">(AV74-AV$69)/(AV$77-AV$69)*(AS$77-AS$69)+AS$69</f>
        <v>141.577755227937</v>
      </c>
      <c r="AT74" s="39" t="n">
        <f aca="false">8314.4621*AS74/(Sheet1!R$22*Sheet1!R$12*9.80665)</f>
        <v>9946.20620750777</v>
      </c>
      <c r="AU74" s="39" t="n">
        <f aca="false">AU73-LN(AP74/AP73)*(AT73+AT74)/2</f>
        <v>170480.631350618</v>
      </c>
      <c r="AV74" s="39" t="n">
        <f aca="false">Sheet1!R$10*10/Sheet1!R$11*1000*AU74/(Sheet1!R$10*10/Sheet1!R$11*1000-AU74)</f>
        <v>174793.052470869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2543.92042212165</v>
      </c>
      <c r="T75" s="37" t="n">
        <f aca="false">(X75-X$54)/(X$100-X$54)*(T$100-T$54)+T$54</f>
        <v>1.46723802989091</v>
      </c>
      <c r="U75" s="39" t="n">
        <f aca="false">(X75-X$54)/(X$77-X$54)*(U$77-U$54)+U$54</f>
        <v>2616.84574147447</v>
      </c>
      <c r="V75" s="39" t="n">
        <f aca="false">8314.4621*U75/(Sheet1!H$20*Sheet1!H$12*9.80665)</f>
        <v>287143.729088682</v>
      </c>
      <c r="W75" s="39" t="n">
        <f aca="false">W74-LN(R75/R74)*(V74+V75)/2</f>
        <v>4664558.08002815</v>
      </c>
      <c r="X75" s="39" t="n">
        <f aca="false">Sheet1!H$10*10/Sheet1!H$11*1000*W75/(Sheet1!H$10*10/Sheet1!H$11*1000-W75)</f>
        <v>4877132.0445758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203.075221940538</v>
      </c>
      <c r="AI75" s="37" t="n">
        <f aca="false">(AM75-AM$62)/(AM$95-AM$62)*(AI$95-AI$62)+AI$62</f>
        <v>0.2</v>
      </c>
      <c r="AJ75" s="39" t="n">
        <f aca="false">0.058*(320*LOG(Sheet1!M15)-AJ62)+AJ62</f>
        <v>204.005630543424</v>
      </c>
      <c r="AK75" s="39" t="n">
        <f aca="false">8314.4621*AJ75/(Sheet1!M$21*Sheet1!M$12*9.80665)</f>
        <v>7447.63893509977</v>
      </c>
      <c r="AL75" s="39" t="n">
        <f aca="false">AL74-LN(AG75/AG74)*(AK74+AK75)/2</f>
        <v>117505.199939777</v>
      </c>
      <c r="AM75" s="39" t="n">
        <f aca="false">Sheet1!M$10*10/Sheet1!M$11*1000*AL75/(Sheet1!M$10*10/Sheet1!M$11*1000-AL75)</f>
        <v>120211.223670115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140.983618495984</v>
      </c>
      <c r="AR75" s="37" t="n">
        <f aca="false">(AV75-AV$51)/(AV$116-AV$51)*(AR$116-AR$51)+AR$51</f>
        <v>0.0473462558683323</v>
      </c>
      <c r="AS75" s="39" t="n">
        <f aca="false">(AV75-AV$69)/(AV$77-AV$69)*(AS$77-AS$69)+AS$69</f>
        <v>142.493125317868</v>
      </c>
      <c r="AT75" s="39" t="n">
        <f aca="false">8314.4621*AS75/(Sheet1!R$22*Sheet1!R$12*9.80665)</f>
        <v>10010.5133414638</v>
      </c>
      <c r="AU75" s="39" t="n">
        <f aca="false">AU74-LN(AP75/AP74)*(AT74+AT75)/2</f>
        <v>172778.233597544</v>
      </c>
      <c r="AV75" s="39" t="n">
        <f aca="false">Sheet1!R$10*10/Sheet1!R$11*1000*AU75/(Sheet1!R$10*10/Sheet1!R$11*1000-AU75)</f>
        <v>177209.187340815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2537.24517636724</v>
      </c>
      <c r="T76" s="37" t="n">
        <f aca="false">(X76-X$54)/(X$100-X$54)*(T$100-T$54)+T$54</f>
        <v>1.48928986953225</v>
      </c>
      <c r="U76" s="39" t="n">
        <f aca="false">(X76-X$54)/(X$77-X$54)*(U$77-U$54)+U$54</f>
        <v>2611.26652609509</v>
      </c>
      <c r="V76" s="39" t="n">
        <f aca="false">8314.4621*U76/(Sheet1!H$20*Sheet1!H$12*9.80665)</f>
        <v>286531.527656999</v>
      </c>
      <c r="W76" s="39" t="n">
        <f aca="false">W75-LN(R76/R75)*(V75+V76)/2</f>
        <v>4730604.88474826</v>
      </c>
      <c r="X76" s="39" t="n">
        <f aca="false">Sheet1!H$10*10/Sheet1!H$11*1000*W76/(Sheet1!H$10*10/Sheet1!H$11*1000-W76)</f>
        <v>4949382.42811323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220.334016633362</v>
      </c>
      <c r="AI76" s="37" t="n">
        <f aca="false">(AM76-AM$62)/(AM$95-AM$62)*(AI$95-AI$62)+AI$62</f>
        <v>0.2</v>
      </c>
      <c r="AJ76" s="39" t="n">
        <f aca="false">(AM76-AM$75)/(AM$80-AM$75)*(AJ$80-AJ$75)+AJ$75</f>
        <v>221.264425236247</v>
      </c>
      <c r="AK76" s="39" t="n">
        <f aca="false">8314.4621*AJ76/(Sheet1!M$21*Sheet1!M$12*9.80665)</f>
        <v>8077.70620816851</v>
      </c>
      <c r="AL76" s="39" t="n">
        <f aca="false">AL74-LN(AG76/AG74)*(AK74+AK76)/2</f>
        <v>119333.960660089</v>
      </c>
      <c r="AM76" s="39" t="n">
        <f aca="false">Sheet1!M$10*10/Sheet1!M$11*1000*AL76/(Sheet1!M$10*10/Sheet1!M$11*1000-AL76)</f>
        <v>122125.869414159</v>
      </c>
      <c r="AN76" s="41"/>
      <c r="AO76" s="37" t="n">
        <f aca="false">AO75+(AO$77-AO$69)/8</f>
        <v>-3.2</v>
      </c>
      <c r="AP76" s="40" t="n">
        <f aca="false">10^AO76</f>
        <v>0.000630957344480192</v>
      </c>
      <c r="AQ76" s="39" t="n">
        <f aca="false">AS76-AR76*((Sheet1!R$19-Sheet1!R$20)*COS(RADIANS(38))+Sheet1!R$20)/2</f>
        <v>141.844445056897</v>
      </c>
      <c r="AR76" s="37" t="n">
        <f aca="false">(AV76-AV$51)/(AV$116-AV$51)*(AR$116-AR$51)+AR$51</f>
        <v>0.0492625085229764</v>
      </c>
      <c r="AS76" s="39" t="n">
        <f aca="false">(AV76-AV$69)/(AV$77-AV$69)*(AS$77-AS$69)+AS$69</f>
        <v>143.415046391992</v>
      </c>
      <c r="AT76" s="39" t="n">
        <f aca="false">8314.4621*AS76/(Sheet1!R$22*Sheet1!R$12*9.80665)</f>
        <v>10075.280699129</v>
      </c>
      <c r="AU76" s="39" t="n">
        <f aca="false">AU75-LN(AP76/AP75)*(AT75+AT76)/2</f>
        <v>175090.696094485</v>
      </c>
      <c r="AV76" s="39" t="n">
        <f aca="false">Sheet1!R$10*10/Sheet1!R$11*1000*AU76/(Sheet1!R$10*10/Sheet1!R$11*1000-AU76)</f>
        <v>179642.613644596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2533.9096126266</v>
      </c>
      <c r="T77" s="37" t="n">
        <f aca="false">(X77-X$54)/(X$100-X$54)*(T$100-T$54)+T$54</f>
        <v>1.50030880296227</v>
      </c>
      <c r="U77" s="39" t="n">
        <f aca="false">70/610*(U$170-U$54)+U$54</f>
        <v>2608.47863030126</v>
      </c>
      <c r="V77" s="39" t="n">
        <f aca="false">8314.4621*U77/(Sheet1!H$20*Sheet1!H$12*9.80665)</f>
        <v>286225.614785688</v>
      </c>
      <c r="W77" s="39" t="n">
        <f aca="false">W76-LN(R77/R76)*(V76+V77)/2</f>
        <v>4763575.43620062</v>
      </c>
      <c r="X77" s="39" t="n">
        <f aca="false">Sheet1!H$10*10/Sheet1!H$11*1000*W77/(Sheet1!H$10*10/Sheet1!H$11*1000-W77)</f>
        <v>4985484.72975524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2533.9096126266</v>
      </c>
      <c r="AA77" s="39" t="n">
        <f aca="false">IF(Y77=LOG(Sheet1!H$17*101325),(LOG(Sheet1!H$17*101325)-Q87)/(Q77-Q87)*(X77-X87)+X87,IF(Y77=0,0,X77))</f>
        <v>4985484.72975524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238.626336069997</v>
      </c>
      <c r="AI77" s="37" t="n">
        <f aca="false">(AM77-AM$62)/(AM$95-AM$62)*(AI$95-AI$62)+AI$62</f>
        <v>0.2</v>
      </c>
      <c r="AJ77" s="39" t="n">
        <f aca="false">(AM77-AM$75)/(AM$80-AM$75)*(AJ$80-AJ$75)+AJ$75</f>
        <v>239.556744672882</v>
      </c>
      <c r="AK77" s="39" t="n">
        <f aca="false">8314.4621*AJ77/(Sheet1!M$21*Sheet1!M$12*9.80665)</f>
        <v>8745.50439631982</v>
      </c>
      <c r="AL77" s="39" t="n">
        <f aca="false">AL76-LN(AG77/AG76)*(AK76+AK77)/2</f>
        <v>121270.804357798</v>
      </c>
      <c r="AM77" s="39" t="n">
        <f aca="false">Sheet1!M$10*10/Sheet1!M$11*1000*AL77/(Sheet1!M$10*10/Sheet1!M$11*1000-AL77)</f>
        <v>124155.171702147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142.711440135442</v>
      </c>
      <c r="AR77" s="37" t="n">
        <f aca="false">(AV77-AV$51)/(AV$116-AV$51)*(AR$116-AR$51)+AR$51</f>
        <v>0.0511924926757213</v>
      </c>
      <c r="AS77" s="39" t="n">
        <f aca="false">AS69+0.05*(AS116-AS69)</f>
        <v>144.343573775284</v>
      </c>
      <c r="AT77" s="39" t="n">
        <f aca="false">8314.4621*AS77/(Sheet1!R$22*Sheet1!R$12*9.80665)</f>
        <v>10140.512167227</v>
      </c>
      <c r="AU77" s="39" t="n">
        <f aca="false">AU76-LN(AP77/AP76)*(AT76+AT77)/2</f>
        <v>177418.125259341</v>
      </c>
      <c r="AV77" s="39" t="n">
        <f aca="false">Sheet1!R$10*10/Sheet1!R$11*1000*AU77/(Sheet1!R$10*10/Sheet1!R$11*1000-AU77)</f>
        <v>182093.477413414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2533.28131406303</v>
      </c>
      <c r="T78" s="37" t="n">
        <f aca="false">(X78-X$54)/(X$100-X$54)*(T$100-T$54)+T$54</f>
        <v>1.51132878311916</v>
      </c>
      <c r="U78" s="39" t="n">
        <f aca="false">(X78-X$77)/(X$90-X$77)*(U$90-U$77)+U$77</f>
        <v>2608.39805170939</v>
      </c>
      <c r="V78" s="39" t="n">
        <f aca="false">8314.4621*U78/(Sheet1!H$20*Sheet1!H$12*9.80665)</f>
        <v>286216.772981608</v>
      </c>
      <c r="W78" s="39" t="n">
        <f aca="false">W77-LN(R78/R77)*(V77+V78)/2</f>
        <v>4796527.86891739</v>
      </c>
      <c r="X78" s="39" t="n">
        <f aca="false">Sheet1!H$10*10/Sheet1!H$11*1000*W78/(Sheet1!H$10*10/Sheet1!H$11*1000-W78)</f>
        <v>5021590.46088061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258.447237128363</v>
      </c>
      <c r="AI78" s="37" t="n">
        <f aca="false">(AM78-AM$62)/(AM$95-AM$62)*(AI$95-AI$62)+AI$62</f>
        <v>0.2</v>
      </c>
      <c r="AJ78" s="39" t="n">
        <f aca="false">(AM78-AM$75)/(AM$80-AM$75)*(AJ$80-AJ$75)+AJ$75</f>
        <v>259.377645731248</v>
      </c>
      <c r="AK78" s="39" t="n">
        <f aca="false">8314.4621*AJ78/(Sheet1!M$21*Sheet1!M$12*9.80665)</f>
        <v>9469.10655405353</v>
      </c>
      <c r="AL78" s="39" t="n">
        <f aca="false">AL77-LN(AG78/AG77)*(AK77+AK78)/2</f>
        <v>123367.838940249</v>
      </c>
      <c r="AM78" s="39" t="n">
        <f aca="false">Sheet1!M$10*10/Sheet1!M$11*1000*AL78/(Sheet1!M$10*10/Sheet1!M$11*1000-AL78)</f>
        <v>126354.050855064</v>
      </c>
      <c r="AN78" s="41"/>
      <c r="AO78" s="37" t="n">
        <f aca="false">AO77+(AO$86-AO$77)/9</f>
        <v>-3.38888888888889</v>
      </c>
      <c r="AP78" s="40" t="n">
        <f aca="false">10^AO78</f>
        <v>0.000408423865267452</v>
      </c>
      <c r="AQ78" s="39" t="n">
        <f aca="false">AS78-AR78*((Sheet1!R$19-Sheet1!R$20)*COS(RADIANS(38))+Sheet1!R$20)/2</f>
        <v>146.017783316882</v>
      </c>
      <c r="AR78" s="37" t="n">
        <f aca="false">(AV78-AV$51)/(AV$116-AV$51)*(AR$116-AR$51)+AR$51</f>
        <v>0.0529347577463186</v>
      </c>
      <c r="AS78" s="39" t="n">
        <f aca="false">(AV78-AV$77)/(AV$86-AV$77)*(AS$86-AS$77)+AS$77</f>
        <v>147.705464348198</v>
      </c>
      <c r="AT78" s="39" t="n">
        <f aca="false">8314.4621*AS78/(Sheet1!R$22*Sheet1!R$12*9.80665)</f>
        <v>10376.6937399003</v>
      </c>
      <c r="AU78" s="39" t="n">
        <f aca="false">AU77-LN(AP78/AP77)*(AT77+AT78)/2</f>
        <v>179517.796924748</v>
      </c>
      <c r="AV78" s="39" t="n">
        <f aca="false">Sheet1!R$10*10/Sheet1!R$11*1000*AU78/(Sheet1!R$10*10/Sheet1!R$11*1000-AU78)</f>
        <v>184305.958967281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2532.02355929075</v>
      </c>
      <c r="T79" s="37" t="n">
        <f aca="false">(X79-X$54)/(X$100-X$54)*(T$100-T$54)+T$54</f>
        <v>1.53338904783009</v>
      </c>
      <c r="U79" s="39" t="n">
        <f aca="false">(X79-X$77)/(X$90-X$77)*(U$90-U$77)+U$77</f>
        <v>2608.23674605871</v>
      </c>
      <c r="V79" s="39" t="n">
        <f aca="false">8314.4621*U79/(Sheet1!H$20*Sheet1!H$12*9.80665)</f>
        <v>286199.073082327</v>
      </c>
      <c r="W79" s="39" t="n">
        <f aca="false">W78-LN(R79/R78)*(V78+V79)/2</f>
        <v>4862429.67862441</v>
      </c>
      <c r="X79" s="39" t="n">
        <f aca="false">Sheet1!H$10*10/Sheet1!H$11*1000*W79/(Sheet1!H$10*10/Sheet1!H$11*1000-W79)</f>
        <v>5093868.44821523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279.927278938035</v>
      </c>
      <c r="AI79" s="37" t="n">
        <f aca="false">(AM79-AM$62)/(AM$95-AM$62)*(AI$95-AI$62)+AI$62</f>
        <v>0.2</v>
      </c>
      <c r="AJ79" s="39" t="n">
        <f aca="false">(AM79-AM$75)/(AM$80-AM$75)*(AJ$80-AJ$75)+AJ$75</f>
        <v>280.85768754092</v>
      </c>
      <c r="AK79" s="39" t="n">
        <f aca="false">8314.4621*AJ79/(Sheet1!M$21*Sheet1!M$12*9.80665)</f>
        <v>10253.2790069566</v>
      </c>
      <c r="AL79" s="39" t="n">
        <f aca="false">AL78-LN(AG79/AG78)*(AK78+AK79)/2</f>
        <v>125638.462489802</v>
      </c>
      <c r="AM79" s="39" t="n">
        <f aca="false">Sheet1!M$10*10/Sheet1!M$11*1000*AL79/(Sheet1!M$10*10/Sheet1!M$11*1000-AL79)</f>
        <v>128736.990762791</v>
      </c>
      <c r="AN79" s="41"/>
      <c r="AO79" s="37" t="n">
        <f aca="false">AO78+(AO$86-AO$77)/9</f>
        <v>-3.47777777777778</v>
      </c>
      <c r="AP79" s="40" t="n">
        <f aca="false">10^AO79</f>
        <v>0.000332829813945462</v>
      </c>
      <c r="AQ79" s="39" t="n">
        <f aca="false">AS79-AR79*((Sheet1!R$19-Sheet1!R$20)*COS(RADIANS(38))+Sheet1!R$20)/2</f>
        <v>149.403295317311</v>
      </c>
      <c r="AR79" s="37" t="n">
        <f aca="false">(AV79-AV$51)/(AV$116-AV$51)*(AR$116-AR$51)+AR$51</f>
        <v>0.0547187405275213</v>
      </c>
      <c r="AS79" s="39" t="n">
        <f aca="false">(AV79-AV$77)/(AV$86-AV$77)*(AS$86-AS$77)+AS$77</f>
        <v>151.14785379604</v>
      </c>
      <c r="AT79" s="39" t="n">
        <f aca="false">8314.4621*AS79/(Sheet1!R$22*Sheet1!R$12*9.80665)</f>
        <v>10618.5305682894</v>
      </c>
      <c r="AU79" s="39" t="n">
        <f aca="false">AU78-LN(AP79/AP78)*(AT78+AT79)/2</f>
        <v>181666.387614352</v>
      </c>
      <c r="AV79" s="39" t="n">
        <f aca="false">Sheet1!R$10*10/Sheet1!R$11*1000*AU79/(Sheet1!R$10*10/Sheet1!R$11*1000-AU79)</f>
        <v>186571.417342381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2530.76425869811</v>
      </c>
      <c r="T80" s="37" t="n">
        <f aca="false">(X80-X$54)/(X$100-X$54)*(T$100-T$54)+T$54</f>
        <v>1.55547642529893</v>
      </c>
      <c r="U80" s="39" t="n">
        <f aca="false">(X80-X$77)/(X$90-X$77)*(U$90-U$77)+U$77</f>
        <v>2608.07524215806</v>
      </c>
      <c r="V80" s="39" t="n">
        <f aca="false">8314.4621*U80/(Sheet1!H$20*Sheet1!H$12*9.80665)</f>
        <v>286181.351429285</v>
      </c>
      <c r="W80" s="39" t="n">
        <f aca="false">W79-LN(R80/R79)*(V79+V80)/2</f>
        <v>4928327.41027451</v>
      </c>
      <c r="X80" s="39" t="n">
        <f aca="false">Sheet1!H$10*10/Sheet1!H$11*1000*W80/(Sheet1!H$10*10/Sheet1!H$11*1000-W80)</f>
        <v>5166235.26746547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303.208662407699</v>
      </c>
      <c r="AI80" s="37" t="n">
        <f aca="false">(AM80-AM$62)/(AM$95-AM$62)*(AI$95-AI$62)+AI$62</f>
        <v>0.2</v>
      </c>
      <c r="AJ80" s="39" t="n">
        <f aca="false">0.18*(320*LOG(Sheet1!M15)-AJ62)+AJ62</f>
        <v>304.139071010585</v>
      </c>
      <c r="AK80" s="39" t="n">
        <f aca="false">8314.4621*AJ80/(Sheet1!M$21*Sheet1!M$12*9.80665)</f>
        <v>11103.2130873533</v>
      </c>
      <c r="AL80" s="39" t="n">
        <f aca="false">AL79-LN(AG80/AG79)*(AK79+AK80)/2</f>
        <v>128097.219506552</v>
      </c>
      <c r="AM80" s="39" t="n">
        <f aca="false">Sheet1!M$10*10/Sheet1!M$11*1000*AL80/(Sheet1!M$10*10/Sheet1!M$11*1000-AL80)</f>
        <v>131319.766823868</v>
      </c>
      <c r="AN80" s="41"/>
      <c r="AO80" s="37" t="n">
        <f aca="false">AO79+(AO$86-AO$77)/9</f>
        <v>-3.56666666666667</v>
      </c>
      <c r="AP80" s="40" t="n">
        <f aca="false">10^AO80</f>
        <v>0.000271227257933203</v>
      </c>
      <c r="AQ80" s="39" t="n">
        <f aca="false">AS80-AR80*((Sheet1!R$19-Sheet1!R$20)*COS(RADIANS(38))+Sheet1!R$20)/2</f>
        <v>152.869974527291</v>
      </c>
      <c r="AR80" s="37" t="n">
        <f aca="false">(AV80-AV$51)/(AV$116-AV$51)*(AR$116-AR$51)+AR$51</f>
        <v>0.0565454940637</v>
      </c>
      <c r="AS80" s="39" t="n">
        <f aca="false">(AV80-AV$77)/(AV$86-AV$77)*(AS$86-AS$77)+AS$77</f>
        <v>154.672774082832</v>
      </c>
      <c r="AT80" s="39" t="n">
        <f aca="false">8314.4621*AS80/(Sheet1!R$22*Sheet1!R$12*9.80665)</f>
        <v>10866.1654031617</v>
      </c>
      <c r="AU80" s="39" t="n">
        <f aca="false">AU79-LN(AP80/AP79)*(AT79+AT80)/2</f>
        <v>183865.069421969</v>
      </c>
      <c r="AV80" s="39" t="n">
        <f aca="false">Sheet1!R$10*10/Sheet1!R$11*1000*AU80/(Sheet1!R$10*10/Sheet1!R$11*1000-AU80)</f>
        <v>188891.189787151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2529.50340953679</v>
      </c>
      <c r="T81" s="37" t="n">
        <f aca="false">(X81-X$54)/(X$100-X$54)*(T$100-T$54)+T$54</f>
        <v>1.57759096372931</v>
      </c>
      <c r="U81" s="39" t="n">
        <f aca="false">(X81-X$77)/(X$90-X$77)*(U$90-U$77)+U$77</f>
        <v>2607.91353965496</v>
      </c>
      <c r="V81" s="39" t="n">
        <f aca="false">8314.4621*U81/(Sheet1!H$20*Sheet1!H$12*9.80665)</f>
        <v>286163.607983805</v>
      </c>
      <c r="W81" s="39" t="n">
        <f aca="false">W80-LN(R81/R80)*(V80+V81)/2</f>
        <v>4994221.05885425</v>
      </c>
      <c r="X81" s="39" t="n">
        <f aca="false">Sheet1!H$10*10/Sheet1!H$11*1000*W81/(Sheet1!H$10*10/Sheet1!H$11*1000-W81)</f>
        <v>5238691.07656508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324.021688228308</v>
      </c>
      <c r="AI81" s="37" t="n">
        <f aca="false">(AM81-AM$62)/(AM$95-AM$62)*(AI$95-AI$62)+AI$62</f>
        <v>0.2</v>
      </c>
      <c r="AJ81" s="39" t="n">
        <f aca="false">(AM81-AM$80)/(AM$95-AM$80)*(AJ$95-AJ$80)+AJ$80</f>
        <v>324.952096831194</v>
      </c>
      <c r="AK81" s="39" t="n">
        <f aca="false">8314.4621*AJ81/(Sheet1!M$21*Sheet1!M$12*9.80665)</f>
        <v>11863.0347699505</v>
      </c>
      <c r="AL81" s="39" t="n">
        <f aca="false">AL80-LN(AG81/AG80)*(AK80+AK81)/2</f>
        <v>130741.306504464</v>
      </c>
      <c r="AM81" s="39" t="n">
        <f aca="false">Sheet1!M$10*10/Sheet1!M$11*1000*AL81/(Sheet1!M$10*10/Sheet1!M$11*1000-AL81)</f>
        <v>134100.005728841</v>
      </c>
      <c r="AN81" s="41"/>
      <c r="AO81" s="37" t="n">
        <f aca="false">AO80+(AO$86-AO$77)/9</f>
        <v>-3.65555555555556</v>
      </c>
      <c r="AP81" s="40" t="n">
        <f aca="false">10^AO81</f>
        <v>0.000221026549797064</v>
      </c>
      <c r="AQ81" s="39" t="n">
        <f aca="false">AS81-AR81*((Sheet1!R$19-Sheet1!R$20)*COS(RADIANS(38))+Sheet1!R$20)/2</f>
        <v>156.419874690996</v>
      </c>
      <c r="AR81" s="37" t="n">
        <f aca="false">(AV81-AV$51)/(AV$116-AV$51)*(AR$116-AR$51)+AR$51</f>
        <v>0.0584161005676011</v>
      </c>
      <c r="AS81" s="39" t="n">
        <f aca="false">(AV81-AV$77)/(AV$86-AV$77)*(AS$86-AS$77)+AS$77</f>
        <v>158.282313456162</v>
      </c>
      <c r="AT81" s="39" t="n">
        <f aca="false">8314.4621*AS81/(Sheet1!R$22*Sheet1!R$12*9.80665)</f>
        <v>11119.7449493514</v>
      </c>
      <c r="AU81" s="39" t="n">
        <f aca="false">AU80-LN(AP81/AP80)*(AT80+AT81)/2</f>
        <v>186115.044063462</v>
      </c>
      <c r="AV81" s="39" t="n">
        <f aca="false">Sheet1!R$10*10/Sheet1!R$11*1000*AU81/(Sheet1!R$10*10/Sheet1!R$11*1000-AU81)</f>
        <v>191266.650590602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2528.24100905217</v>
      </c>
      <c r="T82" s="37" t="n">
        <f aca="false">(X82-X$54)/(X$100-X$54)*(T$100-T$54)+T$54</f>
        <v>1.59973271143558</v>
      </c>
      <c r="U82" s="39" t="n">
        <f aca="false">(X82-X$77)/(X$90-X$77)*(U$90-U$77)+U$77</f>
        <v>2607.75163819615</v>
      </c>
      <c r="V82" s="39" t="n">
        <f aca="false">8314.4621*U82/(Sheet1!H$20*Sheet1!H$12*9.80665)</f>
        <v>286145.842707124</v>
      </c>
      <c r="W82" s="39" t="n">
        <f aca="false">W81-LN(R82/R81)*(V81+V82)/2</f>
        <v>5060110.61934128</v>
      </c>
      <c r="X82" s="39" t="n">
        <f aca="false">Sheet1!H$10*10/Sheet1!H$11*1000*W82/(Sheet1!H$10*10/Sheet1!H$11*1000-W82)</f>
        <v>5311236.03381066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346.283733274548</v>
      </c>
      <c r="AI82" s="37" t="n">
        <f aca="false">(AM82-AM$62)/(AM$95-AM$62)*(AI$95-AI$62)+AI$62</f>
        <v>0.2</v>
      </c>
      <c r="AJ82" s="39" t="n">
        <f aca="false">(AM82-AM$80)/(AM$95-AM$80)*(AJ$95-AJ$80)+AJ$80</f>
        <v>347.214141877433</v>
      </c>
      <c r="AK82" s="39" t="n">
        <f aca="false">8314.4621*AJ82/(Sheet1!M$21*Sheet1!M$12*9.80665)</f>
        <v>12675.7558356371</v>
      </c>
      <c r="AL82" s="39" t="n">
        <f aca="false">AL81-LN(AG82/AG81)*(AK81+AK82)/2</f>
        <v>133566.439176891</v>
      </c>
      <c r="AM82" s="39" t="n">
        <f aca="false">Sheet1!M$10*10/Sheet1!M$11*1000*AL82/(Sheet1!M$10*10/Sheet1!M$11*1000-AL82)</f>
        <v>137073.807052842</v>
      </c>
      <c r="AN82" s="41"/>
      <c r="AO82" s="37" t="n">
        <f aca="false">AO81+(AO$86-AO$77)/9</f>
        <v>-3.74444444444444</v>
      </c>
      <c r="AP82" s="40" t="n">
        <f aca="false">10^AO82</f>
        <v>0.000180117352833413</v>
      </c>
      <c r="AQ82" s="39" t="n">
        <f aca="false">AS82-AR82*((Sheet1!R$19-Sheet1!R$20)*COS(RADIANS(38))+Sheet1!R$20)/2</f>
        <v>160.055106673635</v>
      </c>
      <c r="AR82" s="37" t="n">
        <f aca="false">(AV82-AV$51)/(AV$116-AV$51)*(AR$116-AR$51)+AR$51</f>
        <v>0.0603316723516871</v>
      </c>
      <c r="AS82" s="39" t="n">
        <f aca="false">(AV82-AV$77)/(AV$86-AV$77)*(AS$86-AS$77)+AS$77</f>
        <v>161.978618244303</v>
      </c>
      <c r="AT82" s="39" t="n">
        <f aca="false">8314.4621*AS82/(Sheet1!R$22*Sheet1!R$12*9.80665)</f>
        <v>11379.4199920123</v>
      </c>
      <c r="AU82" s="39" t="n">
        <f aca="false">AU81-LN(AP82/AP81)*(AT81+AT82)/2</f>
        <v>188417.543698964</v>
      </c>
      <c r="AV82" s="39" t="n">
        <f aca="false">Sheet1!R$10*10/Sheet1!R$11*1000*AU82/(Sheet1!R$10*10/Sheet1!R$11*1000-AU82)</f>
        <v>193699.212265013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2526.97705448331</v>
      </c>
      <c r="T83" s="37" t="n">
        <f aca="false">(X83-X$54)/(X$100-X$54)*(T$100-T$54)+T$54</f>
        <v>1.62190171684317</v>
      </c>
      <c r="U83" s="39" t="n">
        <f aca="false">(X83-X$77)/(X$90-X$77)*(U$90-U$77)+U$77</f>
        <v>2607.58953742752</v>
      </c>
      <c r="V83" s="39" t="n">
        <f aca="false">8314.4621*U83/(Sheet1!H$20*Sheet1!H$12*9.80665)</f>
        <v>286128.055560387</v>
      </c>
      <c r="W83" s="39" t="n">
        <f aca="false">W82-LN(R83/R82)*(V82+V83)/2</f>
        <v>5125996.0867043</v>
      </c>
      <c r="X83" s="39" t="n">
        <f aca="false">Sheet1!H$10*10/Sheet1!H$11*1000*W83/(Sheet1!H$10*10/Sheet1!H$11*1000-W83)</f>
        <v>5383870.29786266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370.099205795243</v>
      </c>
      <c r="AI83" s="37" t="n">
        <f aca="false">(AM83-AM$62)/(AM$95-AM$62)*(AI$95-AI$62)+AI$62</f>
        <v>0.2</v>
      </c>
      <c r="AJ83" s="39" t="n">
        <f aca="false">(AM83-AM$80)/(AM$95-AM$80)*(AJ$95-AJ$80)+AJ$80</f>
        <v>371.029614398128</v>
      </c>
      <c r="AK83" s="39" t="n">
        <f aca="false">8314.4621*AJ83/(Sheet1!M$21*Sheet1!M$12*9.80665)</f>
        <v>13545.1879191068</v>
      </c>
      <c r="AL83" s="39" t="n">
        <f aca="false">AL82-LN(AG83/AG82)*(AK82+AK83)/2</f>
        <v>136585.236887586</v>
      </c>
      <c r="AM83" s="39" t="n">
        <f aca="false">Sheet1!M$10*10/Sheet1!M$11*1000*AL83/(Sheet1!M$10*10/Sheet1!M$11*1000-AL83)</f>
        <v>140255.117824906</v>
      </c>
      <c r="AN83" s="41"/>
      <c r="AO83" s="37" t="n">
        <f aca="false">AO82+(AO$86-AO$77)/9</f>
        <v>-3.83333333333333</v>
      </c>
      <c r="AP83" s="40" t="n">
        <f aca="false">10^AO83</f>
        <v>0.000146779926762207</v>
      </c>
      <c r="AQ83" s="39" t="n">
        <f aca="false">AS83-AR83*((Sheet1!R$19-Sheet1!R$20)*COS(RADIANS(38))+Sheet1!R$20)/2</f>
        <v>163.777840296341</v>
      </c>
      <c r="AR83" s="37" t="n">
        <f aca="false">(AV83-AV$51)/(AV$116-AV$51)*(AR$116-AR$51)+AR$51</f>
        <v>0.0622933527950205</v>
      </c>
      <c r="AS83" s="39" t="n">
        <f aca="false">(AV83-AV$77)/(AV$86-AV$77)*(AS$86-AS$77)+AS$77</f>
        <v>165.763894721925</v>
      </c>
      <c r="AT83" s="39" t="n">
        <f aca="false">8314.4621*AS83/(Sheet1!R$22*Sheet1!R$12*9.80665)</f>
        <v>11645.3455276888</v>
      </c>
      <c r="AU83" s="39" t="n">
        <f aca="false">AU82-LN(AP83/AP82)*(AT82+AT83)/2</f>
        <v>190773.831781424</v>
      </c>
      <c r="AV83" s="39" t="n">
        <f aca="false">Sheet1!R$10*10/Sheet1!R$11*1000*AU83/(Sheet1!R$10*10/Sheet1!R$11*1000-AU83)</f>
        <v>196190.326773766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2525.7115430629</v>
      </c>
      <c r="T84" s="37" t="n">
        <f aca="false">(X84-X$54)/(X$100-X$54)*(T$100-T$54)+T$54</f>
        <v>1.64409802848883</v>
      </c>
      <c r="U84" s="39" t="n">
        <f aca="false">(X84-X$77)/(X$90-X$77)*(U$90-U$77)+U$77</f>
        <v>2607.42723699417</v>
      </c>
      <c r="V84" s="39" t="n">
        <f aca="false">8314.4621*U84/(Sheet1!H$20*Sheet1!H$12*9.80665)</f>
        <v>286110.246504651</v>
      </c>
      <c r="W84" s="39" t="n">
        <f aca="false">W83-LN(R84/R83)*(V83+V84)/2</f>
        <v>5191877.45590306</v>
      </c>
      <c r="X84" s="39" t="n">
        <f aca="false">Sheet1!H$10*10/Sheet1!H$11*1000*W84/(Sheet1!H$10*10/Sheet1!H$11*1000-W84)</f>
        <v>5456594.02774637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395.580542537163</v>
      </c>
      <c r="AI84" s="37" t="n">
        <f aca="false">(AM84-AM$62)/(AM$95-AM$62)*(AI$95-AI$62)+AI$62</f>
        <v>0.2</v>
      </c>
      <c r="AJ84" s="39" t="n">
        <f aca="false">(AM84-AM$80)/(AM$95-AM$80)*(AJ$95-AJ$80)+AJ$80</f>
        <v>396.510951140048</v>
      </c>
      <c r="AK84" s="39" t="n">
        <f aca="false">8314.4621*AJ84/(Sheet1!M$21*Sheet1!M$12*9.80665)</f>
        <v>14475.4357516396</v>
      </c>
      <c r="AL84" s="39" t="n">
        <f aca="false">AL83-LN(AG84/AG83)*(AK83+AK84)/2</f>
        <v>139811.230405619</v>
      </c>
      <c r="AM84" s="39" t="n">
        <f aca="false">Sheet1!M$10*10/Sheet1!M$11*1000*AL84/(Sheet1!M$10*10/Sheet1!M$11*1000-AL84)</f>
        <v>143658.957534289</v>
      </c>
      <c r="AN84" s="41"/>
      <c r="AO84" s="37" t="n">
        <f aca="false">AO83+(AO$86-AO$77)/9</f>
        <v>-3.92222222222222</v>
      </c>
      <c r="AP84" s="40" t="n">
        <f aca="false">10^AO84</f>
        <v>0.000119612833307875</v>
      </c>
      <c r="AQ84" s="39" t="n">
        <f aca="false">AS84-AR84*((Sheet1!R$19-Sheet1!R$20)*COS(RADIANS(38))+Sheet1!R$20)/2</f>
        <v>167.590306241589</v>
      </c>
      <c r="AR84" s="37" t="n">
        <f aca="false">(AV84-AV$51)/(AV$116-AV$51)*(AR$116-AR$51)+AR$51</f>
        <v>0.0643023173473191</v>
      </c>
      <c r="AS84" s="39" t="n">
        <f aca="false">(AV84-AV$77)/(AV$86-AV$77)*(AS$86-AS$77)+AS$77</f>
        <v>169.640411047524</v>
      </c>
      <c r="AT84" s="39" t="n">
        <f aca="false">8314.4621*AS84/(Sheet1!R$22*Sheet1!R$12*9.80665)</f>
        <v>11917.6809004252</v>
      </c>
      <c r="AU84" s="39" t="n">
        <f aca="false">AU83-LN(AP84/AP83)*(AT83+AT84)/2</f>
        <v>193185.2039325</v>
      </c>
      <c r="AV84" s="39" t="n">
        <f aca="false">Sheet1!R$10*10/Sheet1!R$11*1000*AU84/(Sheet1!R$10*10/Sheet1!R$11*1000-AU84)</f>
        <v>198741.486806384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2524.44447201728</v>
      </c>
      <c r="T85" s="37" t="n">
        <f aca="false">(X85-X$54)/(X$100-X$54)*(T$100-T$54)+T$54</f>
        <v>1.66632169502103</v>
      </c>
      <c r="U85" s="39" t="n">
        <f aca="false">(X85-X$77)/(X$90-X$77)*(U$90-U$77)+U$77</f>
        <v>2607.26473654039</v>
      </c>
      <c r="V85" s="39" t="n">
        <f aca="false">8314.4621*U85/(Sheet1!H$20*Sheet1!H$12*9.80665)</f>
        <v>286092.415500882</v>
      </c>
      <c r="W85" s="39" t="n">
        <f aca="false">W84-LN(R85/R84)*(V84+V85)/2</f>
        <v>5257754.72188833</v>
      </c>
      <c r="X85" s="39" t="n">
        <f aca="false">Sheet1!H$10*10/Sheet1!H$11*1000*W85/(Sheet1!H$10*10/Sheet1!H$11*1000-W85)</f>
        <v>5529407.38285301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422.848898573083</v>
      </c>
      <c r="AI85" s="37" t="n">
        <f aca="false">(AM85-AM$62)/(AM$95-AM$62)*(AI$95-AI$62)+AI$62</f>
        <v>0.2</v>
      </c>
      <c r="AJ85" s="39" t="n">
        <f aca="false">(AM85-AM$80)/(AM$95-AM$80)*(AJ$95-AJ$80)+AJ$80</f>
        <v>423.779307175969</v>
      </c>
      <c r="AK85" s="39" t="n">
        <f aca="false">8314.4621*AJ85/(Sheet1!M$21*Sheet1!M$12*9.80665)</f>
        <v>15470.9223446729</v>
      </c>
      <c r="AL85" s="39" t="n">
        <f aca="false">AL84-LN(AG85/AG84)*(AK84+AK85)/2</f>
        <v>143258.93229272</v>
      </c>
      <c r="AM85" s="39" t="n">
        <f aca="false">Sheet1!M$10*10/Sheet1!M$11*1000*AL85/(Sheet1!M$10*10/Sheet1!M$11*1000-AL85)</f>
        <v>147301.510278861</v>
      </c>
      <c r="AN85" s="41"/>
      <c r="AO85" s="37" t="n">
        <f aca="false">AO84+(AO$86-AO$77)/9</f>
        <v>-4.01111111111111</v>
      </c>
      <c r="AP85" s="40" t="n">
        <f aca="false">10^AO85</f>
        <v>9.74740225556604E-005</v>
      </c>
      <c r="AQ85" s="39" t="n">
        <f aca="false">AS85-AR85*((Sheet1!R$19-Sheet1!R$20)*COS(RADIANS(38))+Sheet1!R$20)/2</f>
        <v>171.494798032406</v>
      </c>
      <c r="AR85" s="37" t="n">
        <f aca="false">(AV85-AV$51)/(AV$116-AV$51)*(AR$116-AR$51)+AR$51</f>
        <v>0.0663597745718934</v>
      </c>
      <c r="AS85" s="39" t="n">
        <f aca="false">(AV85-AV$77)/(AV$86-AV$77)*(AS$86-AS$77)+AS$77</f>
        <v>173.61049927589</v>
      </c>
      <c r="AT85" s="39" t="n">
        <f aca="false">8314.4621*AS85/(Sheet1!R$22*Sheet1!R$12*9.80665)</f>
        <v>12196.589943147</v>
      </c>
      <c r="AU85" s="39" t="n">
        <f aca="false">AU84-LN(AP85/AP84)*(AT84+AT85)/2</f>
        <v>195652.988846848</v>
      </c>
      <c r="AV85" s="39" t="n">
        <f aca="false">Sheet1!R$10*10/Sheet1!R$11*1000*AU85/(Sheet1!R$10*10/Sheet1!R$11*1000-AU85)</f>
        <v>201354.227102946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2523.17583856638</v>
      </c>
      <c r="T86" s="37" t="n">
        <f aca="false">(X86-X$54)/(X$100-X$54)*(T$100-T$54)+T$54</f>
        <v>1.68857276520019</v>
      </c>
      <c r="U86" s="39" t="n">
        <f aca="false">(X86-X$77)/(X$90-X$77)*(U$90-U$77)+U$77</f>
        <v>2607.10203570963</v>
      </c>
      <c r="V86" s="39" t="n">
        <f aca="false">8314.4621*U86/(Sheet1!H$20*Sheet1!H$12*9.80665)</f>
        <v>286074.562509959</v>
      </c>
      <c r="W86" s="39" t="n">
        <f aca="false">W85-LN(R86/R85)*(V85+V86)/2</f>
        <v>5323627.87960189</v>
      </c>
      <c r="X86" s="39" t="n">
        <f aca="false">Sheet1!H$10*10/Sheet1!H$11*1000*W86/(Sheet1!H$10*10/Sheet1!H$11*1000-W86)</f>
        <v>5602310.52294065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452.034906694516</v>
      </c>
      <c r="AI86" s="37" t="n">
        <f aca="false">(AM86-AM$62)/(AM$95-AM$62)*(AI$95-AI$62)+AI$62</f>
        <v>0.2</v>
      </c>
      <c r="AJ86" s="39" t="n">
        <f aca="false">(AM86-AM$80)/(AM$95-AM$80)*(AJ$95-AJ$80)+AJ$80</f>
        <v>452.965315297401</v>
      </c>
      <c r="AK86" s="39" t="n">
        <f aca="false">8314.4621*AJ86/(Sheet1!M$21*Sheet1!M$12*9.80665)</f>
        <v>16536.416712972</v>
      </c>
      <c r="AL86" s="39" t="n">
        <f aca="false">AL85-LN(AG86/AG85)*(AK85+AK86)/2</f>
        <v>146943.913381747</v>
      </c>
      <c r="AM86" s="39" t="n">
        <f aca="false">Sheet1!M$10*10/Sheet1!M$11*1000*AL86/(Sheet1!M$10*10/Sheet1!M$11*1000-AL86)</f>
        <v>151200.226206062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175.493674088803</v>
      </c>
      <c r="AR86" s="37" t="n">
        <f aca="false">(AV86-AV$51)/(AV$116-AV$51)*(AR$116-AR$51)+AR$51</f>
        <v>0.0684669672292736</v>
      </c>
      <c r="AS86" s="39" t="n">
        <f aca="false">AS69+0.28*(AS116-AS69)</f>
        <v>177.676557449078</v>
      </c>
      <c r="AT86" s="39" t="n">
        <f aca="false">8314.4621*AS86/(Sheet1!R$22*Sheet1!R$12*9.80665)</f>
        <v>12482.2411245571</v>
      </c>
      <c r="AU86" s="39" t="n">
        <f aca="false">AU85-LN(AP86/AP85)*(AT85+AT86)/2</f>
        <v>198178.549225915</v>
      </c>
      <c r="AV86" s="39" t="n">
        <f aca="false">Sheet1!R$10*10/Sheet1!R$11*1000*AU86/(Sheet1!R$10*10/Sheet1!R$11*1000-AU86)</f>
        <v>204030.12583017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2521.90563992376</v>
      </c>
      <c r="T87" s="37" t="n">
        <f aca="false">(X87-X$54)/(X$100-X$54)*(T$100-T$54)+T$54</f>
        <v>1.71085128789905</v>
      </c>
      <c r="U87" s="39" t="n">
        <f aca="false">(X87-X$77)/(X$90-X$77)*(U$90-U$77)+U$77</f>
        <v>2606.93913414453</v>
      </c>
      <c r="V87" s="39" t="n">
        <f aca="false">8314.4621*U87/(Sheet1!H$20*Sheet1!H$12*9.80665)</f>
        <v>286056.687492667</v>
      </c>
      <c r="W87" s="39" t="n">
        <f aca="false">W86-LN(R87/R86)*(V86+V87)/2</f>
        <v>5389496.9239765</v>
      </c>
      <c r="X87" s="39" t="n">
        <f aca="false">Sheet1!H$10*10/Sheet1!H$11*1000*W87/(Sheet1!H$10*10/Sheet1!H$11*1000-W87)</f>
        <v>5675303.60813533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483.279514816788</v>
      </c>
      <c r="AI87" s="37" t="n">
        <f aca="false">(AM87-AM$62)/(AM$95-AM$62)*(AI$95-AI$62)+AI$62</f>
        <v>0.2</v>
      </c>
      <c r="AJ87" s="39" t="n">
        <f aca="false">(AM87-AM$80)/(AM$95-AM$80)*(AJ$95-AJ$80)+AJ$80</f>
        <v>484.209923419674</v>
      </c>
      <c r="AK87" s="39" t="n">
        <f aca="false">8314.4621*AJ87/(Sheet1!M$21*Sheet1!M$12*9.80665)</f>
        <v>17677.0644457994</v>
      </c>
      <c r="AL87" s="39" t="n">
        <f aca="false">AL86-LN(AG87/AG86)*(AK86+AK87)/2</f>
        <v>150882.885966528</v>
      </c>
      <c r="AM87" s="39" t="n">
        <f aca="false">Sheet1!M$10*10/Sheet1!M$11*1000*AL87/(Sheet1!M$10*10/Sheet1!M$11*1000-AL87)</f>
        <v>155373.933374876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180.945342937973</v>
      </c>
      <c r="AR87" s="37" t="n">
        <f aca="false">(AV87-AV$51)/(AV$116-AV$51)*(AR$116-AR$51)+AR$51</f>
        <v>0.0704165703265865</v>
      </c>
      <c r="AS87" s="39" t="n">
        <f aca="false">(AV87-AV$86)/(AV$96-AV$86)*(AS$96-AS$86)+AS$86</f>
        <v>183.190384099776</v>
      </c>
      <c r="AT87" s="39" t="n">
        <f aca="false">8314.4621*AS87/(Sheet1!R$22*Sheet1!R$12*9.80665)</f>
        <v>12869.601813897</v>
      </c>
      <c r="AU87" s="39" t="n">
        <f aca="false">AU86-LN(AP87/AP86)*(AT86+AT87)/2</f>
        <v>200513.540251115</v>
      </c>
      <c r="AV87" s="39" t="n">
        <f aca="false">Sheet1!R$10*10/Sheet1!R$11*1000*AU87/(Sheet1!R$10*10/Sheet1!R$11*1000-AU87)</f>
        <v>206505.903461807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2520.63387329654</v>
      </c>
      <c r="T88" s="37" t="n">
        <f aca="false">(X88-X$54)/(X$100-X$54)*(T$100-T$54)+T$54</f>
        <v>1.73315731210294</v>
      </c>
      <c r="U88" s="39" t="n">
        <f aca="false">(X88-X$77)/(X$90-X$77)*(U$90-U$77)+U$77</f>
        <v>2606.7760314869</v>
      </c>
      <c r="V88" s="39" t="n">
        <f aca="false">8314.4621*U88/(Sheet1!H$20*Sheet1!H$12*9.80665)</f>
        <v>286038.790409705</v>
      </c>
      <c r="W88" s="39" t="n">
        <f aca="false">W87-LN(R88/R87)*(V87+V88)/2</f>
        <v>5455361.84993586</v>
      </c>
      <c r="X88" s="39" t="n">
        <f aca="false">Sheet1!H$10*10/Sheet1!H$11*1000*W88/(Sheet1!H$10*10/Sheet1!H$11*1000-W88)</f>
        <v>5748386.79893202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516.734911067629</v>
      </c>
      <c r="AI88" s="37" t="n">
        <f aca="false">(AM88-AM$62)/(AM$95-AM$62)*(AI$95-AI$62)+AI$62</f>
        <v>0.2</v>
      </c>
      <c r="AJ88" s="39" t="n">
        <f aca="false">(AM88-AM$80)/(AM$95-AM$80)*(AJ$95-AJ$80)+AJ$80</f>
        <v>517.665319670514</v>
      </c>
      <c r="AK88" s="39" t="n">
        <f aca="false">8314.4621*AJ88/(Sheet1!M$21*Sheet1!M$12*9.80665)</f>
        <v>18898.4214791481</v>
      </c>
      <c r="AL88" s="39" t="n">
        <f aca="false">AL87-LN(AG88/AG87)*(AK87+AK88)/2</f>
        <v>155093.794399518</v>
      </c>
      <c r="AM88" s="39" t="n">
        <f aca="false">Sheet1!M$10*10/Sheet1!M$11*1000*AL88/(Sheet1!M$10*10/Sheet1!M$11*1000-AL88)</f>
        <v>159842.961330713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186.57022924902</v>
      </c>
      <c r="AR88" s="37" t="n">
        <f aca="false">(AV88-AV$51)/(AV$116-AV$51)*(AR$116-AR$51)+AR$51</f>
        <v>0.072428118730837</v>
      </c>
      <c r="AS88" s="39" t="n">
        <f aca="false">(AV88-AV$86)/(AV$96-AV$86)*(AS$96-AS$86)+AS$86</f>
        <v>188.879403170279</v>
      </c>
      <c r="AT88" s="39" t="n">
        <f aca="false">8314.4621*AS88/(Sheet1!R$22*Sheet1!R$12*9.80665)</f>
        <v>13269.2702272192</v>
      </c>
      <c r="AU88" s="39" t="n">
        <f aca="false">AU87-LN(AP88/AP87)*(AT87+AT88)/2</f>
        <v>202921.019335497</v>
      </c>
      <c r="AV88" s="39" t="n">
        <f aca="false">Sheet1!R$10*10/Sheet1!R$11*1000*AU88/(Sheet1!R$10*10/Sheet1!R$11*1000-AU88)</f>
        <v>209060.344697084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2519.3605358854</v>
      </c>
      <c r="T89" s="37" t="n">
        <f aca="false">(X89-X$54)/(X$100-X$54)*(T$100-T$54)+T$54</f>
        <v>1.75549088691012</v>
      </c>
      <c r="U89" s="39" t="n">
        <f aca="false">(X89-X$77)/(X$90-X$77)*(U$90-U$77)+U$77</f>
        <v>2606.61272737774</v>
      </c>
      <c r="V89" s="39" t="n">
        <f aca="false">8314.4621*U89/(Sheet1!H$20*Sheet1!H$12*9.80665)</f>
        <v>286020.871221677</v>
      </c>
      <c r="W89" s="39" t="n">
        <f aca="false">W88-LN(R89/R88)*(V88+V89)/2</f>
        <v>5521222.65239464</v>
      </c>
      <c r="X89" s="39" t="n">
        <f aca="false">Sheet1!H$10*10/Sheet1!H$11*1000*W89/(Sheet1!H$10*10/Sheet1!H$11*1000-W89)</f>
        <v>5821560.25619569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552.565547659843</v>
      </c>
      <c r="AI89" s="37" t="n">
        <f aca="false">(AM89-AM$62)/(AM$95-AM$62)*(AI$95-AI$62)+AI$62</f>
        <v>0.2</v>
      </c>
      <c r="AJ89" s="39" t="n">
        <f aca="false">(AM89-AM$80)/(AM$95-AM$80)*(AJ$95-AJ$80)+AJ$80</f>
        <v>553.495956262729</v>
      </c>
      <c r="AK89" s="39" t="n">
        <f aca="false">8314.4621*AJ89/(Sheet1!M$21*Sheet1!M$12*9.80665)</f>
        <v>20206.4914742887</v>
      </c>
      <c r="AL89" s="39" t="n">
        <f aca="false">AL88-LN(AG89/AG88)*(AK88+AK89)/2</f>
        <v>159595.913880989</v>
      </c>
      <c r="AM89" s="39" t="n">
        <f aca="false">Sheet1!M$10*10/Sheet1!M$11*1000*AL89/(Sheet1!M$10*10/Sheet1!M$11*1000-AL89)</f>
        <v>164629.277876045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192.374093112442</v>
      </c>
      <c r="AR89" s="37" t="n">
        <f aca="false">(AV89-AV$51)/(AV$116-AV$51)*(AR$116-AR$51)+AR$51</f>
        <v>0.0745036723415874</v>
      </c>
      <c r="AS89" s="39" t="n">
        <f aca="false">(AV89-AV$86)/(AV$96-AV$86)*(AS$96-AS$86)+AS$86</f>
        <v>194.749440425391</v>
      </c>
      <c r="AT89" s="39" t="n">
        <f aca="false">8314.4621*AS89/(Sheet1!R$22*Sheet1!R$12*9.80665)</f>
        <v>13681.655639681</v>
      </c>
      <c r="AU89" s="39" t="n">
        <f aca="false">AU88-LN(AP89/AP88)*(AT88+AT89)/2</f>
        <v>205403.291341238</v>
      </c>
      <c r="AV89" s="39" t="n">
        <f aca="false">Sheet1!R$10*10/Sheet1!R$11*1000*AU89/(Sheet1!R$10*10/Sheet1!R$11*1000-AU89)</f>
        <v>211696.065377792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2518.08561777023</v>
      </c>
      <c r="T90" s="37" t="n">
        <f aca="false">(X90-X$54)/(X$100-X$54)*(T$100-T$54)+T$54</f>
        <v>1.77785206150156</v>
      </c>
      <c r="U90" s="39" t="n">
        <f aca="false">70/610*(U$170-U$54)+U$54</f>
        <v>2606.44921434134</v>
      </c>
      <c r="V90" s="39" t="n">
        <f aca="false">8314.4621*U90/(Sheet1!H$20*Sheet1!H$12*9.80665)</f>
        <v>286002.929108284</v>
      </c>
      <c r="W90" s="39" t="n">
        <f aca="false">W89-LN(R90/R89)*(V89+V90)/2</f>
        <v>5587079.32616852</v>
      </c>
      <c r="X90" s="39" t="n">
        <f aca="false">Sheet1!H$10*10/Sheet1!H$11*1000*W90/(Sheet1!H$10*10/Sheet1!H$11*1000-W90)</f>
        <v>5894824.14106226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2518.08561777023</v>
      </c>
      <c r="AA90" s="39" t="n">
        <f aca="false">IF(Y90=LOG(Sheet1!H$17*101325),(LOG(Sheet1!H$17*101325)-Q100)/(Q90-Q100)*(X90-X100)+X100,IF(Y90=0,0,X90))</f>
        <v>5894824.14106226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590.949276323501</v>
      </c>
      <c r="AI90" s="37" t="n">
        <f aca="false">(AM90-AM$62)/(AM$95-AM$62)*(AI$95-AI$62)+AI$62</f>
        <v>0.2</v>
      </c>
      <c r="AJ90" s="39" t="n">
        <f aca="false">(AM90-AM$80)/(AM$95-AM$80)*(AJ$95-AJ$80)+AJ$80</f>
        <v>591.879684926387</v>
      </c>
      <c r="AK90" s="39" t="n">
        <f aca="false">8314.4621*AJ90/(Sheet1!M$21*Sheet1!M$12*9.80665)</f>
        <v>21607.7672690218</v>
      </c>
      <c r="AL90" s="39" t="n">
        <f aca="false">AL89-LN(AG90/AG89)*(AK89+AK90)/2</f>
        <v>164409.958323836</v>
      </c>
      <c r="AM90" s="39" t="n">
        <f aca="false">Sheet1!M$10*10/Sheet1!M$11*1000*AL90/(Sheet1!M$10*10/Sheet1!M$11*1000-AL90)</f>
        <v>169756.640743339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198.36290253177</v>
      </c>
      <c r="AR90" s="37" t="n">
        <f aca="false">(AV90-AV$51)/(AV$116-AV$51)*(AR$116-AR$51)+AR$51</f>
        <v>0.0766453654113921</v>
      </c>
      <c r="AS90" s="39" t="n">
        <f aca="false">(AV90-AV$86)/(AV$96-AV$86)*(AS$96-AS$86)+AS$86</f>
        <v>200.80653191349</v>
      </c>
      <c r="AT90" s="39" t="n">
        <f aca="false">8314.4621*AS90/(Sheet1!R$22*Sheet1!R$12*9.80665)</f>
        <v>14107.1820994089</v>
      </c>
      <c r="AU90" s="39" t="n">
        <f aca="false">AU89-LN(AP90/AP89)*(AT89+AT90)/2</f>
        <v>207962.737882424</v>
      </c>
      <c r="AV90" s="39" t="n">
        <f aca="false">Sheet1!R$10*10/Sheet1!R$11*1000*AU90/(Sheet1!R$10*10/Sheet1!R$11*1000-AU90)</f>
        <v>214415.775765697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2509.89842307444</v>
      </c>
      <c r="T91" s="37" t="n">
        <f aca="false">(X91-X$54)/(X$100-X$54)*(T$100-T$54)+T$54</f>
        <v>1.80021117794182</v>
      </c>
      <c r="U91" s="39" t="n">
        <f aca="false">(X91-X$90)/(X$100-X$90)*(U$100-U$90)+U$90</f>
        <v>2599.37332242917</v>
      </c>
      <c r="V91" s="39" t="n">
        <f aca="false">8314.4621*U91/(Sheet1!H$20*Sheet1!H$12*9.80665)</f>
        <v>285226.498935849</v>
      </c>
      <c r="W91" s="39" t="n">
        <f aca="false">W90-LN(R91/R90)*(V90+V91)/2</f>
        <v>5652844.54445322</v>
      </c>
      <c r="X91" s="39" t="n">
        <f aca="false">Sheet1!H$10*10/Sheet1!H$11*1000*W91/(Sheet1!H$10*10/Sheet1!H$11*1000-W91)</f>
        <v>5968081.28262693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632.078610041218</v>
      </c>
      <c r="AI91" s="37" t="n">
        <f aca="false">(AM91-AM$62)/(AM$95-AM$62)*(AI$95-AI$62)+AI$62</f>
        <v>0.2</v>
      </c>
      <c r="AJ91" s="39" t="n">
        <f aca="false">(AM91-AM$80)/(AM$95-AM$80)*(AJ$95-AJ$80)+AJ$80</f>
        <v>633.009018644104</v>
      </c>
      <c r="AK91" s="39" t="n">
        <f aca="false">8314.4621*AJ91/(Sheet1!M$21*Sheet1!M$12*9.80665)</f>
        <v>23109.2769398815</v>
      </c>
      <c r="AL91" s="39" t="n">
        <f aca="false">AL90-LN(AG91/AG90)*(AK90+AK91)/2</f>
        <v>169558.198293745</v>
      </c>
      <c r="AM91" s="39" t="n">
        <f aca="false">Sheet1!M$10*10/Sheet1!M$11*1000*AL91/(Sheet1!M$10*10/Sheet1!M$11*1000-AL91)</f>
        <v>175250.766139771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204.542841971651</v>
      </c>
      <c r="AR91" s="37" t="n">
        <f aca="false">(AV91-AV$51)/(AV$116-AV$51)*(AR$116-AR$51)+AR$51</f>
        <v>0.0788554096027288</v>
      </c>
      <c r="AS91" s="39" t="n">
        <f aca="false">(AV91-AV$86)/(AV$96-AV$86)*(AS$96-AS$86)+AS$86</f>
        <v>207.056932612077</v>
      </c>
      <c r="AT91" s="39" t="n">
        <f aca="false">8314.4621*AS91/(Sheet1!R$22*Sheet1!R$12*9.80665)</f>
        <v>14546.2890348708</v>
      </c>
      <c r="AU91" s="39" t="n">
        <f aca="false">AU90-LN(AP91/AP90)*(AT90+AT91)/2</f>
        <v>210601.820102277</v>
      </c>
      <c r="AV91" s="39" t="n">
        <f aca="false">Sheet1!R$10*10/Sheet1!R$11*1000*AU91/(Sheet1!R$10*10/Sheet1!R$11*1000-AU91)</f>
        <v>217222.284424502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2501.7228819859</v>
      </c>
      <c r="T92" s="37" t="n">
        <f aca="false">(X92-X$54)/(X$100-X$54)*(T$100-T$54)+T$54</f>
        <v>1.82253846842785</v>
      </c>
      <c r="U92" s="39" t="n">
        <f aca="false">(X92-X$90)/(X$100-X$90)*(U$100-U$90)+U$90</f>
        <v>2592.30750229647</v>
      </c>
      <c r="V92" s="39" t="n">
        <f aca="false">8314.4621*U92/(Sheet1!H$20*Sheet1!H$12*9.80665)</f>
        <v>284451.173929175</v>
      </c>
      <c r="W92" s="39" t="n">
        <f aca="false">W91-LN(R92/R91)*(V91+V92)/2</f>
        <v>5718431.11032075</v>
      </c>
      <c r="X92" s="39" t="n">
        <f aca="false">Sheet1!H$10*10/Sheet1!H$11*1000*W92/(Sheet1!H$10*10/Sheet1!H$11*1000-W92)</f>
        <v>6041234.15001598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676.1621281502</v>
      </c>
      <c r="AI92" s="37" t="n">
        <f aca="false">(AM92-AM$62)/(AM$95-AM$62)*(AI$95-AI$62)+AI$62</f>
        <v>0.2</v>
      </c>
      <c r="AJ92" s="39" t="n">
        <f aca="false">(AM92-AM$80)/(AM$95-AM$80)*(AJ$95-AJ$80)+AJ$80</f>
        <v>677.092536753086</v>
      </c>
      <c r="AK92" s="39" t="n">
        <f aca="false">8314.4621*AJ92/(Sheet1!M$21*Sheet1!M$12*9.80665)</f>
        <v>24718.6350982326</v>
      </c>
      <c r="AL92" s="39" t="n">
        <f aca="false">AL91-LN(AG92/AG91)*(AK91+AK92)/2</f>
        <v>175064.590158144</v>
      </c>
      <c r="AM92" s="39" t="n">
        <f aca="false">Sheet1!M$10*10/Sheet1!M$11*1000*AL92/(Sheet1!M$10*10/Sheet1!M$11*1000-AL92)</f>
        <v>181139.516443117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210.920321323023</v>
      </c>
      <c r="AR92" s="37" t="n">
        <f aca="false">(AV92-AV$51)/(AV$116-AV$51)*(AR$116-AR$51)+AR$51</f>
        <v>0.0811360971940848</v>
      </c>
      <c r="AS92" s="39" t="n">
        <f aca="false">(AV92-AV$86)/(AV$96-AV$86)*(AS$96-AS$86)+AS$86</f>
        <v>213.507125495166</v>
      </c>
      <c r="AT92" s="39" t="n">
        <f aca="false">8314.4621*AS92/(Sheet1!R$22*Sheet1!R$12*9.80665)</f>
        <v>14999.4318918832</v>
      </c>
      <c r="AU92" s="39" t="n">
        <f aca="false">AU91-LN(AP92/AP91)*(AT91+AT92)/2</f>
        <v>213323.081564986</v>
      </c>
      <c r="AV92" s="39" t="n">
        <f aca="false">Sheet1!R$10*10/Sheet1!R$11*1000*AU92/(Sheet1!R$10*10/Sheet1!R$11*1000-AU92)</f>
        <v>220118.502291213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2493.55902860791</v>
      </c>
      <c r="T93" s="37" t="n">
        <f aca="false">(X93-X$54)/(X$100-X$54)*(T$100-T$54)+T$54</f>
        <v>1.84483383982442</v>
      </c>
      <c r="U93" s="39" t="n">
        <f aca="false">(X93-X$90)/(X$100-X$90)*(U$100-U$90)+U$90</f>
        <v>2585.25178341749</v>
      </c>
      <c r="V93" s="39" t="n">
        <f aca="false">8314.4621*U93/(Sheet1!H$20*Sheet1!H$12*9.80665)</f>
        <v>283676.957322441</v>
      </c>
      <c r="W93" s="39" t="n">
        <f aca="false">W92-LN(R93/R92)*(V92+V93)/2</f>
        <v>5783839.27861727</v>
      </c>
      <c r="X93" s="39" t="n">
        <f aca="false">Sheet1!H$10*10/Sheet1!H$11*1000*W93/(Sheet1!H$10*10/Sheet1!H$11*1000-W93)</f>
        <v>6114282.43808223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723.426044618322</v>
      </c>
      <c r="AI93" s="37" t="n">
        <f aca="false">(AM93-AM$62)/(AM$95-AM$62)*(AI$95-AI$62)+AI$62</f>
        <v>0.2</v>
      </c>
      <c r="AJ93" s="39" t="n">
        <f aca="false">(AM93-AM$80)/(AM$95-AM$80)*(AJ$95-AJ$80)+AJ$80</f>
        <v>724.356453221207</v>
      </c>
      <c r="AK93" s="39" t="n">
        <f aca="false">8314.4621*AJ93/(Sheet1!M$21*Sheet1!M$12*9.80665)</f>
        <v>26444.100143367</v>
      </c>
      <c r="AL93" s="39" t="n">
        <f aca="false">AL92-LN(AG93/AG92)*(AK92+AK93)/2</f>
        <v>180954.91773235</v>
      </c>
      <c r="AM93" s="39" t="n">
        <f aca="false">Sheet1!M$10*10/Sheet1!M$11*1000*AL93/(Sheet1!M$10*10/Sheet1!M$11*1000-AL93)</f>
        <v>187453.109694702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217.501985309752</v>
      </c>
      <c r="AR93" s="37" t="n">
        <f aca="false">(AV93-AV$51)/(AV$116-AV$51)*(AR$116-AR$51)+AR$51</f>
        <v>0.0834898044439214</v>
      </c>
      <c r="AS93" s="39" t="n">
        <f aca="false">(AV93-AV$86)/(AV$96-AV$86)*(AS$96-AS$86)+AS$86</f>
        <v>220.163831047171</v>
      </c>
      <c r="AT93" s="39" t="n">
        <f aca="false">8314.4621*AS93/(Sheet1!R$22*Sheet1!R$12*9.80665)</f>
        <v>15467.0828019878</v>
      </c>
      <c r="AU93" s="39" t="n">
        <f aca="false">AU92-LN(AP93/AP92)*(AT92+AT93)/2</f>
        <v>216129.151267769</v>
      </c>
      <c r="AV93" s="39" t="n">
        <f aca="false">Sheet1!R$10*10/Sheet1!R$11*1000*AU93/(Sheet1!R$10*10/Sheet1!R$11*1000-AU93)</f>
        <v>223107.446947999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2485.40686582785</v>
      </c>
      <c r="T94" s="37" t="n">
        <f aca="false">(X94-X$54)/(X$100-X$54)*(T$100-T$54)+T$54</f>
        <v>1.86709719943736</v>
      </c>
      <c r="U94" s="39" t="n">
        <f aca="false">(X94-X$90)/(X$100-X$90)*(U$100-U$90)+U$90</f>
        <v>2578.20616407249</v>
      </c>
      <c r="V94" s="39" t="n">
        <f aca="false">8314.4621*U94/(Sheet1!H$20*Sheet1!H$12*9.80665)</f>
        <v>282903.84892694</v>
      </c>
      <c r="W94" s="39" t="n">
        <f aca="false">W93-LN(R94/R93)*(V93+V94)/2</f>
        <v>5849069.30453959</v>
      </c>
      <c r="X94" s="39" t="n">
        <f aca="false">Sheet1!H$10*10/Sheet1!H$11*1000*W94/(Sheet1!H$10*10/Sheet1!H$11*1000-W94)</f>
        <v>6187225.84312368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774.115962556776</v>
      </c>
      <c r="AI94" s="37" t="n">
        <f aca="false">(AM94-AM$62)/(AM$95-AM$62)*(AI$95-AI$62)+AI$62</f>
        <v>0.2</v>
      </c>
      <c r="AJ94" s="39" t="n">
        <f aca="false">(AM94-AM$80)/(AM$95-AM$80)*(AJ$95-AJ$80)+AJ$80</f>
        <v>775.046371159661</v>
      </c>
      <c r="AK94" s="39" t="n">
        <f aca="false">8314.4621*AJ94/(Sheet1!M$21*Sheet1!M$12*9.80665)</f>
        <v>28294.6383145431</v>
      </c>
      <c r="AL94" s="39" t="n">
        <f aca="false">AL93-LN(AG94/AG93)*(AK93+AK94)/2</f>
        <v>187256.947891474</v>
      </c>
      <c r="AM94" s="39" t="n">
        <f aca="false">Sheet1!M$10*10/Sheet1!M$11*1000*AL94/(Sheet1!M$10*10/Sheet1!M$11*1000-AL94)</f>
        <v>194224.353970141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224.294723362835</v>
      </c>
      <c r="AR94" s="37" t="n">
        <f aca="false">(AV94-AV$51)/(AV$116-AV$51)*(AR$116-AR$51)+AR$51</f>
        <v>0.0859189951218441</v>
      </c>
      <c r="AS94" s="39" t="n">
        <f aca="false">(AV94-AV$86)/(AV$96-AV$86)*(AS$96-AS$86)+AS$86</f>
        <v>227.034017249695</v>
      </c>
      <c r="AT94" s="39" t="n">
        <f aca="false">8314.4621*AS94/(Sheet1!R$22*Sheet1!R$12*9.80665)</f>
        <v>15949.7312840482</v>
      </c>
      <c r="AU94" s="39" t="n">
        <f aca="false">AU93-LN(AP94/AP93)*(AT93+AT94)/2</f>
        <v>219022.746779124</v>
      </c>
      <c r="AV94" s="39" t="n">
        <f aca="false">Sheet1!R$10*10/Sheet1!R$11*1000*AU94/(Sheet1!R$10*10/Sheet1!R$11*1000-AU94)</f>
        <v>226192.247106386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2477.26648177287</v>
      </c>
      <c r="T95" s="37" t="n">
        <f aca="false">(X95-X$54)/(X$100-X$54)*(T$100-T$54)+T$54</f>
        <v>1.88932845524988</v>
      </c>
      <c r="U95" s="39" t="n">
        <f aca="false">(X95-X$90)/(X$100-X$90)*(U$100-U$90)+U$90</f>
        <v>2571.17072781515</v>
      </c>
      <c r="V95" s="39" t="n">
        <f aca="false">8314.4621*U95/(Sheet1!H$20*Sheet1!H$12*9.80665)</f>
        <v>282131.857910932</v>
      </c>
      <c r="W95" s="39" t="n">
        <f aca="false">W94-LN(R95/R94)*(V94+V95)/2</f>
        <v>5914121.4443183</v>
      </c>
      <c r="X95" s="39" t="n">
        <f aca="false">Sheet1!H$10*10/Sheet1!H$11*1000*W95/(Sheet1!H$10*10/Sheet1!H$11*1000-W95)</f>
        <v>6260064.06365752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828.498841907561</v>
      </c>
      <c r="AI95" s="37" t="n">
        <v>0.2</v>
      </c>
      <c r="AJ95" s="39" t="n">
        <f aca="false">0.82*(320*LOG(Sheet1!M15)-AJ62)+AJ62</f>
        <v>829.429250510446</v>
      </c>
      <c r="AK95" s="39" t="n">
        <f aca="false">8314.4621*AJ95/(Sheet1!M$21*Sheet1!M$12*9.80665)</f>
        <v>30279.9955254046</v>
      </c>
      <c r="AL95" s="39" t="n">
        <f aca="false">AL94-LN(AG95/AG94)*(AK94+AK95)/2</f>
        <v>194000.601826847</v>
      </c>
      <c r="AM95" s="39" t="n">
        <f aca="false">Sheet1!M$10*10/Sheet1!M$11*1000*AL95/(Sheet1!M$10*10/Sheet1!M$11*1000-AL95)</f>
        <v>201488.910226338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231.30567999005</v>
      </c>
      <c r="AR95" s="37" t="n">
        <f aca="false">(AV95-AV$51)/(AV$116-AV$51)*(AR$116-AR$51)+AR$51</f>
        <v>0.0884262242169543</v>
      </c>
      <c r="AS95" s="39" t="n">
        <f aca="false">(AV95-AV$86)/(AV$96-AV$86)*(AS$96-AS$86)+AS$86</f>
        <v>234.124910069407</v>
      </c>
      <c r="AT95" s="39" t="n">
        <f aca="false">8314.4621*AS95/(Sheet1!R$22*Sheet1!R$12*9.80665)</f>
        <v>16447.8849810512</v>
      </c>
      <c r="AU95" s="39" t="n">
        <f aca="false">AU94-LN(AP95/AP94)*(AT94+AT95)/2</f>
        <v>222006.677509547</v>
      </c>
      <c r="AV95" s="39" t="n">
        <f aca="false">Sheet1!R$10*10/Sheet1!R$11*1000*AU95/(Sheet1!R$10*10/Sheet1!R$11*1000-AU95)</f>
        <v>229376.147316444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2469.13788653821</v>
      </c>
      <c r="T96" s="37" t="n">
        <f aca="false">(X96-X$54)/(X$100-X$54)*(T$100-T$54)+T$54</f>
        <v>1.9115275159581</v>
      </c>
      <c r="U96" s="39" t="n">
        <f aca="false">(X96-X$90)/(X$100-X$90)*(U$100-U$90)+U$90</f>
        <v>2564.14548020268</v>
      </c>
      <c r="V96" s="39" t="n">
        <f aca="false">8314.4621*U96/(Sheet1!H$20*Sheet1!H$12*9.80665)</f>
        <v>281360.984884203</v>
      </c>
      <c r="W96" s="39" t="n">
        <f aca="false">W95-LN(R96/R95)*(V95+V96)/2</f>
        <v>5978995.95530975</v>
      </c>
      <c r="X96" s="39" t="n">
        <f aca="false">Sheet1!H$10*10/Sheet1!H$11*1000*W96/(Sheet1!H$10*10/Sheet1!H$11*1000-W96)</f>
        <v>6332796.80053689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238.5422656709</v>
      </c>
      <c r="AR96" s="37" t="n">
        <f aca="false">(AV96-AV$51)/(AV$116-AV$51)*(AR$116-AR$51)+AR$51</f>
        <v>0.091014141834053</v>
      </c>
      <c r="AS96" s="39" t="n">
        <f aca="false">AS69+0.72*(AS116-AS69)</f>
        <v>241.444004477206</v>
      </c>
      <c r="AT96" s="39" t="n">
        <f aca="false">8314.4621*AS96/(Sheet1!R$22*Sheet1!R$12*9.80665)</f>
        <v>16962.0704342319</v>
      </c>
      <c r="AU96" s="39" t="n">
        <f aca="false">AU95-LN(AP96/AP95)*(AT95+AT96)/2</f>
        <v>225083.84812142</v>
      </c>
      <c r="AV96" s="39" t="n">
        <f aca="false">Sheet1!R$10*10/Sheet1!R$11*1000*AU96/(Sheet1!R$10*10/Sheet1!R$11*1000-AU96)</f>
        <v>232662.512914531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2461.02111338078</v>
      </c>
      <c r="T97" s="37" t="n">
        <f aca="false">(X97-X$54)/(X$100-X$54)*(T$100-T$54)+T$54</f>
        <v>1.93369429073804</v>
      </c>
      <c r="U97" s="39" t="n">
        <f aca="false">(X97-X$90)/(X$100-X$90)*(U$100-U$90)+U$90</f>
        <v>2557.13044997784</v>
      </c>
      <c r="V97" s="39" t="n">
        <f aca="false">8314.4621*U97/(Sheet1!H$20*Sheet1!H$12*9.80665)</f>
        <v>280591.233000663</v>
      </c>
      <c r="W97" s="39" t="n">
        <f aca="false">W96-LN(R97/R96)*(V96+V97)/2</f>
        <v>6043693.09530358</v>
      </c>
      <c r="X97" s="39" t="n">
        <f aca="false">Sheet1!H$10*10/Sheet1!H$11*1000*W97/(Sheet1!H$10*10/Sheet1!H$11*1000-W97)</f>
        <v>6405423.75618717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241.586586883677</v>
      </c>
      <c r="AR97" s="37" t="n">
        <f aca="false">(AV97-AV$51)/(AV$116-AV$51)*(AR$116-AR$51)+AR$51</f>
        <v>0.0936613764053201</v>
      </c>
      <c r="AS97" s="39" t="n">
        <f aca="false">(AV97-AV$96)/(AV$106-AV$96)*(AS$106-AS$96)+AS$96</f>
        <v>244.572725576968</v>
      </c>
      <c r="AT97" s="39" t="n">
        <f aca="false">8314.4621*AS97/(Sheet1!R$22*Sheet1!R$12*9.80665)</f>
        <v>17181.8712438571</v>
      </c>
      <c r="AU97" s="39" t="n">
        <f aca="false">AU96-LN(AP97/AP96)*(AT96+AT97)/2</f>
        <v>228228.621366381</v>
      </c>
      <c r="AV97" s="39" t="n">
        <f aca="false">Sheet1!R$10*10/Sheet1!R$11*1000*AU97/(Sheet1!R$10*10/Sheet1!R$11*1000-AU97)</f>
        <v>236024.204402544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2452.91619534424</v>
      </c>
      <c r="T98" s="37" t="n">
        <f aca="false">(X98-X$54)/(X$100-X$54)*(T$100-T$54)+T$54</f>
        <v>1.95582868934815</v>
      </c>
      <c r="U98" s="39" t="n">
        <f aca="false">(X98-X$90)/(X$100-X$90)*(U$100-U$90)+U$90</f>
        <v>2550.12566569904</v>
      </c>
      <c r="V98" s="39" t="n">
        <f aca="false">8314.4621*U98/(Sheet1!H$20*Sheet1!H$12*9.80665)</f>
        <v>279822.605394</v>
      </c>
      <c r="W98" s="39" t="n">
        <f aca="false">W97-LN(R98/R97)*(V97+V98)/2</f>
        <v>6108213.12281334</v>
      </c>
      <c r="X98" s="39" t="n">
        <f aca="false">Sheet1!H$10*10/Sheet1!H$11*1000*W98/(Sheet1!H$10*10/Sheet1!H$11*1000-W98)</f>
        <v>6477944.63494202</v>
      </c>
      <c r="Y98" s="37"/>
      <c r="Z98" s="39"/>
      <c r="AO98" s="37" t="n">
        <f aca="false">AO97+(AO$106-AO$96)/10</f>
        <v>-5.06</v>
      </c>
      <c r="AP98" s="40" t="n">
        <f aca="false">10^AO98</f>
        <v>8.7096358995608E-006</v>
      </c>
      <c r="AQ98" s="39" t="n">
        <f aca="false">AS98-AR98*((Sheet1!R$19-Sheet1!R$20)*COS(RADIANS(38))+Sheet1!R$20)/2</f>
        <v>244.673299459158</v>
      </c>
      <c r="AR98" s="37" t="n">
        <f aca="false">(AV98-AV$51)/(AV$116-AV$51)*(AR$116-AR$51)+AR$51</f>
        <v>0.0963454730134845</v>
      </c>
      <c r="AS98" s="39" t="n">
        <f aca="false">(AV98-AV$96)/(AV$106-AV$96)*(AS$106-AS$96)+AS$96</f>
        <v>247.745013285399</v>
      </c>
      <c r="AT98" s="39" t="n">
        <f aca="false">8314.4621*AS98/(Sheet1!R$22*Sheet1!R$12*9.80665)</f>
        <v>17404.7327212608</v>
      </c>
      <c r="AU98" s="39" t="n">
        <f aca="false">AU97-LN(AP98/AP97)*(AT97+AT98)/2</f>
        <v>231414.165314675</v>
      </c>
      <c r="AV98" s="39" t="n">
        <f aca="false">Sheet1!R$10*10/Sheet1!R$11*1000*AU98/(Sheet1!R$10*10/Sheet1!R$11*1000-AU98)</f>
        <v>239432.706549881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2444.8231652585</v>
      </c>
      <c r="T99" s="37" t="n">
        <f aca="false">(X99-X$54)/(X$100-X$54)*(T$100-T$54)+T$54</f>
        <v>1.97793062213111</v>
      </c>
      <c r="U99" s="39" t="n">
        <f aca="false">(X99-X$90)/(X$100-X$90)*(U$100-U$90)+U$90</f>
        <v>2543.13115574002</v>
      </c>
      <c r="V99" s="39" t="n">
        <f aca="false">8314.4621*U99/(Sheet1!H$20*Sheet1!H$12*9.80665)</f>
        <v>279055.105177633</v>
      </c>
      <c r="W99" s="39" t="n">
        <f aca="false">W98-LN(R99/R98)*(V98+V99)/2</f>
        <v>6172556.29707178</v>
      </c>
      <c r="X99" s="39" t="n">
        <f aca="false">Sheet1!H$10*10/Sheet1!H$11*1000*W99/(Sheet1!H$10*10/Sheet1!H$11*1000-W99)</f>
        <v>6550359.14304927</v>
      </c>
      <c r="Y99" s="37"/>
      <c r="Z99" s="39"/>
      <c r="AO99" s="37" t="n">
        <f aca="false">AO98+(AO$106-AO$96)/10</f>
        <v>-5.14</v>
      </c>
      <c r="AP99" s="40" t="n">
        <f aca="false">10^AO99</f>
        <v>7.24435960074989E-006</v>
      </c>
      <c r="AQ99" s="39" t="n">
        <f aca="false">AS99-AR99*((Sheet1!R$19-Sheet1!R$20)*COS(RADIANS(38))+Sheet1!R$20)/2</f>
        <v>247.803072051531</v>
      </c>
      <c r="AR99" s="37" t="n">
        <f aca="false">(AV99-AV$51)/(AV$116-AV$51)*(AR$116-AR$51)+AR$51</f>
        <v>0.0990670130966929</v>
      </c>
      <c r="AS99" s="39" t="n">
        <f aca="false">(AV99-AV$96)/(AV$106-AV$96)*(AS$106-AS$96)+AS$96</f>
        <v>250.961554794264</v>
      </c>
      <c r="AT99" s="39" t="n">
        <f aca="false">8314.4621*AS99/(Sheet1!R$22*Sheet1!R$12*9.80665)</f>
        <v>17630.7031434551</v>
      </c>
      <c r="AU99" s="39" t="n">
        <f aca="false">AU98-LN(AP99/AP98)*(AT98+AT99)/2</f>
        <v>234641.048208621</v>
      </c>
      <c r="AV99" s="39" t="n">
        <f aca="false">Sheet1!R$10*10/Sheet1!R$11*1000*AU99/(Sheet1!R$10*10/Sheet1!R$11*1000-AU99)</f>
        <v>242888.757717885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2436.74205214124</v>
      </c>
      <c r="T100" s="37" t="n">
        <v>2</v>
      </c>
      <c r="U100" s="39" t="n">
        <f aca="false">110/610*(U$170-U$54)+U$54</f>
        <v>2536.1469446906</v>
      </c>
      <c r="V100" s="39" t="n">
        <f aca="false">8314.4621*U100/(Sheet1!H$20*Sheet1!H$12*9.80665)</f>
        <v>278288.735049777</v>
      </c>
      <c r="W100" s="39" t="n">
        <f aca="false">W99-LN(R100/R99)*(V99+V100)/2</f>
        <v>6236722.87798077</v>
      </c>
      <c r="X100" s="39" t="n">
        <f aca="false">Sheet1!H$10*10/Sheet1!H$11*1000*W100/(Sheet1!H$10*10/Sheet1!H$11*1000-W100)</f>
        <v>6622666.98862559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2436.74205214124</v>
      </c>
      <c r="AA100" s="39" t="n">
        <f aca="false">IF(Y100=LOG(Sheet1!H$17*101325),(LOG(Sheet1!H$17*101325)-Q110)/(Q100-Q110)*(X100-X110)+X110,IF(Y100=0,0,X100))</f>
        <v>6622666.98862559</v>
      </c>
      <c r="AB100" s="32" t="n">
        <f aca="false">IF(Y100=0,0,AB90+1)</f>
        <v>8</v>
      </c>
      <c r="AJ100" s="39"/>
      <c r="AO100" s="37" t="n">
        <f aca="false">AO99+(AO$106-AO$96)/10</f>
        <v>-5.22</v>
      </c>
      <c r="AP100" s="40" t="n">
        <f aca="false">10^AO100</f>
        <v>6.02559586074357E-006</v>
      </c>
      <c r="AQ100" s="39" t="n">
        <f aca="false">AS100-AR100*((Sheet1!R$19-Sheet1!R$20)*COS(RADIANS(38))+Sheet1!R$20)/2</f>
        <v>250.976585979749</v>
      </c>
      <c r="AR100" s="37" t="n">
        <f aca="false">(AV100-AV$51)/(AV$116-AV$51)*(AR$116-AR$51)+AR$51</f>
        <v>0.101826589105926</v>
      </c>
      <c r="AS100" s="39" t="n">
        <f aca="false">(AV100-AV$96)/(AV$106-AV$96)*(AS$106-AS$96)+AS$96</f>
        <v>254.223050311206</v>
      </c>
      <c r="AT100" s="39" t="n">
        <f aca="false">8314.4621*AS100/(Sheet1!R$22*Sheet1!R$12*9.80665)</f>
        <v>17859.8317018515</v>
      </c>
      <c r="AU100" s="39" t="n">
        <f aca="false">AU99-LN(AP100/AP99)*(AT99+AT100)/2</f>
        <v>237909.847267709</v>
      </c>
      <c r="AV100" s="39" t="n">
        <f aca="false">Sheet1!R$10*10/Sheet1!R$11*1000*AU100/(Sheet1!R$10*10/Sheet1!R$11*1000-AU100)</f>
        <v>246393.110252962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2404.6612594446</v>
      </c>
      <c r="T101" s="37" t="n">
        <f aca="false">(X101-X$100)/(X$170-X$100)*(T$170-T$100)+T$100</f>
        <v>2.03740514447353</v>
      </c>
      <c r="U101" s="39" t="n">
        <f aca="false">(X101-X$100)/(X$125-X$100)*(U$125-U$100)+U$100</f>
        <v>2505.92527917755</v>
      </c>
      <c r="V101" s="39" t="n">
        <f aca="false">8314.4621*U101/(Sheet1!H$20*Sheet1!H$12*9.80665)</f>
        <v>274972.5435001</v>
      </c>
      <c r="W101" s="39" t="n">
        <f aca="false">W100-LN(R101/R100)*(V100+V101)/2</f>
        <v>6300419.43660676</v>
      </c>
      <c r="X101" s="39" t="n">
        <f aca="false">Sheet1!H$10*10/Sheet1!H$11*1000*W101/(Sheet1!H$10*10/Sheet1!H$11*1000-W101)</f>
        <v>6694536.29903936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5.01187233627272E-006</v>
      </c>
      <c r="AQ101" s="39" t="n">
        <f aca="false">AS101-AR101*((Sheet1!R$19-Sheet1!R$20)*COS(RADIANS(38))+Sheet1!R$20)/2</f>
        <v>254.194535525037</v>
      </c>
      <c r="AR101" s="37" t="n">
        <f aca="false">(AV101-AV$51)/(AV$116-AV$51)*(AR$116-AR$51)+AR$51</f>
        <v>0.104624804763697</v>
      </c>
      <c r="AS101" s="39" t="n">
        <f aca="false">(AV101-AV$96)/(AV$106-AV$96)*(AS$106-AS$96)+AS$96</f>
        <v>257.530213365504</v>
      </c>
      <c r="AT101" s="39" t="n">
        <f aca="false">8314.4621*AS101/(Sheet1!R$22*Sheet1!R$12*9.80665)</f>
        <v>18092.1685237409</v>
      </c>
      <c r="AU101" s="39" t="n">
        <f aca="false">AU100-LN(AP101/AP100)*(AT100+AT101)/2</f>
        <v>241221.148859019</v>
      </c>
      <c r="AV101" s="39" t="n">
        <f aca="false">Sheet1!R$10*10/Sheet1!R$11*1000*AU101/(Sheet1!R$10*10/Sheet1!R$11*1000-AU101)</f>
        <v>249946.530815104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2372.92308039395</v>
      </c>
      <c r="T102" s="37" t="n">
        <f aca="false">(X102-X$100)/(X$170-X$100)*(T$170-T$100)+T$100</f>
        <v>2.07441077549237</v>
      </c>
      <c r="U102" s="39" t="n">
        <f aca="false">(X102-X$100)/(X$125-X$100)*(U$125-U$100)+U$100</f>
        <v>2476.02637051448</v>
      </c>
      <c r="V102" s="39" t="n">
        <f aca="false">8314.4621*U102/(Sheet1!H$20*Sheet1!H$12*9.80665)</f>
        <v>271691.767719881</v>
      </c>
      <c r="W102" s="39" t="n">
        <f aca="false">W101-LN(R102/R101)*(V101+V102)/2</f>
        <v>6363356.4913011</v>
      </c>
      <c r="X102" s="39" t="n">
        <f aca="false">Sheet1!H$10*10/Sheet1!H$11*1000*W102/(Sheet1!H$10*10/Sheet1!H$11*1000-W102)</f>
        <v>6765637.99427894</v>
      </c>
      <c r="Y102" s="37"/>
      <c r="Z102" s="39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257.457628236979</v>
      </c>
      <c r="AR102" s="37" t="n">
        <f aca="false">(AV102-AV$51)/(AV$116-AV$51)*(AR$116-AR$51)+AR$51</f>
        <v>0.107462275330223</v>
      </c>
      <c r="AS102" s="39" t="n">
        <f aca="false">(AV102-AV$96)/(AV$106-AV$96)*(AS$106-AS$96)+AS$96</f>
        <v>260.883771122644</v>
      </c>
      <c r="AT102" s="39" t="n">
        <f aca="false">8314.4621*AS102/(Sheet1!R$22*Sheet1!R$12*9.80665)</f>
        <v>18327.7646943935</v>
      </c>
      <c r="AU102" s="39" t="n">
        <f aca="false">AU101-LN(AP102/AP101)*(AT101+AT102)/2</f>
        <v>244575.548671656</v>
      </c>
      <c r="AV102" s="39" t="n">
        <f aca="false">Sheet1!R$10*10/Sheet1!R$11*1000*AU102/(Sheet1!R$10*10/Sheet1!R$11*1000-AU102)</f>
        <v>253549.800715893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2341.52482120392</v>
      </c>
      <c r="T103" s="37" t="n">
        <f aca="false">(X103-X$100)/(X$170-X$100)*(T$170-T$100)+T$100</f>
        <v>2.11102008989671</v>
      </c>
      <c r="U103" s="39" t="n">
        <f aca="false">(X103-X$100)/(X$125-X$100)*(U$125-U$100)+U$100</f>
        <v>2446.44768380678</v>
      </c>
      <c r="V103" s="39" t="n">
        <f aca="false">8314.4621*U103/(Sheet1!H$20*Sheet1!H$12*9.80665)</f>
        <v>268446.129557806</v>
      </c>
      <c r="W103" s="39" t="n">
        <f aca="false">W102-LN(R103/R102)*(V102+V103)/2</f>
        <v>6425542.16482274</v>
      </c>
      <c r="X103" s="39" t="n">
        <f aca="false">Sheet1!H$10*10/Sheet1!H$11*1000*W103/(Sheet1!H$10*10/Sheet1!H$11*1000-W103)</f>
        <v>6835978.21667327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3.46736850452531E-006</v>
      </c>
      <c r="AQ103" s="39" t="n">
        <f aca="false">AS103-AR103*((Sheet1!R$19-Sheet1!R$20)*COS(RADIANS(38))+Sheet1!R$20)/2</f>
        <v>260.766585248493</v>
      </c>
      <c r="AR103" s="37" t="n">
        <f aca="false">(AV103-AV$51)/(AV$116-AV$51)*(AR$116-AR$51)+AR$51</f>
        <v>0.110339627877303</v>
      </c>
      <c r="AS103" s="39" t="n">
        <f aca="false">(AV103-AV$96)/(AV$106-AV$96)*(AS$106-AS$96)+AS$96</f>
        <v>264.284464708024</v>
      </c>
      <c r="AT103" s="39" t="n">
        <f aca="false">8314.4621*AS103/(Sheet1!R$22*Sheet1!R$12*9.80665)</f>
        <v>18566.6722797998</v>
      </c>
      <c r="AU103" s="39" t="n">
        <f aca="false">AU102-LN(AP103/AP102)*(AT102+AT103)/2</f>
        <v>247973.651895303</v>
      </c>
      <c r="AV103" s="39" t="n">
        <f aca="false">Sheet1!R$10*10/Sheet1!R$11*1000*AU103/(Sheet1!R$10*10/Sheet1!R$11*1000-AU103)</f>
        <v>257203.716266302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2310.46372464601</v>
      </c>
      <c r="T104" s="37" t="n">
        <f aca="false">(X104-X$100)/(X$170-X$100)*(T$170-T$100)+T$100</f>
        <v>2.14723628390558</v>
      </c>
      <c r="U104" s="39" t="n">
        <f aca="false">(X104-X$100)/(X$125-X$100)*(U$125-U$100)+U$100</f>
        <v>2417.18662068587</v>
      </c>
      <c r="V104" s="39" t="n">
        <f aca="false">8314.4621*U104/(Sheet1!H$20*Sheet1!H$12*9.80665)</f>
        <v>265235.343897622</v>
      </c>
      <c r="W104" s="39" t="n">
        <f aca="false">W103-LN(R104/R103)*(V103+V104)/2</f>
        <v>6486984.51508202</v>
      </c>
      <c r="X104" s="39" t="n">
        <f aca="false">Sheet1!H$10*10/Sheet1!H$11*1000*W104/(Sheet1!H$10*10/Sheet1!H$11*1000-W104)</f>
        <v>6905563.10735778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2.8840315031266E-006</v>
      </c>
      <c r="AQ104" s="39" t="n">
        <f aca="false">AS104-AR104*((Sheet1!R$19-Sheet1!R$20)*COS(RADIANS(38))+Sheet1!R$20)/2</f>
        <v>264.122141599982</v>
      </c>
      <c r="AR104" s="37" t="n">
        <f aca="false">(AV104-AV$51)/(AV$116-AV$51)*(AR$116-AR$51)+AR$51</f>
        <v>0.113257501570202</v>
      </c>
      <c r="AS104" s="39" t="n">
        <f aca="false">(AV104-AV$96)/(AV$106-AV$96)*(AS$106-AS$96)+AS$96</f>
        <v>267.733049540098</v>
      </c>
      <c r="AT104" s="39" t="n">
        <f aca="false">8314.4621*AS104/(Sheet1!R$22*Sheet1!R$12*9.80665)</f>
        <v>18808.9443500743</v>
      </c>
      <c r="AU104" s="39" t="n">
        <f aca="false">AU103-LN(AP104/AP103)*(AT103+AT104)/2</f>
        <v>251416.07340304</v>
      </c>
      <c r="AV104" s="39" t="n">
        <f aca="false">Sheet1!R$10*10/Sheet1!R$11*1000*AU104/(Sheet1!R$10*10/Sheet1!R$11*1000-AU104)</f>
        <v>260909.089134646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2279.73705086813</v>
      </c>
      <c r="T105" s="37" t="n">
        <f aca="false">(X105-X$100)/(X$170-X$100)*(T$170-T$100)+T$100</f>
        <v>2.18306255209798</v>
      </c>
      <c r="U105" s="39" t="n">
        <f aca="false">(X105-X$100)/(X$125-X$100)*(U$125-U$100)+U$100</f>
        <v>2388.24060007804</v>
      </c>
      <c r="V105" s="39" t="n">
        <f aca="false">8314.4621*U105/(Sheet1!H$20*Sheet1!H$12*9.80665)</f>
        <v>262059.127520831</v>
      </c>
      <c r="W105" s="39" t="n">
        <f aca="false">W104-LN(R105/R104)*(V104+V105)/2</f>
        <v>6547691.53455734</v>
      </c>
      <c r="X105" s="39" t="n">
        <f aca="false">Sheet1!H$10*10/Sheet1!H$11*1000*W105/(Sheet1!H$10*10/Sheet1!H$11*1000-W105)</f>
        <v>6974398.80431674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2.39883291901948E-006</v>
      </c>
      <c r="AQ105" s="39" t="n">
        <f aca="false">AS105-AR105*((Sheet1!R$19-Sheet1!R$20)*COS(RADIANS(38))+Sheet1!R$20)/2</f>
        <v>267.525046573</v>
      </c>
      <c r="AR105" s="37" t="n">
        <f aca="false">(AV105-AV$51)/(AV$116-AV$51)*(AR$116-AR$51)+AR$51</f>
        <v>0.116216547957786</v>
      </c>
      <c r="AS105" s="39" t="n">
        <f aca="false">(AV105-AV$96)/(AV$106-AV$96)*(AS$106-AS$96)+AS$96</f>
        <v>271.230295673287</v>
      </c>
      <c r="AT105" s="39" t="n">
        <f aca="false">8314.4621*AS105/(Sheet1!R$22*Sheet1!R$12*9.80665)</f>
        <v>19054.6350035467</v>
      </c>
      <c r="AU105" s="39" t="n">
        <f aca="false">AU104-LN(AP105/AP104)*(AT104+AT105)/2</f>
        <v>254903.437938522</v>
      </c>
      <c r="AV105" s="39" t="n">
        <f aca="false">Sheet1!R$10*10/Sheet1!R$11*1000*AU105/(Sheet1!R$10*10/Sheet1!R$11*1000-AU105)</f>
        <v>264666.746715029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2249.34206187726</v>
      </c>
      <c r="T106" s="37" t="n">
        <f aca="false">(X106-X$100)/(X$170-X$100)*(T$170-T$100)+T$100</f>
        <v>2.21850208688522</v>
      </c>
      <c r="U106" s="39" t="n">
        <f aca="false">(X106-X$100)/(X$125-X$100)*(U$125-U$100)+U$100</f>
        <v>2359.60704266094</v>
      </c>
      <c r="V106" s="39" t="n">
        <f aca="false">8314.4621*U106/(Sheet1!H$20*Sheet1!H$12*9.80665)</f>
        <v>258917.197401102</v>
      </c>
      <c r="W106" s="39" t="n">
        <f aca="false">W105-LN(R106/R105)*(V105+V106)/2</f>
        <v>6607671.15053574</v>
      </c>
      <c r="X106" s="39" t="n">
        <f aca="false">Sheet1!H$10*10/Sheet1!H$11*1000*W106/(Sheet1!H$10*10/Sheet1!H$11*1000-W106)</f>
        <v>7042491.44136953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270.976064033751</v>
      </c>
      <c r="AR106" s="37" t="n">
        <f aca="false">(AV106-AV$51)/(AV$116-AV$51)*(AR$116-AR$51)+AR$51</f>
        <v>0.119217431271217</v>
      </c>
      <c r="AS106" s="39" t="n">
        <f aca="false">AS69+0.95*(AS116-AS69)</f>
        <v>274.776988151</v>
      </c>
      <c r="AT106" s="39" t="n">
        <f aca="false">8314.4621*AS106/(Sheet1!R$22*Sheet1!R$12*9.80665)</f>
        <v>19303.799391562</v>
      </c>
      <c r="AU106" s="39" t="n">
        <f aca="false">AU105-LN(AP106/AP105)*(AT105+AT106)/2</f>
        <v>258436.380307672</v>
      </c>
      <c r="AV106" s="39" t="n">
        <f aca="false">Sheet1!R$10*10/Sheet1!R$11*1000*AU106/(Sheet1!R$10*10/Sheet1!R$11*1000-AU106)</f>
        <v>268477.532506653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2219.27602208179</v>
      </c>
      <c r="T107" s="37" t="n">
        <f aca="false">(X107-X$100)/(X$170-X$100)*(T$170-T$100)+T$100</f>
        <v>2.25355807787859</v>
      </c>
      <c r="U107" s="39" t="n">
        <f aca="false">(X107-X$100)/(X$125-X$100)*(U$125-U$100)+U$100</f>
        <v>2331.28337137442</v>
      </c>
      <c r="V107" s="39" t="n">
        <f aca="false">8314.4621*U107/(Sheet1!H$20*Sheet1!H$12*9.80665)</f>
        <v>255809.27076034</v>
      </c>
      <c r="W107" s="39" t="n">
        <f aca="false">W106-LN(R107/R106)*(V106+V107)/2</f>
        <v>6666931.22516364</v>
      </c>
      <c r="X107" s="39" t="n">
        <f aca="false">Sheet1!H$10*10/Sheet1!H$11*1000*W107/(Sheet1!H$10*10/Sheet1!H$11*1000-W107)</f>
        <v>7109847.14695563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271.592226260804</v>
      </c>
      <c r="AR107" s="37" t="n">
        <f aca="false">(AV107-AV$51)/(AV$116-AV$51)*(AR$116-AR$51)+AR$51</f>
        <v>0.122244951276655</v>
      </c>
      <c r="AS107" s="39" t="n">
        <f aca="false">(AV107-AV$106)/(AV$116-AV$106)*(AS$116-AS$106)+AS$106</f>
        <v>275.489674633621</v>
      </c>
      <c r="AT107" s="39" t="n">
        <f aca="false">8314.4621*AS107/(Sheet1!R$22*Sheet1!R$12*9.80665)</f>
        <v>19353.867473981</v>
      </c>
      <c r="AU107" s="39" t="n">
        <f aca="false">AU106-LN(AP107/AP106)*(AT106+AT107)/2</f>
        <v>261996.883005853</v>
      </c>
      <c r="AV107" s="39" t="n">
        <f aca="false">Sheet1!R$10*10/Sheet1!R$11*1000*AU107/(Sheet1!R$10*10/Sheet1!R$11*1000-AU107)</f>
        <v>272322.143914548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2189.53616538528</v>
      </c>
      <c r="T108" s="37" t="n">
        <f aca="false">(X108-X$100)/(X$170-X$100)*(T$170-T$100)+T$100</f>
        <v>2.28823371102112</v>
      </c>
      <c r="U108" s="39" t="n">
        <f aca="false">(X108-X$100)/(X$125-X$100)*(U$125-U$100)+U$100</f>
        <v>2303.26697847121</v>
      </c>
      <c r="V108" s="39" t="n">
        <f aca="false">8314.4621*U108/(Sheet1!H$20*Sheet1!H$12*9.80665)</f>
        <v>252735.061453181</v>
      </c>
      <c r="W108" s="39" t="n">
        <f aca="false">W107-LN(R108/R107)*(V107+V108)/2</f>
        <v>6725479.55508771</v>
      </c>
      <c r="X108" s="39" t="n">
        <f aca="false">Sheet1!H$10*10/Sheet1!H$11*1000*W108/(Sheet1!H$10*10/Sheet1!H$11*1000-W108)</f>
        <v>7176472.04246639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272.210650410943</v>
      </c>
      <c r="AR108" s="37" t="n">
        <f aca="false">(AV108-AV$51)/(AV$116-AV$51)*(AR$116-AR$51)+AR$51</f>
        <v>0.125283585266517</v>
      </c>
      <c r="AS108" s="39" t="n">
        <f aca="false">(AV108-AV$106)/(AV$116-AV$106)*(AS$116-AS$106)+AS$106</f>
        <v>276.204977378546</v>
      </c>
      <c r="AT108" s="39" t="n">
        <f aca="false">8314.4621*AS108/(Sheet1!R$22*Sheet1!R$12*9.80665)</f>
        <v>19404.1193556439</v>
      </c>
      <c r="AU108" s="39" t="n">
        <f aca="false">AU107-LN(AP108/AP107)*(AT107+AT108)/2</f>
        <v>265566.625514188</v>
      </c>
      <c r="AV108" s="39" t="n">
        <f aca="false">Sheet1!R$10*10/Sheet1!R$11*1000*AU108/(Sheet1!R$10*10/Sheet1!R$11*1000-AU108)</f>
        <v>276180.868838202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2160.11982607997</v>
      </c>
      <c r="T109" s="37" t="n">
        <f aca="false">(X109-X$100)/(X$170-X$100)*(T$170-T$100)+T$100</f>
        <v>2.32253216845859</v>
      </c>
      <c r="U109" s="39" t="n">
        <f aca="false">(X109-X$100)/(X$125-X$100)*(U$125-U$100)+U$100</f>
        <v>2275.55535640399</v>
      </c>
      <c r="V109" s="39" t="n">
        <f aca="false">8314.4621*U109/(Sheet1!H$20*Sheet1!H$12*9.80665)</f>
        <v>249694.294329096</v>
      </c>
      <c r="W109" s="39" t="n">
        <f aca="false">W108-LN(R109/R108)*(V108+V109)/2</f>
        <v>6783323.87233306</v>
      </c>
      <c r="X109" s="39" t="n">
        <f aca="false">Sheet1!H$10*10/Sheet1!H$11*1000*W109/(Sheet1!H$10*10/Sheet1!H$11*1000-W109)</f>
        <v>7242372.24199725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272.831348603793</v>
      </c>
      <c r="AR109" s="37" t="n">
        <f aca="false">(AV109-AV$51)/(AV$116-AV$51)*(AR$116-AR$51)+AR$51</f>
        <v>0.128333392790716</v>
      </c>
      <c r="AS109" s="39" t="n">
        <f aca="false">(AV109-AV$106)/(AV$116-AV$106)*(AS$116-AS$106)+AS$106</f>
        <v>276.922910403988</v>
      </c>
      <c r="AT109" s="39" t="n">
        <f aca="false">8314.4621*AS109/(Sheet1!R$22*Sheet1!R$12*9.80665)</f>
        <v>19454.5560213668</v>
      </c>
      <c r="AU109" s="39" t="n">
        <f aca="false">AU108-LN(AP109/AP108)*(AT108+AT109)/2</f>
        <v>269145.641780452</v>
      </c>
      <c r="AV109" s="39" t="n">
        <f aca="false">Sheet1!R$10*10/Sheet1!R$11*1000*AU109/(Sheet1!R$10*10/Sheet1!R$11*1000-AU109)</f>
        <v>280053.782899335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2131.0242489807</v>
      </c>
      <c r="T110" s="37" t="n">
        <f aca="false">(X110-X$100)/(X$170-X$100)*(T$170-T$100)+T$100</f>
        <v>2.35645662797824</v>
      </c>
      <c r="U110" s="39" t="n">
        <f aca="false">(X110-X$100)/(X$125-X$100)*(U$125-U$100)+U$100</f>
        <v>2248.1459079314</v>
      </c>
      <c r="V110" s="39" t="n">
        <f aca="false">8314.4621*U110/(Sheet1!H$20*Sheet1!H$12*9.80665)</f>
        <v>246686.684395524</v>
      </c>
      <c r="W110" s="39" t="n">
        <f aca="false">W109-LN(R110/R109)*(V109+V110)/2</f>
        <v>6840471.84443591</v>
      </c>
      <c r="X110" s="39" t="n">
        <f aca="false">Sheet1!H$10*10/Sheet1!H$11*1000*W110/(Sheet1!H$10*10/Sheet1!H$11*1000-W110)</f>
        <v>7307553.85126928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9.54992586021435E-007</v>
      </c>
      <c r="AQ110" s="39" t="n">
        <f aca="false">AS110-AR110*((Sheet1!R$19-Sheet1!R$20)*COS(RADIANS(38))+Sheet1!R$20)/2</f>
        <v>273.454333048456</v>
      </c>
      <c r="AR110" s="37" t="n">
        <f aca="false">(AV110-AV$51)/(AV$116-AV$51)*(AR$116-AR$51)+AR$51</f>
        <v>0.131394433838807</v>
      </c>
      <c r="AS110" s="39" t="n">
        <f aca="false">(AV110-AV$106)/(AV$116-AV$106)*(AS$116-AS$106)+AS$106</f>
        <v>277.643487831652</v>
      </c>
      <c r="AT110" s="39" t="n">
        <f aca="false">8314.4621*AS110/(Sheet1!R$22*Sheet1!R$12*9.80665)</f>
        <v>19505.1784632362</v>
      </c>
      <c r="AU110" s="39" t="n">
        <f aca="false">AU109-LN(AP110/AP109)*(AT109+AT110)/2</f>
        <v>272733.965934502</v>
      </c>
      <c r="AV110" s="39" t="n">
        <f aca="false">Sheet1!R$10*10/Sheet1!R$11*1000*AU110/(Sheet1!R$10*10/Sheet1!R$11*1000-AU110)</f>
        <v>283940.962277964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2102.24671327337</v>
      </c>
      <c r="T111" s="37" t="n">
        <f aca="false">(X111-X$100)/(X$170-X$100)*(T$170-T$100)+T$100</f>
        <v>2.39001026195829</v>
      </c>
      <c r="U111" s="39" t="n">
        <f aca="false">(X111-X$100)/(X$125-X$100)*(U$125-U$100)+U$100</f>
        <v>2221.03606991428</v>
      </c>
      <c r="V111" s="39" t="n">
        <f aca="false">8314.4621*U111/(Sheet1!H$20*Sheet1!H$12*9.80665)</f>
        <v>243711.950401903</v>
      </c>
      <c r="W111" s="39" t="n">
        <f aca="false">W110-LN(R111/R110)*(V110+V111)/2</f>
        <v>6896931.07374137</v>
      </c>
      <c r="X111" s="39" t="n">
        <f aca="false">Sheet1!H$10*10/Sheet1!H$11*1000*W111/(Sheet1!H$10*10/Sheet1!H$11*1000-W111)</f>
        <v>7372022.9656107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7.94328234724281E-007</v>
      </c>
      <c r="AQ111" s="39" t="n">
        <f aca="false">AS111-AR111*((Sheet1!R$19-Sheet1!R$20)*COS(RADIANS(38))+Sheet1!R$20)/2</f>
        <v>274.079616044355</v>
      </c>
      <c r="AR111" s="37" t="n">
        <f aca="false">(AV111-AV$51)/(AV$116-AV$51)*(AR$116-AR$51)+AR$51</f>
        <v>0.134466768844154</v>
      </c>
      <c r="AS111" s="39" t="n">
        <f aca="false">(AV111-AV$106)/(AV$116-AV$106)*(AS$116-AS$106)+AS$106</f>
        <v>278.366723887718</v>
      </c>
      <c r="AT111" s="39" t="n">
        <f aca="false">8314.4621*AS111/(Sheet1!R$22*Sheet1!R$12*9.80665)</f>
        <v>19555.9876806782</v>
      </c>
      <c r="AU111" s="39" t="n">
        <f aca="false">AU110-LN(AP111/AP110)*(AT110+AT111)/2</f>
        <v>276331.632289619</v>
      </c>
      <c r="AV111" s="39" t="n">
        <f aca="false">Sheet1!R$10*10/Sheet1!R$11*1000*AU111/(Sheet1!R$10*10/Sheet1!R$11*1000-AU111)</f>
        <v>287842.483717696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2073.78450307205</v>
      </c>
      <c r="T112" s="37" t="n">
        <f aca="false">(X112-X$100)/(X$170-X$100)*(T$170-T$100)+T$100</f>
        <v>2.42319623703079</v>
      </c>
      <c r="U112" s="39" t="n">
        <f aca="false">(X112-X$100)/(X$125-X$100)*(U$125-U$100)+U$100</f>
        <v>2194.22328385607</v>
      </c>
      <c r="V112" s="39" t="n">
        <f aca="false">8314.4621*U112/(Sheet1!H$20*Sheet1!H$12*9.80665)</f>
        <v>240769.811607099</v>
      </c>
      <c r="W112" s="39" t="n">
        <f aca="false">W111-LN(R112/R111)*(V111+V112)/2</f>
        <v>6952709.09789284</v>
      </c>
      <c r="X112" s="39" t="n">
        <f aca="false">Sheet1!H$10*10/Sheet1!H$11*1000*W112/(Sheet1!H$10*10/Sheet1!H$11*1000-W112)</f>
        <v>7435785.66930928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6.60693448007595E-007</v>
      </c>
      <c r="AQ112" s="39" t="n">
        <f aca="false">AS112-AR112*((Sheet1!R$19-Sheet1!R$20)*COS(RADIANS(38))+Sheet1!R$20)/2</f>
        <v>274.707209982101</v>
      </c>
      <c r="AR112" s="37" t="n">
        <f aca="false">(AV112-AV$51)/(AV$116-AV$51)*(AR$116-AR$51)+AR$51</f>
        <v>0.13755045868815</v>
      </c>
      <c r="AS112" s="39" t="n">
        <f aca="false">(AV112-AV$106)/(AV$116-AV$106)*(AS$116-AS$106)+AS$106</f>
        <v>279.092632903831</v>
      </c>
      <c r="AT112" s="39" t="n">
        <f aca="false">8314.4621*AS112/(Sheet1!R$22*Sheet1!R$12*9.80665)</f>
        <v>19606.9846805284</v>
      </c>
      <c r="AU112" s="39" t="n">
        <f aca="false">AU111-LN(AP112/AP111)*(AT111+AT112)/2</f>
        <v>279938.675343869</v>
      </c>
      <c r="AV112" s="39" t="n">
        <f aca="false">Sheet1!R$10*10/Sheet1!R$11*1000*AU112/(Sheet1!R$10*10/Sheet1!R$11*1000-AU112)</f>
        <v>291758.424531083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2045.63490788791</v>
      </c>
      <c r="T113" s="37" t="n">
        <f aca="false">(X113-X$100)/(X$170-X$100)*(T$170-T$100)+T$100</f>
        <v>2.45601771353497</v>
      </c>
      <c r="U113" s="39" t="n">
        <f aca="false">(X113-X$100)/(X$125-X$100)*(U$125-U$100)+U$100</f>
        <v>2167.70499634454</v>
      </c>
      <c r="V113" s="39" t="n">
        <f aca="false">8314.4621*U113/(Sheet1!H$20*Sheet1!H$12*9.80665)</f>
        <v>237859.987827873</v>
      </c>
      <c r="W113" s="39" t="n">
        <f aca="false">W112-LN(R113/R112)*(V112+V113)/2</f>
        <v>7007813.38995493</v>
      </c>
      <c r="X113" s="39" t="n">
        <f aca="false">Sheet1!H$10*10/Sheet1!H$11*1000*W113/(Sheet1!H$10*10/Sheet1!H$11*1000-W113)</f>
        <v>7498848.03456192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5.49540873857624E-007</v>
      </c>
      <c r="AQ113" s="39" t="n">
        <f aca="false">AS113-AR113*((Sheet1!R$19-Sheet1!R$20)*COS(RADIANS(38))+Sheet1!R$20)/2</f>
        <v>275.337127344354</v>
      </c>
      <c r="AR113" s="37" t="n">
        <f aca="false">(AV113-AV$51)/(AV$116-AV$51)*(AR$116-AR$51)+AR$51</f>
        <v>0.140645564704489</v>
      </c>
      <c r="AS113" s="39" t="n">
        <f aca="false">(AV113-AV$106)/(AV$116-AV$106)*(AS$116-AS$106)+AS$106</f>
        <v>279.82122931811</v>
      </c>
      <c r="AT113" s="39" t="n">
        <f aca="false">8314.4621*AS113/(Sheet1!R$22*Sheet1!R$12*9.80665)</f>
        <v>19658.1704771022</v>
      </c>
      <c r="AU113" s="39" t="n">
        <f aca="false">AU112-LN(AP113/AP112)*(AT112+AT113)/2</f>
        <v>283555.129781472</v>
      </c>
      <c r="AV113" s="39" t="n">
        <f aca="false">Sheet1!R$10*10/Sheet1!R$11*1000*AU113/(Sheet1!R$10*10/Sheet1!R$11*1000-AU113)</f>
        <v>295688.862605048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2017.79522308613</v>
      </c>
      <c r="T114" s="37" t="n">
        <f aca="false">(X114-X$100)/(X$170-X$100)*(T$170-T$100)+T$100</f>
        <v>2.48847784498448</v>
      </c>
      <c r="U114" s="39" t="n">
        <f aca="false">(X114-X$100)/(X$125-X$100)*(U$125-U$100)+U$100</f>
        <v>2141.4786594822</v>
      </c>
      <c r="V114" s="39" t="n">
        <f aca="false">8314.4621*U114/(Sheet1!H$20*Sheet1!H$12*9.80665)</f>
        <v>234982.199486117</v>
      </c>
      <c r="W114" s="39" t="n">
        <f aca="false">W113-LN(R114/R113)*(V113+V114)/2</f>
        <v>7062251.35854732</v>
      </c>
      <c r="X114" s="39" t="n">
        <f aca="false">Sheet1!H$10*10/Sheet1!H$11*1000*W114/(Sheet1!H$10*10/Sheet1!H$11*1000-W114)</f>
        <v>7561216.12045093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4.57088189614874E-007</v>
      </c>
      <c r="AQ114" s="39" t="n">
        <f aca="false">AS114-AR114*((Sheet1!R$19-Sheet1!R$20)*COS(RADIANS(38))+Sheet1!R$20)/2</f>
        <v>275.969380706704</v>
      </c>
      <c r="AR114" s="37" t="n">
        <f aca="false">(AV114-AV$51)/(AV$116-AV$51)*(AR$116-AR$51)+AR$51</f>
        <v>0.14375214868348</v>
      </c>
      <c r="AS114" s="39" t="n">
        <f aca="false">(AV114-AV$106)/(AV$116-AV$106)*(AS$116-AS$106)+AS$106</f>
        <v>280.552527676164</v>
      </c>
      <c r="AT114" s="39" t="n">
        <f aca="false">8314.4621*AS114/(Sheet1!R$22*Sheet1!R$12*9.80665)</f>
        <v>19709.5460922665</v>
      </c>
      <c r="AU114" s="39" t="n">
        <f aca="false">AU113-LN(AP114/AP113)*(AT113+AT114)/2</f>
        <v>287181.030474185</v>
      </c>
      <c r="AV114" s="39" t="n">
        <f aca="false">Sheet1!R$10*10/Sheet1!R$11*1000*AU114/(Sheet1!R$10*10/Sheet1!R$11*1000-AU114)</f>
        <v>299633.876406364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1990.26275033096</v>
      </c>
      <c r="T115" s="37" t="n">
        <f aca="false">(X115-X$100)/(X$170-X$100)*(T$170-T$100)+T$100</f>
        <v>2.5205797775484</v>
      </c>
      <c r="U115" s="39" t="n">
        <f aca="false">(X115-X$100)/(X$125-X$100)*(U$125-U$100)+U$100</f>
        <v>2115.54173130561</v>
      </c>
      <c r="V115" s="39" t="n">
        <f aca="false">8314.4621*U115/(Sheet1!H$20*Sheet1!H$12*9.80665)</f>
        <v>232136.167654858</v>
      </c>
      <c r="W115" s="39" t="n">
        <f aca="false">W114-LN(R115/R114)*(V114+V115)/2</f>
        <v>7116030.34798945</v>
      </c>
      <c r="X115" s="39" t="n">
        <f aca="false">Sheet1!H$10*10/Sheet1!H$11*1000*W115/(Sheet1!H$10*10/Sheet1!H$11*1000-W115)</f>
        <v>7622895.97194704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3.8018939632056E-007</v>
      </c>
      <c r="AQ115" s="39" t="n">
        <f aca="false">AS115-AR115*((Sheet1!R$19-Sheet1!R$20)*COS(RADIANS(38))+Sheet1!R$20)/2</f>
        <v>276.603982738564</v>
      </c>
      <c r="AR115" s="37" t="n">
        <f aca="false">(AV115-AV$51)/(AV$116-AV$51)*(AR$116-AR$51)+AR$51</f>
        <v>0.146870272876418</v>
      </c>
      <c r="AS115" s="39" t="n">
        <f aca="false">(AV115-AV$106)/(AV$116-AV$106)*(AS$116-AS$106)+AS$106</f>
        <v>281.286542632117</v>
      </c>
      <c r="AT115" s="39" t="n">
        <f aca="false">8314.4621*AS115/(Sheet1!R$22*Sheet1!R$12*9.80665)</f>
        <v>19761.1125555117</v>
      </c>
      <c r="AU115" s="39" t="n">
        <f aca="false">AU114-LN(AP115/AP114)*(AT114+AT115)/2</f>
        <v>290816.412482707</v>
      </c>
      <c r="AV115" s="39" t="n">
        <f aca="false">Sheet1!R$10*10/Sheet1!R$11*1000*AU115/(Sheet1!R$10*10/Sheet1!R$11*1000-AU115)</f>
        <v>303593.544987205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1963.0347980191</v>
      </c>
      <c r="T116" s="37" t="n">
        <f aca="false">(X116-X$100)/(X$170-X$100)*(T$170-T$100)+T$100</f>
        <v>2.55232664954603</v>
      </c>
      <c r="U116" s="39" t="n">
        <f aca="false">(X116-X$100)/(X$125-X$100)*(U$125-U$100)+U$100</f>
        <v>2089.89167619359</v>
      </c>
      <c r="V116" s="39" t="n">
        <f aca="false">8314.4621*U116/(Sheet1!H$20*Sheet1!H$12*9.80665)</f>
        <v>229321.614103053</v>
      </c>
      <c r="W116" s="39" t="n">
        <f aca="false">W115-LN(R116/R115)*(V115+V116)/2</f>
        <v>7169157.63845554</v>
      </c>
      <c r="X116" s="39" t="n">
        <f aca="false">Sheet1!H$10*10/Sheet1!H$11*1000*W116/(Sheet1!H$10*10/Sheet1!H$11*1000-W116)</f>
        <v>7683893.61893857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277.240946204064</v>
      </c>
      <c r="AR116" s="37" t="n">
        <f aca="false">ROUND((5.7*LOG(Sheet1!R15)+4.8)/(Sheet1!R21+Sheet1!R19)/0.05,0)*0.05</f>
        <v>0.15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282.023288949651</v>
      </c>
      <c r="AT116" s="39" t="n">
        <f aca="false">8314.4621*AS116/(Sheet1!R$22*Sheet1!R$12*9.80665)</f>
        <v>19812.870904025</v>
      </c>
      <c r="AU116" s="39" t="n">
        <f aca="false">AU115-LN(AP116/AP115)*(AT115+AT116)/2</f>
        <v>294461.31105808</v>
      </c>
      <c r="AV116" s="39" t="n">
        <f aca="false">Sheet1!R$10*10/Sheet1!R$11*1000*AU116/(Sheet1!R$10*10/Sheet1!R$11*1000-AU116)</f>
        <v>307567.947990757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1936.10868170132</v>
      </c>
      <c r="T117" s="37" t="n">
        <f aca="false">(X117-X$100)/(X$170-X$100)*(T$170-T$100)+T$100</f>
        <v>2.58372159095522</v>
      </c>
      <c r="U117" s="39" t="n">
        <f aca="false">(X117-X$100)/(X$125-X$100)*(U$125-U$100)+U$100</f>
        <v>2064.5259652645</v>
      </c>
      <c r="V117" s="39" t="n">
        <f aca="false">8314.4621*U117/(Sheet1!H$20*Sheet1!H$12*9.80665)</f>
        <v>226538.261339178</v>
      </c>
      <c r="W117" s="39" t="n">
        <f aca="false">W116-LN(R117/R116)*(V116+V117)/2</f>
        <v>7221640.44613991</v>
      </c>
      <c r="X117" s="39" t="n">
        <f aca="false">Sheet1!H$10*10/Sheet1!H$11*1000*W117/(Sheet1!H$10*10/Sheet1!H$11*1000-W117)</f>
        <v>7744215.07528678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1909.4817244926</v>
      </c>
      <c r="T118" s="37" t="n">
        <f aca="false">(X118-X$100)/(X$170-X$100)*(T$170-T$100)+T$100</f>
        <v>2.61476772293416</v>
      </c>
      <c r="U118" s="39" t="n">
        <f aca="false">(X118-X$100)/(X$125-X$100)*(U$125-U$100)+U$100</f>
        <v>2039.4420767625</v>
      </c>
      <c r="V118" s="39" t="n">
        <f aca="false">8314.4621*U118/(Sheet1!H$20*Sheet1!H$12*9.80665)</f>
        <v>223785.832653622</v>
      </c>
      <c r="W118" s="39" t="n">
        <f aca="false">W117-LN(R118/R117)*(V117+V118)/2</f>
        <v>7273485.9234321</v>
      </c>
      <c r="X118" s="39" t="n">
        <f aca="false">Sheet1!H$10*10/Sheet1!H$11*1000*W118/(Sheet1!H$10*10/Sheet1!H$11*1000-W118)</f>
        <v>7803866.33790709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1883.15125747088</v>
      </c>
      <c r="T119" s="37" t="n">
        <f aca="false">(X119-X$100)/(X$170-X$100)*(T$170-T$100)+T$100</f>
        <v>2.64546815735654</v>
      </c>
      <c r="U119" s="39" t="n">
        <f aca="false">(X119-X$100)/(X$125-X$100)*(U$125-U$100)+U$100</f>
        <v>2014.63749643327</v>
      </c>
      <c r="V119" s="39" t="n">
        <f aca="false">8314.4621*U119/(Sheet1!H$20*Sheet1!H$12*9.80665)</f>
        <v>221064.052159904</v>
      </c>
      <c r="W119" s="39" t="n">
        <f aca="false">W118-LN(R119/R118)*(V118+V119)/2</f>
        <v>7324701.15910169</v>
      </c>
      <c r="X119" s="39" t="n">
        <f aca="false">Sheet1!H$10*10/Sheet1!H$11*1000*W119/(Sheet1!H$10*10/Sheet1!H$11*1000-W119)</f>
        <v>7862853.38587586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1857.11462006443</v>
      </c>
      <c r="T120" s="37" t="n">
        <f aca="false">(X120-X$100)/(X$170-X$100)*(T$170-T$100)+T$100</f>
        <v>2.6758259963598</v>
      </c>
      <c r="U120" s="39" t="n">
        <f aca="false">(X120-X$100)/(X$125-X$100)*(U$125-U$100)+U$100</f>
        <v>1990.10971788889</v>
      </c>
      <c r="V120" s="39" t="n">
        <f aca="false">8314.4621*U120/(Sheet1!H$20*Sheet1!H$12*9.80665)</f>
        <v>218372.644834715</v>
      </c>
      <c r="W120" s="39" t="n">
        <f aca="false">W119-LN(R120/R119)*(V119+V120)/2</f>
        <v>7375293.17849241</v>
      </c>
      <c r="X120" s="39" t="n">
        <f aca="false">Sheet1!H$10*10/Sheet1!H$11*1000*W120/(Sheet1!H$10*10/Sheet1!H$11*1000-W120)</f>
        <v>7921182.17956252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1831.36916042802</v>
      </c>
      <c r="T121" s="37" t="n">
        <f aca="false">(X121-X$100)/(X$170-X$100)*(T$170-T$100)+T$100</f>
        <v>2.70584433190654</v>
      </c>
      <c r="U121" s="39" t="n">
        <f aca="false">(X121-X$100)/(X$125-X$100)*(U$125-U$100)+U$100</f>
        <v>1965.85624296225</v>
      </c>
      <c r="V121" s="39" t="n">
        <f aca="false">8314.4621*U121/(Sheet1!H$20*Sheet1!H$12*9.80665)</f>
        <v>215711.336556807</v>
      </c>
      <c r="W121" s="39" t="n">
        <f aca="false">W120-LN(R121/R120)*(V120+V121)/2</f>
        <v>7425268.94372539</v>
      </c>
      <c r="X121" s="39" t="n">
        <f aca="false">Sheet1!H$10*10/Sheet1!H$11*1000*W121/(Sheet1!H$10*10/Sheet1!H$11*1000-W121)</f>
        <v>7978858.65978677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1805.91223580811</v>
      </c>
      <c r="T122" s="37" t="n">
        <f aca="false">(X122-X$100)/(X$170-X$100)*(T$170-T$100)+T$100</f>
        <v>2.73552624535876</v>
      </c>
      <c r="U122" s="39" t="n">
        <f aca="false">(X122-X$100)/(X$125-X$100)*(U$125-U$100)+U$100</f>
        <v>1941.87458205103</v>
      </c>
      <c r="V122" s="39" t="n">
        <f aca="false">8314.4621*U122/(Sheet1!H$20*Sheet1!H$12*9.80665)</f>
        <v>213079.854144737</v>
      </c>
      <c r="W122" s="39" t="n">
        <f aca="false">W121-LN(R122/R121)*(V121+V122)/2</f>
        <v>7474635.35391122</v>
      </c>
      <c r="X122" s="39" t="n">
        <f aca="false">Sheet1!H$10*10/Sheet1!H$11*1000*W122/(Sheet1!H$10*10/Sheet1!H$11*1000-W122)</f>
        <v>8035888.74700063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1780.741212897</v>
      </c>
      <c r="T123" s="37" t="n">
        <f aca="false">(X123-X$100)/(X$170-X$100)*(T$170-T$100)+T$100</f>
        <v>2.76487480706491</v>
      </c>
      <c r="U123" s="39" t="n">
        <f aca="false">(X123-X$100)/(X$125-X$100)*(U$125-U$100)+U$100</f>
        <v>1918.16225445136</v>
      </c>
      <c r="V123" s="39" t="n">
        <f aca="false">8314.4621*U123/(Sheet1!H$20*Sheet1!H$12*9.80665)</f>
        <v>210477.925393483</v>
      </c>
      <c r="W123" s="39" t="n">
        <f aca="false">W122-LN(R123/R122)*(V122+V123)/2</f>
        <v>7523399.24537054</v>
      </c>
      <c r="X123" s="39" t="n">
        <f aca="false">Sheet1!H$10*10/Sheet1!H$11*1000*W123/(Sheet1!H$10*10/Sheet1!H$11*1000-W123)</f>
        <v>8092278.34049488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1755.85346817623</v>
      </c>
      <c r="T124" s="37" t="n">
        <f aca="false">(X124-X$100)/(X$170-X$100)*(T$170-T$100)+T$100</f>
        <v>2.79389307595949</v>
      </c>
      <c r="U124" s="39" t="n">
        <f aca="false">(X124-X$100)/(X$125-X$100)*(U$125-U$100)+U$100</f>
        <v>1894.71678868131</v>
      </c>
      <c r="V124" s="39" t="n">
        <f aca="false">8314.4621*U124/(Sheet1!H$20*Sheet1!H$12*9.80665)</f>
        <v>207905.279109931</v>
      </c>
      <c r="W124" s="39" t="n">
        <f aca="false">W123-LN(R124/R123)*(V123+V124)/2</f>
        <v>7571567.39186297</v>
      </c>
      <c r="X124" s="39" t="n">
        <f aca="false">Sheet1!H$10*10/Sheet1!H$11*1000*W124/(Sheet1!H$10*10/Sheet1!H$11*1000-W124)</f>
        <v>8148033.31762993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1731.24636107193</v>
      </c>
      <c r="T125" s="37" t="n">
        <f aca="false">(X125-X$100)/(X$170-X$100)*(T$170-T$100)+T$100</f>
        <v>2.82258409896797</v>
      </c>
      <c r="U125" s="39" t="n">
        <f aca="false">470/610*(U$170-U$54)+U$54</f>
        <v>1871.53569560665</v>
      </c>
      <c r="V125" s="39" t="n">
        <f aca="false">8314.4621*U125/(Sheet1!H$20*Sheet1!H$12*9.80665)</f>
        <v>205361.642164002</v>
      </c>
      <c r="W125" s="39" t="n">
        <f aca="false">W124-LN(R125/R124)*(V124+V125)/2</f>
        <v>7619146.50448061</v>
      </c>
      <c r="X125" s="39" t="n">
        <f aca="false">Sheet1!H$10*10/Sheet1!H$11*1000*W125/(Sheet1!H$10*10/Sheet1!H$11*1000-W125)</f>
        <v>8203159.53269225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1731.24636107193</v>
      </c>
      <c r="AA125" s="39" t="n">
        <f aca="false">IF(Y125=LOG(Sheet1!H$17*101325),(LOG(Sheet1!H$17*101325)-Q135)/(Q125-Q135)*(X125-X135)+X135,IF(Y125=0,0,X125))</f>
        <v>8203159.53269225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1717.06693088832</v>
      </c>
      <c r="T126" s="37" t="n">
        <f aca="false">(X126-X$100)/(X$170-X$100)*(T$170-T$100)+T$100</f>
        <v>2.85102836950698</v>
      </c>
      <c r="U126" s="39" t="n">
        <f aca="false">(X126-X$125)/(X$140-X$125)*(U$140-U$125)+U$125</f>
        <v>1858.77001525133</v>
      </c>
      <c r="V126" s="39" t="n">
        <f aca="false">8314.4621*U126/(Sheet1!H$20*Sheet1!H$12*9.80665)</f>
        <v>203960.87749397</v>
      </c>
      <c r="W126" s="39" t="n">
        <f aca="false">W125-LN(R126/R125)*(V125+V126)/2</f>
        <v>7666271.50108017</v>
      </c>
      <c r="X126" s="39" t="n">
        <f aca="false">Sheet1!H$10*10/Sheet1!H$11*1000*W126/(Sheet1!H$10*10/Sheet1!H$11*1000-W126)</f>
        <v>8257811.64372226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1702.97094343078</v>
      </c>
      <c r="T127" s="37" t="n">
        <f aca="false">(X127-X$100)/(X$170-X$100)*(T$170-T$100)+T$100</f>
        <v>2.8793052516459</v>
      </c>
      <c r="U127" s="39" t="n">
        <f aca="false">(X127-X$125)/(X$140-X$125)*(U$140-U$125)+U$125</f>
        <v>1846.07945800911</v>
      </c>
      <c r="V127" s="39" t="n">
        <f aca="false">8314.4621*U127/(Sheet1!H$20*Sheet1!H$12*9.80665)</f>
        <v>202568.356004075</v>
      </c>
      <c r="W127" s="39" t="n">
        <f aca="false">W126-LN(R127/R126)*(V126+V127)/2</f>
        <v>7713074.90872612</v>
      </c>
      <c r="X127" s="39" t="n">
        <f aca="false">Sheet1!H$10*10/Sheet1!H$11*1000*W127/(Sheet1!H$10*10/Sheet1!H$11*1000-W127)</f>
        <v>8312142.13886079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1688.95803912325</v>
      </c>
      <c r="T128" s="37" t="n">
        <f aca="false">(X128-X$100)/(X$170-X$100)*(T$170-T$100)+T$100</f>
        <v>2.90741537961131</v>
      </c>
      <c r="U128" s="39" t="n">
        <f aca="false">(X128-X$125)/(X$140-X$125)*(U$140-U$125)+U$125</f>
        <v>1833.46369582655</v>
      </c>
      <c r="V128" s="39" t="n">
        <f aca="false">8314.4621*U128/(Sheet1!H$20*Sheet1!H$12*9.80665)</f>
        <v>201184.041697358</v>
      </c>
      <c r="W128" s="39" t="n">
        <f aca="false">W127-LN(R128/R127)*(V127+V128)/2</f>
        <v>7759558.62133652</v>
      </c>
      <c r="X128" s="39" t="n">
        <f aca="false">Sheet1!H$10*10/Sheet1!H$11*1000*W128/(Sheet1!H$10*10/Sheet1!H$11*1000-W128)</f>
        <v>8366152.23669496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1675.02797330428</v>
      </c>
      <c r="T129" s="37" t="n">
        <f aca="false">(X129-X$100)/(X$170-X$100)*(T$170-T$100)+T$100</f>
        <v>2.93535939005988</v>
      </c>
      <c r="U129" s="39" t="n">
        <f aca="false">(X129-X$125)/(X$140-X$125)*(U$140-U$125)+U$125</f>
        <v>1820.9225156856</v>
      </c>
      <c r="V129" s="39" t="n">
        <f aca="false">8314.4621*U129/(Sheet1!H$20*Sheet1!H$12*9.80665)</f>
        <v>199807.911199572</v>
      </c>
      <c r="W129" s="39" t="n">
        <f aca="false">W128-LN(R129/R128)*(V128+V129)/2</f>
        <v>7805724.52599407</v>
      </c>
      <c r="X129" s="39" t="n">
        <f aca="false">Sheet1!H$10*10/Sheet1!H$11*1000*W129/(Sheet1!H$10*10/Sheet1!H$11*1000-W129)</f>
        <v>8419843.16048098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1661.18039827799</v>
      </c>
      <c r="T130" s="37" t="n">
        <f aca="false">(X130-X$100)/(X$170-X$100)*(T$170-T$100)+T$100</f>
        <v>2.96313792211508</v>
      </c>
      <c r="U130" s="39" t="n">
        <f aca="false">(X130-X$125)/(X$140-X$125)*(U$140-U$125)+U$125</f>
        <v>1808.45560165638</v>
      </c>
      <c r="V130" s="39" t="n">
        <f aca="false">8314.4621*U130/(Sheet1!H$20*Sheet1!H$12*9.80665)</f>
        <v>198439.929844063</v>
      </c>
      <c r="W130" s="39" t="n">
        <f aca="false">W129-LN(R130/R129)*(V129+V130)/2</f>
        <v>7851574.50309927</v>
      </c>
      <c r="X130" s="39" t="n">
        <f aca="false">Sheet1!H$10*10/Sheet1!H$11*1000*W130/(Sheet1!H$10*10/Sheet1!H$11*1000-W130)</f>
        <v>8473216.13821473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1647.41499452593</v>
      </c>
      <c r="T131" s="37" t="n">
        <f aca="false">(X131-X$100)/(X$170-X$100)*(T$170-T$100)+T$100</f>
        <v>2.99075161673949</v>
      </c>
      <c r="U131" s="39" t="n">
        <f aca="false">(X131-X$125)/(X$140-X$125)*(U$140-U$125)+U$125</f>
        <v>1796.06266607783</v>
      </c>
      <c r="V131" s="39" t="n">
        <f aca="false">8314.4621*U131/(Sheet1!H$20*Sheet1!H$12*9.80665)</f>
        <v>197080.066066088</v>
      </c>
      <c r="W131" s="39" t="n">
        <f aca="false">W130-LN(R131/R130)*(V130+V131)/2</f>
        <v>7897110.42542746</v>
      </c>
      <c r="X131" s="39" t="n">
        <f aca="false">Sheet1!H$10*10/Sheet1!H$11*1000*W131/(Sheet1!H$10*10/Sheet1!H$11*1000-W131)</f>
        <v>8526272.40142572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1633.73144153705</v>
      </c>
      <c r="T132" s="37" t="n">
        <f aca="false">(X132-X$100)/(X$170-X$100)*(T$170-T$100)+T$100</f>
        <v>3.01820111688684</v>
      </c>
      <c r="U132" s="39" t="n">
        <f aca="false">(X132-X$125)/(X$140-X$125)*(U$140-U$125)+U$125</f>
        <v>1783.74342039529</v>
      </c>
      <c r="V132" s="39" t="n">
        <f aca="false">8314.4621*U132/(Sheet1!H$20*Sheet1!H$12*9.80665)</f>
        <v>195728.288202846</v>
      </c>
      <c r="W132" s="39" t="n">
        <f aca="false">W131-LN(R132/R131)*(V131+V132)/2</f>
        <v>7942334.15847462</v>
      </c>
      <c r="X132" s="39" t="n">
        <f aca="false">Sheet1!H$10*10/Sheet1!H$11*1000*W132/(Sheet1!H$10*10/Sheet1!H$11*1000-W132)</f>
        <v>8579013.18546916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1620.1293846661</v>
      </c>
      <c r="T133" s="37" t="n">
        <f aca="false">(X133-X$100)/(X$170-X$100)*(T$170-T$100)+T$100</f>
        <v>3.04548706717674</v>
      </c>
      <c r="U133" s="39" t="n">
        <f aca="false">(X133-X$125)/(X$140-X$125)*(U$140-U$125)+U$125</f>
        <v>1771.49754200269</v>
      </c>
      <c r="V133" s="39" t="n">
        <f aca="false">8314.4621*U133/(Sheet1!H$20*Sheet1!H$12*9.80665)</f>
        <v>194384.560855112</v>
      </c>
      <c r="W133" s="39" t="n">
        <f aca="false">W132-LN(R133/R132)*(V132+V133)/2</f>
        <v>7987247.56001594</v>
      </c>
      <c r="X133" s="39" t="n">
        <f aca="false">Sheet1!H$10*10/Sheet1!H$11*1000*W133/(Sheet1!H$10*10/Sheet1!H$11*1000-W133)</f>
        <v>8631439.72890109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1606.60856420614</v>
      </c>
      <c r="T134" s="37" t="n">
        <f aca="false">(X134-X$100)/(X$170-X$100)*(T$170-T$100)+T$100</f>
        <v>3.07261011430552</v>
      </c>
      <c r="U134" s="39" t="n">
        <f aca="false">(X134-X$125)/(X$140-X$125)*(U$140-U$125)+U$125</f>
        <v>1759.32480333545</v>
      </c>
      <c r="V134" s="39" t="n">
        <f aca="false">8314.4621*U134/(Sheet1!H$20*Sheet1!H$12*9.80665)</f>
        <v>193048.859052467</v>
      </c>
      <c r="W134" s="39" t="n">
        <f aca="false">W133-LN(R134/R133)*(V133+V134)/2</f>
        <v>8031852.48087628</v>
      </c>
      <c r="X134" s="39" t="n">
        <f aca="false">Sheet1!H$10*10/Sheet1!H$11*1000*W134/(Sheet1!H$10*10/Sheet1!H$11*1000-W134)</f>
        <v>8683553.27426768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1593.16862745381</v>
      </c>
      <c r="T135" s="37" t="n">
        <f aca="false">(X135-X$100)/(X$170-X$100)*(T$170-T$100)+T$100</f>
        <v>3.09957090700709</v>
      </c>
      <c r="U135" s="39" t="n">
        <f aca="false">(X135-X$125)/(X$140-X$125)*(U$140-U$125)+U$125</f>
        <v>1747.22488393388</v>
      </c>
      <c r="V135" s="39" t="n">
        <f aca="false">8314.4621*U135/(Sheet1!H$20*Sheet1!H$12*9.80665)</f>
        <v>191721.147631204</v>
      </c>
      <c r="W135" s="39" t="n">
        <f aca="false">W134-LN(R135/R134)*(V134+V135)/2</f>
        <v>8076150.76495733</v>
      </c>
      <c r="X135" s="39" t="n">
        <f aca="false">Sheet1!H$10*10/Sheet1!H$11*1000*W135/(Sheet1!H$10*10/Sheet1!H$11*1000-W135)</f>
        <v>8735355.06803008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1579.80925027439</v>
      </c>
      <c r="T136" s="37" t="n">
        <f aca="false">(X136-X$100)/(X$170-X$100)*(T$170-T$100)+T$100</f>
        <v>3.1263700955029</v>
      </c>
      <c r="U136" s="39" t="n">
        <f aca="false">(X136-X$125)/(X$140-X$125)*(U$140-U$125)+U$125</f>
        <v>1735.19749198089</v>
      </c>
      <c r="V136" s="39" t="n">
        <f aca="false">8314.4621*U136/(Sheet1!H$20*Sheet1!H$12*9.80665)</f>
        <v>190401.394570541</v>
      </c>
      <c r="W136" s="39" t="n">
        <f aca="false">W135-LN(R136/R135)*(V135+V136)/2</f>
        <v>8120144.24842587</v>
      </c>
      <c r="X136" s="39" t="n">
        <f aca="false">Sheet1!H$10*10/Sheet1!H$11*1000*W136/(Sheet1!H$10*10/Sheet1!H$11*1000-W136)</f>
        <v>8786846.3595075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1566.53010771309</v>
      </c>
      <c r="T137" s="37" t="n">
        <f aca="false">(X137-X$100)/(X$170-X$100)*(T$170-T$100)+T$100</f>
        <v>3.15300833165953</v>
      </c>
      <c r="U137" s="39" t="n">
        <f aca="false">(X137-X$125)/(X$140-X$125)*(U$140-U$125)+U$125</f>
        <v>1723.24233492101</v>
      </c>
      <c r="V137" s="39" t="n">
        <f aca="false">8314.4621*U137/(Sheet1!H$20*Sheet1!H$12*9.80665)</f>
        <v>189089.567768676</v>
      </c>
      <c r="W137" s="39" t="n">
        <f aca="false">W136-LN(R137/R136)*(V136+V137)/2</f>
        <v>8163834.76006628</v>
      </c>
      <c r="X137" s="39" t="n">
        <f aca="false">Sheet1!H$10*10/Sheet1!H$11*1000*W137/(Sheet1!H$10*10/Sheet1!H$11*1000-W137)</f>
        <v>8838028.40118016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1553.33087402859</v>
      </c>
      <c r="T138" s="37" t="n">
        <f aca="false">(X138-X$100)/(X$170-X$100)*(T$170-T$100)+T$100</f>
        <v>3.17948626892133</v>
      </c>
      <c r="U138" s="39" t="n">
        <f aca="false">(X138-X$125)/(X$140-X$125)*(U$140-U$125)+U$125</f>
        <v>1711.35911949073</v>
      </c>
      <c r="V138" s="39" t="n">
        <f aca="false">8314.4621*U138/(Sheet1!H$20*Sheet1!H$12*9.80665)</f>
        <v>187785.63504611</v>
      </c>
      <c r="W138" s="39" t="n">
        <f aca="false">W137-LN(R138/R137)*(V137+V138)/2</f>
        <v>8207224.1212623</v>
      </c>
      <c r="X138" s="39" t="n">
        <f aca="false">Sheet1!H$10*10/Sheet1!H$11*1000*W138/(Sheet1!H$10*10/Sheet1!H$11*1000-W138)</f>
        <v>8888902.44855969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1540.21122252313</v>
      </c>
      <c r="T139" s="37" t="n">
        <f aca="false">(X139-X$100)/(X$170-X$100)*(T$170-T$100)+T$100</f>
        <v>3.20580456224203</v>
      </c>
      <c r="U139" s="39" t="n">
        <f aca="false">(X139-X$125)/(X$140-X$125)*(U$140-U$125)+U$125</f>
        <v>1699.54755154509</v>
      </c>
      <c r="V139" s="39" t="n">
        <f aca="false">8314.4621*U139/(Sheet1!H$20*Sheet1!H$12*9.80665)</f>
        <v>186489.564126628</v>
      </c>
      <c r="W139" s="39" t="n">
        <f aca="false">W138-LN(R139/R138)*(V138+V139)/2</f>
        <v>8250314.14597693</v>
      </c>
      <c r="X139" s="39" t="n">
        <f aca="false">Sheet1!H$10*10/Sheet1!H$11*1000*W139/(Sheet1!H$10*10/Sheet1!H$11*1000-W139)</f>
        <v>8939469.76005783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1527.17080541898</v>
      </c>
      <c r="T140" s="37" t="n">
        <f aca="false">(X140-X$100)/(X$170-X$100)*(T$170-T$100)+T$100</f>
        <v>3.23196386785962</v>
      </c>
      <c r="U140" s="39" t="n">
        <f aca="false">570/610*(U$170-U$54)+U$54</f>
        <v>1687.80731592297</v>
      </c>
      <c r="V140" s="39" t="n">
        <f aca="false">8314.4621*U140/(Sheet1!H$20*Sheet1!H$12*9.80665)</f>
        <v>185201.320427932</v>
      </c>
      <c r="W140" s="39" t="n">
        <f aca="false">W139-LN(R140/R139)*(V139+V140)/2</f>
        <v>8293106.64047578</v>
      </c>
      <c r="X140" s="39" t="n">
        <f aca="false">Sheet1!H$10*10/Sheet1!H$11*1000*W140/(Sheet1!H$10*10/Sheet1!H$11*1000-W140)</f>
        <v>8989731.59655386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1527.17080541898</v>
      </c>
      <c r="AA140" s="39" t="n">
        <f aca="false">IF(Y140=LOG(Sheet1!H$17*101325),(LOG(Sheet1!H$17*101325)-Q150)/(Q140-Q150)*(X140-X150)+X150,IF(Y140=0,0,X140))</f>
        <v>8989731.59655386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1520.80962068299</v>
      </c>
      <c r="T141" s="37" t="n">
        <f aca="false">(X141-X$100)/(X$170-X$100)*(T$170-T$100)+T$100</f>
        <v>3.25801590082826</v>
      </c>
      <c r="U141" s="39" t="n">
        <f aca="false">(X141-X$140)/(X$155-X$140)*(U$155-U$140)+U$140</f>
        <v>1682.74098095595</v>
      </c>
      <c r="V141" s="39" t="n">
        <f aca="false">8314.4621*U141/(Sheet1!H$20*Sheet1!H$12*9.80665)</f>
        <v>184645.396824111</v>
      </c>
      <c r="W141" s="39" t="n">
        <f aca="false">W140-LN(R141/R140)*(V140+V141)/2</f>
        <v>8335686.81736765</v>
      </c>
      <c r="X141" s="39" t="n">
        <f aca="false">Sheet1!H$10*10/Sheet1!H$11*1000*W141/(Sheet1!H$10*10/Sheet1!H$11*1000-W141)</f>
        <v>9039787.32206129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1514.46202952324</v>
      </c>
      <c r="T142" s="37" t="n">
        <f aca="false">(X142-X$100)/(X$170-X$100)*(T$170-T$100)+T$100</f>
        <v>3.28401208906072</v>
      </c>
      <c r="U142" s="39" t="n">
        <f aca="false">(X142-X$140)/(X$155-X$140)*(U$155-U$140)+U$140</f>
        <v>1677.68546394517</v>
      </c>
      <c r="V142" s="39" t="n">
        <f aca="false">8314.4621*U142/(Sheet1!H$20*Sheet1!H$12*9.80665)</f>
        <v>184090.660263244</v>
      </c>
      <c r="W142" s="39" t="n">
        <f aca="false">W141-LN(R142/R141)*(V141+V142)/2</f>
        <v>8378139.12478259</v>
      </c>
      <c r="X142" s="39" t="n">
        <f aca="false">Sheet1!H$10*10/Sheet1!H$11*1000*W142/(Sheet1!H$10*10/Sheet1!H$11*1000-W142)</f>
        <v>9089735.74888731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1508.12809645222</v>
      </c>
      <c r="T143" s="37" t="n">
        <f aca="false">(X143-X$100)/(X$170-X$100)*(T$170-T$100)+T$100</f>
        <v>3.30995242737317</v>
      </c>
      <c r="U143" s="39" t="n">
        <f aca="false">(X143-X$140)/(X$155-X$140)*(U$155-U$140)+U$140</f>
        <v>1672.64082914548</v>
      </c>
      <c r="V143" s="39" t="n">
        <f aca="false">8314.4621*U143/(Sheet1!H$20*Sheet1!H$12*9.80665)</f>
        <v>183537.117795945</v>
      </c>
      <c r="W143" s="39" t="n">
        <f aca="false">W142-LN(R143/R142)*(V142+V143)/2</f>
        <v>8420463.83685906</v>
      </c>
      <c r="X143" s="39" t="n">
        <f aca="false">Sheet1!H$10*10/Sheet1!H$11*1000*W143/(Sheet1!H$10*10/Sheet1!H$11*1000-W143)</f>
        <v>9139576.86707185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1501.80780140669</v>
      </c>
      <c r="T144" s="37" t="n">
        <f aca="false">(X144-X$100)/(X$170-X$100)*(T$170-T$100)+T$100</f>
        <v>3.33583691163662</v>
      </c>
      <c r="U144" s="39" t="n">
        <f aca="false">(X144-X$140)/(X$155-X$140)*(U$155-U$140)+U$140</f>
        <v>1667.6070562884</v>
      </c>
      <c r="V144" s="39" t="n">
        <f aca="false">8314.4621*U144/(Sheet1!H$20*Sheet1!H$12*9.80665)</f>
        <v>182984.767198179</v>
      </c>
      <c r="W144" s="39" t="n">
        <f aca="false">W143-LN(R144/R143)*(V143+V144)/2</f>
        <v>8462661.22829124</v>
      </c>
      <c r="X144" s="39" t="n">
        <f aca="false">Sheet1!H$10*10/Sheet1!H$11*1000*W144/(Sheet1!H$10*10/Sheet1!H$11*1000-W144)</f>
        <v>9189310.66868159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1495.50111251171</v>
      </c>
      <c r="T145" s="37" t="n">
        <f aca="false">(X145-X$100)/(X$170-X$100)*(T$170-T$100)+T$100</f>
        <v>3.36166553803107</v>
      </c>
      <c r="U145" s="39" t="n">
        <f aca="false">(X145-X$140)/(X$155-X$140)*(U$155-U$140)+U$140</f>
        <v>1662.58411330913</v>
      </c>
      <c r="V145" s="39" t="n">
        <f aca="false">8314.4621*U145/(Sheet1!H$20*Sheet1!H$12*9.80665)</f>
        <v>182433.604951506</v>
      </c>
      <c r="W145" s="39" t="n">
        <f aca="false">W144-LN(R145/R144)*(V144+V145)/2</f>
        <v>8504731.57311214</v>
      </c>
      <c r="X145" s="39" t="n">
        <f aca="false">Sheet1!H$10*10/Sheet1!H$11*1000*W145/(Sheet1!H$10*10/Sheet1!H$11*1000-W145)</f>
        <v>9238937.14637686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1489.20808962071</v>
      </c>
      <c r="T146" s="37" t="n">
        <f aca="false">(X146-X$100)/(X$170-X$100)*(T$170-T$100)+T$100</f>
        <v>3.38743830366488</v>
      </c>
      <c r="U146" s="39" t="n">
        <f aca="false">(X146-X$140)/(X$155-X$140)*(U$155-U$140)+U$140</f>
        <v>1657.5720599174</v>
      </c>
      <c r="V146" s="39" t="n">
        <f aca="false">8314.4621*U146/(Sheet1!H$20*Sheet1!H$12*9.80665)</f>
        <v>181883.637607813</v>
      </c>
      <c r="W146" s="39" t="n">
        <f aca="false">W145-LN(R146/R145)*(V145+V146)/2</f>
        <v>8546675.14570403</v>
      </c>
      <c r="X146" s="39" t="n">
        <f aca="false">Sheet1!H$10*10/Sheet1!H$11*1000*W146/(Sheet1!H$10*10/Sheet1!H$11*1000-W146)</f>
        <v>9288456.29460172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1482.92870689733</v>
      </c>
      <c r="T147" s="37" t="n">
        <f aca="false">(X147-X$100)/(X$170-X$100)*(T$170-T$100)+T$100</f>
        <v>3.41315520662334</v>
      </c>
      <c r="U147" s="39" t="n">
        <f aca="false">(X147-X$140)/(X$155-X$140)*(U$155-U$140)+U$140</f>
        <v>1652.57087018166</v>
      </c>
      <c r="V147" s="39" t="n">
        <f aca="false">8314.4621*U147/(Sheet1!H$20*Sheet1!H$12*9.80665)</f>
        <v>181334.862321658</v>
      </c>
      <c r="W147" s="39" t="n">
        <f aca="false">W146-LN(R147/R146)*(V146+V147)/2</f>
        <v>8588492.22087589</v>
      </c>
      <c r="X147" s="39" t="n">
        <f aca="false">Sheet1!H$10*10/Sheet1!H$11*1000*W147/(Sheet1!H$10*10/Sheet1!H$11*1000-W147)</f>
        <v>9337868.10967732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1476.66296468321</v>
      </c>
      <c r="T148" s="37" t="n">
        <f aca="false">(X148-X$100)/(X$170-X$100)*(T$170-T$100)+T$100</f>
        <v>3.43881624550745</v>
      </c>
      <c r="U148" s="39" t="n">
        <f aca="false">(X148-X$140)/(X$155-X$140)*(U$155-U$140)+U$140</f>
        <v>1647.58054437404</v>
      </c>
      <c r="V148" s="39" t="n">
        <f aca="false">8314.4621*U148/(Sheet1!H$20*Sheet1!H$12*9.80665)</f>
        <v>180787.279122902</v>
      </c>
      <c r="W148" s="39" t="n">
        <f aca="false">W147-LN(R148/R147)*(V147+V148)/2</f>
        <v>8630183.07311256</v>
      </c>
      <c r="X148" s="39" t="n">
        <f aca="false">Sheet1!H$10*10/Sheet1!H$11*1000*W148/(Sheet1!H$10*10/Sheet1!H$11*1000-W148)</f>
        <v>9387172.58891564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1470.41086314477</v>
      </c>
      <c r="T149" s="37" t="n">
        <f aca="false">(X149-X$100)/(X$170-X$100)*(T$170-T$100)+T$100</f>
        <v>3.46442141963595</v>
      </c>
      <c r="U149" s="39" t="n">
        <f aca="false">(X149-X$140)/(X$155-X$140)*(U$155-U$140)+U$140</f>
        <v>1642.60108262708</v>
      </c>
      <c r="V149" s="39" t="n">
        <f aca="false">8314.4621*U149/(Sheet1!H$20*Sheet1!H$12*9.80665)</f>
        <v>180240.888026088</v>
      </c>
      <c r="W149" s="39" t="n">
        <f aca="false">W148-LN(R149/R148)*(V148+V149)/2</f>
        <v>8671747.97690397</v>
      </c>
      <c r="X149" s="39" t="n">
        <f aca="false">Sheet1!H$10*10/Sheet1!H$11*1000*W149/(Sheet1!H$10*10/Sheet1!H$11*1000-W149)</f>
        <v>9436369.73100773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1464.17240227369</v>
      </c>
      <c r="T150" s="37" t="n">
        <f aca="false">(X150-X$100)/(X$170-X$100)*(T$170-T$100)+T$100</f>
        <v>3.48997072904312</v>
      </c>
      <c r="U150" s="39" t="n">
        <f aca="false">(X150-X$140)/(X$155-X$140)*(U$155-U$140)+U$140</f>
        <v>1637.63248493416</v>
      </c>
      <c r="V150" s="39" t="n">
        <f aca="false">8314.4621*U150/(Sheet1!H$20*Sheet1!H$12*9.80665)</f>
        <v>179695.689030491</v>
      </c>
      <c r="W150" s="39" t="n">
        <f aca="false">W149-LN(R150/R149)*(V149+V150)/2</f>
        <v>8713187.20674166</v>
      </c>
      <c r="X150" s="39" t="n">
        <f aca="false">Sheet1!H$10*10/Sheet1!H$11*1000*W150/(Sheet1!H$10*10/Sheet1!H$11*1000-W150)</f>
        <v>9485459.53601946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1457.94758188748</v>
      </c>
      <c r="T151" s="37" t="n">
        <f aca="false">(X151-X$100)/(X$170-X$100)*(T$170-T$100)+T$100</f>
        <v>3.51546417447661</v>
      </c>
      <c r="U151" s="39" t="n">
        <f aca="false">(X151-X$140)/(X$155-X$140)*(U$155-U$140)+U$140</f>
        <v>1632.67475114996</v>
      </c>
      <c r="V151" s="39" t="n">
        <f aca="false">8314.4621*U151/(Sheet1!H$20*Sheet1!H$12*9.80665)</f>
        <v>179151.682120163</v>
      </c>
      <c r="W151" s="39" t="n">
        <f aca="false">W150-LN(R151/R150)*(V150+V151)/2</f>
        <v>8754501.03711524</v>
      </c>
      <c r="X151" s="39" t="n">
        <f aca="false">Sheet1!H$10*10/Sheet1!H$11*1000*W151/(Sheet1!H$10*10/Sheet1!H$11*1000-W151)</f>
        <v>9534442.00538732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1451.73640163001</v>
      </c>
      <c r="T152" s="37" t="n">
        <f aca="false">(X152-X$100)/(X$170-X$100)*(T$170-T$100)+T$100</f>
        <v>3.54090175739513</v>
      </c>
      <c r="U152" s="39" t="n">
        <f aca="false">(X152-X$140)/(X$155-X$140)*(U$155-U$140)+U$140</f>
        <v>1627.72788099086</v>
      </c>
      <c r="V152" s="39" t="n">
        <f aca="false">8314.4621*U152/(Sheet1!H$20*Sheet1!H$12*9.80665)</f>
        <v>178608.867263983</v>
      </c>
      <c r="W152" s="39" t="n">
        <f aca="false">W151-LN(R152/R151)*(V151+V152)/2</f>
        <v>8795689.7425089</v>
      </c>
      <c r="X152" s="39" t="n">
        <f aca="false">Sheet1!H$10*10/Sheet1!H$11*1000*W152/(Sheet1!H$10*10/Sheet1!H$11*1000-W152)</f>
        <v>9583317.14191409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1445.53886097207</v>
      </c>
      <c r="T153" s="37" t="n">
        <f aca="false">(X153-X$100)/(X$170-X$100)*(T$170-T$100)+T$100</f>
        <v>3.56628347996631</v>
      </c>
      <c r="U153" s="39" t="n">
        <f aca="false">(X153-X$140)/(X$155-X$140)*(U$155-U$140)+U$140</f>
        <v>1622.79187403537</v>
      </c>
      <c r="V153" s="39" t="n">
        <f aca="false">8314.4621*U153/(Sheet1!H$20*Sheet1!H$12*9.80665)</f>
        <v>178067.244415703</v>
      </c>
      <c r="W153" s="39" t="n">
        <f aca="false">W152-LN(R153/R152)*(V152+V153)/2</f>
        <v>8836753.59739794</v>
      </c>
      <c r="X153" s="39" t="n">
        <f aca="false">Sheet1!H$10*10/Sheet1!H$11*1000*W153/(Sheet1!H$10*10/Sheet1!H$11*1000-W153)</f>
        <v>9632084.94976455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1439.35495860514</v>
      </c>
      <c r="T154" s="37" t="n">
        <f aca="false">(X154-X$100)/(X$170-X$100)*(T$170-T$100)+T$100</f>
        <v>3.59160934505957</v>
      </c>
      <c r="U154" s="39" t="n">
        <f aca="false">(X154-X$140)/(X$155-X$140)*(U$155-U$140)+U$140</f>
        <v>1617.8667291176</v>
      </c>
      <c r="V154" s="39" t="n">
        <f aca="false">8314.4621*U154/(Sheet1!H$20*Sheet1!H$12*9.80665)</f>
        <v>177526.813447391</v>
      </c>
      <c r="W154" s="39" t="n">
        <f aca="false">W153-LN(R154/R153)*(V153+V154)/2</f>
        <v>8877692.87623758</v>
      </c>
      <c r="X154" s="39" t="n">
        <f aca="false">Sheet1!H$10*10/Sheet1!H$11*1000*W154/(Sheet1!H$10*10/Sheet1!H$11*1000-W154)</f>
        <v>9680745.43445196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1433.19108945866</v>
      </c>
      <c r="T155" s="37" t="n">
        <f aca="false">(X155-X$100)/(X$170-X$100)*(T$170-T$100)+T$100</f>
        <v>3.61674992994457</v>
      </c>
      <c r="U155" s="39" t="n">
        <f aca="false">150*LOG(Sheet1!H15)+530</f>
        <v>1612.95240854068</v>
      </c>
      <c r="V155" s="39" t="n">
        <f aca="false">8314.4621*U155/(Sheet1!H$20*Sheet1!H$12*9.80665)</f>
        <v>176987.570222607</v>
      </c>
      <c r="W155" s="39" t="n">
        <f aca="false">W154-LN(R155/R154)*(V154+V155)/2</f>
        <v>8918507.8529921</v>
      </c>
      <c r="X155" s="39" t="n">
        <f aca="false">Sheet1!H$10*10/Sheet1!H$11*1000*W155/(Sheet1!H$10*10/Sheet1!H$11*1000-W155)</f>
        <v>9729298.60227744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1433.19108945866</v>
      </c>
      <c r="AA155" s="39" t="n">
        <f aca="false">IF(Y155=LOG(Sheet1!H$17*101325),(LOG(Sheet1!H$17*101325)-Q165)/(Q155-Q165)*(X155-X165)+X165,IF(Y155=0,0,X155))</f>
        <v>9729298.60227744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1433.18412965621</v>
      </c>
      <c r="T156" s="37" t="n">
        <f aca="false">(X156-X$100)/(X$170-X$100)*(T$170-T$100)+T$100</f>
        <v>3.64214174600112</v>
      </c>
      <c r="U156" s="39" t="n">
        <f aca="false">(X156-X$155)/(X$170-X$155)*(U$170-U$155)+U$155</f>
        <v>1614.20748411159</v>
      </c>
      <c r="V156" s="39" t="n">
        <f aca="false">8314.4621*U156/(Sheet1!H$20*Sheet1!H$12*9.80665)</f>
        <v>177125.288344087</v>
      </c>
      <c r="W156" s="39" t="n">
        <f aca="false">W155-LN(R156/R155)*(V155+V156)/2</f>
        <v>8959276.60246076</v>
      </c>
      <c r="X156" s="39" t="n">
        <f aca="false">Sheet1!H$10*10/Sheet1!H$11*1000*W156/(Sheet1!H$10*10/Sheet1!H$11*1000-W156)</f>
        <v>9777837.12759569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1433.18545818623</v>
      </c>
      <c r="T157" s="37" t="n">
        <f aca="false">(X157-X$100)/(X$170-X$100)*(T$170-T$100)+T$100</f>
        <v>3.66744485500607</v>
      </c>
      <c r="U157" s="39" t="n">
        <f aca="false">(X157-X$155)/(X$170-X$155)*(U$170-U$155)+U$155</f>
        <v>1615.46643905752</v>
      </c>
      <c r="V157" s="39" t="n">
        <f aca="false">8314.4621*U157/(Sheet1!H$20*Sheet1!H$12*9.80665)</f>
        <v>177263.432145305</v>
      </c>
      <c r="W157" s="39" t="n">
        <f aca="false">W156-LN(R157/R156)*(V156+V157)/2</f>
        <v>9000077.11170697</v>
      </c>
      <c r="X157" s="39" t="n">
        <f aca="false">Sheet1!H$10*10/Sheet1!H$11*1000*W157/(Sheet1!H$10*10/Sheet1!H$11*1000-W157)</f>
        <v>9826453.88930333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1433.18590966739</v>
      </c>
      <c r="T158" s="37" t="n">
        <f aca="false">(X158-X$100)/(X$170-X$100)*(T$170-T$100)+T$100</f>
        <v>3.6927887979156</v>
      </c>
      <c r="U158" s="39" t="n">
        <f aca="false">(X158-X$155)/(X$170-X$155)*(U$170-U$155)+U$155</f>
        <v>1616.72654649953</v>
      </c>
      <c r="V158" s="39" t="n">
        <f aca="false">8314.4621*U158/(Sheet1!H$20*Sheet1!H$12*9.80665)</f>
        <v>177401.702408705</v>
      </c>
      <c r="W158" s="39" t="n">
        <f aca="false">W157-LN(R158/R157)*(V157+V158)/2</f>
        <v>9040909.44429841</v>
      </c>
      <c r="X158" s="39" t="n">
        <f aca="false">Sheet1!H$10*10/Sheet1!H$11*1000*W158/(Sheet1!H$10*10/Sheet1!H$11*1000-W158)</f>
        <v>9875149.10825544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1433.18632866303</v>
      </c>
      <c r="T159" s="37" t="n">
        <f aca="false">(X159-X$100)/(X$170-X$100)*(T$170-T$100)+T$100</f>
        <v>3.71817367527441</v>
      </c>
      <c r="U159" s="39" t="n">
        <f aca="false">(X159-X$155)/(X$170-X$155)*(U$170-U$155)+U$155</f>
        <v>1617.98865599828</v>
      </c>
      <c r="V159" s="39" t="n">
        <f aca="false">8314.4621*U159/(Sheet1!H$20*Sheet1!H$12*9.80665)</f>
        <v>177540.192355684</v>
      </c>
      <c r="W159" s="39" t="n">
        <f aca="false">W158-LN(R159/R158)*(V158+V159)/2</f>
        <v>9081773.64008658</v>
      </c>
      <c r="X159" s="39" t="n">
        <f aca="false">Sheet1!H$10*10/Sheet1!H$11*1000*W159/(Sheet1!H$10*10/Sheet1!H$11*1000-W159)</f>
        <v>9923922.97763606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1433.18674832956</v>
      </c>
      <c r="T160" s="37" t="n">
        <f aca="false">(X160-X$100)/(X$170-X$100)*(T$170-T$100)+T$100</f>
        <v>3.74359959489425</v>
      </c>
      <c r="U160" s="39" t="n">
        <f aca="false">(X160-X$155)/(X$170-X$155)*(U$170-U$155)+U$155</f>
        <v>1619.25280606871</v>
      </c>
      <c r="V160" s="39" t="n">
        <f aca="false">8314.4621*U160/(Sheet1!H$20*Sheet1!H$12*9.80665)</f>
        <v>177678.906212446</v>
      </c>
      <c r="W160" s="39" t="n">
        <f aca="false">W159-LN(R160/R159)*(V159+V160)/2</f>
        <v>9122669.75014207</v>
      </c>
      <c r="X160" s="39" t="n">
        <f aca="false">Sheet1!H$10*10/Sheet1!H$11*1000*W160/(Sheet1!H$10*10/Sheet1!H$11*1000-W160)</f>
        <v>9972775.70459202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1433.18719864732</v>
      </c>
      <c r="T161" s="37" t="n">
        <f aca="false">(X161-X$100)/(X$170-X$100)*(T$170-T$100)+T$100</f>
        <v>3.76906666548153</v>
      </c>
      <c r="U161" s="39" t="n">
        <f aca="false">(X161-X$155)/(X$170-X$155)*(U$170-U$155)+U$155</f>
        <v>1620.5190320941</v>
      </c>
      <c r="V161" s="39" t="n">
        <f aca="false">8314.4621*U161/(Sheet1!H$20*Sheet1!H$12*9.80665)</f>
        <v>177817.847861561</v>
      </c>
      <c r="W161" s="39" t="n">
        <f aca="false">W160-LN(R161/R160)*(V160+V161)/2</f>
        <v>9163597.826469</v>
      </c>
      <c r="X161" s="39" t="n">
        <f aca="false">Sheet1!H$10*10/Sheet1!H$11*1000*W161/(Sheet1!H$10*10/Sheet1!H$11*1000-W161)</f>
        <v>10021707.4979891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1433.1876247001</v>
      </c>
      <c r="T162" s="37" t="n">
        <f aca="false">(X162-X$100)/(X$170-X$100)*(T$170-T$100)+T$100</f>
        <v>3.79457499594821</v>
      </c>
      <c r="U162" s="39" t="n">
        <f aca="false">(X162-X$155)/(X$170-X$155)*(U$170-U$155)+U$155</f>
        <v>1621.78728457145</v>
      </c>
      <c r="V162" s="39" t="n">
        <f aca="false">8314.4621*U162/(Sheet1!H$20*Sheet1!H$12*9.80665)</f>
        <v>177957.011871117</v>
      </c>
      <c r="W162" s="39" t="n">
        <f aca="false">W161-LN(R162/R161)*(V161+V162)/2</f>
        <v>9204557.92089313</v>
      </c>
      <c r="X162" s="39" t="n">
        <f aca="false">Sheet1!H$10*10/Sheet1!H$11*1000*W162/(Sheet1!H$10*10/Sheet1!H$11*1000-W162)</f>
        <v>10070718.567088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1433.18805144186</v>
      </c>
      <c r="T163" s="37" t="n">
        <f aca="false">(X163-X$100)/(X$170-X$100)*(T$170-T$100)+T$100</f>
        <v>3.8201246953731</v>
      </c>
      <c r="U163" s="39" t="n">
        <f aca="false">(X163-X$155)/(X$170-X$155)*(U$170-U$155)+U$155</f>
        <v>1623.05759387621</v>
      </c>
      <c r="V163" s="39" t="n">
        <f aca="false">8314.4621*U163/(Sheet1!H$20*Sheet1!H$12*9.80665)</f>
        <v>178096.40157418</v>
      </c>
      <c r="W163" s="39" t="n">
        <f aca="false">W162-LN(R163/R162)*(V162+V163)/2</f>
        <v>9245550.08499856</v>
      </c>
      <c r="X163" s="39" t="n">
        <f aca="false">Sheet1!H$10*10/Sheet1!H$11*1000*W163/(Sheet1!H$10*10/Sheet1!H$11*1000-W163)</f>
        <v>10119809.12147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1433.18847887441</v>
      </c>
      <c r="T164" s="37" t="n">
        <f aca="false">(X164-X$100)/(X$170-X$100)*(T$170-T$100)+T$100</f>
        <v>3.84571587343577</v>
      </c>
      <c r="U164" s="39" t="n">
        <f aca="false">(X164-X$155)/(X$170-X$155)*(U$170-U$155)+U$155</f>
        <v>1624.32996546153</v>
      </c>
      <c r="V164" s="39" t="n">
        <f aca="false">8314.4621*U164/(Sheet1!H$20*Sheet1!H$12*9.80665)</f>
        <v>178236.017569118</v>
      </c>
      <c r="W164" s="39" t="n">
        <f aca="false">W163-LN(R164/R163)*(V163+V164)/2</f>
        <v>9286574.37082206</v>
      </c>
      <c r="X164" s="39" t="n">
        <f aca="false">Sheet1!H$10*10/Sheet1!H$11*1000*W164/(Sheet1!H$10*10/Sheet1!H$11*1000-W164)</f>
        <v>10168979.3718708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1433.1889069996</v>
      </c>
      <c r="T165" s="37" t="n">
        <f aca="false">(X165-X$100)/(X$170-X$100)*(T$170-T$100)+T$100</f>
        <v>3.87134864022245</v>
      </c>
      <c r="U165" s="39" t="n">
        <f aca="false">(X165-X$155)/(X$170-X$155)*(U$170-U$155)+U$155</f>
        <v>1625.6044048008</v>
      </c>
      <c r="V165" s="39" t="n">
        <f aca="false">8314.4621*U165/(Sheet1!H$20*Sheet1!H$12*9.80665)</f>
        <v>178375.86045652</v>
      </c>
      <c r="W165" s="39" t="n">
        <f aca="false">W164-LN(R165/R164)*(V164+V165)/2</f>
        <v>9327630.83053838</v>
      </c>
      <c r="X165" s="39" t="n">
        <f aca="false">Sheet1!H$10*10/Sheet1!H$11*1000*W165/(Sheet1!H$10*10/Sheet1!H$11*1000-W165)</f>
        <v>10218229.5298072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1433.18933581924</v>
      </c>
      <c r="T166" s="37" t="n">
        <f aca="false">(X166-X$100)/(X$170-X$100)*(T$170-T$100)+T$100</f>
        <v>3.89702310622803</v>
      </c>
      <c r="U166" s="39" t="n">
        <f aca="false">(X166-X$155)/(X$170-X$155)*(U$170-U$155)+U$155</f>
        <v>1626.88091738772</v>
      </c>
      <c r="V166" s="39" t="n">
        <f aca="false">8314.4621*U166/(Sheet1!H$20*Sheet1!H$12*9.80665)</f>
        <v>178515.930839205</v>
      </c>
      <c r="W166" s="39" t="n">
        <f aca="false">W165-LN(R166/R165)*(V165+V166)/2</f>
        <v>9368719.51646085</v>
      </c>
      <c r="X166" s="39" t="n">
        <f aca="false">Sheet1!H$10*10/Sheet1!H$11*1000*W166/(Sheet1!H$10*10/Sheet1!H$11*1000-W166)</f>
        <v>10267559.8075814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1433.18976533518</v>
      </c>
      <c r="T167" s="37" t="n">
        <f aca="false">(X167-X$100)/(X$170-X$100)*(T$170-T$100)+T$100</f>
        <v>3.92273938235796</v>
      </c>
      <c r="U167" s="39" t="n">
        <f aca="false">(X167-X$155)/(X$170-X$155)*(U$170-U$155)+U$155</f>
        <v>1628.15950873639</v>
      </c>
      <c r="V167" s="39" t="n">
        <f aca="false">8314.4621*U167/(Sheet1!H$20*Sheet1!H$12*9.80665)</f>
        <v>178656.22932223</v>
      </c>
      <c r="W167" s="39" t="n">
        <f aca="false">W166-LN(R167/R166)*(V166+V167)/2</f>
        <v>9409840.48104186</v>
      </c>
      <c r="X167" s="39" t="n">
        <f aca="false">Sheet1!H$10*10/Sheet1!H$11*1000*W167/(Sheet1!H$10*10/Sheet1!H$11*1000-W167)</f>
        <v>10316970.4182843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1433.19019554927</v>
      </c>
      <c r="T168" s="37" t="n">
        <f aca="false">(X168-X$100)/(X$170-X$100)*(T$170-T$100)+T$100</f>
        <v>3.94849757993024</v>
      </c>
      <c r="U168" s="39" t="n">
        <f aca="false">(X168-X$155)/(X$170-X$155)*(U$170-U$155)+U$155</f>
        <v>1629.44018438145</v>
      </c>
      <c r="V168" s="39" t="n">
        <f aca="false">8314.4621*U168/(Sheet1!H$20*Sheet1!H$12*9.80665)</f>
        <v>178796.756512904</v>
      </c>
      <c r="W168" s="39" t="n">
        <f aca="false">W167-LN(R168/R167)*(V167+V168)/2</f>
        <v>9450993.77687337</v>
      </c>
      <c r="X168" s="39" t="n">
        <f aca="false">Sheet1!H$10*10/Sheet1!H$11*1000*W168/(Sheet1!H$10*10/Sheet1!H$11*1000-W168)</f>
        <v>10366461.5757995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1433.19062646336</v>
      </c>
      <c r="T169" s="37" t="n">
        <f aca="false">(X169-X$100)/(X$170-X$100)*(T$170-T$100)+T$100</f>
        <v>3.97429781067737</v>
      </c>
      <c r="U169" s="39" t="n">
        <f aca="false">(X169-X$155)/(X$170-X$155)*(U$170-U$155)+U$155</f>
        <v>1630.72294987813</v>
      </c>
      <c r="V169" s="39" t="n">
        <f aca="false">8314.4621*U169/(Sheet1!H$20*Sheet1!H$12*9.80665)</f>
        <v>178937.513020796</v>
      </c>
      <c r="W169" s="39" t="n">
        <f aca="false">W168-LN(R169/R168)*(V168+V169)/2</f>
        <v>9492179.45668744</v>
      </c>
      <c r="X169" s="39" t="n">
        <f aca="false">Sheet1!H$10*10/Sheet1!H$11*1000*W169/(Sheet1!H$10*10/Sheet1!H$11*1000-W169)</f>
        <v>10416033.4948072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1433.19108945866</v>
      </c>
      <c r="T170" s="37" t="n">
        <v>4</v>
      </c>
      <c r="U170" s="39" t="n">
        <f aca="false">U155+(T170-T155)*((Sheet1!H$18-Sheet1!H$19)*COS(RADIANS(38))+Sheet1!H$19)/2</f>
        <v>1632.00087455738</v>
      </c>
      <c r="V170" s="39" t="n">
        <f aca="false">8314.4621*U170/(Sheet1!H$20*Sheet1!H$12*9.80665)</f>
        <v>177137.191733504</v>
      </c>
      <c r="W170" s="39" t="n">
        <f aca="false">W169-LN(R170/R169)*(V169+V170)/2</f>
        <v>9533174.07204542</v>
      </c>
      <c r="X170" s="39" t="n">
        <f aca="false">Sheet1!H$10*10/Sheet1!H$11*1000*W170/(Sheet1!H$10*10/Sheet1!H$11*1000-W170)</f>
        <v>10465417.0394704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1433.19108945866</v>
      </c>
      <c r="AA170" s="39" t="n">
        <f aca="false">IF(Y170=LOG(Sheet1!H$17*101325),(LOG(Sheet1!H$17*101325)-Q180)/(Q170-Q180)*(X170-X180)+X180,IF(Y170=0,0,X170))</f>
        <v>10465417.0394704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2021-10-01T07:37:29Z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