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<sst xmlns="http://schemas.openxmlformats.org/spreadsheetml/2006/main" count="309" uniqueCount="140">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</sst>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F25" colorId="64" zoomScale="100" zoomScaleNormal="100" zoomScalePageLayoutView="100" workbookViewId="0">
      <selection pane="topLeft" activeCell="M21" activeCellId="0" sqref="M21"/>
    </sheetView>
  </sheetViews>
  <sheetFormatPr defaultColWidth="9.136718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3"/>
    <col collapsed="false" customWidth="true" hidden="false" outlineLevel="0" max="4" min="4" style="1" width="6.22"/>
    <col collapsed="false" customWidth="false" hidden="false" outlineLevel="0" max="5" min="5" style="1" width="9.13"/>
    <col collapsed="false" customWidth="true" hidden="false" outlineLevel="0" max="7" min="6" style="1" width="12.66"/>
    <col collapsed="false" customWidth="false" hidden="false" outlineLevel="0" max="8" min="8" style="1" width="9.13"/>
    <col collapsed="false" customWidth="true" hidden="false" outlineLevel="0" max="9" min="9" style="1" width="6.22"/>
    <col collapsed="false" customWidth="false" hidden="false" outlineLevel="0" max="10" min="10" style="1" width="9.13"/>
    <col collapsed="false" customWidth="true" hidden="false" outlineLevel="0" max="12" min="11" style="1" width="12.66"/>
    <col collapsed="false" customWidth="false" hidden="false" outlineLevel="0" max="13" min="13" style="1" width="9.13"/>
    <col collapsed="false" customWidth="true" hidden="false" outlineLevel="0" max="14" min="14" style="1" width="6.22"/>
    <col collapsed="false" customWidth="false" hidden="false" outlineLevel="0" max="15" min="15" style="1" width="9.13"/>
    <col collapsed="false" customWidth="true" hidden="false" outlineLevel="0" max="17" min="16" style="1" width="12.66"/>
    <col collapsed="false" customWidth="false" hidden="false" outlineLevel="0" max="18" min="18" style="1" width="9.13"/>
    <col collapsed="false" customWidth="true" hidden="false" outlineLevel="0" max="19" min="19" style="1" width="6.22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0.099749822</v>
      </c>
      <c r="I8" s="10" t="s">
        <v>13</v>
      </c>
      <c r="J8" s="10"/>
      <c r="K8" s="13" t="s">
        <v>11</v>
      </c>
      <c r="L8" s="13"/>
      <c r="M8" s="14" t="n">
        <v>0.047</v>
      </c>
      <c r="N8" s="10" t="s">
        <v>13</v>
      </c>
      <c r="O8" s="10"/>
      <c r="P8" s="13" t="s">
        <v>11</v>
      </c>
      <c r="Q8" s="13"/>
      <c r="R8" s="14" t="n">
        <v>0.574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5925.03</v>
      </c>
      <c r="I10" s="10" t="s">
        <v>16</v>
      </c>
      <c r="J10" s="10"/>
      <c r="K10" s="13" t="s">
        <v>15</v>
      </c>
      <c r="L10" s="13"/>
      <c r="M10" s="14" t="n">
        <v>620</v>
      </c>
      <c r="N10" s="10" t="s">
        <v>16</v>
      </c>
      <c r="O10" s="10"/>
      <c r="P10" s="13" t="s">
        <v>15</v>
      </c>
      <c r="Q10" s="13"/>
      <c r="R10" s="14" t="n">
        <v>691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1.53661</v>
      </c>
      <c r="I12" s="10" t="s">
        <v>19</v>
      </c>
      <c r="J12" s="10"/>
      <c r="K12" s="13" t="s">
        <v>18</v>
      </c>
      <c r="L12" s="13"/>
      <c r="M12" s="14" t="n">
        <v>0.9</v>
      </c>
      <c r="N12" s="10" t="s">
        <v>19</v>
      </c>
      <c r="O12" s="10"/>
      <c r="P12" s="13" t="s">
        <v>18</v>
      </c>
      <c r="Q12" s="13"/>
      <c r="R12" s="14" t="n">
        <v>0.27585</v>
      </c>
      <c r="S12" s="10" t="s">
        <v>19</v>
      </c>
    </row>
    <row r="13" customFormat="false" ht="13.8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0.339030621</v>
      </c>
      <c r="I13" s="10" t="s">
        <v>13</v>
      </c>
      <c r="J13" s="10"/>
      <c r="K13" s="13" t="s">
        <v>11</v>
      </c>
      <c r="L13" s="13"/>
      <c r="M13" s="14" t="n">
        <v>0.037</v>
      </c>
      <c r="N13" s="10" t="s">
        <v>13</v>
      </c>
      <c r="O13" s="10"/>
      <c r="P13" s="13" t="s">
        <v>11</v>
      </c>
      <c r="Q13" s="13"/>
      <c r="R13" s="14" t="n">
        <v>0.689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0.25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117.729504685602</v>
      </c>
      <c r="I15" s="4" t="s">
        <v>10</v>
      </c>
      <c r="J15" s="10"/>
      <c r="K15" s="13" t="s">
        <v>27</v>
      </c>
      <c r="L15" s="13"/>
      <c r="M15" s="17" t="n">
        <f aca="false">M7/(M13/M8)^2</f>
        <v>2194.47772096421</v>
      </c>
      <c r="N15" s="4" t="s">
        <v>10</v>
      </c>
      <c r="O15" s="10"/>
      <c r="P15" s="13" t="s">
        <v>27</v>
      </c>
      <c r="Q15" s="13"/>
      <c r="R15" s="17" t="n">
        <f aca="false">R7/(R13/R8)^2</f>
        <v>943.896225361844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137.0661251864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249.418906037619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236.362163402589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1.12</v>
      </c>
      <c r="N17" s="4" t="s">
        <v>31</v>
      </c>
      <c r="O17" s="10"/>
      <c r="P17" s="13" t="s">
        <v>25</v>
      </c>
      <c r="Q17" s="12"/>
      <c r="R17" s="14" t="n">
        <v>0.023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6</v>
      </c>
      <c r="I18" s="4" t="s">
        <v>23</v>
      </c>
      <c r="J18" s="10"/>
      <c r="K18" s="13" t="s">
        <v>34</v>
      </c>
      <c r="L18" s="12"/>
      <c r="M18" s="14" t="n">
        <v>46</v>
      </c>
      <c r="N18" s="4" t="s">
        <v>23</v>
      </c>
      <c r="O18" s="10"/>
      <c r="P18" s="13" t="s">
        <v>34</v>
      </c>
      <c r="Q18" s="12"/>
      <c r="R18" s="14" t="n">
        <v>17</v>
      </c>
      <c r="S18" s="4" t="s">
        <v>23</v>
      </c>
    </row>
    <row r="19" customFormat="false" ht="14.4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2</v>
      </c>
      <c r="I19" s="4" t="s">
        <v>23</v>
      </c>
      <c r="J19" s="10"/>
      <c r="K19" s="13" t="s">
        <v>33</v>
      </c>
      <c r="L19" s="12"/>
      <c r="M19" s="14" t="n">
        <v>16</v>
      </c>
      <c r="N19" s="4" t="s">
        <v>23</v>
      </c>
      <c r="O19" s="10"/>
      <c r="P19" s="13" t="s">
        <v>33</v>
      </c>
      <c r="Q19" s="12"/>
      <c r="R19" s="14" t="n">
        <v>75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2.78</v>
      </c>
      <c r="I20" s="4" t="s">
        <v>29</v>
      </c>
      <c r="J20" s="10"/>
      <c r="K20" s="13" t="s">
        <v>35</v>
      </c>
      <c r="L20" s="12"/>
      <c r="M20" s="14" t="n">
        <v>5</v>
      </c>
      <c r="N20" s="4" t="s">
        <v>23</v>
      </c>
      <c r="O20" s="10"/>
      <c r="P20" s="13" t="s">
        <v>35</v>
      </c>
      <c r="Q20" s="12"/>
      <c r="R20" s="14" t="n">
        <v>22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28.51</v>
      </c>
      <c r="N21" s="4" t="s">
        <v>29</v>
      </c>
      <c r="O21" s="10"/>
      <c r="P21" s="13" t="s">
        <v>37</v>
      </c>
      <c r="Q21" s="10"/>
      <c r="R21" s="14" t="n">
        <v>68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43.75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1.17386473577061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0.936918738965303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6.03776281446093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46.1533560879709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1.73936912861542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16.4147363055112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5.3839573973218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4.68992465871748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1.08813567207589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39.3953671332268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0.42075267205025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16.7110602398267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75.2233734040798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21.9401505761899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67.3876053411548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472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289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225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42000</v>
      </c>
      <c r="G39" s="28" t="n">
        <f aca="false">ROUND(Sheet2!AD5,0)</f>
        <v>404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8500</v>
      </c>
      <c r="L39" s="28" t="n">
        <f aca="false">ROUND(Sheet2!AH10,0)</f>
        <v>240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29200</v>
      </c>
      <c r="Q39" s="28" t="n">
        <f aca="false">ROUND(Sheet2!AQ19,0)</f>
        <v>193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158000</v>
      </c>
      <c r="G40" s="28" t="n">
        <f aca="false">ROUND(Sheet2!AD6,0)</f>
        <v>229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12900</v>
      </c>
      <c r="L40" s="28" t="n">
        <f aca="false">ROUND(Sheet2!AH13,0)</f>
        <v>223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53400</v>
      </c>
      <c r="Q40" s="28" t="n">
        <f aca="false">ROUND(Sheet2!AQ31,0)</f>
        <v>178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227000</v>
      </c>
      <c r="G41" s="28" t="n">
        <f aca="false">ROUND(Sheet2!AD7,0)</f>
        <v>141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19900</v>
      </c>
      <c r="L41" s="28" t="n">
        <f aca="false">ROUND(Sheet2!AH18,0)</f>
        <v>219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74600</v>
      </c>
      <c r="Q41" s="28" t="n">
        <f aca="false">ROUND(Sheet2!AQ41,0)</f>
        <v>155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280000</v>
      </c>
      <c r="G42" s="28" t="n">
        <f aca="false">ROUND(Sheet2!AD8,0)</f>
        <v>139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29500</v>
      </c>
      <c r="L42" s="28" t="n">
        <f aca="false">ROUND(Sheet2!AH25,0)</f>
        <v>230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93700</v>
      </c>
      <c r="Q42" s="28" t="n">
        <f aca="false">ROUND(Sheet2!AQ51,0)</f>
        <v>141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432000</v>
      </c>
      <c r="G43" s="28" t="n">
        <f aca="false">ROUND(Sheet2!AD9,0)</f>
        <v>218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44700</v>
      </c>
      <c r="L43" s="28" t="n">
        <f aca="false">ROUND(Sheet2!AH35,0)</f>
        <v>261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112000</v>
      </c>
      <c r="Q43" s="28" t="n">
        <f aca="false">ROUND(Sheet2!AQ61,0)</f>
        <v>137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538000</v>
      </c>
      <c r="G44" s="28" t="n">
        <f aca="false">ROUND(Sheet2!AD10,0)</f>
        <v>217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48000</v>
      </c>
      <c r="L44" s="28" t="n">
        <f aca="false">ROUND(Sheet2!AH37,0)</f>
        <v>261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130000</v>
      </c>
      <c r="Q44" s="28" t="n">
        <f aca="false">ROUND(Sheet2!AQ69,0)</f>
        <v>136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631000</v>
      </c>
      <c r="G45" s="28" t="n">
        <f aca="false">ROUND(Sheet2!AD11,0)</f>
        <v>262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66900</v>
      </c>
      <c r="L45" s="28" t="n">
        <f aca="false">ROUND(Sheet2!AH50,0)</f>
        <v>210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146000</v>
      </c>
      <c r="Q45" s="28" t="n">
        <f aca="false">ROUND(Sheet2!AQ77,0)</f>
        <v>143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1060000</v>
      </c>
      <c r="G46" s="28" t="n">
        <f aca="false">ROUND(Sheet2!AD12,0)</f>
        <v>675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81600</v>
      </c>
      <c r="L46" s="28" t="n">
        <f aca="false">ROUND(Sheet2!AH62,0)</f>
        <v>183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163000</v>
      </c>
      <c r="Q46" s="28" t="n">
        <f aca="false">ROUND(Sheet2!AQ86,0)</f>
        <v>175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1500000</v>
      </c>
      <c r="G47" s="28" t="n">
        <f aca="false">ROUND(Sheet2!AD13,0)</f>
        <v>789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91300</v>
      </c>
      <c r="L47" s="28" t="n">
        <f aca="false">ROUND(Sheet2!AH70,0)</f>
        <v>197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186000</v>
      </c>
      <c r="Q47" s="28" t="n">
        <f aca="false">ROUND(Sheet2!AQ96,0)</f>
        <v>239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1990000</v>
      </c>
      <c r="G48" s="28" t="n">
        <f aca="false">ROUND(Sheet2!AD14,0)</f>
        <v>832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98100</v>
      </c>
      <c r="L48" s="28" t="n">
        <f aca="false">ROUND(Sheet2!AH75,0)</f>
        <v>235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215000</v>
      </c>
      <c r="Q48" s="28" t="n">
        <f aca="false">ROUND(Sheet2!AQ106,0)</f>
        <v>271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2510000</v>
      </c>
      <c r="G49" s="28" t="n">
        <f aca="false">ROUND(Sheet2!AD15,0)</f>
        <v>832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107000</v>
      </c>
      <c r="L49" s="28" t="n">
        <f aca="false">ROUND(Sheet2!AH80,0)</f>
        <v>342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246000</v>
      </c>
      <c r="Q49" s="28" t="n">
        <f aca="false">ROUND(Sheet2!AQ116,0)</f>
        <v>277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163000</v>
      </c>
      <c r="L50" s="28" t="n">
        <f aca="false">ROUND(Sheet2!AH95,0)</f>
        <v>909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227000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12900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53400</v>
      </c>
      <c r="Q56" s="30" t="n">
        <f aca="false">Sheet2!AR31</f>
        <v>-0.1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280000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36900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93700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631000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66900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246000</v>
      </c>
      <c r="Q58" s="30" t="n">
        <f aca="false">Sheet2!AR116</f>
        <v>0.15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2510000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81600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163000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4.4" zeroHeight="false" outlineLevelRow="0" outlineLevelCol="0"/>
  <cols>
    <col collapsed="false" customWidth="true" hidden="false" outlineLevel="0" max="1" min="1" style="31" width="6.55"/>
    <col collapsed="false" customWidth="true" hidden="false" outlineLevel="0" max="2" min="2" style="31" width="7.55"/>
    <col collapsed="false" customWidth="true" hidden="false" outlineLevel="0" max="4" min="3" style="31" width="6.55"/>
    <col collapsed="false" customWidth="true" hidden="false" outlineLevel="0" max="5" min="5" style="0" width="7.55"/>
    <col collapsed="false" customWidth="true" hidden="false" outlineLevel="0" max="9" min="6" style="0" width="6.55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5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5"/>
    <col collapsed="false" customWidth="true" hidden="false" outlineLevel="0" max="20" min="20" style="0" width="6.55"/>
    <col collapsed="false" customWidth="true" hidden="false" outlineLevel="0" max="21" min="21" style="32" width="6.55"/>
    <col collapsed="false" customWidth="true" hidden="false" outlineLevel="0" max="22" min="22" style="32" width="8.55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5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5"/>
    <col collapsed="false" customWidth="true" hidden="false" outlineLevel="0" max="35" min="35" style="0" width="6.55"/>
    <col collapsed="false" customWidth="true" hidden="false" outlineLevel="0" max="36" min="36" style="32" width="6.55"/>
    <col collapsed="false" customWidth="true" hidden="false" outlineLevel="0" max="37" min="37" style="32" width="8.55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5"/>
    <col collapsed="false" customWidth="true" hidden="false" outlineLevel="0" max="44" min="44" style="0" width="6.55"/>
    <col collapsed="false" customWidth="true" hidden="false" outlineLevel="0" max="45" min="45" style="32" width="6.55"/>
    <col collapsed="false" customWidth="true" hidden="false" outlineLevel="0" max="46" min="46" style="32" width="8.55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1391.8937896246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1391.8937896246</v>
      </c>
      <c r="V4" s="39" t="n">
        <f aca="false">8314.4621*U4/(Sheet1!H$20*Sheet1!H$12*9.80665)</f>
        <v>276255.624187106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679241.53676573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471.856347294849</v>
      </c>
      <c r="AF4" s="37" t="n">
        <f aca="false">LOG(Sheet1!M17*101325)</f>
        <v>5.05493463508391</v>
      </c>
      <c r="AG4" s="40" t="n">
        <f aca="false">10^AF4</f>
        <v>113484</v>
      </c>
      <c r="AH4" s="39" t="n">
        <f aca="false">AJ4-AI4*((Sheet1!M$19-Sheet1!M$20)*COS(RADIANS(38))+Sheet1!M$20)/2</f>
        <v>288.584846892782</v>
      </c>
      <c r="AI4" s="37" t="n">
        <v>1</v>
      </c>
      <c r="AJ4" s="39" t="n">
        <f aca="false">Sheet1!M16+Sheet1!M18</f>
        <v>295.418906037619</v>
      </c>
      <c r="AK4" s="39" t="n">
        <f aca="false">8314.4621*AJ4/(Sheet1!M$21*Sheet1!M$12*9.80665)</f>
        <v>9761.39846508827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3.36744444843132</v>
      </c>
      <c r="AP4" s="40" t="n">
        <f aca="false">10^AO4</f>
        <v>2330.475</v>
      </c>
      <c r="AQ4" s="39" t="n">
        <f aca="false">AS4-AR4*((Sheet1!R$19-Sheet1!R$20)*COS(RADIANS(38))+Sheet1!R$20)/2</f>
        <v>224.985196193802</v>
      </c>
      <c r="AR4" s="37" t="n">
        <v>1</v>
      </c>
      <c r="AS4" s="39" t="n">
        <f aca="false">Sheet1!R16+Sheet1!R18-Sheet1!R23*(AS19-AS4)/((AV19-AV4)*Sheet1!R11^LOG(1.25)/1.25)</f>
        <v>256.86748116438</v>
      </c>
      <c r="AT4" s="39" t="n">
        <f aca="false">8314.4621*AS4/(Sheet1!R$22*Sheet1!R$12*9.80665)</f>
        <v>18045.6098597606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1306.19491044657</v>
      </c>
      <c r="T5" s="37" t="n">
        <v>0</v>
      </c>
      <c r="U5" s="39" t="n">
        <f aca="false">(X5-X$4)/(X$14-X$4)*(U$14-U$4)+U$4</f>
        <v>1306.19491044657</v>
      </c>
      <c r="V5" s="39" t="n">
        <f aca="false">8314.4621*U5/(Sheet1!H$20*Sheet1!H$12*9.80665)</f>
        <v>259246.56966302</v>
      </c>
      <c r="W5" s="39" t="n">
        <f aca="false">W4-LN(R5/R4)*(V4+V5)/2</f>
        <v>61651.9684412455</v>
      </c>
      <c r="X5" s="39" t="n">
        <f aca="false">Sheet1!H$10*10/Sheet1!H$11*1000*W5/(Sheet1!H$10*10/Sheet1!H$11*1000-W5)</f>
        <v>61716.1862488672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732049.447489244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404.486673296225</v>
      </c>
      <c r="AF5" s="37" t="n">
        <f aca="false">AF4+(AF$10-AF$4)/6</f>
        <v>4.96799299599936</v>
      </c>
      <c r="AG5" s="40" t="n">
        <f aca="false">10^AF5</f>
        <v>92895.1405174201</v>
      </c>
      <c r="AH5" s="39" t="n">
        <f aca="false">AJ5-AI5*((Sheet1!M$19-Sheet1!M$20)*COS(RADIANS(38))+Sheet1!M$20)/2</f>
        <v>279.823438908596</v>
      </c>
      <c r="AI5" s="37" t="n">
        <f aca="false">(AM5-AM$4)/(AM$13-AM$4)*(AI$13-AI$4)+AI$4</f>
        <v>0.832964194864831</v>
      </c>
      <c r="AJ5" s="39" t="n">
        <f aca="false">(AM5-AM$4)/(AM$10-AM$4)*(AJ$10-AJ$4)+AJ$4</f>
        <v>285.515965481834</v>
      </c>
      <c r="AK5" s="39" t="n">
        <f aca="false">8314.4621*AJ5/(Sheet1!M$21*Sheet1!M$12*9.80665)</f>
        <v>9434.17990606756</v>
      </c>
      <c r="AL5" s="39" t="n">
        <f aca="false">AL4-LN(AG5/AG4)*(AK4+AK5)/2</f>
        <v>1921.38642822548</v>
      </c>
      <c r="AM5" s="39" t="n">
        <f aca="false">Sheet1!M$10*10/Sheet1!M$11*1000*AL5/(Sheet1!M$10*10/Sheet1!M$11*1000-AL5)</f>
        <v>1921.98205245627</v>
      </c>
      <c r="AN5" s="41"/>
      <c r="AO5" s="37" t="n">
        <f aca="false">AO4+(AO$19-AO$4)/15</f>
        <v>3.30254518911891</v>
      </c>
      <c r="AP5" s="40" t="n">
        <f aca="false">10^AO5</f>
        <v>2006.98991004973</v>
      </c>
      <c r="AQ5" s="39" t="n">
        <f aca="false">AS5-AR5*((Sheet1!R$19-Sheet1!R$20)*COS(RADIANS(38))+Sheet1!R$20)/2</f>
        <v>222.636299676694</v>
      </c>
      <c r="AR5" s="37" t="n">
        <f aca="false">(AV5-AV$4)/(AV$31-AV$4)*(AR$31-AR$4)+AR$4</f>
        <v>0.955900608110888</v>
      </c>
      <c r="AS5" s="39" t="n">
        <f aca="false">(AV5-AV$4)/(AV$19-AV$4)*(AS$19-AS$4)+AS$4</f>
        <v>253.112595268034</v>
      </c>
      <c r="AT5" s="39" t="n">
        <f aca="false">8314.4621*AS5/(Sheet1!R$22*Sheet1!R$12*9.80665)</f>
        <v>17781.8193416062</v>
      </c>
      <c r="AU5" s="39" t="n">
        <f aca="false">AU4-LN(AP5/AP4)*(AT4+AT5)/2</f>
        <v>2676.95505598754</v>
      </c>
      <c r="AV5" s="39" t="n">
        <f aca="false">Sheet1!R$10*10/Sheet1!R$11*1000*AU5/(Sheet1!R$10*10/Sheet1!R$11*1000-AU5)</f>
        <v>2677.99251844951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1225.61504633741</v>
      </c>
      <c r="T6" s="37" t="n">
        <v>0</v>
      </c>
      <c r="U6" s="39" t="n">
        <f aca="false">(X6-X$4)/(X$14-X$4)*(U$14-U$4)+U$4</f>
        <v>1225.61504633741</v>
      </c>
      <c r="V6" s="39" t="n">
        <f aca="false">8314.4621*U6/(Sheet1!H$20*Sheet1!H$12*9.80665)</f>
        <v>243253.509831644</v>
      </c>
      <c r="W6" s="39" t="n">
        <f aca="false">W5-LN(R6/R5)*(V5+V6)/2</f>
        <v>119504.428054882</v>
      </c>
      <c r="X6" s="39" t="n">
        <f aca="false">Sheet1!H$10*10/Sheet1!H$11*1000*W6/(Sheet1!H$10*10/Sheet1!H$11*1000-W6)</f>
        <v>119745.948707303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876931.641269614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228.947630393403</v>
      </c>
      <c r="AF6" s="37" t="n">
        <f aca="false">AF5+(AF$10-AF$4)/6</f>
        <v>4.88105135691481</v>
      </c>
      <c r="AG6" s="40" t="n">
        <f aca="false">10^AF6</f>
        <v>76041.6193626523</v>
      </c>
      <c r="AH6" s="39" t="n">
        <f aca="false">AJ6-AI6*((Sheet1!M$19-Sheet1!M$20)*COS(RADIANS(38))+Sheet1!M$20)/2</f>
        <v>271.350651165322</v>
      </c>
      <c r="AI6" s="37" t="n">
        <f aca="false">(AM6-AM$4)/(AM$13-AM$4)*(AI$13-AI$4)+AI$4</f>
        <v>0.671430921837286</v>
      </c>
      <c r="AJ6" s="39" t="n">
        <f aca="false">(AM6-AM$4)/(AM$10-AM$4)*(AJ$10-AJ$4)+AJ$4</f>
        <v>275.93924979683</v>
      </c>
      <c r="AK6" s="39" t="n">
        <f aca="false">8314.4621*AJ6/(Sheet1!M$21*Sheet1!M$12*9.80665)</f>
        <v>9117.74065361067</v>
      </c>
      <c r="AL6" s="39" t="n">
        <f aca="false">AL5-LN(AG6/AG5)*(AK5+AK6)/2</f>
        <v>3778.3457597789</v>
      </c>
      <c r="AM6" s="39" t="n">
        <f aca="false">Sheet1!M$10*10/Sheet1!M$11*1000*AL6/(Sheet1!M$10*10/Sheet1!M$11*1000-AL6)</f>
        <v>3780.64972782218</v>
      </c>
      <c r="AN6" s="41"/>
      <c r="AO6" s="37" t="n">
        <f aca="false">AO5+(AO$19-AO$4)/15</f>
        <v>3.23764592980649</v>
      </c>
      <c r="AP6" s="40" t="n">
        <f aca="false">10^AO6</f>
        <v>1728.40665488427</v>
      </c>
      <c r="AQ6" s="39" t="n">
        <f aca="false">AS6-AR6*((Sheet1!R$19-Sheet1!R$20)*COS(RADIANS(38))+Sheet1!R$20)/2</f>
        <v>220.319970740233</v>
      </c>
      <c r="AR6" s="37" t="n">
        <f aca="false">(AV6-AV$4)/(AV$31-AV$4)*(AR$31-AR$4)+AR$4</f>
        <v>0.912412656739213</v>
      </c>
      <c r="AS6" s="39" t="n">
        <f aca="false">(AV6-AV$4)/(AV$19-AV$4)*(AS$19-AS$4)+AS$4</f>
        <v>249.409771073155</v>
      </c>
      <c r="AT6" s="39" t="n">
        <f aca="false">8314.4621*AS6/(Sheet1!R$22*Sheet1!R$12*9.80665)</f>
        <v>17521.6862936346</v>
      </c>
      <c r="AU6" s="39" t="n">
        <f aca="false">AU5-LN(AP6/AP5)*(AT5+AT6)/2</f>
        <v>5314.76357339958</v>
      </c>
      <c r="AV6" s="39" t="n">
        <f aca="false">Sheet1!R$10*10/Sheet1!R$11*1000*AU6/(Sheet1!R$10*10/Sheet1!R$11*1000-AU6)</f>
        <v>5318.85452191846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1149.86709278375</v>
      </c>
      <c r="T7" s="37" t="n">
        <v>0</v>
      </c>
      <c r="U7" s="39" t="n">
        <f aca="false">(X7-X$4)/(X$14-X$4)*(U$14-U$4)+U$4</f>
        <v>1149.86709278375</v>
      </c>
      <c r="V7" s="39" t="n">
        <f aca="false">8314.4621*U7/(Sheet1!H$20*Sheet1!H$12*9.80665)</f>
        <v>228219.461726935</v>
      </c>
      <c r="W7" s="39" t="n">
        <f aca="false">W6-LN(R7/R6)*(V6+V7)/2</f>
        <v>173784.759857901</v>
      </c>
      <c r="X7" s="39" t="n">
        <f aca="false">Sheet1!H$10*10/Sheet1!H$11*1000*W7/(Sheet1!H$10*10/Sheet1!H$11*1000-W7)</f>
        <v>174295.980647348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962518.426396503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141.178108941992</v>
      </c>
      <c r="AF7" s="37" t="n">
        <f aca="false">AF6+(AF$10-AF$4)/6</f>
        <v>4.79410971783026</v>
      </c>
      <c r="AG7" s="40" t="n">
        <f aca="false">10^AF7</f>
        <v>62245.7519638518</v>
      </c>
      <c r="AH7" s="39" t="n">
        <f aca="false">AJ7-AI7*((Sheet1!M$19-Sheet1!M$20)*COS(RADIANS(38))+Sheet1!M$20)/2</f>
        <v>263.157309765712</v>
      </c>
      <c r="AI7" s="37" t="n">
        <f aca="false">(AM7-AM$4)/(AM$13-AM$4)*(AI$13-AI$4)+AI$4</f>
        <v>0.51522527783733</v>
      </c>
      <c r="AJ7" s="39" t="n">
        <f aca="false">(AM7-AM$4)/(AM$10-AM$4)*(AJ$10-AJ$4)+AJ$4</f>
        <v>266.678389787368</v>
      </c>
      <c r="AK7" s="39" t="n">
        <f aca="false">8314.4621*AJ7/(Sheet1!M$21*Sheet1!M$12*9.80665)</f>
        <v>8811.73808290772</v>
      </c>
      <c r="AL7" s="39" t="n">
        <f aca="false">AL6-LN(AG7/AG6)*(AK6+AK7)/2</f>
        <v>5573.00161454956</v>
      </c>
      <c r="AM7" s="39" t="n">
        <f aca="false">Sheet1!M$10*10/Sheet1!M$11*1000*AL7/(Sheet1!M$10*10/Sheet1!M$11*1000-AL7)</f>
        <v>5578.01553222166</v>
      </c>
      <c r="AN7" s="41"/>
      <c r="AO7" s="37" t="n">
        <f aca="false">AO6+(AO$19-AO$4)/15</f>
        <v>3.17274667049407</v>
      </c>
      <c r="AP7" s="40" t="n">
        <f aca="false">10^AO7</f>
        <v>1488.49256774501</v>
      </c>
      <c r="AQ7" s="39" t="n">
        <f aca="false">AS7-AR7*((Sheet1!R$19-Sheet1!R$20)*COS(RADIANS(38))+Sheet1!R$20)/2</f>
        <v>218.035808601172</v>
      </c>
      <c r="AR7" s="37" t="n">
        <f aca="false">(AV7-AV$4)/(AV$31-AV$4)*(AR$31-AR$4)+AR$4</f>
        <v>0.86952862137406</v>
      </c>
      <c r="AS7" s="39" t="n">
        <f aca="false">(AV7-AV$4)/(AV$19-AV$4)*(AS$19-AS$4)+AS$4</f>
        <v>245.758367897894</v>
      </c>
      <c r="AT7" s="39" t="n">
        <f aca="false">8314.4621*AS7/(Sheet1!R$22*Sheet1!R$12*9.80665)</f>
        <v>17265.1657062766</v>
      </c>
      <c r="AU7" s="39" t="n">
        <f aca="false">AU6-LN(AP7/AP6)*(AT6+AT7)/2</f>
        <v>7913.96874716907</v>
      </c>
      <c r="AV7" s="39" t="n">
        <f aca="false">Sheet1!R$10*10/Sheet1!R$11*1000*AU7/(Sheet1!R$10*10/Sheet1!R$11*1000-AU7)</f>
        <v>7923.0429460486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1078.67792604698</v>
      </c>
      <c r="T8" s="37" t="n">
        <v>0</v>
      </c>
      <c r="U8" s="39" t="n">
        <f aca="false">(X8-X$4)/(X$14-X$4)*(U$14-U$4)+U$4</f>
        <v>1078.67792604698</v>
      </c>
      <c r="V8" s="39" t="n">
        <f aca="false">8314.4621*U8/(Sheet1!H$20*Sheet1!H$12*9.80665)</f>
        <v>214090.217212143</v>
      </c>
      <c r="W8" s="39" t="n">
        <f aca="false">W7-LN(R8/R7)*(V7+V8)/2</f>
        <v>224707.543518506</v>
      </c>
      <c r="X8" s="39" t="n">
        <f aca="false">Sheet1!H$10*10/Sheet1!H$11*1000*W8/(Sheet1!H$10*10/Sheet1!H$11*1000-W8)</f>
        <v>225562.994146153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1029224.55667517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138.602087434779</v>
      </c>
      <c r="AF8" s="37" t="n">
        <f aca="false">AF7+(AF$10-AF$4)/6</f>
        <v>4.70716807874571</v>
      </c>
      <c r="AG8" s="40" t="n">
        <f aca="false">10^AF8</f>
        <v>50952.8028206135</v>
      </c>
      <c r="AH8" s="39" t="n">
        <f aca="false">AJ8-AI8*((Sheet1!M$19-Sheet1!M$20)*COS(RADIANS(38))+Sheet1!M$20)/2</f>
        <v>255.234510480773</v>
      </c>
      <c r="AI8" s="37" t="n">
        <f aca="false">(AM8-AM$4)/(AM$13-AM$4)*(AI$13-AI$4)+AI$4</f>
        <v>0.364177501178445</v>
      </c>
      <c r="AJ8" s="39" t="n">
        <f aca="false">(AM8-AM$4)/(AM$10-AM$4)*(AJ$10-AJ$4)+AJ$4</f>
        <v>257.723321063045</v>
      </c>
      <c r="AK8" s="39" t="n">
        <f aca="false">8314.4621*AJ8/(Sheet1!M$21*Sheet1!M$12*9.80665)</f>
        <v>8515.83964068266</v>
      </c>
      <c r="AL8" s="39" t="n">
        <f aca="false">AL7-LN(AG8/AG7)*(AK7+AK8)/2</f>
        <v>7307.41003029992</v>
      </c>
      <c r="AM8" s="39" t="n">
        <f aca="false">Sheet1!M$10*10/Sheet1!M$11*1000*AL8/(Sheet1!M$10*10/Sheet1!M$11*1000-AL8)</f>
        <v>7316.03281280933</v>
      </c>
      <c r="AN8" s="41"/>
      <c r="AO8" s="37" t="n">
        <f aca="false">AO7+(AO$19-AO$4)/15</f>
        <v>3.10784741118165</v>
      </c>
      <c r="AP8" s="40" t="n">
        <f aca="false">10^AO8</f>
        <v>1281.88011656347</v>
      </c>
      <c r="AQ8" s="39" t="n">
        <f aca="false">AS8-AR8*((Sheet1!R$19-Sheet1!R$20)*COS(RADIANS(38))+Sheet1!R$20)/2</f>
        <v>215.783415955278</v>
      </c>
      <c r="AR8" s="37" t="n">
        <f aca="false">(AV8-AV$4)/(AV$31-AV$4)*(AR$31-AR$4)+AR$4</f>
        <v>0.827241042821317</v>
      </c>
      <c r="AS8" s="39" t="n">
        <f aca="false">(AV8-AV$4)/(AV$19-AV$4)*(AS$19-AS$4)+AS$4</f>
        <v>242.157750621865</v>
      </c>
      <c r="AT8" s="39" t="n">
        <f aca="false">8314.4621*AS8/(Sheet1!R$22*Sheet1!R$12*9.80665)</f>
        <v>17012.2129606702</v>
      </c>
      <c r="AU8" s="39" t="n">
        <f aca="false">AU7-LN(AP8/AP7)*(AT7+AT8)/2</f>
        <v>10475.1070753688</v>
      </c>
      <c r="AV8" s="39" t="n">
        <f aca="false">Sheet1!R$10*10/Sheet1!R$11*1000*AU8/(Sheet1!R$10*10/Sheet1!R$11*1000-AU8)</f>
        <v>10491.0107600345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1011.78789821957</v>
      </c>
      <c r="T9" s="37" t="n">
        <v>0</v>
      </c>
      <c r="U9" s="39" t="n">
        <f aca="false">(X9-X$4)/(X$14-X$4)*(U$14-U$4)+U$4</f>
        <v>1011.78789821957</v>
      </c>
      <c r="V9" s="39" t="n">
        <f aca="false">8314.4621*U9/(Sheet1!H$20*Sheet1!H$12*9.80665)</f>
        <v>200814.242761292</v>
      </c>
      <c r="W9" s="39" t="n">
        <f aca="false">W8-LN(R9/R8)*(V8+V9)/2</f>
        <v>272475.184746086</v>
      </c>
      <c r="X9" s="39" t="n">
        <f aca="false">Sheet1!H$10*10/Sheet1!H$11*1000*W9/(Sheet1!H$10*10/Sheet1!H$11*1000-W9)</f>
        <v>273734.009169248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1219635.27268739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217.914030335946</v>
      </c>
      <c r="AF9" s="37" t="n">
        <f aca="false">AF8+(AF$10-AF$4)/6</f>
        <v>4.62022643966116</v>
      </c>
      <c r="AG9" s="40" t="n">
        <f aca="false">10^AF9</f>
        <v>41708.6794418358</v>
      </c>
      <c r="AH9" s="39" t="n">
        <f aca="false">AJ9-AI9*((Sheet1!M$19-Sheet1!M$20)*COS(RADIANS(38))+Sheet1!M$20)/2</f>
        <v>247.576221721428</v>
      </c>
      <c r="AI9" s="37" t="n">
        <f aca="false">(AM9-AM$4)/(AM$13-AM$4)*(AI$13-AI$4)+AI$4</f>
        <v>0.218122097391824</v>
      </c>
      <c r="AJ9" s="39" t="n">
        <f aca="false">(AM9-AM$4)/(AM$10-AM$4)*(AJ$10-AJ$4)+AJ$4</f>
        <v>249.066881035799</v>
      </c>
      <c r="AK9" s="39" t="n">
        <f aca="false">8314.4621*AJ9/(Sheet1!M$21*Sheet1!M$12*9.80665)</f>
        <v>8229.80865665238</v>
      </c>
      <c r="AL9" s="39" t="n">
        <f aca="false">AL8-LN(AG9/AG8)*(AK8+AK9)/2</f>
        <v>8983.57006821178</v>
      </c>
      <c r="AM9" s="39" t="n">
        <f aca="false">Sheet1!M$10*10/Sheet1!M$11*1000*AL9/(Sheet1!M$10*10/Sheet1!M$11*1000-AL9)</f>
        <v>8996.60581639366</v>
      </c>
      <c r="AN9" s="41"/>
      <c r="AO9" s="37" t="n">
        <f aca="false">AO8+(AO$19-AO$4)/15</f>
        <v>3.04294815186923</v>
      </c>
      <c r="AP9" s="40" t="n">
        <f aca="false">10^AO9</f>
        <v>1103.94681763857</v>
      </c>
      <c r="AQ9" s="39" t="n">
        <f aca="false">AS9-AR9*((Sheet1!R$19-Sheet1!R$20)*COS(RADIANS(38))+Sheet1!R$20)/2</f>
        <v>213.562398990428</v>
      </c>
      <c r="AR9" s="37" t="n">
        <f aca="false">(AV9-AV$4)/(AV$31-AV$4)*(AR$31-AR$4)+AR$4</f>
        <v>0.785542527449577</v>
      </c>
      <c r="AS9" s="39" t="n">
        <f aca="false">(AV9-AV$4)/(AV$19-AV$4)*(AS$19-AS$4)+AS$4</f>
        <v>238.607289707084</v>
      </c>
      <c r="AT9" s="39" t="n">
        <f aca="false">8314.4621*AS9/(Sheet1!R$22*Sheet1!R$12*9.80665)</f>
        <v>16762.7838301317</v>
      </c>
      <c r="AU9" s="39" t="n">
        <f aca="false">AU8-LN(AP9/AP8)*(AT8+AT9)/2</f>
        <v>12998.7084177071</v>
      </c>
      <c r="AV9" s="39" t="n">
        <f aca="false">Sheet1!R$10*10/Sheet1!R$11*1000*AU9/(Sheet1!R$10*10/Sheet1!R$11*1000-AU9)</f>
        <v>13023.206951691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948.950266555656</v>
      </c>
      <c r="T10" s="37" t="n">
        <v>0</v>
      </c>
      <c r="U10" s="39" t="n">
        <f aca="false">(X10-X$4)/(X$14-X$4)*(U$14-U$4)+U$4</f>
        <v>948.950266555656</v>
      </c>
      <c r="V10" s="39" t="n">
        <f aca="false">8314.4621*U10/(Sheet1!H$20*Sheet1!H$12*9.80665)</f>
        <v>188342.566195771</v>
      </c>
      <c r="W10" s="39" t="n">
        <f aca="false">W9-LN(R10/R9)*(V9+V10)/2</f>
        <v>317278.518103168</v>
      </c>
      <c r="X10" s="39" t="n">
        <f aca="false">Sheet1!H$10*10/Sheet1!H$11*1000*W10/(Sheet1!H$10*10/Sheet1!H$11*1000-W10)</f>
        <v>318986.654823778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1351781.63478432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217.135275626098</v>
      </c>
      <c r="AF10" s="37" t="n">
        <f aca="false">AF4+0.385*(AF18-AF4)</f>
        <v>4.53328480057661</v>
      </c>
      <c r="AG10" s="40" t="n">
        <f aca="false">10^AF10</f>
        <v>34141.6731657799</v>
      </c>
      <c r="AH10" s="39" t="n">
        <f aca="false">AJ10-AI10*((Sheet1!M$19-Sheet1!M$20)*COS(RADIANS(38))+Sheet1!M$20)/2</f>
        <v>240.166058380185</v>
      </c>
      <c r="AI10" s="37" t="n">
        <f aca="false">(AM10-AM$4)/(AM$13-AM$4)*(AI$13-AI$4)+AI$4</f>
        <v>0.0769000209620906</v>
      </c>
      <c r="AJ10" s="39" t="n">
        <f aca="false">AJ4+0.73*(AJ13-AJ4)</f>
        <v>240.691597671679</v>
      </c>
      <c r="AK10" s="39" t="n">
        <f aca="false">8314.4621*AJ10/(Sheet1!M$21*Sheet1!M$12*9.80665)</f>
        <v>7953.06780999583</v>
      </c>
      <c r="AL10" s="39" t="n">
        <f aca="false">AL9-LN(AG10/AG9)*(AK9+AK10)/2</f>
        <v>10603.3993128148</v>
      </c>
      <c r="AM10" s="39" t="n">
        <f aca="false">Sheet1!M$10*10/Sheet1!M$11*1000*AL10/(Sheet1!M$10*10/Sheet1!M$11*1000-AL10)</f>
        <v>10621.5645854966</v>
      </c>
      <c r="AN10" s="41"/>
      <c r="AO10" s="37" t="n">
        <f aca="false">AO9+(AO$19-AO$4)/15</f>
        <v>2.97804889255682</v>
      </c>
      <c r="AP10" s="40" t="n">
        <f aca="false">10^AO10</f>
        <v>950.711818076624</v>
      </c>
      <c r="AQ10" s="39" t="n">
        <f aca="false">AS10-AR10*((Sheet1!R$19-Sheet1!R$20)*COS(RADIANS(38))+Sheet1!R$20)/2</f>
        <v>211.372367398085</v>
      </c>
      <c r="AR10" s="37" t="n">
        <f aca="false">(AV10-AV$4)/(AV$31-AV$4)*(AR$31-AR$4)+AR$4</f>
        <v>0.744425747405477</v>
      </c>
      <c r="AS10" s="39" t="n">
        <f aca="false">(AV10-AV$4)/(AV$19-AV$4)*(AS$19-AS$4)+AS$4</f>
        <v>235.106361216303</v>
      </c>
      <c r="AT10" s="39" t="n">
        <f aca="false">8314.4621*AS10/(Sheet1!R$22*Sheet1!R$12*9.80665)</f>
        <v>16516.8344814434</v>
      </c>
      <c r="AU10" s="39" t="n">
        <f aca="false">AU9-LN(AP10/AP9)*(AT9+AT10)/2</f>
        <v>15485.2960542297</v>
      </c>
      <c r="AV10" s="39" t="n">
        <f aca="false">Sheet1!R$10*10/Sheet1!R$11*1000*AU10/(Sheet1!R$10*10/Sheet1!R$11*1000-AU10)</f>
        <v>15520.0765143758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889.931014772298</v>
      </c>
      <c r="T11" s="37" t="n">
        <v>0</v>
      </c>
      <c r="U11" s="39" t="n">
        <f aca="false">(X11-X$4)/(X$14-X$4)*(U$14-U$4)+U$4</f>
        <v>889.931014772298</v>
      </c>
      <c r="V11" s="39" t="n">
        <f aca="false">8314.4621*U11/(Sheet1!H$20*Sheet1!H$12*9.80665)</f>
        <v>176628.741217168</v>
      </c>
      <c r="W11" s="39" t="n">
        <f aca="false">W10-LN(R11/R10)*(V10+V11)/2</f>
        <v>359297.392694147</v>
      </c>
      <c r="X11" s="39" t="n">
        <f aca="false">Sheet1!H$10*10/Sheet1!H$11*1000*W11/(Sheet1!H$10*10/Sheet1!H$11*1000-W11)</f>
        <v>361489.486743855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1468592.36928622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262.413432850684</v>
      </c>
      <c r="AF11" s="37" t="n">
        <f aca="false">AF10+(AF$13-AF$10)/3</f>
        <v>4.42940647855351</v>
      </c>
      <c r="AG11" s="40" t="n">
        <f aca="false">10^AF11</f>
        <v>26878.5897426225</v>
      </c>
      <c r="AH11" s="39" t="n">
        <f aca="false">AJ11-AI11*((Sheet1!M$19-Sheet1!M$20)*COS(RADIANS(38))+Sheet1!M$20)/2</f>
        <v>234.342098321002</v>
      </c>
      <c r="AI11" s="37" t="n">
        <f aca="false">(AM11-AM$4)/(AM$13-AM$4)*(AI$13-AI$4)+AI$4</f>
        <v>-0.0866481360278295</v>
      </c>
      <c r="AJ11" s="39" t="n">
        <f aca="false">(AM11-AM$10)/(AM$13-AM$10)*(AJ$13-AJ$10)+AJ$10</f>
        <v>233.749939834598</v>
      </c>
      <c r="AK11" s="39" t="n">
        <f aca="false">8314.4621*AJ11/(Sheet1!M$21*Sheet1!M$12*9.80665)</f>
        <v>7723.69762829386</v>
      </c>
      <c r="AL11" s="39" t="n">
        <f aca="false">AL10-LN(AG11/AG10)*(AK10+AK11)/2</f>
        <v>12478.2516956296</v>
      </c>
      <c r="AM11" s="39" t="n">
        <f aca="false">Sheet1!M$10*10/Sheet1!M$11*1000*AL11/(Sheet1!M$10*10/Sheet1!M$11*1000-AL11)</f>
        <v>12503.4163369373</v>
      </c>
      <c r="AN11" s="41"/>
      <c r="AO11" s="37" t="n">
        <f aca="false">AO10+(AO$19-AO$4)/15</f>
        <v>2.9131496332444</v>
      </c>
      <c r="AP11" s="40" t="n">
        <f aca="false">10^AO11</f>
        <v>818.746833261382</v>
      </c>
      <c r="AQ11" s="39" t="n">
        <f aca="false">AS11-AR11*((Sheet1!R$19-Sheet1!R$20)*COS(RADIANS(38))+Sheet1!R$20)/2</f>
        <v>209.212934383179</v>
      </c>
      <c r="AR11" s="37" t="n">
        <f aca="false">(AV11-AV$4)/(AV$31-AV$4)*(AR$31-AR$4)+AR$4</f>
        <v>0.703883440799356</v>
      </c>
      <c r="AS11" s="39" t="n">
        <f aca="false">(AV11-AV$4)/(AV$19-AV$4)*(AS$19-AS$4)+AS$4</f>
        <v>231.654346828815</v>
      </c>
      <c r="AT11" s="39" t="n">
        <f aca="false">8314.4621*AS11/(Sheet1!R$22*Sheet1!R$12*9.80665)</f>
        <v>16274.3214759649</v>
      </c>
      <c r="AU11" s="39" t="n">
        <f aca="false">AU10-LN(AP11/AP10)*(AT10+AT11)/2</f>
        <v>17935.3867442006</v>
      </c>
      <c r="AV11" s="39" t="n">
        <f aca="false">Sheet1!R$10*10/Sheet1!R$11*1000*AU11/(Sheet1!R$10*10/Sheet1!R$11*1000-AU11)</f>
        <v>17982.0604357161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834.508229638184</v>
      </c>
      <c r="T12" s="37" t="n">
        <v>0</v>
      </c>
      <c r="U12" s="39" t="n">
        <f aca="false">(X12-X$4)/(X$14-X$4)*(U$14-U$4)+U$4</f>
        <v>834.508229638184</v>
      </c>
      <c r="V12" s="39" t="n">
        <f aca="false">8314.4621*U12/(Sheet1!H$20*Sheet1!H$12*9.80665)</f>
        <v>165628.723675929</v>
      </c>
      <c r="W12" s="39" t="n">
        <f aca="false">W11-LN(R12/R11)*(V11+V12)/2</f>
        <v>398701.239525586</v>
      </c>
      <c r="X12" s="39" t="n">
        <f aca="false">Sheet1!H$10*10/Sheet1!H$11*1000*W12/(Sheet1!H$10*10/Sheet1!H$11*1000-W12)</f>
        <v>401402.316161519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2003692.04005754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674.841281443299</v>
      </c>
      <c r="AF12" s="37" t="n">
        <f aca="false">AF11+(AF$13-AF$10)/3</f>
        <v>4.32552815653041</v>
      </c>
      <c r="AG12" s="40" t="n">
        <f aca="false">10^AF12</f>
        <v>21160.6087096027</v>
      </c>
      <c r="AH12" s="39" t="n">
        <f aca="false">AJ12-AI12*((Sheet1!M$19-Sheet1!M$20)*COS(RADIANS(38))+Sheet1!M$20)/2</f>
        <v>228.682773462924</v>
      </c>
      <c r="AI12" s="37" t="n">
        <f aca="false">(AM12-AM$4)/(AM$13-AM$4)*(AI$13-AI$4)+AI$4</f>
        <v>-0.245573011759121</v>
      </c>
      <c r="AJ12" s="39" t="n">
        <f aca="false">(AM12-AM$10)/(AM$13-AM$10)*(AJ$13-AJ$10)+AJ$10</f>
        <v>227.004512976186</v>
      </c>
      <c r="AK12" s="39" t="n">
        <f aca="false">8314.4621*AJ12/(Sheet1!M$21*Sheet1!M$12*9.80665)</f>
        <v>7500.81142149948</v>
      </c>
      <c r="AL12" s="39" t="n">
        <f aca="false">AL11-LN(AG12/AG11)*(AK11+AK12)/2</f>
        <v>14299.0167751066</v>
      </c>
      <c r="AM12" s="39" t="n">
        <f aca="false">Sheet1!M$10*10/Sheet1!M$11*1000*AL12/(Sheet1!M$10*10/Sheet1!M$11*1000-AL12)</f>
        <v>14332.0707299113</v>
      </c>
      <c r="AN12" s="41"/>
      <c r="AO12" s="37" t="n">
        <f aca="false">AO11+(AO$19-AO$4)/15</f>
        <v>2.84825037393198</v>
      </c>
      <c r="AP12" s="40" t="n">
        <f aca="false">10^AO12</f>
        <v>705.099446782636</v>
      </c>
      <c r="AQ12" s="39" t="n">
        <f aca="false">AS12-AR12*((Sheet1!R$19-Sheet1!R$20)*COS(RADIANS(38))+Sheet1!R$20)/2</f>
        <v>207.083716672463</v>
      </c>
      <c r="AR12" s="37" t="n">
        <f aca="false">(AV12-AV$4)/(AV$31-AV$4)*(AR$31-AR$4)+AR$4</f>
        <v>0.663908411862053</v>
      </c>
      <c r="AS12" s="39" t="n">
        <f aca="false">(AV12-AV$4)/(AV$19-AV$4)*(AS$19-AS$4)+AS$4</f>
        <v>228.250633853813</v>
      </c>
      <c r="AT12" s="39" t="n">
        <f aca="false">8314.4621*AS12/(Sheet1!R$22*Sheet1!R$12*9.80665)</f>
        <v>16035.2017705702</v>
      </c>
      <c r="AU12" s="39" t="n">
        <f aca="false">AU11-LN(AP12/AP11)*(AT11+AT12)/2</f>
        <v>20349.4907851363</v>
      </c>
      <c r="AV12" s="39" t="n">
        <f aca="false">Sheet1!R$10*10/Sheet1!R$11*1000*AU12/(Sheet1!R$10*10/Sheet1!R$11*1000-AU12)</f>
        <v>20409.5956880861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782.471679158435</v>
      </c>
      <c r="T13" s="37" t="n">
        <v>0</v>
      </c>
      <c r="U13" s="39" t="n">
        <f aca="false">(X13-X$4)/(X$14-X$4)*(U$14-U$4)+U$4</f>
        <v>782.471679158435</v>
      </c>
      <c r="V13" s="39" t="n">
        <f aca="false">8314.4621*U13/(Sheet1!H$20*Sheet1!H$12*9.80665)</f>
        <v>155300.787851742</v>
      </c>
      <c r="W13" s="39" t="n">
        <f aca="false">W12-LN(R13/R12)*(V12+V13)/2</f>
        <v>435649.614982859</v>
      </c>
      <c r="X13" s="39" t="n">
        <f aca="false">Sheet1!H$10*10/Sheet1!H$11*1000*W13/(Sheet1!H$10*10/Sheet1!H$11*1000-W13)</f>
        <v>438876.542045969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2548433.13996534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788.535177162652</v>
      </c>
      <c r="AF13" s="37" t="n">
        <f aca="false">AF4+0.615*(AF18-AF4)</f>
        <v>4.22164983450731</v>
      </c>
      <c r="AG13" s="40" t="n">
        <f aca="false">10^AF13</f>
        <v>16659.0347651634</v>
      </c>
      <c r="AH13" s="39" t="n">
        <f aca="false">AJ13-AI13*((Sheet1!M$19-Sheet1!M$20)*COS(RADIANS(38))+Sheet1!M$20)/2</f>
        <v>223.183614125773</v>
      </c>
      <c r="AI13" s="37" t="n">
        <v>-0.4</v>
      </c>
      <c r="AJ13" s="39" t="n">
        <f aca="false">IF(0.74*Sheet1!M16+0.78*Sheet1!M18&gt;AJ18,0.74*Sheet1!M16+0.78*Sheet1!M18,AJ18)</f>
        <v>220.449990467838</v>
      </c>
      <c r="AK13" s="39" t="n">
        <f aca="false">8314.4621*AJ13/(Sheet1!M$21*Sheet1!M$12*9.80665)</f>
        <v>7284.23318413972</v>
      </c>
      <c r="AL13" s="39" t="n">
        <f aca="false">AL12-LN(AG13/AG12)*(AK12+AK13)/2</f>
        <v>16067.2243953598</v>
      </c>
      <c r="AM13" s="39" t="n">
        <f aca="false">Sheet1!M$10*10/Sheet1!M$11*1000*AL13/(Sheet1!M$10*10/Sheet1!M$11*1000-AL13)</f>
        <v>16108.9705962224</v>
      </c>
      <c r="AN13" s="41"/>
      <c r="AO13" s="37" t="n">
        <f aca="false">AO12+(AO$19-AO$4)/15</f>
        <v>2.78335111461956</v>
      </c>
      <c r="AP13" s="40" t="n">
        <f aca="false">10^AO13</f>
        <v>607.227056833649</v>
      </c>
      <c r="AQ13" s="39" t="n">
        <f aca="false">AS13-AR13*((Sheet1!R$19-Sheet1!R$20)*COS(RADIANS(38))+Sheet1!R$20)/2</f>
        <v>204.984334521373</v>
      </c>
      <c r="AR13" s="37" t="n">
        <f aca="false">(AV13-AV$4)/(AV$31-AV$4)*(AR$31-AR$4)+AR$4</f>
        <v>0.62449353107372</v>
      </c>
      <c r="AS13" s="39" t="n">
        <f aca="false">(AV13-AV$4)/(AV$19-AV$4)*(AS$19-AS$4)+AS$4</f>
        <v>224.894615241348</v>
      </c>
      <c r="AT13" s="39" t="n">
        <f aca="false">8314.4621*AS13/(Sheet1!R$22*Sheet1!R$12*9.80665)</f>
        <v>15799.4327184188</v>
      </c>
      <c r="AU13" s="39" t="n">
        <f aca="false">AU12-LN(AP13/AP12)*(AT12+AT13)/2</f>
        <v>22728.1120719677</v>
      </c>
      <c r="AV13" s="39" t="n">
        <f aca="false">Sheet1!R$10*10/Sheet1!R$11*1000*AU13/(Sheet1!R$10*10/Sheet1!R$11*1000-AU13)</f>
        <v>22803.115220785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733.622378739015</v>
      </c>
      <c r="T14" s="37" t="n">
        <v>0</v>
      </c>
      <c r="U14" s="39" t="n">
        <f aca="false">600/1140*(U$44-U$4)+U$4</f>
        <v>733.622378739015</v>
      </c>
      <c r="V14" s="39" t="n">
        <f aca="false">8314.4621*U14/(Sheet1!H$20*Sheet1!H$12*9.80665)</f>
        <v>145605.440348173</v>
      </c>
      <c r="W14" s="39" t="n">
        <f aca="false">W13-LN(R14/R13)*(V13+V14)/2</f>
        <v>470292.724754968</v>
      </c>
      <c r="X14" s="39" t="n">
        <f aca="false">Sheet1!H$10*10/Sheet1!H$11*1000*W14/(Sheet1!H$10*10/Sheet1!H$11*1000-W14)</f>
        <v>474055.487932621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471.856347294849</v>
      </c>
      <c r="AA14" s="39" t="n">
        <f aca="false">IF(Y14=LOG(Sheet1!H$17*101325),(LOG(Sheet1!H$17*101325)-Q24)/(Q14-Q24)*(X14-X24)+X24,IF(Y14=0,0,X14))</f>
        <v>679241.53676573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3164588.89197358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831.751132210469</v>
      </c>
      <c r="AF14" s="37" t="n">
        <f aca="false">AF13+(AF$18-AF$13)/5</f>
        <v>4.11731986760585</v>
      </c>
      <c r="AG14" s="40" t="n">
        <f aca="false">10^AF14</f>
        <v>13101.4651996645</v>
      </c>
      <c r="AH14" s="39" t="n">
        <f aca="false">AJ14-AI14*((Sheet1!M$19-Sheet1!M$20)*COS(RADIANS(38))+Sheet1!M$20)/2</f>
        <v>222.33383500728</v>
      </c>
      <c r="AI14" s="37" t="n">
        <f aca="false">(AM14-AM$13)/(AM$30-AM$13)*(AI$30-AI$13)+AI$13</f>
        <v>-0.353124776299532</v>
      </c>
      <c r="AJ14" s="39" t="n">
        <f aca="false">(AM14-AM$13)/(AM$18-AM$13)*(AJ$18-AJ$13)+AJ$13</f>
        <v>219.920559400541</v>
      </c>
      <c r="AK14" s="39" t="n">
        <f aca="false">8314.4621*AJ14/(Sheet1!M$21*Sheet1!M$12*9.80665)</f>
        <v>7266.73942357782</v>
      </c>
      <c r="AL14" s="39" t="n">
        <f aca="false">AL13-LN(AG14/AG13)*(AK13+AK14)/2</f>
        <v>17815.0044775455</v>
      </c>
      <c r="AM14" s="39" t="n">
        <f aca="false">Sheet1!M$10*10/Sheet1!M$11*1000*AL14/(Sheet1!M$10*10/Sheet1!M$11*1000-AL14)</f>
        <v>17866.3414053088</v>
      </c>
      <c r="AN14" s="41"/>
      <c r="AO14" s="37" t="n">
        <f aca="false">AO13+(AO$19-AO$4)/15</f>
        <v>2.71845185530715</v>
      </c>
      <c r="AP14" s="40" t="n">
        <f aca="false">10^AO14</f>
        <v>522.939991278313</v>
      </c>
      <c r="AQ14" s="39" t="n">
        <f aca="false">AS14-AR14*((Sheet1!R$19-Sheet1!R$20)*COS(RADIANS(38))+Sheet1!R$20)/2</f>
        <v>202.914411719442</v>
      </c>
      <c r="AR14" s="37" t="n">
        <f aca="false">(AV14-AV$4)/(AV$31-AV$4)*(AR$31-AR$4)+AR$4</f>
        <v>0.585631735265459</v>
      </c>
      <c r="AS14" s="39" t="n">
        <f aca="false">(AV14-AV$4)/(AV$19-AV$4)*(AS$19-AS$4)+AS$4</f>
        <v>221.585689590989</v>
      </c>
      <c r="AT14" s="39" t="n">
        <f aca="false">8314.4621*AS14/(Sheet1!R$22*Sheet1!R$12*9.80665)</f>
        <v>15566.9720695634</v>
      </c>
      <c r="AU14" s="39" t="n">
        <f aca="false">AU13-LN(AP14/AP13)*(AT13+AT14)/2</f>
        <v>25071.7481563043</v>
      </c>
      <c r="AV14" s="39" t="n">
        <f aca="false">Sheet1!R$10*10/Sheet1!R$11*1000*AU14/(Sheet1!R$10*10/Sheet1!R$11*1000-AU14)</f>
        <v>25163.047953865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691.390741302511</v>
      </c>
      <c r="T15" s="37" t="n">
        <v>0</v>
      </c>
      <c r="U15" s="39" t="n">
        <f aca="false">(X15-X$14)/(X$24-X$14)*(U$24-U$14)+U$14</f>
        <v>691.390741302511</v>
      </c>
      <c r="V15" s="39" t="n">
        <f aca="false">8314.4621*U15/(Sheet1!H$20*Sheet1!H$12*9.80665)</f>
        <v>137223.531148325</v>
      </c>
      <c r="W15" s="39" t="n">
        <f aca="false">W14-LN(R15/R14)*(V14+V15)/2</f>
        <v>502854.613436702</v>
      </c>
      <c r="X15" s="39" t="n">
        <f aca="false">Sheet1!H$10*10/Sheet1!H$11*1000*W15/(Sheet1!H$10*10/Sheet1!H$11*1000-W15)</f>
        <v>507158.847613877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3811217.77572389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831.751132210469</v>
      </c>
      <c r="AF15" s="37" t="n">
        <f aca="false">AF14+(AF$18-AF$13)/5</f>
        <v>4.01298990070438</v>
      </c>
      <c r="AG15" s="40" t="n">
        <f aca="false">10^AF15</f>
        <v>10303.6215961902</v>
      </c>
      <c r="AH15" s="39" t="n">
        <f aca="false">AJ15-AI15*((Sheet1!M$19-Sheet1!M$20)*COS(RADIANS(38))+Sheet1!M$20)/2</f>
        <v>221.485618385807</v>
      </c>
      <c r="AI15" s="37" t="n">
        <f aca="false">(AM15-AM$13)/(AM$30-AM$13)*(AI$30-AI$13)+AI$13</f>
        <v>-0.306335743081074</v>
      </c>
      <c r="AJ15" s="39" t="n">
        <f aca="false">(AM15-AM$13)/(AM$18-AM$13)*(AJ$18-AJ$13)+AJ$13</f>
        <v>219.392101799413</v>
      </c>
      <c r="AK15" s="39" t="n">
        <f aca="false">8314.4621*AJ15/(Sheet1!M$21*Sheet1!M$12*9.80665)</f>
        <v>7249.27782883528</v>
      </c>
      <c r="AL15" s="39" t="n">
        <f aca="false">AL14-LN(AG15/AG14)*(AK14+AK15)/2</f>
        <v>19558.5859212336</v>
      </c>
      <c r="AM15" s="39" t="n">
        <f aca="false">Sheet1!M$10*10/Sheet1!M$11*1000*AL15/(Sheet1!M$10*10/Sheet1!M$11*1000-AL15)</f>
        <v>19620.4808988911</v>
      </c>
      <c r="AN15" s="41"/>
      <c r="AO15" s="37" t="n">
        <f aca="false">AO14+(AO$19-AO$4)/15</f>
        <v>2.65355259599473</v>
      </c>
      <c r="AP15" s="40" t="n">
        <f aca="false">10^AO15</f>
        <v>450.352518717029</v>
      </c>
      <c r="AQ15" s="39" t="n">
        <f aca="false">AS15-AR15*((Sheet1!R$19-Sheet1!R$20)*COS(RADIANS(38))+Sheet1!R$20)/2</f>
        <v>200.873575594308</v>
      </c>
      <c r="AR15" s="37" t="n">
        <f aca="false">(AV15-AV$4)/(AV$31-AV$4)*(AR$31-AR$4)+AR$4</f>
        <v>0.547316027694601</v>
      </c>
      <c r="AS15" s="39" t="n">
        <f aca="false">(AV15-AV$4)/(AV$19-AV$4)*(AS$19-AS$4)+AS$4</f>
        <v>218.323261158233</v>
      </c>
      <c r="AT15" s="39" t="n">
        <f aca="false">8314.4621*AS15/(Sheet1!R$22*Sheet1!R$12*9.80665)</f>
        <v>15337.7779714002</v>
      </c>
      <c r="AU15" s="39" t="n">
        <f aca="false">AU14-LN(AP15/AP14)*(AT14+AT15)/2</f>
        <v>27380.8903057788</v>
      </c>
      <c r="AV15" s="39" t="n">
        <f aca="false">Sheet1!R$10*10/Sheet1!R$11*1000*AU15/(Sheet1!R$10*10/Sheet1!R$11*1000-AU15)</f>
        <v>27489.8187735595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651.548570810486</v>
      </c>
      <c r="T16" s="37" t="n">
        <v>0</v>
      </c>
      <c r="U16" s="39" t="n">
        <f aca="false">(X16-X$14)/(X$24-X$14)*(U$24-U$14)+U$14</f>
        <v>651.548570810486</v>
      </c>
      <c r="V16" s="39" t="n">
        <f aca="false">8314.4621*U16/(Sheet1!H$20*Sheet1!H$12*9.80665)</f>
        <v>129315.870549299</v>
      </c>
      <c r="W16" s="39" t="n">
        <f aca="false">W15-LN(R16/R15)*(V15+V16)/2</f>
        <v>533541.096088927</v>
      </c>
      <c r="X16" s="39" t="n">
        <f aca="false">Sheet1!H$10*10/Sheet1!H$11*1000*W16/(Sheet1!H$10*10/Sheet1!H$11*1000-W16)</f>
        <v>538389.219632013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3.90865993380292</v>
      </c>
      <c r="AG16" s="40" t="n">
        <f aca="false">10^AF16</f>
        <v>8103.26298467714</v>
      </c>
      <c r="AH16" s="39" t="n">
        <f aca="false">AJ16-AI16*((Sheet1!M$19-Sheet1!M$20)*COS(RADIANS(38))+Sheet1!M$20)/2</f>
        <v>220.638963552819</v>
      </c>
      <c r="AI16" s="37" t="n">
        <f aca="false">(AM16-AM$13)/(AM$30-AM$13)*(AI$30-AI$13)+AI$13</f>
        <v>-0.259632861209217</v>
      </c>
      <c r="AJ16" s="39" t="n">
        <f aca="false">(AM16-AM$13)/(AM$18-AM$13)*(AJ$18-AJ$13)+AJ$13</f>
        <v>218.864617223372</v>
      </c>
      <c r="AK16" s="39" t="n">
        <f aca="false">8314.4621*AJ16/(Sheet1!M$21*Sheet1!M$12*9.80665)</f>
        <v>7231.8483853376</v>
      </c>
      <c r="AL16" s="39" t="n">
        <f aca="false">AL15-LN(AG16/AG15)*(AK15+AK16)/2</f>
        <v>21297.9764518241</v>
      </c>
      <c r="AM16" s="39" t="n">
        <f aca="false">Sheet1!M$10*10/Sheet1!M$11*1000*AL16/(Sheet1!M$10*10/Sheet1!M$11*1000-AL16)</f>
        <v>21371.3905441713</v>
      </c>
      <c r="AN16" s="41"/>
      <c r="AO16" s="37" t="n">
        <f aca="false">AO15+(AO$19-AO$4)/15</f>
        <v>2.58865333668231</v>
      </c>
      <c r="AP16" s="40" t="n">
        <f aca="false">10^AO16</f>
        <v>387.840659535314</v>
      </c>
      <c r="AQ16" s="39" t="n">
        <f aca="false">AS16-AR16*((Sheet1!R$19-Sheet1!R$20)*COS(RADIANS(38))+Sheet1!R$20)/2</f>
        <v>198.861457014368</v>
      </c>
      <c r="AR16" s="37" t="n">
        <f aca="false">(AV16-AV$4)/(AV$31-AV$4)*(AR$31-AR$4)+AR$4</f>
        <v>0.509539478094449</v>
      </c>
      <c r="AS16" s="39" t="n">
        <f aca="false">(AV16-AV$4)/(AV$19-AV$4)*(AS$19-AS$4)+AS$4</f>
        <v>215.106739858735</v>
      </c>
      <c r="AT16" s="39" t="n">
        <f aca="false">8314.4621*AS16/(Sheet1!R$22*Sheet1!R$12*9.80665)</f>
        <v>15111.8089689667</v>
      </c>
      <c r="AU16" s="39" t="n">
        <f aca="false">AU15-LN(AP16/AP15)*(AT15+AT16)/2</f>
        <v>29656.023563446</v>
      </c>
      <c r="AV16" s="39" t="n">
        <f aca="false">Sheet1!R$10*10/Sheet1!R$11*1000*AU16/(Sheet1!R$10*10/Sheet1!R$11*1000-AU16)</f>
        <v>29783.8485292628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613.965383144952</v>
      </c>
      <c r="T17" s="37" t="n">
        <v>0</v>
      </c>
      <c r="U17" s="39" t="n">
        <f aca="false">(X17-X$14)/(X$24-X$14)*(U$24-U$14)+U$14</f>
        <v>613.965383144952</v>
      </c>
      <c r="V17" s="39" t="n">
        <f aca="false">8314.4621*U17/(Sheet1!H$20*Sheet1!H$12*9.80665)</f>
        <v>121856.560762248</v>
      </c>
      <c r="W17" s="39" t="n">
        <f aca="false">W16-LN(R17/R16)*(V16+V17)/2</f>
        <v>562458.390894379</v>
      </c>
      <c r="X17" s="39" t="n">
        <f aca="false">Sheet1!H$10*10/Sheet1!H$11*1000*W17/(Sheet1!H$10*10/Sheet1!H$11*1000-W17)</f>
        <v>567848.935729792</v>
      </c>
      <c r="Y17" s="37"/>
      <c r="Z17" s="39"/>
      <c r="AF17" s="37" t="n">
        <f aca="false">AF16+(AF$18-AF$13)/5</f>
        <v>3.80432996690146</v>
      </c>
      <c r="AG17" s="40" t="n">
        <f aca="false">10^AF17</f>
        <v>6372.7952725979</v>
      </c>
      <c r="AH17" s="39" t="n">
        <f aca="false">AJ17-AI17*((Sheet1!M$19-Sheet1!M$20)*COS(RADIANS(38))+Sheet1!M$20)/2</f>
        <v>219.793869790092</v>
      </c>
      <c r="AI17" s="37" t="n">
        <f aca="false">(AM17-AM$13)/(AM$30-AM$13)*(AI$30-AI$13)+AI$13</f>
        <v>-0.213016091014581</v>
      </c>
      <c r="AJ17" s="39" t="n">
        <f aca="false">(AM17-AM$13)/(AM$18-AM$13)*(AJ$18-AJ$13)+AJ$13</f>
        <v>218.338105225296</v>
      </c>
      <c r="AK17" s="39" t="n">
        <f aca="false">8314.4621*AJ17/(Sheet1!M$21*Sheet1!M$12*9.80665)</f>
        <v>7214.45107831077</v>
      </c>
      <c r="AL17" s="39" t="n">
        <f aca="false">AL16-LN(AG17/AG16)*(AK16+AK17)/2</f>
        <v>23033.1837911921</v>
      </c>
      <c r="AM17" s="39" t="n">
        <f aca="false">Sheet1!M$10*10/Sheet1!M$11*1000*AL17/(Sheet1!M$10*10/Sheet1!M$11*1000-AL17)</f>
        <v>23119.0718283702</v>
      </c>
      <c r="AN17" s="41"/>
      <c r="AO17" s="37" t="n">
        <f aca="false">AO16+(AO$19-AO$4)/15</f>
        <v>2.52375407736989</v>
      </c>
      <c r="AP17" s="40" t="n">
        <f aca="false">10^AO17</f>
        <v>334.005853053308</v>
      </c>
      <c r="AQ17" s="39" t="n">
        <f aca="false">AS17-AR17*((Sheet1!R$19-Sheet1!R$20)*COS(RADIANS(38))+Sheet1!R$20)/2</f>
        <v>196.877690390103</v>
      </c>
      <c r="AR17" s="37" t="n">
        <f aca="false">(AV17-AV$4)/(AV$31-AV$4)*(AR$31-AR$4)+AR$4</f>
        <v>0.47229522269926</v>
      </c>
      <c r="AS17" s="39" t="n">
        <f aca="false">(AV17-AV$4)/(AV$19-AV$4)*(AS$19-AS$4)+AS$4</f>
        <v>211.935541270443</v>
      </c>
      <c r="AT17" s="39" t="n">
        <f aca="false">8314.4621*AS17/(Sheet1!R$22*Sheet1!R$12*9.80665)</f>
        <v>14889.0240050906</v>
      </c>
      <c r="AU17" s="39" t="n">
        <f aca="false">AU16-LN(AP17/AP16)*(AT16+AT17)/2</f>
        <v>31897.6268072165</v>
      </c>
      <c r="AV17" s="39" t="n">
        <f aca="false">Sheet1!R$10*10/Sheet1!R$11*1000*AU17/(Sheet1!R$10*10/Sheet1!R$11*1000-AU17)</f>
        <v>32045.554032013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578.517130243172</v>
      </c>
      <c r="T18" s="37" t="n">
        <v>0</v>
      </c>
      <c r="U18" s="39" t="n">
        <f aca="false">(X18-X$14)/(X$24-X$14)*(U$24-U$14)+U$14</f>
        <v>578.517130243172</v>
      </c>
      <c r="V18" s="39" t="n">
        <f aca="false">8314.4621*U18/(Sheet1!H$20*Sheet1!H$12*9.80665)</f>
        <v>114820.981392097</v>
      </c>
      <c r="W18" s="39" t="n">
        <f aca="false">W17-LN(R18/R17)*(V17+V18)/2</f>
        <v>589706.899914932</v>
      </c>
      <c r="X18" s="39" t="n">
        <f aca="false">Sheet1!H$10*10/Sheet1!H$11*1000*W18/(Sheet1!H$10*10/Sheet1!H$11*1000-W18)</f>
        <v>595635.142529424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218.950328672286</v>
      </c>
      <c r="AI18" s="37" t="n">
        <f aca="false">(AM18-AM$13)/(AM$30-AM$13)*(AI$30-AI$13)+AI$13</f>
        <v>-0.166485393117867</v>
      </c>
      <c r="AJ18" s="39" t="n">
        <f aca="false">0.77*Sheet1!M16+0.56*Sheet1!M18</f>
        <v>217.812557648967</v>
      </c>
      <c r="AK18" s="39" t="n">
        <f aca="false">8314.4621*AJ18/(Sheet1!M$21*Sheet1!M$12*9.80665)</f>
        <v>7197.08563825237</v>
      </c>
      <c r="AL18" s="39" t="n">
        <f aca="false">AL17-LN(AG18/AG17)*(AK17+AK18)/2</f>
        <v>24764.2156270665</v>
      </c>
      <c r="AM18" s="39" t="n">
        <f aca="false">Sheet1!M$10*10/Sheet1!M$11*1000*AL18/(Sheet1!M$10*10/Sheet1!M$11*1000-AL18)</f>
        <v>24863.5262278335</v>
      </c>
      <c r="AN18" s="41"/>
      <c r="AO18" s="37" t="n">
        <f aca="false">AO17+(AO$19-AO$4)/15</f>
        <v>2.45885481805747</v>
      </c>
      <c r="AP18" s="40" t="n">
        <f aca="false">10^AO18</f>
        <v>287.643667911281</v>
      </c>
      <c r="AQ18" s="39" t="n">
        <f aca="false">AS18-AR18*((Sheet1!R$19-Sheet1!R$20)*COS(RADIANS(38))+Sheet1!R$20)/2</f>
        <v>194.921913674133</v>
      </c>
      <c r="AR18" s="37" t="n">
        <f aca="false">(AV18-AV$4)/(AV$31-AV$4)*(AR$31-AR$4)+AR$4</f>
        <v>0.435576464245256</v>
      </c>
      <c r="AS18" s="39" t="n">
        <f aca="false">(AV18-AV$4)/(AV$19-AV$4)*(AS$19-AS$4)+AS$4</f>
        <v>208.809086633677</v>
      </c>
      <c r="AT18" s="39" t="n">
        <f aca="false">8314.4621*AS18/(Sheet1!R$22*Sheet1!R$12*9.80665)</f>
        <v>14669.3824203966</v>
      </c>
      <c r="AU18" s="39" t="n">
        <f aca="false">AU17-LN(AP18/AP17)*(AT17+AT18)/2</f>
        <v>34106.1728093009</v>
      </c>
      <c r="AV18" s="39" t="n">
        <f aca="false">Sheet1!R$10*10/Sheet1!R$11*1000*AU18/(Sheet1!R$10*10/Sheet1!R$11*1000-AU18)</f>
        <v>34275.3480544302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545.086261458227</v>
      </c>
      <c r="T19" s="37" t="n">
        <v>0</v>
      </c>
      <c r="U19" s="39" t="n">
        <f aca="false">(X19-X$14)/(X$24-X$14)*(U$24-U$14)+U$14</f>
        <v>545.086261458227</v>
      </c>
      <c r="V19" s="39" t="n">
        <f aca="false">8314.4621*U19/(Sheet1!H$20*Sheet1!H$12*9.80665)</f>
        <v>108185.801616064</v>
      </c>
      <c r="W19" s="39" t="n">
        <f aca="false">W18-LN(R19/R18)*(V18+V19)/2</f>
        <v>615381.50462449</v>
      </c>
      <c r="X19" s="39" t="n">
        <f aca="false">Sheet1!H$10*10/Sheet1!H$11*1000*W19/(Sheet1!H$10*10/Sheet1!H$11*1000-W19)</f>
        <v>621840.017844113</v>
      </c>
      <c r="Y19" s="37"/>
      <c r="Z19" s="39"/>
      <c r="AC19" s="39" t="n">
        <f aca="false">AC4</f>
        <v>679241.53676573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220.423992976111</v>
      </c>
      <c r="AI19" s="37" t="n">
        <f aca="false">(AM19-AM$13)/(AM$30-AM$13)*(AI$30-AI$13)+AI$13</f>
        <v>-0.12173301805047</v>
      </c>
      <c r="AJ19" s="39" t="n">
        <f aca="false">(AM19-AM$18)/(AM$25-AM$18)*(AJ$25-AJ$18)+AJ$18</f>
        <v>219.592062330875</v>
      </c>
      <c r="AK19" s="39" t="n">
        <f aca="false">8314.4621*AJ19/(Sheet1!M$21*Sheet1!M$12*9.80665)</f>
        <v>7255.88503773423</v>
      </c>
      <c r="AL19" s="39" t="n">
        <f aca="false">AL18-LN(AG19/AG18)*(AK18+AK19)/2</f>
        <v>26428.1753684668</v>
      </c>
      <c r="AM19" s="39" t="n">
        <f aca="false">Sheet1!M$10*10/Sheet1!M$11*1000*AL19/(Sheet1!M$10*10/Sheet1!M$11*1000-AL19)</f>
        <v>26541.310596038</v>
      </c>
      <c r="AN19" s="41"/>
      <c r="AO19" s="37" t="n">
        <f aca="false">AO4+0.2*(AO61-AO4)</f>
        <v>2.39395555874506</v>
      </c>
      <c r="AP19" s="40" t="n">
        <f aca="false">10^AO19</f>
        <v>247.716855657168</v>
      </c>
      <c r="AQ19" s="39" t="n">
        <f aca="false">AS19-AR19*((Sheet1!R$19-Sheet1!R$20)*COS(RADIANS(38))+Sheet1!R$20)/2</f>
        <v>192.993768360041</v>
      </c>
      <c r="AR19" s="37" t="n">
        <f aca="false">(AV19-AV$4)/(AV$31-AV$4)*(AR$31-AR$4)+AR$4</f>
        <v>0.399376471948436</v>
      </c>
      <c r="AS19" s="39" t="n">
        <f aca="false">Sheet1!R16+0.36*(AS61-Sheet1!R16)+0.3*Sheet1!R18</f>
        <v>205.726802849245</v>
      </c>
      <c r="AT19" s="39" t="n">
        <f aca="false">8314.4621*AS19/(Sheet1!R$22*Sheet1!R$12*9.80665)</f>
        <v>14452.8439531729</v>
      </c>
      <c r="AU19" s="39" t="n">
        <f aca="false">AU18-LN(AP19/AP18)*(AT18+AT19)/2</f>
        <v>36282.1282956456</v>
      </c>
      <c r="AV19" s="39" t="n">
        <f aca="false">Sheet1!R$10*10/Sheet1!R$11*1000*AU19/(Sheet1!R$10*10/Sheet1!R$11*1000-AU19)</f>
        <v>36473.6393320645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513.561285237634</v>
      </c>
      <c r="T20" s="37" t="n">
        <v>0</v>
      </c>
      <c r="U20" s="39" t="n">
        <f aca="false">(X20-X$14)/(X$24-X$14)*(U$24-U$14)+U$14</f>
        <v>513.561285237634</v>
      </c>
      <c r="V20" s="39" t="n">
        <f aca="false">8314.4621*U20/(Sheet1!H$20*Sheet1!H$12*9.80665)</f>
        <v>101928.893187978</v>
      </c>
      <c r="W20" s="39" t="n">
        <f aca="false">W19-LN(R20/R19)*(V19+V20)/2</f>
        <v>639571.852828228</v>
      </c>
      <c r="X20" s="39" t="n">
        <f aca="false">Sheet1!H$10*10/Sheet1!H$11*1000*W20/(Sheet1!H$10*10/Sheet1!H$11*1000-W20)</f>
        <v>646550.987329049</v>
      </c>
      <c r="Y20" s="37"/>
      <c r="Z20" s="39"/>
      <c r="AC20" s="39" t="n">
        <f aca="false">IF(AD20=0,AA44,IF(AD20=1,AA54,IF(AD20=2,AA100,AA170)))</f>
        <v>962518.426396503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221.910504699604</v>
      </c>
      <c r="AI20" s="37" t="n">
        <f aca="false">(AM20-AM$13)/(AM$30-AM$13)*(AI$30-AI$13)+AI$13</f>
        <v>-0.0765904938669492</v>
      </c>
      <c r="AJ20" s="39" t="n">
        <f aca="false">(AM20-AM$18)/(AM$25-AM$18)*(AJ$25-AJ$18)+AJ$18</f>
        <v>221.387080734585</v>
      </c>
      <c r="AK20" s="39" t="n">
        <f aca="false">8314.4621*AJ20/(Sheet1!M$21*Sheet1!M$12*9.80665)</f>
        <v>7315.19705038025</v>
      </c>
      <c r="AL20" s="39" t="n">
        <f aca="false">AL19-LN(AG20/AG19)*(AK19+AK20)/2</f>
        <v>28105.7331887111</v>
      </c>
      <c r="AM20" s="39" t="n">
        <f aca="false">Sheet1!M$10*10/Sheet1!M$11*1000*AL20/(Sheet1!M$10*10/Sheet1!M$11*1000-AL20)</f>
        <v>28233.7218100202</v>
      </c>
      <c r="AN20" s="41"/>
      <c r="AO20" s="37" t="n">
        <f aca="false">AO19+(AO$31-AO$19)/12</f>
        <v>2.31283148460454</v>
      </c>
      <c r="AP20" s="40" t="n">
        <f aca="false">10^AO20</f>
        <v>205.509302192979</v>
      </c>
      <c r="AQ20" s="39" t="n">
        <f aca="false">AS20-AR20*((Sheet1!R$19-Sheet1!R$20)*COS(RADIANS(38))+Sheet1!R$20)/2</f>
        <v>191.628479977198</v>
      </c>
      <c r="AR20" s="37" t="n">
        <f aca="false">(AV20-AV$4)/(AV$31-AV$4)*(AR$31-AR$4)+AR$4</f>
        <v>0.354735793812235</v>
      </c>
      <c r="AS20" s="39" t="n">
        <f aca="false">(AV20-AV$19)/(AV$31-AV$19)*(AS$31-AS$19)+AS$19</f>
        <v>202.938267644784</v>
      </c>
      <c r="AT20" s="39" t="n">
        <f aca="false">8314.4621*AS20/(Sheet1!R$22*Sheet1!R$12*9.80665)</f>
        <v>14256.9420890996</v>
      </c>
      <c r="AU20" s="39" t="n">
        <f aca="false">AU19-LN(AP20/AP19)*(AT19+AT20)/2</f>
        <v>38963.5517404531</v>
      </c>
      <c r="AV20" s="39" t="n">
        <f aca="false">Sheet1!R$10*10/Sheet1!R$11*1000*AU20/(Sheet1!R$10*10/Sheet1!R$11*1000-AU20)</f>
        <v>39184.5021568369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483.836389528207</v>
      </c>
      <c r="T21" s="37" t="n">
        <v>0</v>
      </c>
      <c r="U21" s="39" t="n">
        <f aca="false">(X21-X$14)/(X$24-X$14)*(U$24-U$14)+U$14</f>
        <v>483.836389528207</v>
      </c>
      <c r="V21" s="39" t="n">
        <f aca="false">8314.4621*U21/(Sheet1!H$20*Sheet1!H$12*9.80665)</f>
        <v>96029.2550982647</v>
      </c>
      <c r="W21" s="39" t="n">
        <f aca="false">W20-LN(R21/R20)*(V20+V21)/2</f>
        <v>662362.626892259</v>
      </c>
      <c r="X21" s="39" t="n">
        <f aca="false">Sheet1!H$10*10/Sheet1!H$11*1000*W21/(Sheet1!H$10*10/Sheet1!H$11*1000-W21)</f>
        <v>669850.930273033</v>
      </c>
      <c r="Y21" s="37"/>
      <c r="Z21" s="39"/>
      <c r="AC21" s="39" t="n">
        <f aca="false">IF(AD21=0,0,IF(AD21=1,AA54,IF(AD21=2,AA100,AA170)))</f>
        <v>1029224.55667517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223.409989341883</v>
      </c>
      <c r="AI21" s="37" t="n">
        <f aca="false">(AM21-AM$13)/(AM$30-AM$13)*(AI$30-AI$13)+AI$13</f>
        <v>-0.0310540095113623</v>
      </c>
      <c r="AJ21" s="39" t="n">
        <f aca="false">(AM21-AM$18)/(AM$25-AM$18)*(AJ$25-AJ$18)+AJ$18</f>
        <v>223.197764404198</v>
      </c>
      <c r="AK21" s="39" t="n">
        <f aca="false">8314.4621*AJ21/(Sheet1!M$21*Sheet1!M$12*9.80665)</f>
        <v>7375.02668359631</v>
      </c>
      <c r="AL21" s="39" t="n">
        <f aca="false">AL20-LN(AG21/AG20)*(AK20+AK21)/2</f>
        <v>29797.0076978412</v>
      </c>
      <c r="AM21" s="39" t="n">
        <f aca="false">Sheet1!M$10*10/Sheet1!M$11*1000*AL21/(Sheet1!M$10*10/Sheet1!M$11*1000-AL21)</f>
        <v>29940.9027477857</v>
      </c>
      <c r="AN21" s="41"/>
      <c r="AO21" s="37" t="n">
        <f aca="false">AO20+(AO$31-AO$19)/12</f>
        <v>2.23170741046401</v>
      </c>
      <c r="AP21" s="40" t="n">
        <f aca="false">10^AO21</f>
        <v>170.493336740459</v>
      </c>
      <c r="AQ21" s="39" t="n">
        <f aca="false">AS21-AR21*((Sheet1!R$19-Sheet1!R$20)*COS(RADIANS(38))+Sheet1!R$20)/2</f>
        <v>190.280660114713</v>
      </c>
      <c r="AR21" s="37" t="n">
        <f aca="false">(AV21-AV$4)/(AV$31-AV$4)*(AR$31-AR$4)+AR$4</f>
        <v>0.310666281888658</v>
      </c>
      <c r="AS21" s="39" t="n">
        <f aca="false">(AV21-AV$19)/(AV$31-AV$19)*(AS$31-AS$19)+AS$19</f>
        <v>200.185411044637</v>
      </c>
      <c r="AT21" s="39" t="n">
        <f aca="false">8314.4621*AS21/(Sheet1!R$22*Sheet1!R$12*9.80665)</f>
        <v>14063.5467399455</v>
      </c>
      <c r="AU21" s="39" t="n">
        <f aca="false">AU20-LN(AP21/AP20)*(AT20+AT21)/2</f>
        <v>41608.6157824769</v>
      </c>
      <c r="AV21" s="39" t="n">
        <f aca="false">Sheet1!R$10*10/Sheet1!R$11*1000*AU21/(Sheet1!R$10*10/Sheet1!R$11*1000-AU21)</f>
        <v>41860.680175795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455.811417527312</v>
      </c>
      <c r="T22" s="37" t="n">
        <v>0</v>
      </c>
      <c r="U22" s="39" t="n">
        <f aca="false">(X22-X$14)/(X$24-X$14)*(U$24-U$14)+U$14</f>
        <v>455.811417527312</v>
      </c>
      <c r="V22" s="39" t="n">
        <f aca="false">8314.4621*U22/(Sheet1!H$20*Sheet1!H$12*9.80665)</f>
        <v>90467.0087611921</v>
      </c>
      <c r="W22" s="39" t="n">
        <f aca="false">W21-LN(R22/R21)*(V21+V22)/2</f>
        <v>683833.802745352</v>
      </c>
      <c r="X22" s="39" t="n">
        <f aca="false">Sheet1!H$10*10/Sheet1!H$11*1000*W22/(Sheet1!H$10*10/Sheet1!H$11*1000-W22)</f>
        <v>691818.383344806</v>
      </c>
      <c r="Y22" s="37"/>
      <c r="Z22" s="39"/>
      <c r="AC22" s="39" t="n">
        <f aca="false">IF(AD22=0,0,IF(AD22=2,AA100,AA170))</f>
        <v>1468592.36928622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224.922573856031</v>
      </c>
      <c r="AI22" s="37" t="n">
        <f aca="false">(AM22-AM$13)/(AM$30-AM$13)*(AI$30-AI$13)+AI$13</f>
        <v>0.0148802902279025</v>
      </c>
      <c r="AJ22" s="39" t="n">
        <f aca="false">(AM22-AM$18)/(AM$25-AM$18)*(AJ$25-AJ$18)+AJ$18</f>
        <v>225.024266639541</v>
      </c>
      <c r="AK22" s="39" t="n">
        <f aca="false">8314.4621*AJ22/(Sheet1!M$21*Sheet1!M$12*9.80665)</f>
        <v>7435.37900280193</v>
      </c>
      <c r="AL22" s="39" t="n">
        <f aca="false">AL21-LN(AG22/AG21)*(AK21+AK22)/2</f>
        <v>31502.1186655759</v>
      </c>
      <c r="AM22" s="39" t="n">
        <f aca="false">Sheet1!M$10*10/Sheet1!M$11*1000*AL22/(Sheet1!M$10*10/Sheet1!M$11*1000-AL22)</f>
        <v>31662.9979427534</v>
      </c>
      <c r="AN22" s="41"/>
      <c r="AO22" s="37" t="n">
        <f aca="false">AO21+(AO$31-AO$19)/12</f>
        <v>2.15058333632349</v>
      </c>
      <c r="AP22" s="40" t="n">
        <f aca="false">10^AO22</f>
        <v>141.443611372881</v>
      </c>
      <c r="AQ22" s="39" t="n">
        <f aca="false">AS22-AR22*((Sheet1!R$19-Sheet1!R$20)*COS(RADIANS(38))+Sheet1!R$20)/2</f>
        <v>188.950112862617</v>
      </c>
      <c r="AR22" s="37" t="n">
        <f aca="false">(AV22-AV$4)/(AV$31-AV$4)*(AR$31-AR$4)+AR$4</f>
        <v>0.267161530531927</v>
      </c>
      <c r="AS22" s="39" t="n">
        <f aca="false">(AV22-AV$19)/(AV$31-AV$19)*(AS$31-AS$19)+AS$19</f>
        <v>197.467832912212</v>
      </c>
      <c r="AT22" s="39" t="n">
        <f aca="false">8314.4621*AS22/(Sheet1!R$22*Sheet1!R$12*9.80665)</f>
        <v>13872.6297950724</v>
      </c>
      <c r="AU22" s="39" t="n">
        <f aca="false">AU21-LN(AP22/AP21)*(AT21+AT22)/2</f>
        <v>44217.7860009168</v>
      </c>
      <c r="AV22" s="39" t="n">
        <f aca="false">Sheet1!R$10*10/Sheet1!R$11*1000*AU22/(Sheet1!R$10*10/Sheet1!R$11*1000-AU22)</f>
        <v>44502.5623800505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429.391460620402</v>
      </c>
      <c r="T23" s="37" t="n">
        <v>0</v>
      </c>
      <c r="U23" s="39" t="n">
        <f aca="false">(X23-X$14)/(X$24-X$14)*(U$24-U$14)+U$14</f>
        <v>429.391460620402</v>
      </c>
      <c r="V23" s="39" t="n">
        <f aca="false">8314.4621*U23/(Sheet1!H$20*Sheet1!H$12*9.80665)</f>
        <v>85223.3172232886</v>
      </c>
      <c r="W23" s="39" t="n">
        <f aca="false">W22-LN(R23/R22)*(V22+V23)/2</f>
        <v>704060.899025108</v>
      </c>
      <c r="X23" s="39" t="n">
        <f aca="false">Sheet1!H$10*10/Sheet1!H$11*1000*W23/(Sheet1!H$10*10/Sheet1!H$11*1000-W23)</f>
        <v>712527.74091193</v>
      </c>
      <c r="Y23" s="37"/>
      <c r="Z23" s="39"/>
      <c r="AC23" s="39" t="n">
        <f aca="false">IF(AD23=0,0,AA170)</f>
        <v>3811217.77572389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226.448396127118</v>
      </c>
      <c r="AI23" s="37" t="n">
        <f aca="false">(AM23-AM$13)/(AM$30-AM$13)*(AI$30-AI$13)+AI$13</f>
        <v>0.0612163063179218</v>
      </c>
      <c r="AJ23" s="39" t="n">
        <f aca="false">(AM23-AM$18)/(AM$25-AM$18)*(AJ$25-AJ$18)+AJ$18</f>
        <v>226.866751985123</v>
      </c>
      <c r="AK23" s="39" t="n">
        <f aca="false">8314.4621*AJ23/(Sheet1!M$21*Sheet1!M$12*9.80665)</f>
        <v>7496.25944496978</v>
      </c>
      <c r="AL23" s="39" t="n">
        <f aca="false">AL22-LN(AG23/AG22)*(AK22+AK23)/2</f>
        <v>33221.1870707667</v>
      </c>
      <c r="AM23" s="39" t="n">
        <f aca="false">Sheet1!M$10*10/Sheet1!M$11*1000*AL23/(Sheet1!M$10*10/Sheet1!M$11*1000-AL23)</f>
        <v>33400.153643733</v>
      </c>
      <c r="AN23" s="41"/>
      <c r="AO23" s="37" t="n">
        <f aca="false">AO22+(AO$31-AO$19)/12</f>
        <v>2.06945926218297</v>
      </c>
      <c r="AP23" s="40" t="n">
        <f aca="false">10^AO23</f>
        <v>117.343560638138</v>
      </c>
      <c r="AQ23" s="39" t="n">
        <f aca="false">AS23-AR23*((Sheet1!R$19-Sheet1!R$20)*COS(RADIANS(38))+Sheet1!R$20)/2</f>
        <v>187.636643776282</v>
      </c>
      <c r="AR23" s="37" t="n">
        <f aca="false">(AV23-AV$4)/(AV$31-AV$4)*(AR$31-AR$4)+AR$4</f>
        <v>0.224215182008204</v>
      </c>
      <c r="AS23" s="39" t="n">
        <f aca="false">(AV23-AV$19)/(AV$31-AV$19)*(AS$31-AS$19)+AS$19</f>
        <v>194.785136103798</v>
      </c>
      <c r="AT23" s="39" t="n">
        <f aca="false">8314.4621*AS23/(Sheet1!R$22*Sheet1!R$12*9.80665)</f>
        <v>13684.1633540997</v>
      </c>
      <c r="AU23" s="39" t="n">
        <f aca="false">AU22-LN(AP23/AP22)*(AT22+AT23)/2</f>
        <v>46791.5227436812</v>
      </c>
      <c r="AV23" s="39" t="n">
        <f aca="false">Sheet1!R$10*10/Sheet1!R$11*1000*AU23/(Sheet1!R$10*10/Sheet1!R$11*1000-AU23)</f>
        <v>47110.5348512003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404.486673296225</v>
      </c>
      <c r="T24" s="37" t="n">
        <v>0</v>
      </c>
      <c r="U24" s="39" t="n">
        <f aca="false">900/1140*(U$44-U$4)+U$4</f>
        <v>404.486673296225</v>
      </c>
      <c r="V24" s="39" t="n">
        <f aca="false">8314.4621*U24/(Sheet1!H$20*Sheet1!H$12*9.80665)</f>
        <v>80280.348428706</v>
      </c>
      <c r="W24" s="39" t="n">
        <f aca="false">W23-LN(R24/R23)*(V23+V24)/2</f>
        <v>723115.212693416</v>
      </c>
      <c r="X24" s="39" t="n">
        <f aca="false">Sheet1!H$10*10/Sheet1!H$11*1000*W24/(Sheet1!H$10*10/Sheet1!H$11*1000-W24)</f>
        <v>732049.447489244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404.486673296225</v>
      </c>
      <c r="AA24" s="39" t="n">
        <f aca="false">IF(Y24=LOG(Sheet1!H$17*101325),(LOG(Sheet1!H$17*101325)-Q34)/(Q24-Q34)*(X24-X34)+X34,IF(Y24=0,0,X24))</f>
        <v>732049.447489244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227.987568856944</v>
      </c>
      <c r="AI24" s="37" t="n">
        <f aca="false">(AM24-AM$13)/(AM$30-AM$13)*(AI$30-AI$13)+AI$13</f>
        <v>0.107957984356805</v>
      </c>
      <c r="AJ24" s="39" t="n">
        <f aca="false">(AM24-AM$18)/(AM$25-AM$18)*(AJ$25-AJ$18)+AJ$18</f>
        <v>228.725360107195</v>
      </c>
      <c r="AK24" s="39" t="n">
        <f aca="false">8314.4621*AJ24/(Sheet1!M$21*Sheet1!M$12*9.80665)</f>
        <v>7557.67262503107</v>
      </c>
      <c r="AL24" s="39" t="n">
        <f aca="false">AL23-LN(AG24/AG23)*(AK23+AK24)/2</f>
        <v>34954.3350495331</v>
      </c>
      <c r="AM24" s="39" t="n">
        <f aca="false">Sheet1!M$10*10/Sheet1!M$11*1000*AL24/(Sheet1!M$10*10/Sheet1!M$11*1000-AL24)</f>
        <v>35152.5177727693</v>
      </c>
      <c r="AN24" s="41"/>
      <c r="AO24" s="37" t="n">
        <f aca="false">AO23+(AO$31-AO$19)/12</f>
        <v>1.98833518804245</v>
      </c>
      <c r="AP24" s="40" t="n">
        <f aca="false">10^AO24</f>
        <v>97.3498278896204</v>
      </c>
      <c r="AQ24" s="39" t="n">
        <f aca="false">AS24-AR24*((Sheet1!R$19-Sheet1!R$20)*COS(RADIANS(38))+Sheet1!R$20)/2</f>
        <v>186.340059885776</v>
      </c>
      <c r="AR24" s="37" t="n">
        <f aca="false">(AV24-AV$4)/(AV$31-AV$4)*(AR$31-AR$4)+AR$4</f>
        <v>0.181820926801736</v>
      </c>
      <c r="AS24" s="39" t="n">
        <f aca="false">(AV24-AV$19)/(AV$31-AV$19)*(AS$31-AS$19)+AS$19</f>
        <v>192.136926487684</v>
      </c>
      <c r="AT24" s="39" t="n">
        <f aca="false">8314.4621*AS24/(Sheet1!R$22*Sheet1!R$12*9.80665)</f>
        <v>13498.1197282479</v>
      </c>
      <c r="AU24" s="39" t="n">
        <f aca="false">AU23-LN(AP24/AP23)*(AT23+AT24)/2</f>
        <v>49330.2811667876</v>
      </c>
      <c r="AV24" s="39" t="n">
        <f aca="false">Sheet1!R$10*10/Sheet1!R$11*1000*AU24/(Sheet1!R$10*10/Sheet1!R$11*1000-AU24)</f>
        <v>49684.9807427363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382.159753919375</v>
      </c>
      <c r="T25" s="37" t="n">
        <v>0</v>
      </c>
      <c r="U25" s="39" t="n">
        <f aca="false">(X25-X$24)/(X$34-X$24)*(U$34-U$24)+U$24</f>
        <v>382.159753919375</v>
      </c>
      <c r="V25" s="39" t="n">
        <f aca="false">8314.4621*U25/(Sheet1!H$20*Sheet1!H$12*9.80665)</f>
        <v>75849.0210568881</v>
      </c>
      <c r="W25" s="39" t="n">
        <f aca="false">W24-LN(R25/R24)*(V24+V25)/2</f>
        <v>741090.27063122</v>
      </c>
      <c r="X25" s="39" t="n">
        <f aca="false">Sheet1!H$10*10/Sheet1!H$11*1000*W25/(Sheet1!H$10*10/Sheet1!H$11*1000-W25)</f>
        <v>750477.079849198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229.540232958202</v>
      </c>
      <c r="AI25" s="37" t="n">
        <f aca="false">(AM25-AM$13)/(AM$30-AM$13)*(AI$30-AI$13)+AI$13</f>
        <v>0.155109315223177</v>
      </c>
      <c r="AJ25" s="39" t="n">
        <f aca="false">0.86*Sheet1!M16+0.35*Sheet1!M18</f>
        <v>230.600259192352</v>
      </c>
      <c r="AK25" s="39" t="n">
        <f aca="false">8314.4621*AJ25/(Sheet1!M$21*Sheet1!M$12*9.80665)</f>
        <v>7619.62410030231</v>
      </c>
      <c r="AL25" s="39" t="n">
        <f aca="false">AL24-LN(AG25/AG24)*(AK24+AK25)/2</f>
        <v>36701.6859091182</v>
      </c>
      <c r="AM25" s="39" t="n">
        <f aca="false">Sheet1!M$10*10/Sheet1!M$11*1000*AL25/(Sheet1!M$10*10/Sheet1!M$11*1000-AL25)</f>
        <v>36920.2399494916</v>
      </c>
      <c r="AN25" s="41"/>
      <c r="AO25" s="37" t="n">
        <f aca="false">AO24+(AO$31-AO$19)/12</f>
        <v>1.90721111390193</v>
      </c>
      <c r="AP25" s="40" t="n">
        <f aca="false">10^AO25</f>
        <v>80.7627528822286</v>
      </c>
      <c r="AQ25" s="39" t="n">
        <f aca="false">AS25-AR25*((Sheet1!R$19-Sheet1!R$20)*COS(RADIANS(38))+Sheet1!R$20)/2</f>
        <v>185.060169704517</v>
      </c>
      <c r="AR25" s="37" t="n">
        <f aca="false">(AV25-AV$4)/(AV$31-AV$4)*(AR$31-AR$4)+AR$4</f>
        <v>0.139972503897617</v>
      </c>
      <c r="AS25" s="39" t="n">
        <f aca="false">(AV25-AV$19)/(AV$31-AV$19)*(AS$31-AS$19)+AS$19</f>
        <v>189.522812961826</v>
      </c>
      <c r="AT25" s="39" t="n">
        <f aca="false">8314.4621*AS25/(Sheet1!R$22*Sheet1!R$12*9.80665)</f>
        <v>13314.4714415791</v>
      </c>
      <c r="AU25" s="39" t="n">
        <f aca="false">AU24-LN(AP25/AP24)*(AT24+AT25)/2</f>
        <v>51834.5112740045</v>
      </c>
      <c r="AV25" s="39" t="n">
        <f aca="false">Sheet1!R$10*10/Sheet1!R$11*1000*AU25/(Sheet1!R$10*10/Sheet1!R$11*1000-AU25)</f>
        <v>52226.2802628736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361.053045574144</v>
      </c>
      <c r="T26" s="37" t="n">
        <v>0</v>
      </c>
      <c r="U26" s="39" t="n">
        <f aca="false">(X26-X$24)/(X$34-X$24)*(U$34-U$24)+U$24</f>
        <v>361.053045574144</v>
      </c>
      <c r="V26" s="39" t="n">
        <f aca="false">8314.4621*U26/(Sheet1!H$20*Sheet1!H$12*9.80665)</f>
        <v>71659.8746350052</v>
      </c>
      <c r="W26" s="39" t="n">
        <f aca="false">W25-LN(R26/R25)*(V25+V26)/2</f>
        <v>758072.859846428</v>
      </c>
      <c r="X26" s="39" t="n">
        <f aca="false">Sheet1!H$10*10/Sheet1!H$11*1000*W26/(Sheet1!H$10*10/Sheet1!H$11*1000-W26)</f>
        <v>767897.660318784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232.182906684447</v>
      </c>
      <c r="AI26" s="37" t="n">
        <f aca="false">(AM26-AM$13)/(AM$30-AM$13)*(AI$30-AI$13)+AI$13</f>
        <v>0.202785004415516</v>
      </c>
      <c r="AJ26" s="39" t="n">
        <f aca="false">(AM26-AM$25)/(AM$35-AM$25)*(AJ$35-AJ$25)+AJ$25</f>
        <v>233.568751398309</v>
      </c>
      <c r="AK26" s="39" t="n">
        <f aca="false">8314.4621*AJ26/(Sheet1!M$21*Sheet1!M$12*9.80665)</f>
        <v>7717.71069757364</v>
      </c>
      <c r="AL26" s="39" t="n">
        <f aca="false">AL25-LN(AG26/AG25)*(AK25+AK26)/2</f>
        <v>38467.4618327106</v>
      </c>
      <c r="AM26" s="39" t="n">
        <f aca="false">Sheet1!M$10*10/Sheet1!M$11*1000*AL26/(Sheet1!M$10*10/Sheet1!M$11*1000-AL26)</f>
        <v>38707.6205287306</v>
      </c>
      <c r="AN26" s="41"/>
      <c r="AO26" s="37" t="n">
        <f aca="false">AO25+(AO$31-AO$19)/12</f>
        <v>1.8260870397614</v>
      </c>
      <c r="AP26" s="40" t="n">
        <f aca="false">10^AO26</f>
        <v>67.001887877106</v>
      </c>
      <c r="AQ26" s="39" t="n">
        <f aca="false">AS26-AR26*((Sheet1!R$19-Sheet1!R$20)*COS(RADIANS(38))+Sheet1!R$20)/2</f>
        <v>183.79678323722</v>
      </c>
      <c r="AR26" s="37" t="n">
        <f aca="false">(AV26-AV$4)/(AV$31-AV$4)*(AR$31-AR$4)+AR$4</f>
        <v>0.0986637010417578</v>
      </c>
      <c r="AS26" s="39" t="n">
        <f aca="false">(AV26-AV$19)/(AV$31-AV$19)*(AS$31-AS$19)+AS$19</f>
        <v>186.942407470086</v>
      </c>
      <c r="AT26" s="39" t="n">
        <f aca="false">8314.4621*AS26/(Sheet1!R$22*Sheet1!R$12*9.80665)</f>
        <v>13133.1912321386</v>
      </c>
      <c r="AU26" s="39" t="n">
        <f aca="false">AU25-LN(AP26/AP25)*(AT25+AT26)/2</f>
        <v>54304.6579567157</v>
      </c>
      <c r="AV26" s="39" t="n">
        <f aca="false">Sheet1!R$10*10/Sheet1!R$11*1000*AU26/(Sheet1!R$10*10/Sheet1!R$11*1000-AU26)</f>
        <v>54734.8106587634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341.101081030925</v>
      </c>
      <c r="T27" s="37" t="n">
        <v>0</v>
      </c>
      <c r="U27" s="39" t="n">
        <f aca="false">(X27-X$24)/(X$34-X$24)*(U$34-U$24)+U$24</f>
        <v>341.101081030925</v>
      </c>
      <c r="V27" s="39" t="n">
        <f aca="false">8314.4621*U27/(Sheet1!H$20*Sheet1!H$12*9.80665)</f>
        <v>67699.9155779764</v>
      </c>
      <c r="W27" s="39" t="n">
        <f aca="false">W26-LN(R27/R26)*(V26+V27)/2</f>
        <v>774117.248621788</v>
      </c>
      <c r="X27" s="39" t="n">
        <f aca="false">Sheet1!H$10*10/Sheet1!H$11*1000*W27/(Sheet1!H$10*10/Sheet1!H$11*1000-W27)</f>
        <v>784365.139069111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234.86115395844</v>
      </c>
      <c r="AI27" s="37" t="n">
        <f aca="false">(AM27-AM$13)/(AM$30-AM$13)*(AI$30-AI$13)+AI$13</f>
        <v>0.251102460981738</v>
      </c>
      <c r="AJ27" s="39" t="n">
        <f aca="false">(AM27-AM$25)/(AM$35-AM$25)*(AJ$35-AJ$25)+AJ$25</f>
        <v>236.577203028203</v>
      </c>
      <c r="AK27" s="39" t="n">
        <f aca="false">8314.4621*AJ27/(Sheet1!M$21*Sheet1!M$12*9.80665)</f>
        <v>7817.11765671593</v>
      </c>
      <c r="AL27" s="39" t="n">
        <f aca="false">AL26-LN(AG27/AG26)*(AK26+AK27)/2</f>
        <v>40255.975042251</v>
      </c>
      <c r="AM27" s="39" t="n">
        <f aca="false">Sheet1!M$10*10/Sheet1!M$11*1000*AL27/(Sheet1!M$10*10/Sheet1!M$11*1000-AL27)</f>
        <v>40519.0612224618</v>
      </c>
      <c r="AN27" s="41"/>
      <c r="AO27" s="37" t="n">
        <f aca="false">AO26+(AO$31-AO$19)/12</f>
        <v>1.74496296562088</v>
      </c>
      <c r="AP27" s="40" t="n">
        <f aca="false">10^AO27</f>
        <v>55.5856854662036</v>
      </c>
      <c r="AQ27" s="39" t="n">
        <f aca="false">AS27-AR27*((Sheet1!R$19-Sheet1!R$20)*COS(RADIANS(38))+Sheet1!R$20)/2</f>
        <v>182.54971198717</v>
      </c>
      <c r="AR27" s="37" t="n">
        <f aca="false">(AV27-AV$4)/(AV$31-AV$4)*(AR$31-AR$4)+AR$4</f>
        <v>0.0578883549786074</v>
      </c>
      <c r="AS27" s="39" t="n">
        <f aca="false">(AV27-AV$19)/(AV$31-AV$19)*(AS$31-AS$19)+AS$19</f>
        <v>184.395325017076</v>
      </c>
      <c r="AT27" s="39" t="n">
        <f aca="false">8314.4621*AS27/(Sheet1!R$22*Sheet1!R$12*9.80665)</f>
        <v>12954.2520529973</v>
      </c>
      <c r="AU27" s="39" t="n">
        <f aca="false">AU26-LN(AP27/AP26)*(AT26+AT27)/2</f>
        <v>56741.1610339889</v>
      </c>
      <c r="AV27" s="39" t="n">
        <f aca="false">Sheet1!R$10*10/Sheet1!R$11*1000*AU27/(Sheet1!R$10*10/Sheet1!R$11*1000-AU27)</f>
        <v>57210.946202058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322.241853892576</v>
      </c>
      <c r="T28" s="37" t="n">
        <v>0</v>
      </c>
      <c r="U28" s="39" t="n">
        <f aca="false">(X28-X$24)/(X$34-X$24)*(U$34-U$24)+U$24</f>
        <v>322.241853892576</v>
      </c>
      <c r="V28" s="39" t="n">
        <f aca="false">8314.4621*U28/(Sheet1!H$20*Sheet1!H$12*9.80665)</f>
        <v>63956.8371882121</v>
      </c>
      <c r="W28" s="39" t="n">
        <f aca="false">W27-LN(R28/R27)*(V27+V28)/2</f>
        <v>789274.792437359</v>
      </c>
      <c r="X28" s="39" t="n">
        <f aca="false">Sheet1!H$10*10/Sheet1!H$11*1000*W28/(Sheet1!H$10*10/Sheet1!H$11*1000-W28)</f>
        <v>799930.690033497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237.575539667663</v>
      </c>
      <c r="AI28" s="37" t="n">
        <f aca="false">(AM28-AM$13)/(AM$30-AM$13)*(AI$30-AI$13)+AI$13</f>
        <v>0.300071064595817</v>
      </c>
      <c r="AJ28" s="39" t="n">
        <f aca="false">(AM28-AM$25)/(AM$35-AM$25)*(AJ$35-AJ$25)+AJ$25</f>
        <v>239.626243070765</v>
      </c>
      <c r="AK28" s="39" t="n">
        <f aca="false">8314.4621*AJ28/(Sheet1!M$21*Sheet1!M$12*9.80665)</f>
        <v>7917.8657611303</v>
      </c>
      <c r="AL28" s="39" t="n">
        <f aca="false">AL27-LN(AG28/AG27)*(AK27+AK28)/2</f>
        <v>42067.5319550731</v>
      </c>
      <c r="AM28" s="39" t="n">
        <f aca="false">Sheet1!M$10*10/Sheet1!M$11*1000*AL28/(Sheet1!M$10*10/Sheet1!M$11*1000-AL28)</f>
        <v>42354.9136783989</v>
      </c>
      <c r="AN28" s="41"/>
      <c r="AO28" s="37" t="n">
        <f aca="false">AO27+(AO$31-AO$19)/12</f>
        <v>1.66383889148036</v>
      </c>
      <c r="AP28" s="40" t="n">
        <f aca="false">10^AO28</f>
        <v>46.1146473128479</v>
      </c>
      <c r="AQ28" s="39" t="n">
        <f aca="false">AS28-AR28*((Sheet1!R$19-Sheet1!R$20)*COS(RADIANS(38))+Sheet1!R$20)/2</f>
        <v>181.318768962827</v>
      </c>
      <c r="AR28" s="37" t="n">
        <f aca="false">(AV28-AV$4)/(AV$31-AV$4)*(AR$31-AR$4)+AR$4</f>
        <v>0.0176403516671704</v>
      </c>
      <c r="AS28" s="39" t="n">
        <f aca="false">(AV28-AV$19)/(AV$31-AV$19)*(AS$31-AS$19)+AS$19</f>
        <v>181.881183681661</v>
      </c>
      <c r="AT28" s="39" t="n">
        <f aca="false">8314.4621*AS28/(Sheet1!R$22*Sheet1!R$12*9.80665)</f>
        <v>12777.6270732002</v>
      </c>
      <c r="AU28" s="39" t="n">
        <f aca="false">AU27-LN(AP28/AP27)*(AT27+AT28)/2</f>
        <v>59144.4552928296</v>
      </c>
      <c r="AV28" s="39" t="n">
        <f aca="false">Sheet1!R$10*10/Sheet1!R$11*1000*AU28/(Sheet1!R$10*10/Sheet1!R$11*1000-AU28)</f>
        <v>59655.0581757919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304.416626403997</v>
      </c>
      <c r="T29" s="37" t="n">
        <v>0</v>
      </c>
      <c r="U29" s="39" t="n">
        <f aca="false">(X29-X$24)/(X$34-X$24)*(U$34-U$24)+U$24</f>
        <v>304.416626403997</v>
      </c>
      <c r="V29" s="39" t="n">
        <f aca="false">8314.4621*U29/(Sheet1!H$20*Sheet1!H$12*9.80665)</f>
        <v>60418.9815106875</v>
      </c>
      <c r="W29" s="39" t="n">
        <f aca="false">W28-LN(R29/R28)*(V28+V29)/2</f>
        <v>803594.08774061</v>
      </c>
      <c r="X29" s="39" t="n">
        <f aca="false">Sheet1!H$10*10/Sheet1!H$11*1000*W29/(Sheet1!H$10*10/Sheet1!H$11*1000-W29)</f>
        <v>814642.844856556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240.326516916241</v>
      </c>
      <c r="AI29" s="37" t="n">
        <f aca="false">(AM29-AM$13)/(AM$30-AM$13)*(AI$30-AI$13)+AI$13</f>
        <v>0.349700348289625</v>
      </c>
      <c r="AJ29" s="39" t="n">
        <f aca="false">(AM29-AM$25)/(AM$35-AM$25)*(AJ$35-AJ$25)+AJ$25</f>
        <v>242.716389779422</v>
      </c>
      <c r="AK29" s="39" t="n">
        <f aca="false">8314.4621*AJ29/(Sheet1!M$21*Sheet1!M$12*9.80665)</f>
        <v>8019.97213523944</v>
      </c>
      <c r="AL29" s="39" t="n">
        <f aca="false">AL28-LN(AG29/AG28)*(AK28+AK29)/2</f>
        <v>43902.4433528099</v>
      </c>
      <c r="AM29" s="39" t="n">
        <f aca="false">Sheet1!M$10*10/Sheet1!M$11*1000*AL29/(Sheet1!M$10*10/Sheet1!M$11*1000-AL29)</f>
        <v>44215.5352937044</v>
      </c>
      <c r="AN29" s="41"/>
      <c r="AO29" s="37" t="n">
        <f aca="false">AO28+(AO$31-AO$19)/12</f>
        <v>1.58271481733984</v>
      </c>
      <c r="AP29" s="40" t="n">
        <f aca="false">10^AO29</f>
        <v>38.2573441157131</v>
      </c>
      <c r="AQ29" s="39" t="n">
        <f aca="false">AS29-AR29*((Sheet1!R$19-Sheet1!R$20)*COS(RADIANS(38))+Sheet1!R$20)/2</f>
        <v>180.103768683786</v>
      </c>
      <c r="AR29" s="37" t="n">
        <f aca="false">(AV29-AV$4)/(AV$31-AV$4)*(AR$31-AR$4)+AR$4</f>
        <v>-0.0220863735241248</v>
      </c>
      <c r="AS29" s="39" t="n">
        <f aca="false">(AV29-AV$19)/(AV$31-AV$19)*(AS$31-AS$19)+AS$19</f>
        <v>179.399604629123</v>
      </c>
      <c r="AT29" s="39" t="n">
        <f aca="false">8314.4621*AS29/(Sheet1!R$22*Sheet1!R$12*9.80665)</f>
        <v>12603.2896786212</v>
      </c>
      <c r="AU29" s="39" t="n">
        <f aca="false">AU28-LN(AP29/AP28)*(AT28+AT29)/2</f>
        <v>61514.9705286044</v>
      </c>
      <c r="AV29" s="39" t="n">
        <f aca="false">Sheet1!R$10*10/Sheet1!R$11*1000*AU29/(Sheet1!R$10*10/Sheet1!R$11*1000-AU29)</f>
        <v>62067.5148625485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287.569621554051</v>
      </c>
      <c r="T30" s="37" t="n">
        <v>0</v>
      </c>
      <c r="U30" s="39" t="n">
        <f aca="false">(X30-X$24)/(X$34-X$24)*(U$34-U$24)+U$24</f>
        <v>287.569621554051</v>
      </c>
      <c r="V30" s="39" t="n">
        <f aca="false">8314.4621*U30/(Sheet1!H$20*Sheet1!H$12*9.80665)</f>
        <v>57075.2782229818</v>
      </c>
      <c r="W30" s="39" t="n">
        <f aca="false">W29-LN(R30/R29)*(V29+V30)/2</f>
        <v>817121.114289366</v>
      </c>
      <c r="X30" s="39" t="n">
        <f aca="false">Sheet1!H$10*10/Sheet1!H$11*1000*W30/(Sheet1!H$10*10/Sheet1!H$11*1000-W30)</f>
        <v>828547.617658683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243.114652923111</v>
      </c>
      <c r="AI30" s="37" t="n">
        <v>0.4</v>
      </c>
      <c r="AJ30" s="39" t="n">
        <f aca="false">(AM30-AM$25)/(AM$35-AM$25)*(AJ$35-AJ$25)+AJ$25</f>
        <v>245.848276581046</v>
      </c>
      <c r="AK30" s="39" t="n">
        <f aca="false">8314.4621*AJ30/(Sheet1!M$21*Sheet1!M$12*9.80665)</f>
        <v>8123.45770909198</v>
      </c>
      <c r="AL30" s="39" t="n">
        <f aca="false">AL29-LN(AG30/AG29)*(AK29+AK30)/2</f>
        <v>45761.0243982775</v>
      </c>
      <c r="AM30" s="39" t="n">
        <f aca="false">Sheet1!M$10*10/Sheet1!M$11*1000*AL30/(Sheet1!M$10*10/Sheet1!M$11*1000-AL30)</f>
        <v>46101.2892729894</v>
      </c>
      <c r="AN30" s="41"/>
      <c r="AO30" s="37" t="n">
        <f aca="false">AO29+(AO$31-AO$19)/12</f>
        <v>1.50159074319932</v>
      </c>
      <c r="AP30" s="40" t="n">
        <f aca="false">10^AO30</f>
        <v>31.7388175791234</v>
      </c>
      <c r="AQ30" s="39" t="n">
        <f aca="false">AS30-AR30*((Sheet1!R$19-Sheet1!R$20)*COS(RADIANS(38))+Sheet1!R$20)/2</f>
        <v>178.904527186109</v>
      </c>
      <c r="AR30" s="37" t="n">
        <f aca="false">(AV30-AV$4)/(AV$31-AV$4)*(AR$31-AR$4)+AR$4</f>
        <v>-0.061297835643169</v>
      </c>
      <c r="AS30" s="39" t="n">
        <f aca="false">(AV30-AV$19)/(AV$31-AV$19)*(AS$31-AS$19)+AS$19</f>
        <v>176.950212122053</v>
      </c>
      <c r="AT30" s="39" t="n">
        <f aca="false">8314.4621*AS30/(Sheet1!R$22*Sheet1!R$12*9.80665)</f>
        <v>12431.2134727284</v>
      </c>
      <c r="AU30" s="39" t="n">
        <f aca="false">AU29-LN(AP30/AP29)*(AT29+AT30)/2</f>
        <v>63853.1315856146</v>
      </c>
      <c r="AV30" s="39" t="n">
        <f aca="false">Sheet1!R$10*10/Sheet1!R$11*1000*AU30/(Sheet1!R$10*10/Sheet1!R$11*1000-AU30)</f>
        <v>64448.6815338783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271.647994554386</v>
      </c>
      <c r="T31" s="37" t="n">
        <v>0</v>
      </c>
      <c r="U31" s="39" t="n">
        <f aca="false">(X31-X$24)/(X$34-X$24)*(U$34-U$24)+U$24</f>
        <v>271.647994554386</v>
      </c>
      <c r="V31" s="39" t="n">
        <f aca="false">8314.4621*U31/(Sheet1!H$20*Sheet1!H$12*9.80665)</f>
        <v>53915.2389745467</v>
      </c>
      <c r="W31" s="39" t="n">
        <f aca="false">W30-LN(R31/R30)*(V30+V31)/2</f>
        <v>829899.369807502</v>
      </c>
      <c r="X31" s="39" t="n">
        <f aca="false">Sheet1!H$10*10/Sheet1!H$11*1000*W31/(Sheet1!H$10*10/Sheet1!H$11*1000-W31)</f>
        <v>841688.624187434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246.567496255632</v>
      </c>
      <c r="AI31" s="37" t="n">
        <f aca="false">(AM31-AM$30)/(AM$50-AM$30)*(AI$50-AI$30)+AI$30</f>
        <v>0.359233174546175</v>
      </c>
      <c r="AJ31" s="39" t="n">
        <f aca="false">(AM31-AM$25)/(AM$35-AM$25)*(AJ$35-AJ$25)+AJ$25</f>
        <v>249.022517017268</v>
      </c>
      <c r="AK31" s="39" t="n">
        <f aca="false">8314.4621*AJ31/(Sheet1!M$21*Sheet1!M$12*9.80665)</f>
        <v>8228.3427556774</v>
      </c>
      <c r="AL31" s="39" t="n">
        <f aca="false">AL30-LN(AG31/AG30)*(AK30+AK31)/2</f>
        <v>47643.5949979671</v>
      </c>
      <c r="AM31" s="39" t="n">
        <f aca="false">Sheet1!M$10*10/Sheet1!M$11*1000*AL31/(Sheet1!M$10*10/Sheet1!M$11*1000-AL31)</f>
        <v>48012.5450383914</v>
      </c>
      <c r="AN31" s="41"/>
      <c r="AO31" s="37" t="n">
        <f aca="false">AO4+0.4*(AO61-AO4)</f>
        <v>1.42046666905879</v>
      </c>
      <c r="AP31" s="40" t="n">
        <f aca="false">10^AO31</f>
        <v>26.3309585284864</v>
      </c>
      <c r="AQ31" s="39" t="n">
        <f aca="false">AS31-AR31*((Sheet1!R$19-Sheet1!R$20)*COS(RADIANS(38))+Sheet1!R$20)/2</f>
        <v>177.720862027035</v>
      </c>
      <c r="AR31" s="37" t="n">
        <f aca="false">ROUND(-MIN(Sheet1!R21+Sheet1!R19,5.7*LOG(Sheet1!R15)+4.8)/(Sheet1!R21+Sheet1!R19)/2/0.05,0)*0.05</f>
        <v>-0.1</v>
      </c>
      <c r="AS31" s="39" t="n">
        <f aca="false">Sheet1!R16+0.64*(AS61-Sheet1!R16)+0.1*Sheet1!R18</f>
        <v>174.532633529977</v>
      </c>
      <c r="AT31" s="39" t="n">
        <f aca="false">8314.4621*AS31/(Sheet1!R$22*Sheet1!R$12*9.80665)</f>
        <v>12261.37227726</v>
      </c>
      <c r="AU31" s="39" t="n">
        <f aca="false">AU30-LN(AP31/AP30)*(AT30+AT31)/2</f>
        <v>66159.358397805</v>
      </c>
      <c r="AV31" s="39" t="n">
        <f aca="false">Sheet1!R$10*10/Sheet1!R$11*1000*AU31/(Sheet1!R$10*10/Sheet1!R$11*1000-AU31)</f>
        <v>66798.9204409365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256.601665209252</v>
      </c>
      <c r="T32" s="37" t="n">
        <v>0</v>
      </c>
      <c r="U32" s="39" t="n">
        <f aca="false">(X32-X$24)/(X$34-X$24)*(U$34-U$24)+U$24</f>
        <v>256.601665209252</v>
      </c>
      <c r="V32" s="39" t="n">
        <f aca="false">8314.4621*U32/(Sheet1!H$20*Sheet1!H$12*9.80665)</f>
        <v>50928.9241163664</v>
      </c>
      <c r="W32" s="39" t="n">
        <f aca="false">W31-LN(R32/R31)*(V31+V32)/2</f>
        <v>841970.000158531</v>
      </c>
      <c r="X32" s="39" t="n">
        <f aca="false">Sheet1!H$10*10/Sheet1!H$11*1000*W32/(Sheet1!H$10*10/Sheet1!H$11*1000-W32)</f>
        <v>854107.198417219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250.067097871795</v>
      </c>
      <c r="AI32" s="37" t="n">
        <f aca="false">(AM32-AM$30)/(AM$50-AM$30)*(AI$50-AI$30)+AI$30</f>
        <v>0.317914386255502</v>
      </c>
      <c r="AJ32" s="39" t="n">
        <f aca="false">(AM32-AM$25)/(AM$35-AM$25)*(AJ$35-AJ$25)+AJ$25</f>
        <v>252.23974359046</v>
      </c>
      <c r="AK32" s="39" t="n">
        <f aca="false">8314.4621*AJ32/(Sheet1!M$21*Sheet1!M$12*9.80665)</f>
        <v>8334.64817449644</v>
      </c>
      <c r="AL32" s="39" t="n">
        <f aca="false">AL31-LN(AG32/AG31)*(AK31+AK32)/2</f>
        <v>49550.4797985278</v>
      </c>
      <c r="AM32" s="39" t="n">
        <f aca="false">Sheet1!M$10*10/Sheet1!M$11*1000*AL32/(Sheet1!M$10*10/Sheet1!M$11*1000-AL32)</f>
        <v>49949.6782701517</v>
      </c>
      <c r="AN32" s="41"/>
      <c r="AO32" s="37" t="n">
        <f aca="false">AO31+(AO$41-AO$31)/10</f>
        <v>1.32311778009017</v>
      </c>
      <c r="AP32" s="40" t="n">
        <f aca="false">10^AO32</f>
        <v>21.0434905907419</v>
      </c>
      <c r="AQ32" s="39" t="n">
        <f aca="false">AS32-AR32*((Sheet1!R$19-Sheet1!R$20)*COS(RADIANS(38))+Sheet1!R$20)/2</f>
        <v>175.323892716021</v>
      </c>
      <c r="AR32" s="37" t="n">
        <f aca="false">(AV32-AV$31)/(AV$51-AV$31)*(AR$51-AR$31)+AR$31</f>
        <v>-0.0944614190954705</v>
      </c>
      <c r="AS32" s="39" t="n">
        <f aca="false">(AV32-AV$31)/(AV$41-AV$31)*(AS$41-AS$31)+AS$31</f>
        <v>172.312246833694</v>
      </c>
      <c r="AT32" s="39" t="n">
        <f aca="false">8314.4621*AS32/(Sheet1!R$22*Sheet1!R$12*9.80665)</f>
        <v>12105.3843262851</v>
      </c>
      <c r="AU32" s="39" t="n">
        <f aca="false">AU31-LN(AP32/AP31)*(AT31+AT32)/2</f>
        <v>68890.3126028051</v>
      </c>
      <c r="AV32" s="39" t="n">
        <f aca="false">Sheet1!R$10*10/Sheet1!R$11*1000*AU32/(Sheet1!R$10*10/Sheet1!R$11*1000-AU32)</f>
        <v>69584.0414549028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242.383183015499</v>
      </c>
      <c r="T33" s="37" t="n">
        <v>0</v>
      </c>
      <c r="U33" s="39" t="n">
        <f aca="false">(X33-X$24)/(X$34-X$24)*(U$34-U$24)+U$24</f>
        <v>242.383183015499</v>
      </c>
      <c r="V33" s="39" t="n">
        <f aca="false">8314.4621*U33/(Sheet1!H$20*Sheet1!H$12*9.80665)</f>
        <v>48106.9159267272</v>
      </c>
      <c r="W33" s="39" t="n">
        <f aca="false">W32-LN(R33/R32)*(V32+V33)/2</f>
        <v>853371.922606299</v>
      </c>
      <c r="X33" s="39" t="n">
        <f aca="false">Sheet1!H$10*10/Sheet1!H$11*1000*W33/(Sheet1!H$10*10/Sheet1!H$11*1000-W33)</f>
        <v>865842.503889747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253.614132406609</v>
      </c>
      <c r="AI33" s="37" t="n">
        <f aca="false">(AM33-AM$30)/(AM$50-AM$30)*(AI$50-AI$30)+AI$30</f>
        <v>0.276035487023141</v>
      </c>
      <c r="AJ33" s="39" t="n">
        <f aca="false">(AM33-AM$25)/(AM$35-AM$25)*(AJ$35-AJ$25)+AJ$25</f>
        <v>255.500575250999</v>
      </c>
      <c r="AK33" s="39" t="n">
        <f aca="false">8314.4621*AJ33/(Sheet1!M$21*Sheet1!M$12*9.80665)</f>
        <v>8442.39441725737</v>
      </c>
      <c r="AL33" s="39" t="n">
        <f aca="false">AL32-LN(AG33/AG32)*(AK32+AK33)/2</f>
        <v>51482.0082073427</v>
      </c>
      <c r="AM33" s="39" t="n">
        <f aca="false">Sheet1!M$10*10/Sheet1!M$11*1000*AL33/(Sheet1!M$10*10/Sheet1!M$11*1000-AL33)</f>
        <v>51913.0709728089</v>
      </c>
      <c r="AN33" s="41"/>
      <c r="AO33" s="37" t="n">
        <f aca="false">AO32+(AO$41-AO$31)/10</f>
        <v>1.22576889112154</v>
      </c>
      <c r="AP33" s="40" t="n">
        <f aca="false">10^AO33</f>
        <v>16.8177886788118</v>
      </c>
      <c r="AQ33" s="39" t="n">
        <f aca="false">AS33-AR33*((Sheet1!R$19-Sheet1!R$20)*COS(RADIANS(38))+Sheet1!R$20)/2</f>
        <v>172.955551265116</v>
      </c>
      <c r="AR33" s="37" t="n">
        <f aca="false">(AV33-AV$31)/(AV$51-AV$31)*(AR$51-AR$31)+AR$31</f>
        <v>-0.0889889874397474</v>
      </c>
      <c r="AS33" s="39" t="n">
        <f aca="false">(AV33-AV$31)/(AV$41-AV$31)*(AS$41-AS$31)+AS$31</f>
        <v>170.118379008319</v>
      </c>
      <c r="AT33" s="39" t="n">
        <f aca="false">8314.4621*AS33/(Sheet1!R$22*Sheet1!R$12*9.80665)</f>
        <v>11951.2593950904</v>
      </c>
      <c r="AU33" s="39" t="n">
        <f aca="false">AU32-LN(AP33/AP32)*(AT32+AT33)/2</f>
        <v>71586.5102707181</v>
      </c>
      <c r="AV33" s="39" t="n">
        <f aca="false">Sheet1!R$10*10/Sheet1!R$11*1000*AU33/(Sheet1!R$10*10/Sheet1!R$11*1000-AU33)</f>
        <v>72335.8987744165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228.947630393403</v>
      </c>
      <c r="T34" s="37" t="n">
        <v>0</v>
      </c>
      <c r="U34" s="39" t="n">
        <f aca="false">1060/1140*(U$44-U$4)+U$4</f>
        <v>228.947630393403</v>
      </c>
      <c r="V34" s="39" t="n">
        <f aca="false">8314.4621*U34/(Sheet1!H$20*Sheet1!H$12*9.80665)</f>
        <v>45440.2994049905</v>
      </c>
      <c r="W34" s="39" t="n">
        <f aca="false">W33-LN(R34/R33)*(V33+V34)/2</f>
        <v>864141.943781995</v>
      </c>
      <c r="X34" s="39" t="n">
        <f aca="false">Sheet1!H$10*10/Sheet1!H$11*1000*W34/(Sheet1!H$10*10/Sheet1!H$11*1000-W34)</f>
        <v>876931.641269614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228.947630393403</v>
      </c>
      <c r="AA34" s="39" t="n">
        <f aca="false">IF(Y34=LOG(Sheet1!H$17*101325),(LOG(Sheet1!H$17*101325)-Q44)/(Q34-Q44)*(X34-X44)+X44,IF(Y34=0,0,X34))</f>
        <v>876931.641269614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257.209308649633</v>
      </c>
      <c r="AI34" s="37" t="n">
        <f aca="false">(AM34-AM$30)/(AM$50-AM$30)*(AI$50-AI$30)+AI$30</f>
        <v>0.233588191232669</v>
      </c>
      <c r="AJ34" s="39" t="n">
        <f aca="false">(AM34-AM$25)/(AM$35-AM$25)*(AJ$35-AJ$25)+AJ$25</f>
        <v>258.805664164053</v>
      </c>
      <c r="AK34" s="39" t="n">
        <f aca="false">8314.4621*AJ34/(Sheet1!M$21*Sheet1!M$12*9.80665)</f>
        <v>8551.60303317024</v>
      </c>
      <c r="AL34" s="39" t="n">
        <f aca="false">AL33-LN(AG34/AG33)*(AK33+AK34)/2</f>
        <v>53438.5144673294</v>
      </c>
      <c r="AM34" s="39" t="n">
        <f aca="false">Sheet1!M$10*10/Sheet1!M$11*1000*AL34/(Sheet1!M$10*10/Sheet1!M$11*1000-AL34)</f>
        <v>53903.1115978058</v>
      </c>
      <c r="AN34" s="41"/>
      <c r="AO34" s="37" t="n">
        <f aca="false">AO33+(AO$41-AO$31)/10</f>
        <v>1.12842000215291</v>
      </c>
      <c r="AP34" s="40" t="n">
        <f aca="false">10^AO34</f>
        <v>13.4406416476174</v>
      </c>
      <c r="AQ34" s="39" t="n">
        <f aca="false">AS34-AR34*((Sheet1!R$19-Sheet1!R$20)*COS(RADIANS(38))+Sheet1!R$20)/2</f>
        <v>170.615542315585</v>
      </c>
      <c r="AR34" s="37" t="n">
        <f aca="false">(AV34-AV$31)/(AV$51-AV$31)*(AR$51-AR$31)+AR$31</f>
        <v>-0.0835820225592416</v>
      </c>
      <c r="AS34" s="39" t="n">
        <f aca="false">(AV34-AV$31)/(AV$41-AV$31)*(AS$41-AS$31)+AS$31</f>
        <v>167.950756453934</v>
      </c>
      <c r="AT34" s="39" t="n">
        <f aca="false">8314.4621*AS34/(Sheet1!R$22*Sheet1!R$12*9.80665)</f>
        <v>11798.978262569</v>
      </c>
      <c r="AU34" s="39" t="n">
        <f aca="false">AU33-LN(AP34/AP33)*(AT33+AT34)/2</f>
        <v>74248.366850822</v>
      </c>
      <c r="AV34" s="39" t="n">
        <f aca="false">Sheet1!R$10*10/Sheet1!R$11*1000*AU34/(Sheet1!R$10*10/Sheet1!R$11*1000-AU34)</f>
        <v>75054.8355869417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218.156340168728</v>
      </c>
      <c r="T35" s="37" t="n">
        <v>0</v>
      </c>
      <c r="U35" s="39" t="n">
        <f aca="false">(X35-X$34)/(X$44-X$34)*(U$44-U$34)+U$34</f>
        <v>218.156340168728</v>
      </c>
      <c r="V35" s="39" t="n">
        <f aca="false">8314.4621*U35/(Sheet1!H$20*Sheet1!H$12*9.80665)</f>
        <v>43298.5019208549</v>
      </c>
      <c r="W35" s="39" t="n">
        <f aca="false">W34-LN(R35/R34)*(V34+V35)/2</f>
        <v>874358.375837148</v>
      </c>
      <c r="X35" s="39" t="n">
        <f aca="false">Sheet1!H$10*10/Sheet1!H$11*1000*W35/(Sheet1!H$10*10/Sheet1!H$11*1000-W35)</f>
        <v>887454.568346017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260.853336140144</v>
      </c>
      <c r="AI35" s="37" t="n">
        <f aca="false">(AM35-AM$30)/(AM$50-AM$30)*(AI$50-AI$30)+AI$30</f>
        <v>0.190564072007459</v>
      </c>
      <c r="AJ35" s="39" t="n">
        <f aca="false">1.04*Sheet1!M16+0.06*Sheet1!M18</f>
        <v>262.155662279124</v>
      </c>
      <c r="AK35" s="39" t="n">
        <f aca="false">8314.4621*AJ35/(Sheet1!M$21*Sheet1!M$12*9.80665)</f>
        <v>8662.295564319</v>
      </c>
      <c r="AL35" s="39" t="n">
        <f aca="false">AL34-LN(AG35/AG34)*(AK34+AK35)/2</f>
        <v>55420.3377824739</v>
      </c>
      <c r="AM35" s="39" t="n">
        <f aca="false">Sheet1!M$10*10/Sheet1!M$11*1000*AL35/(Sheet1!M$10*10/Sheet1!M$11*1000-AL35)</f>
        <v>55920.1952192338</v>
      </c>
      <c r="AN35" s="41"/>
      <c r="AO35" s="37" t="n">
        <f aca="false">AO34+(AO$41-AO$31)/10</f>
        <v>1.03107111318429</v>
      </c>
      <c r="AP35" s="40" t="n">
        <f aca="false">10^AO35</f>
        <v>10.741652862321</v>
      </c>
      <c r="AQ35" s="39" t="n">
        <f aca="false">AS35-AR35*((Sheet1!R$19-Sheet1!R$20)*COS(RADIANS(38))+Sheet1!R$20)/2</f>
        <v>168.303572398394</v>
      </c>
      <c r="AR35" s="37" t="n">
        <f aca="false">(AV35-AV$31)/(AV$51-AV$31)*(AR$51-AR$31)+AR$31</f>
        <v>-0.0782398463468212</v>
      </c>
      <c r="AS35" s="39" t="n">
        <f aca="false">(AV35-AV$31)/(AV$41-AV$31)*(AS$41-AS$31)+AS$31</f>
        <v>165.809107321111</v>
      </c>
      <c r="AT35" s="39" t="n">
        <f aca="false">8314.4621*AS35/(Sheet1!R$22*Sheet1!R$12*9.80665)</f>
        <v>11648.52183059</v>
      </c>
      <c r="AU35" s="39" t="n">
        <f aca="false">AU34-LN(AP35/AP34)*(AT34+AT35)/2</f>
        <v>76876.2934976879</v>
      </c>
      <c r="AV35" s="39" t="n">
        <f aca="false">Sheet1!R$10*10/Sheet1!R$11*1000*AU35/(Sheet1!R$10*10/Sheet1!R$11*1000-AU35)</f>
        <v>77741.1928842333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207.870235301657</v>
      </c>
      <c r="T36" s="37" t="n">
        <v>0</v>
      </c>
      <c r="U36" s="39" t="n">
        <f aca="false">(X36-X$34)/(X$44-X$34)*(U$44-U$34)+U$34</f>
        <v>207.870235301657</v>
      </c>
      <c r="V36" s="39" t="n">
        <f aca="false">8314.4621*U36/(Sheet1!H$20*Sheet1!H$12*9.80665)</f>
        <v>41256.9709206533</v>
      </c>
      <c r="W36" s="39" t="n">
        <f aca="false">W35-LN(R36/R35)*(V35+V36)/2</f>
        <v>884093.184401944</v>
      </c>
      <c r="X36" s="39" t="n">
        <f aca="false">Sheet1!H$10*10/Sheet1!H$11*1000*W36/(Sheet1!H$10*10/Sheet1!H$11*1000-W36)</f>
        <v>897484.850596312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261.016477192529</v>
      </c>
      <c r="AI36" s="37" t="n">
        <f aca="false">(AM36-AM$30)/(AM$50-AM$30)*(AI$50-AI$30)+AI$30</f>
        <v>0.147246245097368</v>
      </c>
      <c r="AJ36" s="39" t="n">
        <f aca="false">(AM36-AM$35)/(AM$37-AM$35)*(AJ$37-AJ$35)+AJ$35</f>
        <v>262.022766740379</v>
      </c>
      <c r="AK36" s="39" t="n">
        <f aca="false">8314.4621*AJ36/(Sheet1!M$21*Sheet1!M$12*9.80665)</f>
        <v>8657.90435481478</v>
      </c>
      <c r="AL36" s="39" t="n">
        <f aca="false">AL35-LN(AG36/AG35)*(AK35+AK36)/2</f>
        <v>57414.3994895476</v>
      </c>
      <c r="AM36" s="39" t="n">
        <f aca="false">Sheet1!M$10*10/Sheet1!M$11*1000*AL36/(Sheet1!M$10*10/Sheet1!M$11*1000-AL36)</f>
        <v>57951.0486277332</v>
      </c>
      <c r="AN36" s="41"/>
      <c r="AO36" s="37" t="n">
        <f aca="false">AO35+(AO$41-AO$31)/10</f>
        <v>0.933722224215662</v>
      </c>
      <c r="AP36" s="40" t="n">
        <f aca="false">10^AO36</f>
        <v>8.5846427008239</v>
      </c>
      <c r="AQ36" s="39" t="n">
        <f aca="false">AS36-AR36*((Sheet1!R$19-Sheet1!R$20)*COS(RADIANS(38))+Sheet1!R$20)/2</f>
        <v>166.019349952487</v>
      </c>
      <c r="AR36" s="37" t="n">
        <f aca="false">(AV36-AV$31)/(AV$51-AV$31)*(AR$51-AR$31)+AR$31</f>
        <v>-0.0729617851040403</v>
      </c>
      <c r="AS36" s="39" t="n">
        <f aca="false">(AV36-AV$31)/(AV$41-AV$31)*(AS$41-AS$31)+AS$31</f>
        <v>163.693161527838</v>
      </c>
      <c r="AT36" s="39" t="n">
        <f aca="false">8314.4621*AS36/(Sheet1!R$22*Sheet1!R$12*9.80665)</f>
        <v>11499.8711251885</v>
      </c>
      <c r="AU36" s="39" t="n">
        <f aca="false">AU35-LN(AP36/AP35)*(AT35+AT36)/2</f>
        <v>79470.6970988788</v>
      </c>
      <c r="AV36" s="39" t="n">
        <f aca="false">Sheet1!R$10*10/Sheet1!R$11*1000*AU36/(Sheet1!R$10*10/Sheet1!R$11*1000-AU36)</f>
        <v>80395.3094411023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198.066014758891</v>
      </c>
      <c r="T37" s="37" t="n">
        <v>0</v>
      </c>
      <c r="U37" s="39" t="n">
        <f aca="false">(X37-X$34)/(X$44-X$34)*(U$44-U$34)+U$34</f>
        <v>198.066014758891</v>
      </c>
      <c r="V37" s="39" t="n">
        <f aca="false">8314.4621*U37/(Sheet1!H$20*Sheet1!H$12*9.80665)</f>
        <v>39311.0817400999</v>
      </c>
      <c r="W37" s="39" t="n">
        <f aca="false">W36-LN(R37/R36)*(V36+V37)/2</f>
        <v>893368.924253354</v>
      </c>
      <c r="X37" s="39" t="n">
        <f aca="false">Sheet1!H$10*10/Sheet1!H$11*1000*W37/(Sheet1!H$10*10/Sheet1!H$11*1000-W37)</f>
        <v>907045.24376004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261.179640382904</v>
      </c>
      <c r="AI37" s="37" t="n">
        <f aca="false">(AM37-AM$30)/(AM$50-AM$30)*(AI$50-AI$30)+AI$30</f>
        <v>0.103922272480267</v>
      </c>
      <c r="AJ37" s="39" t="n">
        <f aca="false">1.05*Sheet1!M16</f>
        <v>261.8898513395</v>
      </c>
      <c r="AK37" s="39" t="n">
        <f aca="false">8314.4621*AJ37/(Sheet1!M$21*Sheet1!M$12*9.80665)</f>
        <v>8653.51248901468</v>
      </c>
      <c r="AL37" s="39" t="n">
        <f aca="false">AL36-LN(AG37/AG36)*(AK36+AK37)/2</f>
        <v>59407.450007708</v>
      </c>
      <c r="AM37" s="39" t="n">
        <f aca="false">Sheet1!M$10*10/Sheet1!M$11*1000*AL37/(Sheet1!M$10*10/Sheet1!M$11*1000-AL37)</f>
        <v>59982.190163106</v>
      </c>
      <c r="AN37" s="41"/>
      <c r="AO37" s="37" t="n">
        <f aca="false">AO36+(AO$41-AO$31)/10</f>
        <v>0.836373335247035</v>
      </c>
      <c r="AP37" s="40" t="n">
        <f aca="false">10^AO37</f>
        <v>6.86077750281024</v>
      </c>
      <c r="AQ37" s="39" t="n">
        <f aca="false">AS37-AR37*((Sheet1!R$19-Sheet1!R$20)*COS(RADIANS(38))+Sheet1!R$20)/2</f>
        <v>163.762585342063</v>
      </c>
      <c r="AR37" s="37" t="n">
        <f aca="false">(AV37-AV$31)/(AV$51-AV$31)*(AR$51-AR$31)+AR$31</f>
        <v>-0.067747169581061</v>
      </c>
      <c r="AS37" s="39" t="n">
        <f aca="false">(AV37-AV$31)/(AV$41-AV$31)*(AS$41-AS$31)+AS$31</f>
        <v>161.602650775529</v>
      </c>
      <c r="AT37" s="39" t="n">
        <f aca="false">8314.4621*AS37/(Sheet1!R$22*Sheet1!R$12*9.80665)</f>
        <v>11353.0072976896</v>
      </c>
      <c r="AU37" s="39" t="n">
        <f aca="false">AU36-LN(AP37/AP36)*(AT36+AT37)/2</f>
        <v>82031.9803029074</v>
      </c>
      <c r="AV37" s="39" t="n">
        <f aca="false">Sheet1!R$10*10/Sheet1!R$11*1000*AU37/(Sheet1!R$10*10/Sheet1!R$11*1000-AU37)</f>
        <v>83017.5217953404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188.7213791725</v>
      </c>
      <c r="T38" s="37" t="n">
        <v>0</v>
      </c>
      <c r="U38" s="39" t="n">
        <f aca="false">(X38-X$34)/(X$44-X$34)*(U$44-U$34)+U$34</f>
        <v>188.7213791725</v>
      </c>
      <c r="V38" s="39" t="n">
        <f aca="false">8314.4621*U38/(Sheet1!H$20*Sheet1!H$12*9.80665)</f>
        <v>37456.4085200868</v>
      </c>
      <c r="W38" s="39" t="n">
        <f aca="false">W37-LN(R38/R37)*(V37+V38)/2</f>
        <v>902207.108188338</v>
      </c>
      <c r="X38" s="39" t="n">
        <f aca="false">Sheet1!H$10*10/Sheet1!H$11*1000*W38/(Sheet1!H$10*10/Sheet1!H$11*1000-W38)</f>
        <v>916157.481297786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256.795930720657</v>
      </c>
      <c r="AI38" s="37" t="n">
        <f aca="false">(AM38-AM$30)/(AM$50-AM$30)*(AI$50-AI$30)+AI$30</f>
        <v>0.0609681285483031</v>
      </c>
      <c r="AJ38" s="39" t="n">
        <f aca="false">(AM38-AM$37)/(AM$50-AM$37)*(AJ$50-AJ$37)+AJ$37</f>
        <v>257.212590517106</v>
      </c>
      <c r="AK38" s="39" t="n">
        <f aca="false">8314.4621*AJ38/(Sheet1!M$21*Sheet1!M$12*9.80665)</f>
        <v>8498.96379331707</v>
      </c>
      <c r="AL38" s="39" t="n">
        <f aca="false">AL37-LN(AG38/AG37)*(AK37+AK38)/2</f>
        <v>61382.2018174895</v>
      </c>
      <c r="AM38" s="39" t="n">
        <f aca="false">Sheet1!M$10*10/Sheet1!M$11*1000*AL38/(Sheet1!M$10*10/Sheet1!M$11*1000-AL38)</f>
        <v>61995.9840765965</v>
      </c>
      <c r="AN38" s="41"/>
      <c r="AO38" s="37" t="n">
        <f aca="false">AO37+(AO$41-AO$31)/10</f>
        <v>0.739024446278409</v>
      </c>
      <c r="AP38" s="40" t="n">
        <f aca="false">10^AO38</f>
        <v>5.483078281004</v>
      </c>
      <c r="AQ38" s="39" t="n">
        <f aca="false">AS38-AR38*((Sheet1!R$19-Sheet1!R$20)*COS(RADIANS(38))+Sheet1!R$20)/2</f>
        <v>161.532990872871</v>
      </c>
      <c r="AR38" s="37" t="n">
        <f aca="false">(AV38-AV$31)/(AV$51-AV$31)*(AR$51-AR$31)+AR$31</f>
        <v>-0.0625953350143156</v>
      </c>
      <c r="AS38" s="39" t="n">
        <f aca="false">(AV38-AV$31)/(AV$41-AV$31)*(AS$41-AS$31)+AS$31</f>
        <v>159.537308564116</v>
      </c>
      <c r="AT38" s="39" t="n">
        <f aca="false">8314.4621*AS38/(Sheet1!R$22*Sheet1!R$12*9.80665)</f>
        <v>11207.9116257691</v>
      </c>
      <c r="AU38" s="39" t="n">
        <f aca="false">AU37-LN(AP38/AP37)*(AT37+AT38)/2</f>
        <v>84560.5415474402</v>
      </c>
      <c r="AV38" s="39" t="n">
        <f aca="false">Sheet1!R$10*10/Sheet1!R$11*1000*AU38/(Sheet1!R$10*10/Sheet1!R$11*1000-AU38)</f>
        <v>85608.1642287814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179.815045511583</v>
      </c>
      <c r="T39" s="37" t="n">
        <v>0</v>
      </c>
      <c r="U39" s="39" t="n">
        <f aca="false">(X39-X$34)/(X$44-X$34)*(U$44-U$34)+U$34</f>
        <v>179.815045511583</v>
      </c>
      <c r="V39" s="39" t="n">
        <f aca="false">8314.4621*U39/(Sheet1!H$20*Sheet1!H$12*9.80665)</f>
        <v>35688.7271186353</v>
      </c>
      <c r="W39" s="39" t="n">
        <f aca="false">W38-LN(R39/R38)*(V38+V39)/2</f>
        <v>910628.253135675</v>
      </c>
      <c r="X39" s="39" t="n">
        <f aca="false">Sheet1!H$10*10/Sheet1!H$11*1000*W39/(Sheet1!H$10*10/Sheet1!H$11*1000-W39)</f>
        <v>924842.316920727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252.487266845159</v>
      </c>
      <c r="AI39" s="37" t="n">
        <f aca="false">(AM39-AM$30)/(AM$50-AM$30)*(AI$50-AI$30)+AI$30</f>
        <v>0.0187482621039226</v>
      </c>
      <c r="AJ39" s="39" t="n">
        <f aca="false">(AM39-AM$37)/(AM$50-AM$37)*(AJ$50-AJ$37)+AJ$37</f>
        <v>252.61539357724</v>
      </c>
      <c r="AK39" s="39" t="n">
        <f aca="false">8314.4621*AJ39/(Sheet1!M$21*Sheet1!M$12*9.80665)</f>
        <v>8347.0606136783</v>
      </c>
      <c r="AL39" s="39" t="n">
        <f aca="false">AL37-LN(AG39/AG37)*(AK37+AK39)/2</f>
        <v>63321.9766275696</v>
      </c>
      <c r="AM39" s="39" t="n">
        <f aca="false">Sheet1!M$10*10/Sheet1!M$11*1000*AL39/(Sheet1!M$10*10/Sheet1!M$11*1000-AL39)</f>
        <v>63975.3712995324</v>
      </c>
      <c r="AN39" s="41"/>
      <c r="AO39" s="37" t="n">
        <f aca="false">AO38+(AO$41-AO$31)/10</f>
        <v>0.641675557309782</v>
      </c>
      <c r="AP39" s="40" t="n">
        <f aca="false">10^AO39</f>
        <v>4.38203212730675</v>
      </c>
      <c r="AQ39" s="39" t="n">
        <f aca="false">AS39-AR39*((Sheet1!R$19-Sheet1!R$20)*COS(RADIANS(38))+Sheet1!R$20)/2</f>
        <v>159.33028080756</v>
      </c>
      <c r="AR39" s="37" t="n">
        <f aca="false">(AV39-AV$31)/(AV$51-AV$31)*(AR$51-AR$31)+AR$31</f>
        <v>-0.0575056211619569</v>
      </c>
      <c r="AS39" s="39" t="n">
        <f aca="false">(AV39-AV$31)/(AV$41-AV$31)*(AS$41-AS$31)+AS$31</f>
        <v>157.496870206265</v>
      </c>
      <c r="AT39" s="39" t="n">
        <f aca="false">8314.4621*AS39/(Sheet1!R$22*Sheet1!R$12*9.80665)</f>
        <v>11064.5655144522</v>
      </c>
      <c r="AU39" s="39" t="n">
        <f aca="false">AU38-LN(AP39/AP38)*(AT38+AT39)/2</f>
        <v>87056.7750877303</v>
      </c>
      <c r="AV39" s="39" t="n">
        <f aca="false">Sheet1!R$10*10/Sheet1!R$11*1000*AU39/(Sheet1!R$10*10/Sheet1!R$11*1000-AU39)</f>
        <v>88167.5687494749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171.326692361997</v>
      </c>
      <c r="T40" s="37" t="n">
        <v>0</v>
      </c>
      <c r="U40" s="39" t="n">
        <f aca="false">(X40-X$34)/(X$44-X$34)*(U$44-U$34)+U$34</f>
        <v>171.326692361997</v>
      </c>
      <c r="V40" s="39" t="n">
        <f aca="false">8314.4621*U40/(Sheet1!H$20*Sheet1!H$12*9.80665)</f>
        <v>34004.0042503106</v>
      </c>
      <c r="W40" s="39" t="n">
        <f aca="false">W39-LN(R40/R39)*(V39+V40)/2</f>
        <v>918651.925352684</v>
      </c>
      <c r="X40" s="39" t="n">
        <f aca="false">Sheet1!H$10*10/Sheet1!H$11*1000*W40/(Sheet1!H$10*10/Sheet1!H$11*1000-W40)</f>
        <v>933119.566638495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248.253570597607</v>
      </c>
      <c r="AI40" s="37" t="n">
        <f aca="false">(AM40-AM$30)/(AM$50-AM$30)*(AI$50-AI$30)+AI$30</f>
        <v>-0.0227364837432348</v>
      </c>
      <c r="AJ40" s="39" t="n">
        <f aca="false">(AM40-AM$37)/(AM$50-AM$37)*(AJ$50-AJ$37)+AJ$37</f>
        <v>248.09818812296</v>
      </c>
      <c r="AK40" s="39" t="n">
        <f aca="false">8314.4621*AJ40/(Sheet1!M$21*Sheet1!M$12*9.80665)</f>
        <v>8197.80055791774</v>
      </c>
      <c r="AL40" s="39" t="n">
        <f aca="false">AL39-LN(AG40/AG39)*(AK39+AK40)/2</f>
        <v>65226.7741625383</v>
      </c>
      <c r="AM40" s="39" t="n">
        <f aca="false">Sheet1!M$10*10/Sheet1!M$11*1000*AL40/(Sheet1!M$10*10/Sheet1!M$11*1000-AL40)</f>
        <v>65920.2850570783</v>
      </c>
      <c r="AN40" s="41"/>
      <c r="AO40" s="37" t="n">
        <f aca="false">AO39+(AO$41-AO$31)/10</f>
        <v>0.544326668341156</v>
      </c>
      <c r="AP40" s="40" t="n">
        <f aca="false">10^AO40</f>
        <v>3.50208488382777</v>
      </c>
      <c r="AQ40" s="39" t="n">
        <f aca="false">AS40-AR40*((Sheet1!R$19-Sheet1!R$20)*COS(RADIANS(38))+Sheet1!R$20)/2</f>
        <v>157.154171380077</v>
      </c>
      <c r="AR40" s="37" t="n">
        <f aca="false">(AV40-AV$31)/(AV$51-AV$31)*(AR$51-AR$31)+AR$31</f>
        <v>-0.0524773723371413</v>
      </c>
      <c r="AS40" s="39" t="n">
        <f aca="false">(AV40-AV$31)/(AV$41-AV$31)*(AS$41-AS$31)+AS$31</f>
        <v>155.481072840717</v>
      </c>
      <c r="AT40" s="39" t="n">
        <f aca="false">8314.4621*AS40/(Sheet1!R$22*Sheet1!R$12*9.80665)</f>
        <v>10922.9504970506</v>
      </c>
      <c r="AU40" s="39" t="n">
        <f aca="false">AU39-LN(AP40/AP39)*(AT39+AT40)/2</f>
        <v>89521.0710252695</v>
      </c>
      <c r="AV40" s="39" t="n">
        <f aca="false">Sheet1!R$10*10/Sheet1!R$11*1000*AU40/(Sheet1!R$10*10/Sheet1!R$11*1000-AU40)</f>
        <v>90696.0650749492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163.236971843084</v>
      </c>
      <c r="T41" s="37" t="n">
        <v>0</v>
      </c>
      <c r="U41" s="39" t="n">
        <f aca="false">(X41-X$34)/(X$44-X$34)*(U$44-U$34)+U$34</f>
        <v>163.236971843084</v>
      </c>
      <c r="V41" s="39" t="n">
        <f aca="false">8314.4621*U41/(Sheet1!H$20*Sheet1!H$12*9.80665)</f>
        <v>32398.3998513901</v>
      </c>
      <c r="W41" s="39" t="n">
        <f aca="false">W40-LN(R41/R40)*(V40+V41)/2</f>
        <v>926296.784643861</v>
      </c>
      <c r="X41" s="39" t="n">
        <f aca="false">Sheet1!H$10*10/Sheet1!H$11*1000*W41/(Sheet1!H$10*10/Sheet1!H$11*1000-W41)</f>
        <v>941008.150221312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244.093043739459</v>
      </c>
      <c r="AI41" s="37" t="n">
        <f aca="false">(AM41-AM$30)/(AM$50-AM$30)*(AI$50-AI$30)+AI$30</f>
        <v>-0.063504267416063</v>
      </c>
      <c r="AJ41" s="39" t="n">
        <f aca="false">(AM41-AM$37)/(AM$50-AM$37)*(AJ$50-AJ$37)+AJ$37</f>
        <v>243.659051819988</v>
      </c>
      <c r="AK41" s="39" t="n">
        <f aca="false">8314.4621*AJ41/(Sheet1!M$21*Sheet1!M$12*9.80665)</f>
        <v>8051.12010717966</v>
      </c>
      <c r="AL41" s="39" t="n">
        <f aca="false">AL40-LN(AG41/AG40)*(AK40+AK41)/2</f>
        <v>67097.5002875731</v>
      </c>
      <c r="AM41" s="39" t="n">
        <f aca="false">Sheet1!M$10*10/Sheet1!M$11*1000*AL41/(Sheet1!M$10*10/Sheet1!M$11*1000-AL41)</f>
        <v>67831.585746302</v>
      </c>
      <c r="AN41" s="41"/>
      <c r="AO41" s="37" t="n">
        <f aca="false">AO4+0.6*(AO61-AO4)</f>
        <v>0.44697777937253</v>
      </c>
      <c r="AP41" s="40" t="n">
        <f aca="false">10^AO41</f>
        <v>2.79883811373902</v>
      </c>
      <c r="AQ41" s="39" t="n">
        <f aca="false">AS41-AR41*((Sheet1!R$19-Sheet1!R$20)*COS(RADIANS(38))+Sheet1!R$20)/2</f>
        <v>155.004380809157</v>
      </c>
      <c r="AR41" s="37" t="n">
        <f aca="false">(AV41-AV$31)/(AV$51-AV$31)*(AR$51-AR$31)+AR$31</f>
        <v>-0.0475099374391937</v>
      </c>
      <c r="AS41" s="39" t="n">
        <f aca="false">Sheet1!R16+0.84*(AS61-Sheet1!R16)+0.03*Sheet1!R18</f>
        <v>153.489655444786</v>
      </c>
      <c r="AT41" s="39" t="n">
        <f aca="false">8314.4621*AS41/(Sheet1!R$22*Sheet1!R$12*9.80665)</f>
        <v>10783.0482360403</v>
      </c>
      <c r="AU41" s="39" t="n">
        <f aca="false">AU40-LN(AP41/AP40)*(AT40+AT41)/2</f>
        <v>91953.8153366415</v>
      </c>
      <c r="AV41" s="39" t="n">
        <f aca="false">Sheet1!R$10*10/Sheet1!R$11*1000*AU41/(Sheet1!R$10*10/Sheet1!R$11*1000-AU41)</f>
        <v>93193.9806165402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155.527264098012</v>
      </c>
      <c r="T42" s="37" t="n">
        <v>0</v>
      </c>
      <c r="U42" s="39" t="n">
        <f aca="false">(X42-X$34)/(X$44-X$34)*(U$44-U$34)+U$34</f>
        <v>155.527264098012</v>
      </c>
      <c r="V42" s="39" t="n">
        <f aca="false">8314.4621*U42/(Sheet1!H$20*Sheet1!H$12*9.80665)</f>
        <v>30868.2183524199</v>
      </c>
      <c r="W42" s="39" t="n">
        <f aca="false">W41-LN(R42/R41)*(V41+V42)/2</f>
        <v>933580.623241873</v>
      </c>
      <c r="X42" s="39" t="n">
        <f aca="false">Sheet1!H$10*10/Sheet1!H$11*1000*W42/(Sheet1!H$10*10/Sheet1!H$11*1000-W42)</f>
        <v>948526.127539908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240.004156960096</v>
      </c>
      <c r="AI42" s="37" t="n">
        <f aca="false">(AM42-AM$30)/(AM$50-AM$30)*(AI$50-AI$30)+AI$30</f>
        <v>-0.103566575483484</v>
      </c>
      <c r="AJ42" s="39" t="n">
        <f aca="false">(AM42-AM$37)/(AM$50-AM$37)*(AJ$50-AJ$37)+AJ$37</f>
        <v>239.296376857814</v>
      </c>
      <c r="AK42" s="39" t="n">
        <f aca="false">8314.4621*AJ42/(Sheet1!M$21*Sheet1!M$12*9.80665)</f>
        <v>7906.96613528045</v>
      </c>
      <c r="AL42" s="39" t="n">
        <f aca="false">AL41-LN(AG42/AG41)*(AK41+AK42)/2</f>
        <v>68934.7428623032</v>
      </c>
      <c r="AM42" s="39" t="n">
        <f aca="false">Sheet1!M$10*10/Sheet1!M$11*1000*AL42/(Sheet1!M$10*10/Sheet1!M$11*1000-AL42)</f>
        <v>69709.8118876996</v>
      </c>
      <c r="AN42" s="41"/>
      <c r="AO42" s="37" t="n">
        <f aca="false">AO41+(AO$51-AO$41)/10</f>
        <v>0.349628890403903</v>
      </c>
      <c r="AP42" s="40" t="n">
        <f aca="false">10^AO42</f>
        <v>2.23680894289352</v>
      </c>
      <c r="AQ42" s="39" t="n">
        <f aca="false">AS42-AR42*((Sheet1!R$19-Sheet1!R$20)*COS(RADIANS(38))+Sheet1!R$20)/2</f>
        <v>153.561671492589</v>
      </c>
      <c r="AR42" s="37" t="n">
        <f aca="false">(AV42-AV$31)/(AV$51-AV$31)*(AR$51-AR$31)+AR$31</f>
        <v>-0.0425917033564275</v>
      </c>
      <c r="AS42" s="39" t="n">
        <f aca="false">(AV42-AV$41)/(AV$51-AV$41)*(AS$51-AS$41)+AS$41</f>
        <v>152.203750668797</v>
      </c>
      <c r="AT42" s="39" t="n">
        <f aca="false">8314.4621*AS42/(Sheet1!R$22*Sheet1!R$12*9.80665)</f>
        <v>10692.7100749032</v>
      </c>
      <c r="AU42" s="39" t="n">
        <f aca="false">AU41-LN(AP42/AP41)*(AT41+AT42)/2</f>
        <v>94360.7549806442</v>
      </c>
      <c r="AV42" s="39" t="n">
        <f aca="false">Sheet1!R$10*10/Sheet1!R$11*1000*AU42/(Sheet1!R$10*10/Sheet1!R$11*1000-AU42)</f>
        <v>95667.1551230848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148.179937788096</v>
      </c>
      <c r="T43" s="37" t="n">
        <v>0</v>
      </c>
      <c r="U43" s="39" t="n">
        <f aca="false">(X43-X$34)/(X$44-X$34)*(U$44-U$34)+U$34</f>
        <v>148.179937788096</v>
      </c>
      <c r="V43" s="39" t="n">
        <f aca="false">8314.4621*U43/(Sheet1!H$20*Sheet1!H$12*9.80665)</f>
        <v>29409.9603797339</v>
      </c>
      <c r="W43" s="39" t="n">
        <f aca="false">W42-LN(R43/R42)*(V42+V43)/2</f>
        <v>940520.405030947</v>
      </c>
      <c r="X43" s="39" t="n">
        <f aca="false">Sheet1!H$10*10/Sheet1!H$11*1000*W43/(Sheet1!H$10*10/Sheet1!H$11*1000-W43)</f>
        <v>955690.735607122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235.986396785464</v>
      </c>
      <c r="AI43" s="37" t="n">
        <f aca="false">(AM43-AM$30)/(AM$50-AM$30)*(AI$50-AI$30)+AI$30</f>
        <v>-0.142934764477279</v>
      </c>
      <c r="AJ43" s="39" t="n">
        <f aca="false">(AM43-AM$37)/(AM$50-AM$37)*(AJ$50-AJ$37)+AJ$37</f>
        <v>235.009572151173</v>
      </c>
      <c r="AK43" s="39" t="n">
        <f aca="false">8314.4621*AJ43/(Sheet1!M$21*Sheet1!M$12*9.80665)</f>
        <v>7765.31911124668</v>
      </c>
      <c r="AL43" s="39" t="n">
        <f aca="false">AL42-LN(AG43/AG42)*(AK42+AK43)/2</f>
        <v>70739.0813813934</v>
      </c>
      <c r="AM43" s="39" t="n">
        <f aca="false">Sheet1!M$10*10/Sheet1!M$11*1000*AL43/(Sheet1!M$10*10/Sheet1!M$11*1000-AL43)</f>
        <v>71555.4959052853</v>
      </c>
      <c r="AN43" s="41"/>
      <c r="AO43" s="37" t="n">
        <f aca="false">AO42+(AO$51-AO$41)/10</f>
        <v>0.252280001435277</v>
      </c>
      <c r="AP43" s="40" t="n">
        <f aca="false">10^AO43</f>
        <v>1.78763974323774</v>
      </c>
      <c r="AQ43" s="39" t="n">
        <f aca="false">AS43-AR43*((Sheet1!R$19-Sheet1!R$20)*COS(RADIANS(38))+Sheet1!R$20)/2</f>
        <v>152.130046551727</v>
      </c>
      <c r="AR43" s="37" t="n">
        <f aca="false">(AV43-AV$31)/(AV$51-AV$31)*(AR$51-AR$31)+AR$31</f>
        <v>-0.0377112562025729</v>
      </c>
      <c r="AS43" s="39" t="n">
        <f aca="false">(AV43-AV$41)/(AV$51-AV$41)*(AS$51-AS$41)+AS$41</f>
        <v>150.927725534878</v>
      </c>
      <c r="AT43" s="39" t="n">
        <f aca="false">8314.4621*AS43/(Sheet1!R$22*Sheet1!R$12*9.80665)</f>
        <v>10603.0659843646</v>
      </c>
      <c r="AU43" s="39" t="n">
        <f aca="false">AU42-LN(AP43/AP42)*(AT42+AT43)/2</f>
        <v>96747.5227447765</v>
      </c>
      <c r="AV43" s="39" t="n">
        <f aca="false">Sheet1!R$10*10/Sheet1!R$11*1000*AU43/(Sheet1!R$10*10/Sheet1!R$11*1000-AU43)</f>
        <v>98121.3281612788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141.178108941992</v>
      </c>
      <c r="T44" s="37" t="n">
        <v>0</v>
      </c>
      <c r="U44" s="39" t="n">
        <f aca="false">Sheet1!H16*1.03</f>
        <v>141.178108941992</v>
      </c>
      <c r="V44" s="39" t="n">
        <f aca="false">8314.4621*U44/(Sheet1!H$20*Sheet1!H$12*9.80665)</f>
        <v>28020.2748931327</v>
      </c>
      <c r="W44" s="39" t="n">
        <f aca="false">W43-LN(R44/R43)*(V43+V44)/2</f>
        <v>947132.305212269</v>
      </c>
      <c r="X44" s="39" t="n">
        <f aca="false">Sheet1!H$10*10/Sheet1!H$11*1000*W44/(Sheet1!H$10*10/Sheet1!H$11*1000-W44)</f>
        <v>962518.426396503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141.178108941992</v>
      </c>
      <c r="AA44" s="39" t="n">
        <f aca="false">IF(Y44=LOG(Sheet1!H$17*101325),(LOG(Sheet1!H$17*101325)-Q54)/(Q44-Q54)*(X44-X54)+X54,IF(Y44=0,0,X44))</f>
        <v>962518.426396503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232.038318677979</v>
      </c>
      <c r="AI44" s="37" t="n">
        <f aca="false">(AM44-AM$30)/(AM$50-AM$30)*(AI$50-AI$30)+AI$30</f>
        <v>-0.181620170707873</v>
      </c>
      <c r="AJ44" s="39" t="n">
        <f aca="false">(AM44-AM$37)/(AM$50-AM$37)*(AJ$50-AJ$37)+AJ$37</f>
        <v>230.797115689466</v>
      </c>
      <c r="AK44" s="39" t="n">
        <f aca="false">8314.4621*AJ44/(Sheet1!M$21*Sheet1!M$12*9.80665)</f>
        <v>7626.12874394392</v>
      </c>
      <c r="AL44" s="39" t="n">
        <f aca="false">AL43-LN(AG44/AG43)*(AK43+AK44)/2</f>
        <v>72511.0920832084</v>
      </c>
      <c r="AM44" s="39" t="n">
        <f aca="false">Sheet1!M$10*10/Sheet1!M$11*1000*AL44/(Sheet1!M$10*10/Sheet1!M$11*1000-AL44)</f>
        <v>73369.1692750425</v>
      </c>
      <c r="AN44" s="41"/>
      <c r="AO44" s="37" t="n">
        <f aca="false">AO43+(AO$51-AO$41)/10</f>
        <v>0.15493111246665</v>
      </c>
      <c r="AP44" s="40" t="n">
        <f aca="false">10^AO44</f>
        <v>1.42866732617281</v>
      </c>
      <c r="AQ44" s="39" t="n">
        <f aca="false">AS44-AR44*((Sheet1!R$19-Sheet1!R$20)*COS(RADIANS(38))+Sheet1!R$20)/2</f>
        <v>150.709437233067</v>
      </c>
      <c r="AR44" s="37" t="n">
        <f aca="false">(AV44-AV$31)/(AV$51-AV$31)*(AR$51-AR$31)+AR$31</f>
        <v>-0.0328683615951217</v>
      </c>
      <c r="AS44" s="39" t="n">
        <f aca="false">(AV44-AV$41)/(AV$51-AV$41)*(AS$51-AS$41)+AS$41</f>
        <v>149.661518762176</v>
      </c>
      <c r="AT44" s="39" t="n">
        <f aca="false">8314.4621*AS44/(Sheet1!R$22*Sheet1!R$12*9.80665)</f>
        <v>10514.1116592846</v>
      </c>
      <c r="AU44" s="39" t="n">
        <f aca="false">AU43-LN(AP44/AP43)*(AT43+AT44)/2</f>
        <v>99114.2737253017</v>
      </c>
      <c r="AV44" s="39" t="n">
        <f aca="false">Sheet1!R$10*10/Sheet1!R$11*1000*AU44/(Sheet1!R$10*10/Sheet1!R$11*1000-AU44)</f>
        <v>100556.617592296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140.92076337906</v>
      </c>
      <c r="T45" s="37" t="n">
        <f aca="false">(X45-X$44)/(X$54-X$44)*(T$54-T$44)+T$44</f>
        <v>0.0999003937704592</v>
      </c>
      <c r="U45" s="39" t="n">
        <f aca="false">(X45-X$44)/(X$54-X$44)*(U$54-U$44)+U$44</f>
        <v>141.178108941992</v>
      </c>
      <c r="V45" s="39" t="n">
        <f aca="false">8314.4621*U45/(Sheet1!H$20*Sheet1!H$12*9.80665)</f>
        <v>28020.2748931327</v>
      </c>
      <c r="W45" s="39" t="n">
        <f aca="false">W44-LN(R45/R44)*(V44+V45)/2</f>
        <v>953584.211939321</v>
      </c>
      <c r="X45" s="39" t="n">
        <f aca="false">Sheet1!H$10*10/Sheet1!H$11*1000*W45/(Sheet1!H$10*10/Sheet1!H$11*1000-W45)</f>
        <v>969182.395078245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228.158815564673</v>
      </c>
      <c r="AI45" s="37" t="n">
        <f aca="false">(AM45-AM$30)/(AM$50-AM$30)*(AI$50-AI$30)+AI$30</f>
        <v>-0.219633641855218</v>
      </c>
      <c r="AJ45" s="39" t="n">
        <f aca="false">(AM45-AM$37)/(AM$50-AM$37)*(AJ$50-AJ$37)+AJ$37</f>
        <v>226.657826266038</v>
      </c>
      <c r="AK45" s="39" t="n">
        <f aca="false">8314.4621*AJ45/(Sheet1!M$21*Sheet1!M$12*9.80665)</f>
        <v>7489.35600327425</v>
      </c>
      <c r="AL45" s="39" t="n">
        <f aca="false">AL44-LN(AG45/AG44)*(AK44+AK45)/2</f>
        <v>74251.3265758246</v>
      </c>
      <c r="AM45" s="39" t="n">
        <f aca="false">Sheet1!M$10*10/Sheet1!M$11*1000*AL45/(Sheet1!M$10*10/Sheet1!M$11*1000-AL45)</f>
        <v>75151.340564676</v>
      </c>
      <c r="AN45" s="41"/>
      <c r="AO45" s="37" t="n">
        <f aca="false">AO44+(AO$51-AO$41)/10</f>
        <v>0.0575822234980237</v>
      </c>
      <c r="AP45" s="40" t="n">
        <f aca="false">10^AO45</f>
        <v>1.14177945337967</v>
      </c>
      <c r="AQ45" s="39" t="n">
        <f aca="false">AS45-AR45*((Sheet1!R$19-Sheet1!R$20)*COS(RADIANS(38))+Sheet1!R$20)/2</f>
        <v>149.299774942008</v>
      </c>
      <c r="AR45" s="37" t="n">
        <f aca="false">(AV45-AV$31)/(AV$51-AV$31)*(AR$51-AR$31)+AR$31</f>
        <v>-0.0280627856932688</v>
      </c>
      <c r="AS45" s="39" t="n">
        <f aca="false">(AV45-AV$41)/(AV$51-AV$41)*(AS$51-AS$41)+AS$41</f>
        <v>148.405069211467</v>
      </c>
      <c r="AT45" s="39" t="n">
        <f aca="false">8314.4621*AS45/(Sheet1!R$22*Sheet1!R$12*9.80665)</f>
        <v>10425.8428044736</v>
      </c>
      <c r="AU45" s="39" t="n">
        <f aca="false">AU44-LN(AP45/AP44)*(AT44+AT45)/2</f>
        <v>101461.162054583</v>
      </c>
      <c r="AV45" s="39" t="n">
        <f aca="false">Sheet1!R$10*10/Sheet1!R$11*1000*AU45/(Sheet1!R$10*10/Sheet1!R$11*1000-AU45)</f>
        <v>102973.141004912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140.66336084711</v>
      </c>
      <c r="T46" s="37" t="n">
        <f aca="false">(X46-X$44)/(X$54-X$44)*(T$54-T$44)+T$44</f>
        <v>0.199822902658594</v>
      </c>
      <c r="U46" s="39" t="n">
        <f aca="false">(X46-X$44)/(X$54-X$44)*(U$54-U$44)+U$44</f>
        <v>141.178108941992</v>
      </c>
      <c r="V46" s="39" t="n">
        <f aca="false">8314.4621*U46/(Sheet1!H$20*Sheet1!H$12*9.80665)</f>
        <v>28020.2748931327</v>
      </c>
      <c r="W46" s="39" t="n">
        <f aca="false">W45-LN(R46/R45)*(V45+V46)/2</f>
        <v>960036.118666373</v>
      </c>
      <c r="X46" s="39" t="n">
        <f aca="false">Sheet1!H$10*10/Sheet1!H$11*1000*W46/(Sheet1!H$10*10/Sheet1!H$11*1000-W46)</f>
        <v>975847.838973908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224.346763811044</v>
      </c>
      <c r="AI46" s="37" t="n">
        <f aca="false">(AM46-AM$30)/(AM$50-AM$30)*(AI$50-AI$30)+AI$30</f>
        <v>-0.25698618848717</v>
      </c>
      <c r="AJ46" s="39" t="n">
        <f aca="false">(AM46-AM$37)/(AM$50-AM$37)*(AJ$50-AJ$37)+AJ$37</f>
        <v>222.590504999517</v>
      </c>
      <c r="AK46" s="39" t="n">
        <f aca="false">8314.4621*AJ46/(Sheet1!M$21*Sheet1!M$12*9.80665)</f>
        <v>7354.9612751217</v>
      </c>
      <c r="AL46" s="39" t="n">
        <f aca="false">AL45-LN(AG46/AG45)*(AK45+AK46)/2</f>
        <v>75960.34175987</v>
      </c>
      <c r="AM46" s="39" t="n">
        <f aca="false">Sheet1!M$10*10/Sheet1!M$11*1000*AL46/(Sheet1!M$10*10/Sheet1!M$11*1000-AL46)</f>
        <v>76902.525978503</v>
      </c>
      <c r="AN46" s="41"/>
      <c r="AO46" s="37" t="n">
        <f aca="false">AO45+(AO$51-AO$41)/10</f>
        <v>-0.0397666654706028</v>
      </c>
      <c r="AP46" s="40" t="n">
        <f aca="false">10^AO46</f>
        <v>0.912500969454019</v>
      </c>
      <c r="AQ46" s="39" t="n">
        <f aca="false">AS46-AR46*((Sheet1!R$19-Sheet1!R$20)*COS(RADIANS(38))+Sheet1!R$20)/2</f>
        <v>147.900991247269</v>
      </c>
      <c r="AR46" s="37" t="n">
        <f aca="false">(AV46-AV$31)/(AV$51-AV$31)*(AR$51-AR$31)+AR$31</f>
        <v>-0.0232942952129765</v>
      </c>
      <c r="AS46" s="39" t="n">
        <f aca="false">(AV46-AV$41)/(AV$51-AV$41)*(AS$51-AS$41)+AS$41</f>
        <v>147.1583158891</v>
      </c>
      <c r="AT46" s="39" t="n">
        <f aca="false">8314.4621*AS46/(Sheet1!R$22*Sheet1!R$12*9.80665)</f>
        <v>10338.2551349686</v>
      </c>
      <c r="AU46" s="39" t="n">
        <f aca="false">AU45-LN(AP46/AP45)*(AT45+AT46)/2</f>
        <v>103788.340903348</v>
      </c>
      <c r="AV46" s="39" t="n">
        <f aca="false">Sheet1!R$10*10/Sheet1!R$11*1000*AU46/(Sheet1!R$10*10/Sheet1!R$11*1000-AU46)</f>
        <v>105371.015707924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140.405901327221</v>
      </c>
      <c r="T47" s="37" t="n">
        <f aca="false">(X47-X$44)/(X$54-X$44)*(T$54-T$44)+T$44</f>
        <v>0.299767534008713</v>
      </c>
      <c r="U47" s="39" t="n">
        <f aca="false">(X47-X$44)/(X$54-X$44)*(U$54-U$44)+U$44</f>
        <v>141.178108941992</v>
      </c>
      <c r="V47" s="39" t="n">
        <f aca="false">8314.4621*U47/(Sheet1!H$20*Sheet1!H$12*9.80665)</f>
        <v>28020.2748931327</v>
      </c>
      <c r="W47" s="39" t="n">
        <f aca="false">W46-LN(R47/R46)*(V46+V47)/2</f>
        <v>966488.025393426</v>
      </c>
      <c r="X47" s="39" t="n">
        <f aca="false">Sheet1!H$10*10/Sheet1!H$11*1000*W47/(Sheet1!H$10*10/Sheet1!H$11*1000-W47)</f>
        <v>982514.758573402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220.601065801016</v>
      </c>
      <c r="AI47" s="37" t="n">
        <f aca="false">(AM47-AM$30)/(AM$50-AM$30)*(AI$50-AI$30)+AI$30</f>
        <v>-0.29368856568795</v>
      </c>
      <c r="AJ47" s="39" t="n">
        <f aca="false">(AM47-AM$37)/(AM$50-AM$37)*(AJ$50-AJ$37)+AJ$37</f>
        <v>218.593980772943</v>
      </c>
      <c r="AK47" s="39" t="n">
        <f aca="false">8314.4621*AJ47/(Sheet1!M$21*Sheet1!M$12*9.80665)</f>
        <v>7222.90586277786</v>
      </c>
      <c r="AL47" s="39" t="n">
        <f aca="false">AL46-LN(AG47/AG46)*(AK46+AK47)/2</f>
        <v>77638.6807378388</v>
      </c>
      <c r="AM47" s="39" t="n">
        <f aca="false">Sheet1!M$10*10/Sheet1!M$11*1000*AL47/(Sheet1!M$10*10/Sheet1!M$11*1000-AL47)</f>
        <v>78623.2297430972</v>
      </c>
      <c r="AN47" s="41"/>
      <c r="AO47" s="37" t="n">
        <f aca="false">AO46+(AO$51-AO$41)/10</f>
        <v>-0.137115554439229</v>
      </c>
      <c r="AP47" s="40" t="n">
        <f aca="false">10^AO47</f>
        <v>0.729263446447437</v>
      </c>
      <c r="AQ47" s="39" t="n">
        <f aca="false">AS47-AR47*((Sheet1!R$19-Sheet1!R$20)*COS(RADIANS(38))+Sheet1!R$20)/2</f>
        <v>146.513017885219</v>
      </c>
      <c r="AR47" s="37" t="n">
        <f aca="false">(AV47-AV$31)/(AV$51-AV$31)*(AR$51-AR$31)+AR$31</f>
        <v>-0.0185626574417262</v>
      </c>
      <c r="AS47" s="39" t="n">
        <f aca="false">(AV47-AV$41)/(AV$51-AV$41)*(AS$51-AS$41)+AS$41</f>
        <v>145.92119795085</v>
      </c>
      <c r="AT47" s="39" t="n">
        <f aca="false">8314.4621*AS47/(Sheet1!R$22*Sheet1!R$12*9.80665)</f>
        <v>10251.3443763044</v>
      </c>
      <c r="AU47" s="39" t="n">
        <f aca="false">AU46-LN(AP47/AP46)*(AT46+AT47)/2</f>
        <v>106095.962483004</v>
      </c>
      <c r="AV47" s="39" t="n">
        <f aca="false">Sheet1!R$10*10/Sheet1!R$11*1000*AU47/(Sheet1!R$10*10/Sheet1!R$11*1000-AU47)</f>
        <v>107750.35872274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140.148384800468</v>
      </c>
      <c r="T48" s="37" t="n">
        <f aca="false">(X48-X$44)/(X$54-X$44)*(T$54-T$44)+T$44</f>
        <v>0.399734295168368</v>
      </c>
      <c r="U48" s="39" t="n">
        <f aca="false">(X48-X$44)/(X$54-X$44)*(U$54-U$44)+U$44</f>
        <v>141.178108941992</v>
      </c>
      <c r="V48" s="39" t="n">
        <f aca="false">8314.4621*U48/(Sheet1!H$20*Sheet1!H$12*9.80665)</f>
        <v>28020.2748931327</v>
      </c>
      <c r="W48" s="39" t="n">
        <f aca="false">W47-LN(R48/R47)*(V47+V48)/2</f>
        <v>972939.932120478</v>
      </c>
      <c r="X48" s="39" t="n">
        <f aca="false">Sheet1!H$10*10/Sheet1!H$11*1000*W48/(Sheet1!H$10*10/Sheet1!H$11*1000-W48)</f>
        <v>989183.154366853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216.920639130808</v>
      </c>
      <c r="AI48" s="37" t="n">
        <f aca="false">(AM48-AM$30)/(AM$50-AM$30)*(AI$50-AI$30)+AI$30</f>
        <v>-0.329751379482644</v>
      </c>
      <c r="AJ48" s="39" t="n">
        <f aca="false">(AM48-AM$37)/(AM$50-AM$37)*(AJ$50-AJ$37)+AJ$37</f>
        <v>214.667098700332</v>
      </c>
      <c r="AK48" s="39" t="n">
        <f aca="false">8314.4621*AJ48/(Sheet1!M$21*Sheet1!M$12*9.80665)</f>
        <v>7093.15160584724</v>
      </c>
      <c r="AL48" s="39" t="n">
        <f aca="false">AL47-LN(AG48/AG47)*(AK47+AK48)/2</f>
        <v>79286.8777637239</v>
      </c>
      <c r="AM48" s="39" t="n">
        <f aca="false">Sheet1!M$10*10/Sheet1!M$11*1000*AL48/(Sheet1!M$10*10/Sheet1!M$11*1000-AL48)</f>
        <v>80313.9490967491</v>
      </c>
      <c r="AN48" s="41"/>
      <c r="AO48" s="37" t="n">
        <f aca="false">AO47+(AO$51-AO$41)/10</f>
        <v>-0.234464443407856</v>
      </c>
      <c r="AP48" s="40" t="n">
        <f aca="false">10^AO48</f>
        <v>0.582821489650145</v>
      </c>
      <c r="AQ48" s="39" t="n">
        <f aca="false">AS48-AR48*((Sheet1!R$19-Sheet1!R$20)*COS(RADIANS(38))+Sheet1!R$20)/2</f>
        <v>145.13578676411</v>
      </c>
      <c r="AR48" s="37" t="n">
        <f aca="false">(AV48-AV$31)/(AV$51-AV$31)*(AR$51-AR$31)+AR$31</f>
        <v>-0.0138676402529587</v>
      </c>
      <c r="AS48" s="39" t="n">
        <f aca="false">(AV48-AV$41)/(AV$51-AV$41)*(AS$51-AS$41)+AS$41</f>
        <v>144.693654705696</v>
      </c>
      <c r="AT48" s="39" t="n">
        <f aca="false">8314.4621*AS48/(Sheet1!R$22*Sheet1!R$12*9.80665)</f>
        <v>10165.1062647785</v>
      </c>
      <c r="AU48" s="39" t="n">
        <f aca="false">AU47-LN(AP48/AP47)*(AT47+AT48)/2</f>
        <v>108384.178048031</v>
      </c>
      <c r="AV48" s="39" t="n">
        <f aca="false">Sheet1!R$10*10/Sheet1!R$11*1000*AU48/(Sheet1!R$10*10/Sheet1!R$11*1000-AU48)</f>
        <v>110111.286776112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139.890811247913</v>
      </c>
      <c r="T49" s="37" t="n">
        <f aca="false">(X49-X$44)/(X$54-X$44)*(T$54-T$44)+T$44</f>
        <v>0.49972319348837</v>
      </c>
      <c r="U49" s="39" t="n">
        <f aca="false">(X49-X$44)/(X$54-X$44)*(U$54-U$44)+U$44</f>
        <v>141.178108941992</v>
      </c>
      <c r="V49" s="39" t="n">
        <f aca="false">8314.4621*U49/(Sheet1!H$20*Sheet1!H$12*9.80665)</f>
        <v>28020.2748931327</v>
      </c>
      <c r="W49" s="39" t="n">
        <f aca="false">W48-LN(R49/R48)*(V48+V49)/2</f>
        <v>979391.83884753</v>
      </c>
      <c r="X49" s="39" t="n">
        <f aca="false">Sheet1!H$10*10/Sheet1!H$11*1000*W49/(Sheet1!H$10*10/Sheet1!H$11*1000-W49)</f>
        <v>995853.026844607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213.304416493222</v>
      </c>
      <c r="AI49" s="37" t="n">
        <f aca="false">(AM49-AM$30)/(AM$50-AM$30)*(AI$50-AI$30)+AI$30</f>
        <v>-0.365185087971046</v>
      </c>
      <c r="AJ49" s="39" t="n">
        <f aca="false">(AM49-AM$37)/(AM$50-AM$37)*(AJ$50-AJ$37)+AJ$37</f>
        <v>210.808720003215</v>
      </c>
      <c r="AK49" s="39" t="n">
        <f aca="false">8314.4621*AJ49/(Sheet1!M$21*Sheet1!M$12*9.80665)</f>
        <v>6965.66087616805</v>
      </c>
      <c r="AL49" s="39" t="n">
        <f aca="false">AL48-LN(AG49/AG48)*(AK48+AK49)/2</f>
        <v>80905.4583660383</v>
      </c>
      <c r="AM49" s="39" t="n">
        <f aca="false">Sheet1!M$10*10/Sheet1!M$11*1000*AL49/(Sheet1!M$10*10/Sheet1!M$11*1000-AL49)</f>
        <v>81975.1743426231</v>
      </c>
      <c r="AN49" s="41"/>
      <c r="AO49" s="37" t="n">
        <f aca="false">AO48+(AO$51-AO$41)/10</f>
        <v>-0.331813332376482</v>
      </c>
      <c r="AP49" s="40" t="n">
        <f aca="false">10^AO49</f>
        <v>0.465786253860315</v>
      </c>
      <c r="AQ49" s="39" t="n">
        <f aca="false">AS49-AR49*((Sheet1!R$19-Sheet1!R$20)*COS(RADIANS(38))+Sheet1!R$20)/2</f>
        <v>143.769229968227</v>
      </c>
      <c r="AR49" s="37" t="n">
        <f aca="false">(AV49-AV$31)/(AV$51-AV$31)*(AR$51-AR$31)+AR$31</f>
        <v>-0.00920901212020671</v>
      </c>
      <c r="AS49" s="39" t="n">
        <f aca="false">(AV49-AV$41)/(AV$51-AV$41)*(AS$51-AS$41)+AS$41</f>
        <v>143.475625619513</v>
      </c>
      <c r="AT49" s="39" t="n">
        <f aca="false">8314.4621*AS49/(Sheet1!R$22*Sheet1!R$12*9.80665)</f>
        <v>10079.5365477109</v>
      </c>
      <c r="AU49" s="39" t="n">
        <f aca="false">AU48-LN(AP49/AP48)*(AT48+AT49)/2</f>
        <v>110653.137898413</v>
      </c>
      <c r="AV49" s="39" t="n">
        <f aca="false">Sheet1!R$10*10/Sheet1!R$11*1000*AU49/(Sheet1!R$10*10/Sheet1!R$11*1000-AU49)</f>
        <v>112453.916293028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139.633180650613</v>
      </c>
      <c r="T50" s="37" t="n">
        <f aca="false">(X50-X$44)/(X$54-X$44)*(T$54-T$44)+T$44</f>
        <v>0.599734236322789</v>
      </c>
      <c r="U50" s="39" t="n">
        <f aca="false">(X50-X$44)/(X$54-X$44)*(U$54-U$44)+U$44</f>
        <v>141.178108941992</v>
      </c>
      <c r="V50" s="39" t="n">
        <f aca="false">8314.4621*U50/(Sheet1!H$20*Sheet1!H$12*9.80665)</f>
        <v>28020.2748931327</v>
      </c>
      <c r="W50" s="39" t="n">
        <f aca="false">W49-LN(R50/R49)*(V49+V50)/2</f>
        <v>985843.745574583</v>
      </c>
      <c r="X50" s="39" t="n">
        <f aca="false">Sheet1!H$10*10/Sheet1!H$11*1000*W50/(Sheet1!H$10*10/Sheet1!H$11*1000-W50)</f>
        <v>1002524.37649723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209.751315669159</v>
      </c>
      <c r="AI50" s="37" t="n">
        <v>-0.4</v>
      </c>
      <c r="AJ50" s="39" t="n">
        <f aca="false">0.83*Sheet1!M16</f>
        <v>207.017692011224</v>
      </c>
      <c r="AK50" s="39" t="n">
        <f aca="false">8314.4621*AJ50/(Sheet1!M$21*Sheet1!M$12*9.80665)</f>
        <v>6840.39558655447</v>
      </c>
      <c r="AL50" s="39" t="n">
        <f aca="false">AL49-LN(AG50/AG49)*(AK49+AK50)/2</f>
        <v>82494.9393562432</v>
      </c>
      <c r="AM50" s="39" t="n">
        <f aca="false">Sheet1!M$10*10/Sheet1!M$11*1000*AL50/(Sheet1!M$10*10/Sheet1!M$11*1000-AL50)</f>
        <v>83607.3887865137</v>
      </c>
      <c r="AN50" s="41"/>
      <c r="AO50" s="37" t="n">
        <f aca="false">AO49+(AO$51-AO$41)/10</f>
        <v>-0.429162221345109</v>
      </c>
      <c r="AP50" s="40" t="n">
        <f aca="false">10^AO50</f>
        <v>0.372252633332825</v>
      </c>
      <c r="AQ50" s="39" t="n">
        <f aca="false">AS50-AR50*((Sheet1!R$19-Sheet1!R$20)*COS(RADIANS(38))+Sheet1!R$20)/2</f>
        <v>142.41327976194</v>
      </c>
      <c r="AR50" s="37" t="n">
        <f aca="false">(AV50-AV$31)/(AV$51-AV$31)*(AR$51-AR$31)+AR$31</f>
        <v>-0.00458654213092213</v>
      </c>
      <c r="AS50" s="39" t="n">
        <f aca="false">(AV50-AV$41)/(AV$51-AV$41)*(AS$51-AS$41)+AS$41</f>
        <v>142.267050318692</v>
      </c>
      <c r="AT50" s="39" t="n">
        <f aca="false">8314.4621*AS50/(Sheet1!R$22*Sheet1!R$12*9.80665)</f>
        <v>9994.6309836983</v>
      </c>
      <c r="AU50" s="39" t="n">
        <f aca="false">AU49-LN(AP50/AP49)*(AT49+AT50)/2</f>
        <v>112902.991382147</v>
      </c>
      <c r="AV50" s="39" t="n">
        <f aca="false">Sheet1!R$10*10/Sheet1!R$11*1000*AU50/(Sheet1!R$10*10/Sheet1!R$11*1000-AU50)</f>
        <v>114778.363389767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139.375492989614</v>
      </c>
      <c r="T51" s="37" t="n">
        <f aca="false">(X51-X$44)/(X$54-X$44)*(T$54-T$44)+T$44</f>
        <v>0.699767431028946</v>
      </c>
      <c r="U51" s="39" t="n">
        <f aca="false">(X51-X$44)/(X$54-X$44)*(U$54-U$44)+U$44</f>
        <v>141.178108941992</v>
      </c>
      <c r="V51" s="39" t="n">
        <f aca="false">8314.4621*U51/(Sheet1!H$20*Sheet1!H$12*9.80665)</f>
        <v>28020.2748931327</v>
      </c>
      <c r="W51" s="39" t="n">
        <f aca="false">W50-LN(R51/R50)*(V50+V51)/2</f>
        <v>992295.652301635</v>
      </c>
      <c r="X51" s="39" t="n">
        <f aca="false">Sheet1!H$10*10/Sheet1!H$11*1000*W51/(Sheet1!H$10*10/Sheet1!H$11*1000-W51)</f>
        <v>1009197.20381548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207.427304394903</v>
      </c>
      <c r="AI51" s="37" t="n">
        <f aca="false">(AM51-AM$50)/(AM$62-AM$50)*(AI$62-AI$50)+AI$50</f>
        <v>-0.347470542210723</v>
      </c>
      <c r="AJ51" s="39" t="n">
        <f aca="false">(AM51-AM$50)/(AM$62-AM$50)*(AJ$62-AJ$50)+AJ$50</f>
        <v>205.052670158347</v>
      </c>
      <c r="AK51" s="39" t="n">
        <f aca="false">8314.4621*AJ51/(Sheet1!M$21*Sheet1!M$12*9.80665)</f>
        <v>6775.46622385452</v>
      </c>
      <c r="AL51" s="39" t="n">
        <f aca="false">AL50-LN(AG51/AG50)*(AK50+AK51)/2</f>
        <v>84062.5233778889</v>
      </c>
      <c r="AM51" s="39" t="n">
        <f aca="false">Sheet1!M$10*10/Sheet1!M$11*1000*AL51/(Sheet1!M$10*10/Sheet1!M$11*1000-AL51)</f>
        <v>85217.9485050537</v>
      </c>
      <c r="AN51" s="41"/>
      <c r="AO51" s="37" t="n">
        <f aca="false">AO4+0.8*(AO61-AO4)</f>
        <v>-0.526511110313735</v>
      </c>
      <c r="AP51" s="40" t="n">
        <f aca="false">10^AO51</f>
        <v>0.297501314980366</v>
      </c>
      <c r="AQ51" s="39" t="n">
        <f aca="false">AS51-AR51*((Sheet1!R$19-Sheet1!R$20)*COS(RADIANS(38))+Sheet1!R$20)/2</f>
        <v>141.067868593671</v>
      </c>
      <c r="AR51" s="37" t="n">
        <v>0</v>
      </c>
      <c r="AS51" s="39" t="n">
        <f aca="false">Sheet1!R16+0.96*(AS61-Sheet1!R16)</f>
        <v>141.067868593671</v>
      </c>
      <c r="AT51" s="39" t="n">
        <f aca="false">8314.4621*AS51/(Sheet1!R$22*Sheet1!R$12*9.80665)</f>
        <v>9910.38534286206</v>
      </c>
      <c r="AU51" s="39" t="n">
        <f aca="false">AU50-LN(AP51/AP50)*(AT50+AT51)/2</f>
        <v>115133.88689779</v>
      </c>
      <c r="AV51" s="39" t="n">
        <f aca="false">Sheet1!R$10*10/Sheet1!R$11*1000*AU51/(Sheet1!R$10*10/Sheet1!R$11*1000-AU51)</f>
        <v>117084.743867088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139.117748245957</v>
      </c>
      <c r="T52" s="37" t="n">
        <f aca="false">(X52-X$44)/(X$54-X$44)*(T$54-T$44)+T$44</f>
        <v>0.799822784967428</v>
      </c>
      <c r="U52" s="39" t="n">
        <f aca="false">(X52-X$44)/(X$54-X$44)*(U$54-U$44)+U$44</f>
        <v>141.178108941992</v>
      </c>
      <c r="V52" s="39" t="n">
        <f aca="false">8314.4621*U52/(Sheet1!H$20*Sheet1!H$12*9.80665)</f>
        <v>28020.2748931327</v>
      </c>
      <c r="W52" s="39" t="n">
        <f aca="false">W51-LN(R52/R51)*(V51+V52)/2</f>
        <v>998747.559028687</v>
      </c>
      <c r="X52" s="39" t="n">
        <f aca="false">Sheet1!H$10*10/Sheet1!H$11*1000*W52/(Sheet1!H$10*10/Sheet1!H$11*1000-W52)</f>
        <v>1015871.50929038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205.123692956392</v>
      </c>
      <c r="AI52" s="37" t="n">
        <f aca="false">(AM52-AM$50)/(AM$62-AM$50)*(AI$62-AI$50)+AI$50</f>
        <v>-0.295413332969694</v>
      </c>
      <c r="AJ52" s="39" t="n">
        <f aca="false">(AM52-AM$50)/(AM$62-AM$50)*(AJ$62-AJ$50)+AJ$50</f>
        <v>203.104820766704</v>
      </c>
      <c r="AK52" s="39" t="n">
        <f aca="false">8314.4621*AJ52/(Sheet1!M$21*Sheet1!M$12*9.80665)</f>
        <v>6711.10428332459</v>
      </c>
      <c r="AL52" s="39" t="n">
        <f aca="false">AL51-LN(AG52/AG51)*(AK51+AK52)/2</f>
        <v>85615.2221881611</v>
      </c>
      <c r="AM52" s="39" t="n">
        <f aca="false">Sheet1!M$10*10/Sheet1!M$11*1000*AL52/(Sheet1!M$10*10/Sheet1!M$11*1000-AL52)</f>
        <v>86814.0290242842</v>
      </c>
      <c r="AN52" s="41"/>
      <c r="AO52" s="37" t="n">
        <f aca="false">AO51+(AO$61-AO$51)/10</f>
        <v>-0.623859999282362</v>
      </c>
      <c r="AP52" s="40" t="n">
        <f aca="false">10^AO52</f>
        <v>0.237760661684599</v>
      </c>
      <c r="AQ52" s="39" t="n">
        <f aca="false">AS52-AR52*((Sheet1!R$19-Sheet1!R$20)*COS(RADIANS(38))+Sheet1!R$20)/2</f>
        <v>140.609242606409</v>
      </c>
      <c r="AR52" s="37" t="n">
        <f aca="false">(AV52-AV$51)/(AV$116-AV$51)*(AR$116-AR$51)+AR$51</f>
        <v>0.00180713324306422</v>
      </c>
      <c r="AS52" s="39" t="n">
        <f aca="false">(AV52-AV$51)/(AV$61-AV$51)*(AS$61-AS$51)+AS$51</f>
        <v>140.666858143444</v>
      </c>
      <c r="AT52" s="39" t="n">
        <f aca="false">8314.4621*AS52/(Sheet1!R$22*Sheet1!R$12*9.80665)</f>
        <v>9882.21331383883</v>
      </c>
      <c r="AU52" s="39" t="n">
        <f aca="false">AU51-LN(AP52/AP51)*(AT51+AT52)/2</f>
        <v>117352.182972596</v>
      </c>
      <c r="AV52" s="39" t="n">
        <f aca="false">Sheet1!R$10*10/Sheet1!R$11*1000*AU52/(Sheet1!R$10*10/Sheet1!R$11*1000-AU52)</f>
        <v>119379.600736537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138.859946400671</v>
      </c>
      <c r="T53" s="37" t="n">
        <f aca="false">(X53-X$44)/(X$54-X$44)*(T$54-T$44)+T$44</f>
        <v>0.899900305502076</v>
      </c>
      <c r="U53" s="39" t="n">
        <f aca="false">(X53-X$44)/(X$54-X$44)*(U$54-U$44)+U$44</f>
        <v>141.178108941992</v>
      </c>
      <c r="V53" s="39" t="n">
        <f aca="false">8314.4621*U53/(Sheet1!H$20*Sheet1!H$12*9.80665)</f>
        <v>28020.2748931327</v>
      </c>
      <c r="W53" s="39" t="n">
        <f aca="false">W52-LN(R53/R52)*(V52+V53)/2</f>
        <v>1005199.46575574</v>
      </c>
      <c r="X53" s="39" t="n">
        <f aca="false">Sheet1!H$10*10/Sheet1!H$11*1000*W53/(Sheet1!H$10*10/Sheet1!H$11*1000-W53)</f>
        <v>1022547.29341313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202.841060193798</v>
      </c>
      <c r="AI53" s="37" t="n">
        <f aca="false">(AM53-AM$50)/(AM$62-AM$50)*(AI$62-AI$50)+AI$50</f>
        <v>-0.243824651563347</v>
      </c>
      <c r="AJ53" s="39" t="n">
        <f aca="false">(AM53-AM$50)/(AM$62-AM$50)*(AJ$62-AJ$50)+AJ$50</f>
        <v>201.174748104045</v>
      </c>
      <c r="AK53" s="39" t="n">
        <f aca="false">8314.4621*AJ53/(Sheet1!M$21*Sheet1!M$12*9.80665)</f>
        <v>6647.32973152124</v>
      </c>
      <c r="AL53" s="39" t="n">
        <f aca="false">AL52-LN(AG53/AG52)*(AK52+AK53)/2</f>
        <v>87153.1687395775</v>
      </c>
      <c r="AM53" s="39" t="n">
        <f aca="false">Sheet1!M$10*10/Sheet1!M$11*1000*AL53/(Sheet1!M$10*10/Sheet1!M$11*1000-AL53)</f>
        <v>88395.7444217467</v>
      </c>
      <c r="AN53" s="41"/>
      <c r="AO53" s="37" t="n">
        <f aca="false">AO52+(AO$61-AO$51)/10</f>
        <v>-0.721208888250988</v>
      </c>
      <c r="AP53" s="40" t="n">
        <f aca="false">10^AO53</f>
        <v>0.190016411350751</v>
      </c>
      <c r="AQ53" s="39" t="n">
        <f aca="false">AS53-AR53*((Sheet1!R$19-Sheet1!R$20)*COS(RADIANS(38))+Sheet1!R$20)/2</f>
        <v>140.151622398491</v>
      </c>
      <c r="AR53" s="37" t="n">
        <f aca="false">(AV53-AV$51)/(AV$116-AV$51)*(AR$116-AR$51)+AR$51</f>
        <v>0.00361030339345557</v>
      </c>
      <c r="AS53" s="39" t="n">
        <f aca="false">(AV53-AV$51)/(AV$61-AV$51)*(AS$61-AS$51)+AS$51</f>
        <v>140.266727120112</v>
      </c>
      <c r="AT53" s="39" t="n">
        <f aca="false">8314.4621*AS53/(Sheet1!R$22*Sheet1!R$12*9.80665)</f>
        <v>9854.10306684646</v>
      </c>
      <c r="AU53" s="39" t="n">
        <f aca="false">AU52-LN(AP53/AP52)*(AT52+AT53)/2</f>
        <v>119564.171095923</v>
      </c>
      <c r="AV53" s="39" t="n">
        <f aca="false">Sheet1!R$10*10/Sheet1!R$11*1000*AU53/(Sheet1!R$10*10/Sheet1!R$11*1000-AU53)</f>
        <v>121669.424922048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138.602087434779</v>
      </c>
      <c r="T54" s="37" t="n">
        <v>1</v>
      </c>
      <c r="U54" s="39" t="n">
        <f aca="false">Sheet1!H16*1.03</f>
        <v>141.178108941992</v>
      </c>
      <c r="V54" s="39" t="n">
        <f aca="false">8314.4621*U54/(Sheet1!H$20*Sheet1!H$12*9.80665)</f>
        <v>28020.2748931327</v>
      </c>
      <c r="W54" s="39" t="n">
        <f aca="false">W53-LN(R54/R53)*(V53+V54)/2</f>
        <v>1011651.37248279</v>
      </c>
      <c r="X54" s="39" t="n">
        <f aca="false">Sheet1!H$10*10/Sheet1!H$11*1000*W54/(Sheet1!H$10*10/Sheet1!H$11*1000-W54)</f>
        <v>1029224.55667517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138.602087434779</v>
      </c>
      <c r="AA54" s="39" t="n">
        <f aca="false">IF(Y54=LOG(Sheet1!H$17*101325),(LOG(Sheet1!H$17*101325)-Q64)/(Q54-Q64)*(X54-X64)+X64,IF(Y54=0,0,X54))</f>
        <v>1029224.55667517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200.578991778734</v>
      </c>
      <c r="AI54" s="37" t="n">
        <f aca="false">(AM54-AM$50)/(AM$62-AM$50)*(AI$62-AI$50)+AI$50</f>
        <v>-0.192700734679038</v>
      </c>
      <c r="AJ54" s="39" t="n">
        <f aca="false">(AM54-AM$50)/(AM$62-AM$50)*(AJ$62-AJ$50)+AJ$50</f>
        <v>199.262063560684</v>
      </c>
      <c r="AK54" s="39" t="n">
        <f aca="false">8314.4621*AJ54/(Sheet1!M$21*Sheet1!M$12*9.80665)</f>
        <v>6584.12972778354</v>
      </c>
      <c r="AL54" s="39" t="n">
        <f aca="false">AL53-LN(AG54/AG53)*(AK53+AK54)/2</f>
        <v>88676.496805055</v>
      </c>
      <c r="AM54" s="39" t="n">
        <f aca="false">Sheet1!M$10*10/Sheet1!M$11*1000*AL54/(Sheet1!M$10*10/Sheet1!M$11*1000-AL54)</f>
        <v>89963.2100810755</v>
      </c>
      <c r="AN54" s="41"/>
      <c r="AO54" s="37" t="n">
        <f aca="false">AO53+(AO$61-AO$51)/10</f>
        <v>-0.818557777219615</v>
      </c>
      <c r="AP54" s="40" t="n">
        <f aca="false">10^AO54</f>
        <v>0.151859589920365</v>
      </c>
      <c r="AQ54" s="39" t="n">
        <f aca="false">AS54-AR54*((Sheet1!R$19-Sheet1!R$20)*COS(RADIANS(38))+Sheet1!R$20)/2</f>
        <v>139.695007361893</v>
      </c>
      <c r="AR54" s="37" t="n">
        <f aca="false">(AV54-AV$51)/(AV$116-AV$51)*(AR$116-AR$51)+AR$51</f>
        <v>0.00540951284699023</v>
      </c>
      <c r="AS54" s="39" t="n">
        <f aca="false">(AV54-AV$51)/(AV$61-AV$51)*(AS$61-AS$51)+AS$51</f>
        <v>139.867474992033</v>
      </c>
      <c r="AT54" s="39" t="n">
        <f aca="false">8314.4621*AS54/(Sheet1!R$22*Sheet1!R$12*9.80665)</f>
        <v>9826.05456453574</v>
      </c>
      <c r="AU54" s="39" t="n">
        <f aca="false">AU53-LN(AP54/AP53)*(AT53+AT54)/2</f>
        <v>121769.865112281</v>
      </c>
      <c r="AV54" s="39" t="n">
        <f aca="false">Sheet1!R$10*10/Sheet1!R$11*1000*AU54/(Sheet1!R$10*10/Sheet1!R$11*1000-AU54)</f>
        <v>123954.219466041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141.413035129904</v>
      </c>
      <c r="T55" s="37" t="n">
        <f aca="false">(X55-X$54)/(X$100-X$54)*(T$100-T$54)+T$54</f>
        <v>1.01535427690856</v>
      </c>
      <c r="U55" s="39" t="n">
        <f aca="false">(X55-X$54)/(X$77-X$54)*(U$77-U$54)+U$54</f>
        <v>144.028609584661</v>
      </c>
      <c r="V55" s="39" t="n">
        <f aca="false">8314.4621*U55/(Sheet1!H$20*Sheet1!H$12*9.80665)</f>
        <v>28586.02699301</v>
      </c>
      <c r="W55" s="39" t="n">
        <f aca="false">W54-LN(R55/R54)*(V54+V55)/2</f>
        <v>1018168.41382742</v>
      </c>
      <c r="X55" s="39" t="n">
        <f aca="false">Sheet1!H$10*10/Sheet1!H$11*1000*W55/(Sheet1!H$10*10/Sheet1!H$11*1000-W55)</f>
        <v>1035970.7317347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198.337323522785</v>
      </c>
      <c r="AI55" s="37" t="n">
        <f aca="false">(AM55-AM$50)/(AM$62-AM$50)*(AI$62-AI$50)+AI$50</f>
        <v>-0.142037871451269</v>
      </c>
      <c r="AJ55" s="39" t="n">
        <f aca="false">(AM55-AM$50)/(AM$62-AM$50)*(AJ$62-AJ$50)+AJ$50</f>
        <v>197.36662830848</v>
      </c>
      <c r="AK55" s="39" t="n">
        <f aca="false">8314.4621*AJ55/(Sheet1!M$21*Sheet1!M$12*9.80665)</f>
        <v>6521.49968487362</v>
      </c>
      <c r="AL55" s="39" t="n">
        <f aca="false">AL54-LN(AG55/AG54)*(AK54+AK55)/2</f>
        <v>90185.3381510495</v>
      </c>
      <c r="AM55" s="39" t="n">
        <f aca="false">Sheet1!M$10*10/Sheet1!M$11*1000*AL55/(Sheet1!M$10*10/Sheet1!M$11*1000-AL55)</f>
        <v>91516.539777869</v>
      </c>
      <c r="AN55" s="41"/>
      <c r="AO55" s="37" t="n">
        <f aca="false">AO54+(AO$61-AO$51)/10</f>
        <v>-0.915906666188241</v>
      </c>
      <c r="AP55" s="40" t="n">
        <f aca="false">10^AO55</f>
        <v>0.121364964672511</v>
      </c>
      <c r="AQ55" s="39" t="n">
        <f aca="false">AS55-AR55*((Sheet1!R$19-Sheet1!R$20)*COS(RADIANS(38))+Sheet1!R$20)/2</f>
        <v>139.23939688022</v>
      </c>
      <c r="AR55" s="37" t="n">
        <f aca="false">(AV55-AV$51)/(AV$116-AV$51)*(AR$116-AR$51)+AR$51</f>
        <v>0.00720476403246127</v>
      </c>
      <c r="AS55" s="39" t="n">
        <f aca="false">(AV55-AV$51)/(AV$61-AV$51)*(AS$61-AS$51)+AS$51</f>
        <v>139.469101220248</v>
      </c>
      <c r="AT55" s="39" t="n">
        <f aca="false">8314.4621*AS55/(Sheet1!R$22*Sheet1!R$12*9.80665)</f>
        <v>9798.06776904338</v>
      </c>
      <c r="AU55" s="39" t="n">
        <f aca="false">AU54-LN(AP55/AP54)*(AT54+AT55)/2</f>
        <v>123969.27885775</v>
      </c>
      <c r="AV55" s="39" t="n">
        <f aca="false">Sheet1!R$10*10/Sheet1!R$11*1000*AU55/(Sheet1!R$10*10/Sheet1!R$11*1000-AU55)</f>
        <v>126233.98745281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144.27952658848</v>
      </c>
      <c r="T56" s="37" t="n">
        <f aca="false">(X56-X$54)/(X$100-X$54)*(T$100-T$54)+T$54</f>
        <v>1.03102204630427</v>
      </c>
      <c r="U56" s="39" t="n">
        <f aca="false">(X56-X$54)/(X$77-X$54)*(U$77-U$54)+U$54</f>
        <v>146.935461554171</v>
      </c>
      <c r="V56" s="39" t="n">
        <f aca="false">8314.4621*U56/(Sheet1!H$20*Sheet1!H$12*9.80665)</f>
        <v>29162.9634024129</v>
      </c>
      <c r="W56" s="39" t="n">
        <f aca="false">W55-LN(R56/R55)*(V55+V56)/2</f>
        <v>1024817.01204842</v>
      </c>
      <c r="X56" s="39" t="n">
        <f aca="false">Sheet1!H$10*10/Sheet1!H$11*1000*W56/(Sheet1!H$10*10/Sheet1!H$11*1000-W56)</f>
        <v>1042854.64530259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196.115892155889</v>
      </c>
      <c r="AI56" s="37" t="n">
        <f aca="false">(AM56-AM$50)/(AM$62-AM$50)*(AI$62-AI$50)+AI$50</f>
        <v>-0.0918323717710432</v>
      </c>
      <c r="AJ56" s="39" t="n">
        <f aca="false">(AM56-AM$50)/(AM$62-AM$50)*(AJ$62-AJ$50)+AJ$50</f>
        <v>195.488304295795</v>
      </c>
      <c r="AK56" s="39" t="n">
        <f aca="false">8314.4621*AJ56/(Sheet1!M$21*Sheet1!M$12*9.80665)</f>
        <v>6459.43504121124</v>
      </c>
      <c r="AL56" s="39" t="n">
        <f aca="false">AL55-LN(AG56/AG55)*(AK55+AK56)/2</f>
        <v>91679.8234907201</v>
      </c>
      <c r="AM56" s="39" t="n">
        <f aca="false">Sheet1!M$10*10/Sheet1!M$11*1000*AL56/(Sheet1!M$10*10/Sheet1!M$11*1000-AL56)</f>
        <v>93055.8466513287</v>
      </c>
      <c r="AN56" s="41"/>
      <c r="AO56" s="37" t="n">
        <f aca="false">AO55+(AO$61-AO$51)/10</f>
        <v>-1.01325555515687</v>
      </c>
      <c r="AP56" s="40" t="n">
        <f aca="false">10^AO56</f>
        <v>0.096993905078264</v>
      </c>
      <c r="AQ56" s="39" t="n">
        <f aca="false">AS56-AR56*((Sheet1!R$19-Sheet1!R$20)*COS(RADIANS(38))+Sheet1!R$20)/2</f>
        <v>138.784790328746</v>
      </c>
      <c r="AR56" s="37" t="n">
        <f aca="false">(AV56-AV$51)/(AV$116-AV$51)*(AR$116-AR$51)+AR$51</f>
        <v>0.00899605941148367</v>
      </c>
      <c r="AS56" s="39" t="n">
        <f aca="false">(AV56-AV$51)/(AV$61-AV$51)*(AS$61-AS$51)+AS$51</f>
        <v>139.071605258515</v>
      </c>
      <c r="AT56" s="39" t="n">
        <f aca="false">8314.4621*AS56/(Sheet1!R$22*Sheet1!R$12*9.80665)</f>
        <v>9770.1426419944</v>
      </c>
      <c r="AU56" s="39" t="n">
        <f aca="false">AU55-LN(AP56/AP55)*(AT55+AT56)/2</f>
        <v>126162.426159865</v>
      </c>
      <c r="AV56" s="39" t="n">
        <f aca="false">Sheet1!R$10*10/Sheet1!R$11*1000*AU56/(Sheet1!R$10*10/Sheet1!R$11*1000-AU56)</f>
        <v>128508.73200833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147.20836102518</v>
      </c>
      <c r="T57" s="37" t="n">
        <f aca="false">(X57-X$54)/(X$100-X$54)*(T$100-T$54)+T$54</f>
        <v>1.04700995987098</v>
      </c>
      <c r="U57" s="39" t="n">
        <f aca="false">(X57-X$54)/(X$77-X$54)*(U$77-U$54)+U$54</f>
        <v>149.905481200074</v>
      </c>
      <c r="V57" s="39" t="n">
        <f aca="false">8314.4621*U57/(Sheet1!H$20*Sheet1!H$12*9.80665)</f>
        <v>29752.4369938917</v>
      </c>
      <c r="W57" s="39" t="n">
        <f aca="false">W56-LN(R57/R56)*(V56+V57)/2</f>
        <v>1031599.89818343</v>
      </c>
      <c r="X57" s="39" t="n">
        <f aca="false">Sheet1!H$10*10/Sheet1!H$11*1000*W57/(Sheet1!H$10*10/Sheet1!H$11*1000-W57)</f>
        <v>1049879.21991461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193.914535328818</v>
      </c>
      <c r="AI57" s="37" t="n">
        <f aca="false">(AM57-AM$50)/(AM$62-AM$50)*(AI$62-AI$50)+AI$50</f>
        <v>-0.0420805663417536</v>
      </c>
      <c r="AJ57" s="39" t="n">
        <f aca="false">(AM57-AM$50)/(AM$62-AM$50)*(AJ$62-AJ$50)+AJ$50</f>
        <v>193.626954249591</v>
      </c>
      <c r="AK57" s="39" t="n">
        <f aca="false">8314.4621*AJ57/(Sheet1!M$21*Sheet1!M$12*9.80665)</f>
        <v>6397.93126094302</v>
      </c>
      <c r="AL57" s="39" t="n">
        <f aca="false">AL56-LN(AG57/AG56)*(AK56+AK57)/2</f>
        <v>93160.0824898453</v>
      </c>
      <c r="AM57" s="39" t="n">
        <f aca="false">Sheet1!M$10*10/Sheet1!M$11*1000*AL57/(Sheet1!M$10*10/Sheet1!M$11*1000-AL57)</f>
        <v>94581.2432025455</v>
      </c>
      <c r="AN57" s="41"/>
      <c r="AO57" s="37" t="n">
        <f aca="false">AO56+(AO$61-AO$51)/10</f>
        <v>-1.11060444412549</v>
      </c>
      <c r="AP57" s="40" t="n">
        <f aca="false">10^AO57</f>
        <v>0.0775167499757211</v>
      </c>
      <c r="AQ57" s="39" t="n">
        <f aca="false">AS57-AR57*((Sheet1!R$19-Sheet1!R$20)*COS(RADIANS(38))+Sheet1!R$20)/2</f>
        <v>138.331187074457</v>
      </c>
      <c r="AR57" s="37" t="n">
        <f aca="false">(AV57-AV$51)/(AV$116-AV$51)*(AR$116-AR$51)+AR$51</f>
        <v>0.0107834014783395</v>
      </c>
      <c r="AS57" s="39" t="n">
        <f aca="false">(AV57-AV$51)/(AV$61-AV$51)*(AS$61-AS$51)+AS$51</f>
        <v>138.674986553342</v>
      </c>
      <c r="AT57" s="39" t="n">
        <f aca="false">8314.4621*AS57/(Sheet1!R$22*Sheet1!R$12*9.80665)</f>
        <v>9742.27914450456</v>
      </c>
      <c r="AU57" s="39" t="n">
        <f aca="false">AU56-LN(AP57/AP56)*(AT56+AT57)/2</f>
        <v>128349.320837502</v>
      </c>
      <c r="AV57" s="39" t="n">
        <f aca="false">Sheet1!R$10*10/Sheet1!R$11*1000*AU57/(Sheet1!R$10*10/Sheet1!R$11*1000-AU57)</f>
        <v>130778.456300062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150.195162075258</v>
      </c>
      <c r="T58" s="37" t="n">
        <f aca="false">(X58-X$54)/(X$100-X$54)*(T$100-T$54)+T$54</f>
        <v>1.06332481217189</v>
      </c>
      <c r="U58" s="39" t="n">
        <f aca="false">(X58-X$54)/(X$77-X$54)*(U$77-U$54)+U$54</f>
        <v>152.934309660567</v>
      </c>
      <c r="V58" s="39" t="n">
        <f aca="false">8314.4621*U58/(Sheet1!H$20*Sheet1!H$12*9.80665)</f>
        <v>30353.582643902</v>
      </c>
      <c r="W58" s="39" t="n">
        <f aca="false">W57-LN(R58/R57)*(V57+V58)/2</f>
        <v>1038519.85942429</v>
      </c>
      <c r="X58" s="39" t="n">
        <f aca="false">Sheet1!H$10*10/Sheet1!H$11*1000*W58/(Sheet1!H$10*10/Sheet1!H$11*1000-W58)</f>
        <v>1057047.44088313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191.733091615465</v>
      </c>
      <c r="AI58" s="37" t="n">
        <f aca="false">(AM58-AM$50)/(AM$62-AM$50)*(AI$62-AI$50)+AI$50</f>
        <v>0.00722119326913345</v>
      </c>
      <c r="AJ58" s="39" t="n">
        <f aca="false">(AM58-AM$50)/(AM$62-AM$50)*(AJ$62-AJ$50)+AJ$50</f>
        <v>191.782441677362</v>
      </c>
      <c r="AK58" s="39" t="n">
        <f aca="false">8314.4621*AJ58/(Sheet1!M$21*Sheet1!M$12*9.80665)</f>
        <v>6336.98383400653</v>
      </c>
      <c r="AL58" s="39" t="n">
        <f aca="false">AL57-LN(AG58/AG57)*(AK57+AK58)/2</f>
        <v>94626.2437727541</v>
      </c>
      <c r="AM58" s="39" t="n">
        <f aca="false">Sheet1!M$10*10/Sheet1!M$11*1000*AL58/(Sheet1!M$10*10/Sheet1!M$11*1000-AL58)</f>
        <v>96092.8412929154</v>
      </c>
      <c r="AN58" s="41"/>
      <c r="AO58" s="37" t="n">
        <f aca="false">AO57+(AO$61-AO$51)/10</f>
        <v>-1.20795333309412</v>
      </c>
      <c r="AP58" s="40" t="n">
        <f aca="false">10^AO58</f>
        <v>0.0619507640397604</v>
      </c>
      <c r="AQ58" s="39" t="n">
        <f aca="false">AS58-AR58*((Sheet1!R$19-Sheet1!R$20)*COS(RADIANS(38))+Sheet1!R$20)/2</f>
        <v>137.878586476087</v>
      </c>
      <c r="AR58" s="37" t="n">
        <f aca="false">(AV58-AV$51)/(AV$116-AV$51)*(AR$116-AR$51)+AR$51</f>
        <v>0.0125667927598223</v>
      </c>
      <c r="AS58" s="39" t="n">
        <f aca="false">(AV58-AV$51)/(AV$61-AV$51)*(AS$61-AS$51)+AS$51</f>
        <v>138.279244544022</v>
      </c>
      <c r="AT58" s="39" t="n">
        <f aca="false">8314.4621*AS58/(Sheet1!R$22*Sheet1!R$12*9.80665)</f>
        <v>9714.47723718282</v>
      </c>
      <c r="AU58" s="39" t="n">
        <f aca="false">AU57-LN(AP58/AP57)*(AT57+AT58)/2</f>
        <v>130529.976700765</v>
      </c>
      <c r="AV58" s="39" t="n">
        <f aca="false">Sheet1!R$10*10/Sheet1!R$11*1000*AU58/(Sheet1!R$10*10/Sheet1!R$11*1000-AU58)</f>
        <v>133043.163536749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153.237957096572</v>
      </c>
      <c r="T59" s="37" t="n">
        <f aca="false">(X59-X$54)/(X$100-X$54)*(T$100-T$54)+T$54</f>
        <v>1.07997306836139</v>
      </c>
      <c r="U59" s="39" t="n">
        <f aca="false">(X59-X$54)/(X$77-X$54)*(U$77-U$54)+U$54</f>
        <v>156.019990947882</v>
      </c>
      <c r="V59" s="39" t="n">
        <f aca="false">8314.4621*U59/(Sheet1!H$20*Sheet1!H$12*9.80665)</f>
        <v>30966.0121384683</v>
      </c>
      <c r="W59" s="39" t="n">
        <f aca="false">W58-LN(R59/R58)*(V58+V59)/2</f>
        <v>1045579.53866701</v>
      </c>
      <c r="X59" s="39" t="n">
        <f aca="false">Sheet1!H$10*10/Sheet1!H$11*1000*W59/(Sheet1!H$10*10/Sheet1!H$11*1000-W59)</f>
        <v>1064362.1487889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189.571400514952</v>
      </c>
      <c r="AI59" s="37" t="n">
        <f aca="false">(AM59-AM$50)/(AM$62-AM$50)*(AI$62-AI$50)+AI$50</f>
        <v>0.0560765345825247</v>
      </c>
      <c r="AJ59" s="39" t="n">
        <f aca="false">(AM59-AM$50)/(AM$62-AM$50)*(AJ$62-AJ$50)+AJ$50</f>
        <v>189.954630868927</v>
      </c>
      <c r="AK59" s="39" t="n">
        <f aca="false">8314.4621*AJ59/(Sheet1!M$21*Sheet1!M$12*9.80665)</f>
        <v>6276.58827618918</v>
      </c>
      <c r="AL59" s="39" t="n">
        <f aca="false">AL58-LN(AG59/AG58)*(AK58+AK59)/2</f>
        <v>96078.4349282712</v>
      </c>
      <c r="AM59" s="39" t="n">
        <f aca="false">Sheet1!M$10*10/Sheet1!M$11*1000*AL59/(Sheet1!M$10*10/Sheet1!M$11*1000-AL59)</f>
        <v>97590.7521426811</v>
      </c>
      <c r="AN59" s="41"/>
      <c r="AO59" s="37" t="n">
        <f aca="false">AO58+(AO$61-AO$51)/10</f>
        <v>-1.30530222206275</v>
      </c>
      <c r="AP59" s="40" t="n">
        <f aca="false">10^AO59</f>
        <v>0.0495105530909402</v>
      </c>
      <c r="AQ59" s="39" t="n">
        <f aca="false">AS59-AR59*((Sheet1!R$19-Sheet1!R$20)*COS(RADIANS(38))+Sheet1!R$20)/2</f>
        <v>137.426987884158</v>
      </c>
      <c r="AR59" s="37" t="n">
        <f aca="false">(AV59-AV$51)/(AV$116-AV$51)*(AR$116-AR$51)+AR$51</f>
        <v>0.0143462358150816</v>
      </c>
      <c r="AS59" s="39" t="n">
        <f aca="false">(AV59-AV$51)/(AV$61-AV$51)*(AS$61-AS$51)+AS$51</f>
        <v>137.88437866267</v>
      </c>
      <c r="AT59" s="39" t="n">
        <f aca="false">8314.4621*AS59/(Sheet1!R$22*Sheet1!R$12*9.80665)</f>
        <v>9686.73688013368</v>
      </c>
      <c r="AU59" s="39" t="n">
        <f aca="false">AU58-LN(AP59/AP58)*(AT58+AT59)/2</f>
        <v>132704.407550872</v>
      </c>
      <c r="AV59" s="39" t="n">
        <f aca="false">Sheet1!R$10*10/Sheet1!R$11*1000*AU59/(Sheet1!R$10*10/Sheet1!R$11*1000-AU59)</f>
        <v>135302.856968225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156.347037603111</v>
      </c>
      <c r="T60" s="37" t="n">
        <f aca="false">(X60-X$54)/(X$100-X$54)*(T$100-T$54)+T$54</f>
        <v>1.09696165479102</v>
      </c>
      <c r="U60" s="39" t="n">
        <f aca="false">(X60-X$54)/(X$77-X$54)*(U$77-U$54)+U$54</f>
        <v>159.172834418441</v>
      </c>
      <c r="V60" s="39" t="n">
        <f aca="false">8314.4621*U60/(Sheet1!H$20*Sheet1!H$12*9.80665)</f>
        <v>31591.7716234347</v>
      </c>
      <c r="W60" s="39" t="n">
        <f aca="false">W59-LN(R60/R59)*(V59+V60)/2</f>
        <v>1052781.76968405</v>
      </c>
      <c r="X60" s="39" t="n">
        <f aca="false">Sheet1!H$10*10/Sheet1!H$11*1000*W60/(Sheet1!H$10*10/Sheet1!H$11*1000-W60)</f>
        <v>1071826.38684784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187.429302453566</v>
      </c>
      <c r="AI60" s="37" t="n">
        <f aca="false">(AM60-AM$50)/(AM$62-AM$50)*(AI$62-AI$50)+AI$50</f>
        <v>0.104489064164208</v>
      </c>
      <c r="AJ60" s="39" t="n">
        <f aca="false">(AM60-AM$50)/(AM$62-AM$50)*(AJ$62-AJ$50)+AJ$50</f>
        <v>188.143386898053</v>
      </c>
      <c r="AK60" s="39" t="n">
        <f aca="false">8314.4621*AJ60/(Sheet1!M$21*Sheet1!M$12*9.80665)</f>
        <v>6216.74012918218</v>
      </c>
      <c r="AL60" s="39" t="n">
        <f aca="false">AL59-LN(AG60/AG59)*(AK59+AK60)/2</f>
        <v>97516.7825156755</v>
      </c>
      <c r="AM60" s="39" t="n">
        <f aca="false">Sheet1!M$10*10/Sheet1!M$11*1000*AL60/(Sheet1!M$10*10/Sheet1!M$11*1000-AL60)</f>
        <v>99075.086329599</v>
      </c>
      <c r="AN60" s="41"/>
      <c r="AO60" s="37" t="n">
        <f aca="false">AO59+(AO$61-AO$51)/10</f>
        <v>-1.40265111103137</v>
      </c>
      <c r="AP60" s="40" t="n">
        <f aca="false">10^AO60</f>
        <v>0.0395684364085897</v>
      </c>
      <c r="AQ60" s="39" t="n">
        <f aca="false">AS60-AR60*((Sheet1!R$19-Sheet1!R$20)*COS(RADIANS(38))+Sheet1!R$20)/2</f>
        <v>136.976390641021</v>
      </c>
      <c r="AR60" s="37" t="n">
        <f aca="false">(AV60-AV$51)/(AV$116-AV$51)*(AR$116-AR$51)+AR$51</f>
        <v>0.0161217332354666</v>
      </c>
      <c r="AS60" s="39" t="n">
        <f aca="false">(AV60-AV$51)/(AV$61-AV$51)*(AS$61-AS$51)+AS$51</f>
        <v>137.490388334254</v>
      </c>
      <c r="AT60" s="39" t="n">
        <f aca="false">8314.4621*AS60/(Sheet1!R$22*Sheet1!R$12*9.80665)</f>
        <v>9659.05803295972</v>
      </c>
      <c r="AU60" s="39" t="n">
        <f aca="false">AU59-LN(AP60/AP59)*(AT59+AT60)/2</f>
        <v>134872.627180041</v>
      </c>
      <c r="AV60" s="39" t="n">
        <f aca="false">Sheet1!R$10*10/Sheet1!R$11*1000*AU60/(Sheet1!R$10*10/Sheet1!R$11*1000-AU60)</f>
        <v>137557.539885213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159.51974732301</v>
      </c>
      <c r="T61" s="37" t="n">
        <f aca="false">(X61-X$54)/(X$100-X$54)*(T$100-T$54)+T$54</f>
        <v>1.11429792315682</v>
      </c>
      <c r="U61" s="39" t="n">
        <f aca="false">(X61-X$54)/(X$77-X$54)*(U$77-U$54)+U$54</f>
        <v>162.390202738505</v>
      </c>
      <c r="V61" s="39" t="n">
        <f aca="false">8314.4621*U61/(Sheet1!H$20*Sheet1!H$12*9.80665)</f>
        <v>32230.3376549268</v>
      </c>
      <c r="W61" s="39" t="n">
        <f aca="false">W60-LN(R61/R60)*(V60+V61)/2</f>
        <v>1060129.56155544</v>
      </c>
      <c r="X61" s="39" t="n">
        <f aca="false">Sheet1!H$10*10/Sheet1!H$11*1000*W61/(Sheet1!H$10*10/Sheet1!H$11*1000-W61)</f>
        <v>1079443.38515857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185.306638786506</v>
      </c>
      <c r="AI61" s="37" t="n">
        <f aca="false">(AM61-AM$50)/(AM$62-AM$50)*(AI$62-AI$50)+AI$50</f>
        <v>0.152462367585329</v>
      </c>
      <c r="AJ61" s="39" t="n">
        <f aca="false">(AM61-AM$50)/(AM$62-AM$50)*(AJ$62-AJ$50)+AJ$50</f>
        <v>186.348575623946</v>
      </c>
      <c r="AK61" s="39" t="n">
        <f aca="false">8314.4621*AJ61/(Sheet1!M$21*Sheet1!M$12*9.80665)</f>
        <v>6157.43496062954</v>
      </c>
      <c r="AL61" s="39" t="n">
        <f aca="false">AL60-LN(AG61/AG60)*(AK60+AK61)/2</f>
        <v>98941.4120706705</v>
      </c>
      <c r="AM61" s="39" t="n">
        <f aca="false">Sheet1!M$10*10/Sheet1!M$11*1000*AL61/(Sheet1!M$10*10/Sheet1!M$11*1000-AL61)</f>
        <v>100545.953787727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136.526794080895</v>
      </c>
      <c r="AR61" s="37" t="n">
        <f aca="false">(AV61-AV$51)/(AV$116-AV$51)*(AR$116-AR$51)+AR$51</f>
        <v>0.0178932876443701</v>
      </c>
      <c r="AS61" s="39" t="n">
        <f aca="false">MIN(IF(Sheet1!R15&gt;1,36*LOG(Sheet1!R15)+30,30),(Sheet1!R15*(1-MAX(Sheet1!R14,0.56707137))/(4*0.000000056704))^0.25)</f>
        <v>137.097272976633</v>
      </c>
      <c r="AT61" s="39" t="n">
        <f aca="false">8314.4621*AS61/(Sheet1!R$22*Sheet1!R$12*9.80665)</f>
        <v>9631.44065476394</v>
      </c>
      <c r="AU61" s="39" t="n">
        <f aca="false">AU60-LN(AP61/AP60)*(AT60+AT61)/2</f>
        <v>137034.649371378</v>
      </c>
      <c r="AV61" s="39" t="n">
        <f aca="false">Sheet1!R$10*10/Sheet1!R$11*1000*AU61/(Sheet1!R$10*10/Sheet1!R$11*1000-AU61)</f>
        <v>139807.215619129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162.757421304013</v>
      </c>
      <c r="T62" s="37" t="n">
        <f aca="false">(X62-X$54)/(X$100-X$54)*(T$100-T$54)+T$54</f>
        <v>1.13198916837898</v>
      </c>
      <c r="U62" s="39" t="n">
        <f aca="false">(X62-X$54)/(X$77-X$54)*(U$77-U$54)+U$54</f>
        <v>165.67344974769</v>
      </c>
      <c r="V62" s="39" t="n">
        <f aca="false">8314.4621*U62/(Sheet1!H$20*Sheet1!H$12*9.80665)</f>
        <v>32881.9789357802</v>
      </c>
      <c r="W62" s="39" t="n">
        <f aca="false">W61-LN(R62/R61)*(V61+V62)/2</f>
        <v>1067625.89403305</v>
      </c>
      <c r="X62" s="39" t="n">
        <f aca="false">Sheet1!H$10*10/Sheet1!H$11*1000*W62/(Sheet1!H$10*10/Sheet1!H$11*1000-W62)</f>
        <v>1087216.34887419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183.203178638871</v>
      </c>
      <c r="AI62" s="37" t="n">
        <v>0.2</v>
      </c>
      <c r="AJ62" s="39" t="n">
        <f aca="false">0.74*Sheet1!M16</f>
        <v>184.569990467838</v>
      </c>
      <c r="AK62" s="39" t="n">
        <f aca="false">8314.4621*AJ62/(Sheet1!M$21*Sheet1!M$12*9.80665)</f>
        <v>6098.66594463892</v>
      </c>
      <c r="AL62" s="39" t="n">
        <f aca="false">AL61-LN(AG62/AG61)*(AK61+AK62)/2</f>
        <v>100352.447832806</v>
      </c>
      <c r="AM62" s="39" t="n">
        <f aca="false">Sheet1!M$10*10/Sheet1!M$11*1000*AL62/(Sheet1!M$10*10/Sheet1!M$11*1000-AL62)</f>
        <v>102003.463518533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136.454320929898</v>
      </c>
      <c r="AR62" s="37" t="n">
        <f aca="false">(AV62-AV$51)/(AV$116-AV$51)*(AR$116-AR$51)+AR$51</f>
        <v>0.0201664356029718</v>
      </c>
      <c r="AS62" s="39" t="n">
        <f aca="false">(AV62-AV$61)/(AV$69-AV$61)*(AS$69-AS$61)+AS$61</f>
        <v>137.097272976633</v>
      </c>
      <c r="AT62" s="39" t="n">
        <f aca="false">8314.4621*AS62/(Sheet1!R$22*Sheet1!R$12*9.80665)</f>
        <v>9631.44065476394</v>
      </c>
      <c r="AU62" s="39" t="n">
        <f aca="false">AU61-LN(AP62/AP61)*(AT61+AT62)/2</f>
        <v>139806.800830843</v>
      </c>
      <c r="AV62" s="39" t="n">
        <f aca="false">Sheet1!R$10*10/Sheet1!R$11*1000*AU62/(Sheet1!R$10*10/Sheet1!R$11*1000-AU62)</f>
        <v>142693.858996473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166.061423954102</v>
      </c>
      <c r="T63" s="37" t="n">
        <f aca="false">(X63-X$54)/(X$100-X$54)*(T$100-T$54)+T$54</f>
        <v>1.15004284580613</v>
      </c>
      <c r="U63" s="39" t="n">
        <f aca="false">(X63-X$54)/(X$77-X$54)*(U$77-U$54)+U$54</f>
        <v>169.023959059115</v>
      </c>
      <c r="V63" s="39" t="n">
        <f aca="false">8314.4621*U63/(Sheet1!H$20*Sheet1!H$12*9.80665)</f>
        <v>33546.970078116</v>
      </c>
      <c r="W63" s="39" t="n">
        <f aca="false">W62-LN(R63/R62)*(V62+V63)/2</f>
        <v>1075273.80942018</v>
      </c>
      <c r="X63" s="39" t="n">
        <f aca="false">Sheet1!H$10*10/Sheet1!H$11*1000*W63/(Sheet1!H$10*10/Sheet1!H$11*1000-W63)</f>
        <v>1095148.55363494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184.913157140925</v>
      </c>
      <c r="AI63" s="37" t="n">
        <f aca="false">(AM63-AM$62)/(AM$95-AM$62)*(AI$95-AI$62)+AI$62</f>
        <v>0.2</v>
      </c>
      <c r="AJ63" s="39" t="n">
        <f aca="false">(AM63-AM$62)/(AM$70-AM$62)*(AJ$70-AJ$62)+AJ$62</f>
        <v>186.279968969892</v>
      </c>
      <c r="AK63" s="39" t="n">
        <f aca="false">8314.4621*AJ63/(Sheet1!M$21*Sheet1!M$12*9.80665)</f>
        <v>6155.16802078959</v>
      </c>
      <c r="AL63" s="39" t="n">
        <f aca="false">AL62-LN(AG63/AG62)*(AK62+AK63)/2</f>
        <v>101763.222603847</v>
      </c>
      <c r="AM63" s="39" t="n">
        <f aca="false">Sheet1!M$10*10/Sheet1!M$11*1000*AL63/(Sheet1!M$10*10/Sheet1!M$11*1000-AL63)</f>
        <v>103461.377964607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136.381788404274</v>
      </c>
      <c r="AR63" s="37" t="n">
        <f aca="false">(AV63-AV$51)/(AV$116-AV$51)*(AR$116-AR$51)+AR$51</f>
        <v>0.0224414458693526</v>
      </c>
      <c r="AS63" s="39" t="n">
        <f aca="false">(AV63-AV$61)/(AV$69-AV$61)*(AS$69-AS$61)+AS$61</f>
        <v>137.097272976633</v>
      </c>
      <c r="AT63" s="39" t="n">
        <f aca="false">8314.4621*AS63/(Sheet1!R$22*Sheet1!R$12*9.80665)</f>
        <v>9631.44065476394</v>
      </c>
      <c r="AU63" s="39" t="n">
        <f aca="false">AU62-LN(AP63/AP62)*(AT62+AT63)/2</f>
        <v>142578.952290307</v>
      </c>
      <c r="AV63" s="39" t="n">
        <f aca="false">Sheet1!R$10*10/Sheet1!R$11*1000*AU63/(Sheet1!R$10*10/Sheet1!R$11*1000-AU63)</f>
        <v>145582.867296169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169.433149742453</v>
      </c>
      <c r="T64" s="37" t="n">
        <f aca="false">(X64-X$54)/(X$100-X$54)*(T$100-T$54)+T$54</f>
        <v>1.16846657504556</v>
      </c>
      <c r="U64" s="39" t="n">
        <f aca="false">(X64-X$54)/(X$77-X$54)*(U$77-U$54)+U$54</f>
        <v>172.443144770231</v>
      </c>
      <c r="V64" s="39" t="n">
        <f aca="false">8314.4621*U64/(Sheet1!H$20*Sheet1!H$12*9.80665)</f>
        <v>34225.5917444218</v>
      </c>
      <c r="W64" s="39" t="n">
        <f aca="false">W63-LN(R64/R63)*(V63+V64)/2</f>
        <v>1083076.41394851</v>
      </c>
      <c r="X64" s="39" t="n">
        <f aca="false">Sheet1!H$10*10/Sheet1!H$11*1000*W64/(Sheet1!H$10*10/Sheet1!H$11*1000-W64)</f>
        <v>1103243.34725101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186.639408100862</v>
      </c>
      <c r="AI64" s="37" t="n">
        <f aca="false">(AM64-AM$62)/(AM$95-AM$62)*(AI$95-AI$62)+AI$62</f>
        <v>0.2</v>
      </c>
      <c r="AJ64" s="39" t="n">
        <f aca="false">(AM64-AM$62)/(AM$70-AM$62)*(AJ$70-AJ$62)+AJ$62</f>
        <v>188.00621992983</v>
      </c>
      <c r="AK64" s="39" t="n">
        <f aca="false">8314.4621*AJ64/(Sheet1!M$21*Sheet1!M$12*9.80665)</f>
        <v>6212.20778069089</v>
      </c>
      <c r="AL64" s="39" t="n">
        <f aca="false">AL63-LN(AG64/AG63)*(AK63+AK64)/2</f>
        <v>103187.069361844</v>
      </c>
      <c r="AM64" s="39" t="n">
        <f aca="false">Sheet1!M$10*10/Sheet1!M$11*1000*AL64/(Sheet1!M$10*10/Sheet1!M$11*1000-AL64)</f>
        <v>104933.485301552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136.309196431028</v>
      </c>
      <c r="AR64" s="37" t="n">
        <f aca="false">(AV64-AV$51)/(AV$116-AV$51)*(AR$116-AR$51)+AR$51</f>
        <v>0.0247183207330325</v>
      </c>
      <c r="AS64" s="39" t="n">
        <f aca="false">(AV64-AV$61)/(AV$69-AV$61)*(AS$69-AS$61)+AS$61</f>
        <v>137.097272976633</v>
      </c>
      <c r="AT64" s="39" t="n">
        <f aca="false">8314.4621*AS64/(Sheet1!R$22*Sheet1!R$12*9.80665)</f>
        <v>9631.44065476394</v>
      </c>
      <c r="AU64" s="39" t="n">
        <f aca="false">AU63-LN(AP64/AP63)*(AT63+AT64)/2</f>
        <v>145351.103749772</v>
      </c>
      <c r="AV64" s="39" t="n">
        <f aca="false">Sheet1!R$10*10/Sheet1!R$11*1000*AU64/(Sheet1!R$10*10/Sheet1!R$11*1000-AU64)</f>
        <v>148474.243425652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172.874023919379</v>
      </c>
      <c r="T65" s="37" t="n">
        <f aca="false">(X65-X$54)/(X$100-X$54)*(T$100-T$54)+T$54</f>
        <v>1.187268143897</v>
      </c>
      <c r="U65" s="39" t="n">
        <f aca="false">(X65-X$54)/(X$77-X$54)*(U$77-U$54)+U$54</f>
        <v>175.932452192888</v>
      </c>
      <c r="V65" s="39" t="n">
        <f aca="false">8314.4621*U65/(Sheet1!H$20*Sheet1!H$12*9.80665)</f>
        <v>34918.1307924527</v>
      </c>
      <c r="W65" s="39" t="n">
        <f aca="false">W64-LN(R65/R64)*(V64+V65)/2</f>
        <v>1091036.87918789</v>
      </c>
      <c r="X65" s="39" t="n">
        <f aca="false">Sheet1!H$10*10/Sheet1!H$11*1000*W65/(Sheet1!H$10*10/Sheet1!H$11*1000-W65)</f>
        <v>1111504.15143092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188.382666639466</v>
      </c>
      <c r="AI65" s="37" t="n">
        <f aca="false">(AM65-AM$62)/(AM$95-AM$62)*(AI$95-AI$62)+AI$62</f>
        <v>0.2</v>
      </c>
      <c r="AJ65" s="39" t="n">
        <f aca="false">(AM65-AM$62)/(AM$70-AM$62)*(AJ$70-AJ$62)+AJ$62</f>
        <v>189.749478468433</v>
      </c>
      <c r="AK65" s="39" t="n">
        <f aca="false">8314.4621*AJ65/(Sheet1!M$21*Sheet1!M$12*9.80665)</f>
        <v>6269.80951461922</v>
      </c>
      <c r="AL65" s="39" t="n">
        <f aca="false">AL64-LN(AG65/AG64)*(AK64+AK65)/2</f>
        <v>104624.114709578</v>
      </c>
      <c r="AM65" s="39" t="n">
        <f aca="false">Sheet1!M$10*10/Sheet1!M$11*1000*AL65/(Sheet1!M$10*10/Sheet1!M$11*1000-AL65)</f>
        <v>106419.935932872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136.236544937045</v>
      </c>
      <c r="AR65" s="37" t="n">
        <f aca="false">(AV65-AV$51)/(AV$116-AV$51)*(AR$116-AR$51)+AR$51</f>
        <v>0.0269970624872856</v>
      </c>
      <c r="AS65" s="39" t="n">
        <f aca="false">(AV65-AV$61)/(AV$69-AV$61)*(AS$69-AS$61)+AS$61</f>
        <v>137.097272976633</v>
      </c>
      <c r="AT65" s="39" t="n">
        <f aca="false">8314.4621*AS65/(Sheet1!R$22*Sheet1!R$12*9.80665)</f>
        <v>9631.44065476394</v>
      </c>
      <c r="AU65" s="39" t="n">
        <f aca="false">AU64-LN(AP65/AP64)*(AT64+AT65)/2</f>
        <v>148123.255209236</v>
      </c>
      <c r="AV65" s="39" t="n">
        <f aca="false">Sheet1!R$10*10/Sheet1!R$11*1000*AU65/(Sheet1!R$10*10/Sheet1!R$11*1000-AU65)</f>
        <v>151367.990297122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176.385503255835</v>
      </c>
      <c r="T66" s="37" t="n">
        <f aca="false">(X66-X$54)/(X$100-X$54)*(T$100-T$54)+T$54</f>
        <v>1.20645551239343</v>
      </c>
      <c r="U66" s="39" t="n">
        <f aca="false">(X66-X$54)/(X$77-X$54)*(U$77-U$54)+U$54</f>
        <v>179.493358603257</v>
      </c>
      <c r="V66" s="39" t="n">
        <f aca="false">8314.4621*U66/(Sheet1!H$20*Sheet1!H$12*9.80665)</f>
        <v>35624.8804240706</v>
      </c>
      <c r="W66" s="39" t="n">
        <f aca="false">W65-LN(R66/R65)*(V65+V66)/2</f>
        <v>1099158.44348999</v>
      </c>
      <c r="X66" s="39" t="n">
        <f aca="false">Sheet1!H$10*10/Sheet1!H$11*1000*W66/(Sheet1!H$10*10/Sheet1!H$11*1000-W66)</f>
        <v>1119934.46355696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190.142926802327</v>
      </c>
      <c r="AI66" s="37" t="n">
        <f aca="false">(AM66-AM$62)/(AM$95-AM$62)*(AI$95-AI$62)+AI$62</f>
        <v>0.2</v>
      </c>
      <c r="AJ66" s="39" t="n">
        <f aca="false">(AM66-AM$62)/(AM$70-AM$62)*(AJ$70-AJ$62)+AJ$62</f>
        <v>191.509738631294</v>
      </c>
      <c r="AK66" s="39" t="n">
        <f aca="false">8314.4621*AJ66/(Sheet1!M$21*Sheet1!M$12*9.80665)</f>
        <v>6327.97302582563</v>
      </c>
      <c r="AL66" s="39" t="n">
        <f aca="false">AL65-LN(AG66/AG65)*(AK65+AK66)/2</f>
        <v>106074.488023698</v>
      </c>
      <c r="AM66" s="39" t="n">
        <f aca="false">Sheet1!M$10*10/Sheet1!M$11*1000*AL66/(Sheet1!M$10*10/Sheet1!M$11*1000-AL66)</f>
        <v>107920.883583896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136.163833849089</v>
      </c>
      <c r="AR66" s="37" t="n">
        <f aca="false">(AV66-AV$51)/(AV$116-AV$51)*(AR$116-AR$51)+AR$51</f>
        <v>0.0292776734291486</v>
      </c>
      <c r="AS66" s="39" t="n">
        <f aca="false">(AV66-AV$61)/(AV$69-AV$61)*(AS$69-AS$61)+AS$61</f>
        <v>137.097272976633</v>
      </c>
      <c r="AT66" s="39" t="n">
        <f aca="false">8314.4621*AS66/(Sheet1!R$22*Sheet1!R$12*9.80665)</f>
        <v>9631.44065476394</v>
      </c>
      <c r="AU66" s="39" t="n">
        <f aca="false">AU65-LN(AP66/AP65)*(AT65+AT66)/2</f>
        <v>150895.406668701</v>
      </c>
      <c r="AV66" s="39" t="n">
        <f aca="false">Sheet1!R$10*10/Sheet1!R$11*1000*AU66/(Sheet1!R$10*10/Sheet1!R$11*1000-AU66)</f>
        <v>154264.110827559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179.969076803132</v>
      </c>
      <c r="T67" s="37" t="n">
        <f aca="false">(X67-X$54)/(X$100-X$54)*(T$100-T$54)+T$54</f>
        <v>1.22603681695227</v>
      </c>
      <c r="U67" s="39" t="n">
        <f aca="false">(X67-X$54)/(X$77-X$54)*(U$77-U$54)+U$54</f>
        <v>183.127374012236</v>
      </c>
      <c r="V67" s="39" t="n">
        <f aca="false">8314.4621*U67/(Sheet1!H$20*Sheet1!H$12*9.80665)</f>
        <v>36346.1403381507</v>
      </c>
      <c r="W67" s="39" t="n">
        <f aca="false">W66-LN(R67/R66)*(V66+V67)/2</f>
        <v>1107444.41346672</v>
      </c>
      <c r="X67" s="39" t="n">
        <f aca="false">Sheet1!H$10*10/Sheet1!H$11*1000*W67/(Sheet1!H$10*10/Sheet1!H$11*1000-W67)</f>
        <v>1128537.85850905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191.920370232067</v>
      </c>
      <c r="AI67" s="37" t="n">
        <f aca="false">(AM67-AM$62)/(AM$95-AM$62)*(AI$95-AI$62)+AI$62</f>
        <v>0.2</v>
      </c>
      <c r="AJ67" s="39" t="n">
        <f aca="false">(AM67-AM$62)/(AM$70-AM$62)*(AJ$70-AJ$62)+AJ$62</f>
        <v>193.287182061035</v>
      </c>
      <c r="AK67" s="39" t="n">
        <f aca="false">8314.4621*AJ67/(Sheet1!M$21*Sheet1!M$12*9.80665)</f>
        <v>6386.70431624833</v>
      </c>
      <c r="AL67" s="39" t="n">
        <f aca="false">AL66-LN(AG67/AG66)*(AK66+AK67)/2</f>
        <v>107538.319349202</v>
      </c>
      <c r="AM67" s="39" t="n">
        <f aca="false">Sheet1!M$10*10/Sheet1!M$11*1000*AL67/(Sheet1!M$10*10/Sheet1!M$11*1000-AL67)</f>
        <v>109436.48313498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136.091063093807</v>
      </c>
      <c r="AR67" s="37" t="n">
        <f aca="false">(AV67-AV$51)/(AV$116-AV$51)*(AR$116-AR$51)+AR$51</f>
        <v>0.0315601558594279</v>
      </c>
      <c r="AS67" s="39" t="n">
        <f aca="false">(AV67-AV$61)/(AV$69-AV$61)*(AS$69-AS$61)+AS$61</f>
        <v>137.097272976633</v>
      </c>
      <c r="AT67" s="39" t="n">
        <f aca="false">8314.4621*AS67/(Sheet1!R$22*Sheet1!R$12*9.80665)</f>
        <v>9631.44065476394</v>
      </c>
      <c r="AU67" s="39" t="n">
        <f aca="false">AU66-LN(AP67/AP66)*(AT66+AT67)/2</f>
        <v>153667.558128166</v>
      </c>
      <c r="AV67" s="39" t="n">
        <f aca="false">Sheet1!R$10*10/Sheet1!R$11*1000*AU67/(Sheet1!R$10*10/Sheet1!R$11*1000-AU67)</f>
        <v>157162.60793873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183.626266673498</v>
      </c>
      <c r="T68" s="37" t="n">
        <f aca="false">(X68-X$54)/(X$100-X$54)*(T$100-T$54)+T$54</f>
        <v>1.24602037464049</v>
      </c>
      <c r="U68" s="39" t="n">
        <f aca="false">(X68-X$54)/(X$77-X$54)*(U$77-U$54)+U$54</f>
        <v>186.836041956998</v>
      </c>
      <c r="V68" s="39" t="n">
        <f aca="false">8314.4621*U68/(Sheet1!H$20*Sheet1!H$12*9.80665)</f>
        <v>37082.2168876833</v>
      </c>
      <c r="W68" s="39" t="n">
        <f aca="false">W67-LN(R68/R67)*(V67+V68)/2</f>
        <v>1115898.16550428</v>
      </c>
      <c r="X68" s="39" t="n">
        <f aca="false">Sheet1!H$10*10/Sheet1!H$11*1000*W68/(Sheet1!H$10*10/Sheet1!H$11*1000-W68)</f>
        <v>1137317.99053871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193.715180813709</v>
      </c>
      <c r="AI68" s="37" t="n">
        <f aca="false">(AM68-AM$62)/(AM$95-AM$62)*(AI$95-AI$62)+AI$62</f>
        <v>0.2</v>
      </c>
      <c r="AJ68" s="39" t="n">
        <f aca="false">(AM68-AM$62)/(AM$70-AM$62)*(AJ$70-AJ$62)+AJ$62</f>
        <v>195.081992642676</v>
      </c>
      <c r="AK68" s="39" t="n">
        <f aca="false">8314.4621*AJ68/(Sheet1!M$21*Sheet1!M$12*9.80665)</f>
        <v>6446.00946192012</v>
      </c>
      <c r="AL68" s="39" t="n">
        <f aca="false">AL67-LN(AG68/AG67)*(AK67+AK68)/2</f>
        <v>109015.740121616</v>
      </c>
      <c r="AM68" s="39" t="n">
        <f aca="false">Sheet1!M$10*10/Sheet1!M$11*1000*AL68/(Sheet1!M$10*10/Sheet1!M$11*1000-AL68)</f>
        <v>110966.89137849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136.018232597722</v>
      </c>
      <c r="AR68" s="37" t="n">
        <f aca="false">(AV68-AV$51)/(AV$116-AV$51)*(AR$116-AR$51)+AR$51</f>
        <v>0.0338445120827078</v>
      </c>
      <c r="AS68" s="39" t="n">
        <f aca="false">(AV68-AV$61)/(AV$69-AV$61)*(AS$69-AS$61)+AS$61</f>
        <v>137.097272976633</v>
      </c>
      <c r="AT68" s="39" t="n">
        <f aca="false">8314.4621*AS68/(Sheet1!R$22*Sheet1!R$12*9.80665)</f>
        <v>9631.44065476394</v>
      </c>
      <c r="AU68" s="39" t="n">
        <f aca="false">AU67-LN(AP68/AP67)*(AT67+AT68)/2</f>
        <v>156439.70958763</v>
      </c>
      <c r="AV68" s="39" t="n">
        <f aca="false">Sheet1!R$10*10/Sheet1!R$11*1000*AU68/(Sheet1!R$10*10/Sheet1!R$11*1000-AU68)</f>
        <v>160063.484557198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187.35521990603</v>
      </c>
      <c r="T69" s="37" t="n">
        <f aca="false">(X69-X$54)/(X$100-X$54)*(T$100-T$54)+T$54</f>
        <v>1.26641450331662</v>
      </c>
      <c r="U69" s="39" t="n">
        <f aca="false">(X69-X$54)/(X$77-X$54)*(U$77-U$54)+U$54</f>
        <v>190.61753090362</v>
      </c>
      <c r="V69" s="39" t="n">
        <f aca="false">8314.4621*U69/(Sheet1!H$20*Sheet1!H$12*9.80665)</f>
        <v>37832.746559626</v>
      </c>
      <c r="W69" s="39" t="n">
        <f aca="false">W68-LN(R69/R68)*(V68+V69)/2</f>
        <v>1124523.06940808</v>
      </c>
      <c r="X69" s="39" t="n">
        <f aca="false">Sheet1!H$10*10/Sheet1!H$11*1000*W69/(Sheet1!H$10*10/Sheet1!H$11*1000-W69)</f>
        <v>1146278.51424525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195.527544708099</v>
      </c>
      <c r="AI69" s="37" t="n">
        <f aca="false">(AM69-AM$62)/(AM$95-AM$62)*(AI$95-AI$62)+AI$62</f>
        <v>0.2</v>
      </c>
      <c r="AJ69" s="39" t="n">
        <f aca="false">(AM69-AM$62)/(AM$70-AM$62)*(AJ$70-AJ$62)+AJ$62</f>
        <v>196.894356537067</v>
      </c>
      <c r="AK69" s="39" t="n">
        <f aca="false">8314.4621*AJ69/(Sheet1!M$21*Sheet1!M$12*9.80665)</f>
        <v>6505.89461407294</v>
      </c>
      <c r="AL69" s="39" t="n">
        <f aca="false">AL68-LN(AG69/AG68)*(AK68+AK69)/2</f>
        <v>110506.883184179</v>
      </c>
      <c r="AM69" s="39" t="n">
        <f aca="false">Sheet1!M$10*10/Sheet1!M$11*1000*AL69/(Sheet1!M$10*10/Sheet1!M$11*1000-AL69)</f>
        <v>112512.267047306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135.945342287238</v>
      </c>
      <c r="AR69" s="37" t="n">
        <f aca="false">(AV69-AV$51)/(AV$116-AV$51)*(AR$116-AR$51)+AR$51</f>
        <v>0.0361307444073577</v>
      </c>
      <c r="AS69" s="39" t="n">
        <f aca="false">MIN(IF(Sheet1!R15&gt;1,36*LOG(Sheet1!R15)+30,30),(Sheet1!R15*(1-MAX(Sheet1!R14,0.56707137))/(4*0.000000056704))^0.25)</f>
        <v>137.097272976633</v>
      </c>
      <c r="AT69" s="39" t="n">
        <f aca="false">8314.4621*AS69/(Sheet1!R$22*Sheet1!R$12*9.80665)</f>
        <v>9631.44065476394</v>
      </c>
      <c r="AU69" s="39" t="n">
        <f aca="false">AU68-LN(AP69/AP68)*(AT68+AT69)/2</f>
        <v>159211.861047095</v>
      </c>
      <c r="AV69" s="39" t="n">
        <f aca="false">Sheet1!R$10*10/Sheet1!R$11*1000*AU69/(Sheet1!R$10*10/Sheet1!R$11*1000-AU69)</f>
        <v>162966.743614334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191.1676864732</v>
      </c>
      <c r="T70" s="37" t="n">
        <f aca="false">(X70-X$54)/(X$100-X$54)*(T$100-T$54)+T$54</f>
        <v>1.28722807504469</v>
      </c>
      <c r="U70" s="39" t="n">
        <f aca="false">(X70-X$54)/(X$77-X$54)*(U$77-U$54)+U$54</f>
        <v>194.483613679204</v>
      </c>
      <c r="V70" s="39" t="n">
        <f aca="false">8314.4621*U70/(Sheet1!H$20*Sheet1!H$12*9.80665)</f>
        <v>38600.0659616444</v>
      </c>
      <c r="W70" s="39" t="n">
        <f aca="false">W69-LN(R70/R69)*(V69+V70)/2</f>
        <v>1133322.72214444</v>
      </c>
      <c r="X70" s="39" t="n">
        <f aca="false">Sheet1!H$10*10/Sheet1!H$11*1000*W70/(Sheet1!H$10*10/Sheet1!H$11*1000-W70)</f>
        <v>1155423.32772804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197.357674413057</v>
      </c>
      <c r="AI70" s="37" t="n">
        <f aca="false">(AM70-AM$62)/(AM$95-AM$62)*(AI$95-AI$62)+AI$62</f>
        <v>0.2</v>
      </c>
      <c r="AJ70" s="39" t="n">
        <f aca="false">0.016*(320*LOG(Sheet1!M15)-AJ62)+AJ62</f>
        <v>198.724486242024</v>
      </c>
      <c r="AK70" s="39" t="n">
        <f aca="false">8314.4621*AJ70/(Sheet1!M$21*Sheet1!M$12*9.80665)</f>
        <v>6566.36679417982</v>
      </c>
      <c r="AL70" s="39" t="n">
        <f aca="false">AL69-LN(AG70/AG69)*(AK69+AK70)/2</f>
        <v>112011.882896698</v>
      </c>
      <c r="AM70" s="39" t="n">
        <f aca="false">Sheet1!M$10*10/Sheet1!M$11*1000*AL70/(Sheet1!M$10*10/Sheet1!M$11*1000-AL70)</f>
        <v>114072.770938646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136.77022403663</v>
      </c>
      <c r="AR70" s="37" t="n">
        <f aca="false">(AV70-AV$51)/(AV$116-AV$51)*(AR$116-AR$51)+AR$51</f>
        <v>0.037966981709749</v>
      </c>
      <c r="AS70" s="39" t="n">
        <f aca="false">(AV70-AV$69)/(AV$77-AV$69)*(AS$77-AS$69)+AS$69</f>
        <v>137.980698166973</v>
      </c>
      <c r="AT70" s="39" t="n">
        <f aca="false">8314.4621*AS70/(Sheet1!R$22*Sheet1!R$12*9.80665)</f>
        <v>9693.50357628633</v>
      </c>
      <c r="AU70" s="39" t="n">
        <f aca="false">AU69-LN(AP70/AP69)*(AT69+AT70)/2</f>
        <v>161436.727472563</v>
      </c>
      <c r="AV70" s="39" t="n">
        <f aca="false">Sheet1!R$10*10/Sheet1!R$11*1000*AU70/(Sheet1!R$10*10/Sheet1!R$11*1000-AU70)</f>
        <v>165298.559380273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195.055199270295</v>
      </c>
      <c r="T71" s="37" t="n">
        <f aca="false">(X71-X$54)/(X$100-X$54)*(T$100-T$54)+T$54</f>
        <v>1.30847015989078</v>
      </c>
      <c r="U71" s="39" t="n">
        <f aca="false">(X71-X$54)/(X$77-X$54)*(U$77-U$54)+U$54</f>
        <v>198.425846543721</v>
      </c>
      <c r="V71" s="39" t="n">
        <f aca="false">8314.4621*U71/(Sheet1!H$20*Sheet1!H$12*9.80665)</f>
        <v>39382.4992254437</v>
      </c>
      <c r="W71" s="39" t="n">
        <f aca="false">W70-LN(R71/R70)*(V70+V71)/2</f>
        <v>1142300.7967501</v>
      </c>
      <c r="X71" s="39" t="n">
        <f aca="false">Sheet1!H$10*10/Sheet1!H$11*1000*W71/(Sheet1!H$10*10/Sheet1!H$11*1000-W71)</f>
        <v>1164756.41608216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204.28064313387</v>
      </c>
      <c r="AI71" s="37" t="n">
        <f aca="false">(AM71-AM$62)/(AM$95-AM$62)*(AI$95-AI$62)+AI$62</f>
        <v>0.2</v>
      </c>
      <c r="AJ71" s="39" t="n">
        <f aca="false">(AM71-AM$70)/(AM$75-AM$70)*(AJ$75-AJ$70)+AJ$70</f>
        <v>205.647454962837</v>
      </c>
      <c r="AK71" s="39" t="n">
        <f aca="false">8314.4621*AJ71/(Sheet1!M$21*Sheet1!M$12*9.80665)</f>
        <v>6795.11943953892</v>
      </c>
      <c r="AL71" s="39" t="n">
        <f aca="false">AL70-LN(AG71/AG70)*(AK70+AK71)/2</f>
        <v>113550.180847798</v>
      </c>
      <c r="AM71" s="39" t="n">
        <f aca="false">Sheet1!M$10*10/Sheet1!M$11*1000*AL71/(Sheet1!M$10*10/Sheet1!M$11*1000-AL71)</f>
        <v>115668.598637097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137.600972262113</v>
      </c>
      <c r="AR71" s="37" t="n">
        <f aca="false">(AV71-AV$51)/(AV$116-AV$51)*(AR$116-AR$51)+AR$51</f>
        <v>0.0398162781472721</v>
      </c>
      <c r="AS71" s="39" t="n">
        <f aca="false">(AV71-AV$69)/(AV$77-AV$69)*(AS$77-AS$69)+AS$69</f>
        <v>138.870406188472</v>
      </c>
      <c r="AT71" s="39" t="n">
        <f aca="false">8314.4621*AS71/(Sheet1!R$22*Sheet1!R$12*9.80665)</f>
        <v>9756.00788306855</v>
      </c>
      <c r="AU71" s="39" t="n">
        <f aca="false">AU70-LN(AP71/AP70)*(AT70+AT71)/2</f>
        <v>163675.935230179</v>
      </c>
      <c r="AV71" s="39" t="n">
        <f aca="false">Sheet1!R$10*10/Sheet1!R$11*1000*AU71/(Sheet1!R$10*10/Sheet1!R$11*1000-AU71)</f>
        <v>167646.958785566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199.02276379407</v>
      </c>
      <c r="T72" s="37" t="n">
        <f aca="false">(X72-X$54)/(X$100-X$54)*(T$100-T$54)+T$54</f>
        <v>1.3301496619558</v>
      </c>
      <c r="U72" s="39" t="n">
        <f aca="false">(X72-X$54)/(X$77-X$54)*(U$77-U$54)+U$54</f>
        <v>202.44925793108</v>
      </c>
      <c r="V72" s="39" t="n">
        <f aca="false">8314.4621*U72/(Sheet1!H$20*Sheet1!H$12*9.80665)</f>
        <v>40181.0443676534</v>
      </c>
      <c r="W72" s="39" t="n">
        <f aca="false">W71-LN(R72/R71)*(V71+V72)/2</f>
        <v>1151460.88822126</v>
      </c>
      <c r="X72" s="39" t="n">
        <f aca="false">Sheet1!H$10*10/Sheet1!H$11*1000*W72/(Sheet1!H$10*10/Sheet1!H$11*1000-W72)</f>
        <v>1174281.69148296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211.448681650714</v>
      </c>
      <c r="AI72" s="37" t="n">
        <f aca="false">(AM72-AM$62)/(AM$95-AM$62)*(AI$95-AI$62)+AI$62</f>
        <v>0.2</v>
      </c>
      <c r="AJ72" s="39" t="n">
        <f aca="false">(AM72-AM$70)/(AM$75-AM$70)*(AJ$75-AJ$70)+AJ$70</f>
        <v>212.815493479682</v>
      </c>
      <c r="AK72" s="39" t="n">
        <f aca="false">8314.4621*AJ72/(Sheet1!M$21*Sheet1!M$12*9.80665)</f>
        <v>7031.9698196128</v>
      </c>
      <c r="AL72" s="39" t="n">
        <f aca="false">AL71-LN(AG72/AG71)*(AK71+AK72)/2</f>
        <v>115142.083328179</v>
      </c>
      <c r="AM72" s="39" t="n">
        <f aca="false">Sheet1!M$10*10/Sheet1!M$11*1000*AL72/(Sheet1!M$10*10/Sheet1!M$11*1000-AL72)</f>
        <v>117320.885123506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138.437636008272</v>
      </c>
      <c r="AR72" s="37" t="n">
        <f aca="false">(AV72-AV$51)/(AV$116-AV$51)*(AR$116-AR$51)+AR$51</f>
        <v>0.041678742896177</v>
      </c>
      <c r="AS72" s="39" t="n">
        <f aca="false">(AV72-AV$69)/(AV$77-AV$69)*(AS$77-AS$69)+AS$69</f>
        <v>139.766449566504</v>
      </c>
      <c r="AT72" s="39" t="n">
        <f aca="false">8314.4621*AS72/(Sheet1!R$22*Sheet1!R$12*9.80665)</f>
        <v>9818.95726515494</v>
      </c>
      <c r="AU72" s="39" t="n">
        <f aca="false">AU71-LN(AP72/AP71)*(AT71+AT72)/2</f>
        <v>165929.586377488</v>
      </c>
      <c r="AV72" s="39" t="n">
        <f aca="false">Sheet1!R$10*10/Sheet1!R$11*1000*AU72/(Sheet1!R$10*10/Sheet1!R$11*1000-AU72)</f>
        <v>170012.080471824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203.07207994721</v>
      </c>
      <c r="T73" s="37" t="n">
        <f aca="false">(X73-X$54)/(X$100-X$54)*(T$100-T$54)+T$54</f>
        <v>1.35227586977899</v>
      </c>
      <c r="U73" s="39" t="n">
        <f aca="false">(X73-X$54)/(X$77-X$54)*(U$77-U$54)+U$54</f>
        <v>206.555571671447</v>
      </c>
      <c r="V73" s="39" t="n">
        <f aca="false">8314.4621*U73/(Sheet1!H$20*Sheet1!H$12*9.80665)</f>
        <v>40996.0435248513</v>
      </c>
      <c r="W73" s="39" t="n">
        <f aca="false">W72-LN(R73/R72)*(V72+V73)/2</f>
        <v>1160806.74584496</v>
      </c>
      <c r="X73" s="39" t="n">
        <f aca="false">Sheet1!H$10*10/Sheet1!H$11*1000*W73/(Sheet1!H$10*10/Sheet1!H$11*1000-W73)</f>
        <v>1184003.23501562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218.870514261229</v>
      </c>
      <c r="AI73" s="37" t="n">
        <f aca="false">(AM73-AM$62)/(AM$95-AM$62)*(AI$95-AI$62)+AI$62</f>
        <v>0.2</v>
      </c>
      <c r="AJ73" s="39" t="n">
        <f aca="false">(AM73-AM$70)/(AM$75-AM$70)*(AJ$75-AJ$70)+AJ$70</f>
        <v>220.237326090197</v>
      </c>
      <c r="AK73" s="39" t="n">
        <f aca="false">8314.4621*AJ73/(Sheet1!M$21*Sheet1!M$12*9.80665)</f>
        <v>7277.20620757505</v>
      </c>
      <c r="AL73" s="39" t="n">
        <f aca="false">AL72-LN(AG73/AG72)*(AK72+AK73)/2</f>
        <v>116789.488098841</v>
      </c>
      <c r="AM73" s="39" t="n">
        <f aca="false">Sheet1!M$10*10/Sheet1!M$11*1000*AL73/(Sheet1!M$10*10/Sheet1!M$11*1000-AL73)</f>
        <v>119031.689729658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139.280264828978</v>
      </c>
      <c r="AR73" s="37" t="n">
        <f aca="false">(AV73-AV$51)/(AV$116-AV$51)*(AR$116-AR$51)+AR$51</f>
        <v>0.0435544862664138</v>
      </c>
      <c r="AS73" s="39" t="n">
        <f aca="false">(AV73-AV$69)/(AV$77-AV$69)*(AS$77-AS$69)+AS$69</f>
        <v>140.668881371871</v>
      </c>
      <c r="AT73" s="39" t="n">
        <f aca="false">8314.4621*AS73/(Sheet1!R$22*Sheet1!R$12*9.80665)</f>
        <v>9882.35545090769</v>
      </c>
      <c r="AU73" s="39" t="n">
        <f aca="false">AU72-LN(AP73/AP72)*(AT72+AT73)/2</f>
        <v>168197.783826109</v>
      </c>
      <c r="AV73" s="39" t="n">
        <f aca="false">Sheet1!R$10*10/Sheet1!R$11*1000*AU73/(Sheet1!R$10*10/Sheet1!R$11*1000-AU73)</f>
        <v>172394.064520334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207.204885853982</v>
      </c>
      <c r="T74" s="37" t="n">
        <f aca="false">(X74-X$54)/(X$100-X$54)*(T$100-T$54)+T$54</f>
        <v>1.37485828074774</v>
      </c>
      <c r="U74" s="39" t="n">
        <f aca="false">(X74-X$54)/(X$77-X$54)*(U$77-U$54)+U$54</f>
        <v>210.746550354559</v>
      </c>
      <c r="V74" s="39" t="n">
        <f aca="false">8314.4621*U74/(Sheet1!H$20*Sheet1!H$12*9.80665)</f>
        <v>41827.846526408</v>
      </c>
      <c r="W74" s="39" t="n">
        <f aca="false">W73-LN(R74/R73)*(V73+V74)/2</f>
        <v>1170342.19857375</v>
      </c>
      <c r="X74" s="39" t="n">
        <f aca="false">Sheet1!H$10*10/Sheet1!H$11*1000*W74/(Sheet1!H$10*10/Sheet1!H$11*1000-W74)</f>
        <v>1193925.21952644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226.555487078421</v>
      </c>
      <c r="AI74" s="37" t="n">
        <f aca="false">(AM74-AM$62)/(AM$95-AM$62)*(AI$95-AI$62)+AI$62</f>
        <v>0.2</v>
      </c>
      <c r="AJ74" s="39" t="n">
        <f aca="false">(AM74-AM$70)/(AM$75-AM$70)*(AJ$75-AJ$70)+AJ$70</f>
        <v>227.922298907389</v>
      </c>
      <c r="AK74" s="39" t="n">
        <f aca="false">8314.4621*AJ74/(Sheet1!M$21*Sheet1!M$12*9.80665)</f>
        <v>7531.13742297407</v>
      </c>
      <c r="AL74" s="39" t="n">
        <f aca="false">AL73-LN(AG74/AG73)*(AK73+AK74)/2</f>
        <v>118494.361663622</v>
      </c>
      <c r="AM74" s="39" t="n">
        <f aca="false">Sheet1!M$10*10/Sheet1!M$11*1000*AL74/(Sheet1!M$10*10/Sheet1!M$11*1000-AL74)</f>
        <v>120803.15073348</v>
      </c>
      <c r="AN74" s="41"/>
      <c r="AO74" s="37" t="n">
        <f aca="false">AO73+(AO$77-AO$69)/8</f>
        <v>-3</v>
      </c>
      <c r="AP74" s="40" t="n">
        <f aca="false">10^AO74</f>
        <v>0.000999999999999999</v>
      </c>
      <c r="AQ74" s="39" t="n">
        <f aca="false">AS74-AR74*((Sheet1!R$19-Sheet1!R$20)*COS(RADIANS(38))+Sheet1!R$20)/2</f>
        <v>140.128908794043</v>
      </c>
      <c r="AR74" s="37" t="n">
        <f aca="false">(AV74-AV$51)/(AV$116-AV$51)*(AR$116-AR$51)+AR$51</f>
        <v>0.0454436197164509</v>
      </c>
      <c r="AS74" s="39" t="n">
        <f aca="false">(AV74-AV$69)/(AV$77-AV$69)*(AS$77-AS$69)+AS$69</f>
        <v>141.577755227937</v>
      </c>
      <c r="AT74" s="39" t="n">
        <f aca="false">8314.4621*AS74/(Sheet1!R$22*Sheet1!R$12*9.80665)</f>
        <v>9946.20620750777</v>
      </c>
      <c r="AU74" s="39" t="n">
        <f aca="false">AU73-LN(AP74/AP73)*(AT73+AT74)/2</f>
        <v>170480.631350618</v>
      </c>
      <c r="AV74" s="39" t="n">
        <f aca="false">Sheet1!R$10*10/Sheet1!R$11*1000*AU74/(Sheet1!R$10*10/Sheet1!R$11*1000-AU74)</f>
        <v>174793.052470869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211.422958807059</v>
      </c>
      <c r="T75" s="37" t="n">
        <f aca="false">(X75-X$54)/(X$100-X$54)*(T$100-T$54)+T$54</f>
        <v>1.39790660627119</v>
      </c>
      <c r="U75" s="39" t="n">
        <f aca="false">(X75-X$54)/(X$77-X$54)*(U$77-U$54)+U$54</f>
        <v>215.02399628989</v>
      </c>
      <c r="V75" s="39" t="n">
        <f aca="false">8314.4621*U75/(Sheet1!H$20*Sheet1!H$12*9.80665)</f>
        <v>42676.8110850545</v>
      </c>
      <c r="W75" s="39" t="n">
        <f aca="false">W74-LN(R75/R74)*(V74+V75)/2</f>
        <v>1180071.15681898</v>
      </c>
      <c r="X75" s="39" t="n">
        <f aca="false">Sheet1!H$10*10/Sheet1!H$11*1000*W75/(Sheet1!H$10*10/Sheet1!H$11*1000-W75)</f>
        <v>1204051.91189603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234.513225820294</v>
      </c>
      <c r="AI75" s="37" t="n">
        <f aca="false">(AM75-AM$62)/(AM$95-AM$62)*(AI$95-AI$62)+AI$62</f>
        <v>0.2</v>
      </c>
      <c r="AJ75" s="39" t="n">
        <f aca="false">0.058*(320*LOG(Sheet1!M15)-AJ62)+AJ62</f>
        <v>235.880037649261</v>
      </c>
      <c r="AK75" s="39" t="n">
        <f aca="false">8314.4621*AJ75/(Sheet1!M$21*Sheet1!M$12*9.80665)</f>
        <v>7794.08152422464</v>
      </c>
      <c r="AL75" s="39" t="n">
        <f aca="false">AL74-LN(AG75/AG74)*(AK74+AK75)/2</f>
        <v>120258.742698357</v>
      </c>
      <c r="AM75" s="39" t="n">
        <f aca="false">Sheet1!M$10*10/Sheet1!M$11*1000*AL75/(Sheet1!M$10*10/Sheet1!M$11*1000-AL75)</f>
        <v>122637.489520521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140.983618495984</v>
      </c>
      <c r="AR75" s="37" t="n">
        <f aca="false">(AV75-AV$51)/(AV$116-AV$51)*(AR$116-AR$51)+AR$51</f>
        <v>0.0473462558683323</v>
      </c>
      <c r="AS75" s="39" t="n">
        <f aca="false">(AV75-AV$69)/(AV$77-AV$69)*(AS$77-AS$69)+AS$69</f>
        <v>142.493125317868</v>
      </c>
      <c r="AT75" s="39" t="n">
        <f aca="false">8314.4621*AS75/(Sheet1!R$22*Sheet1!R$12*9.80665)</f>
        <v>10010.5133414638</v>
      </c>
      <c r="AU75" s="39" t="n">
        <f aca="false">AU74-LN(AP75/AP74)*(AT74+AT75)/2</f>
        <v>172778.233597544</v>
      </c>
      <c r="AV75" s="39" t="n">
        <f aca="false">Sheet1!R$10*10/Sheet1!R$11*1000*AU75/(Sheet1!R$10*10/Sheet1!R$11*1000-AU75)</f>
        <v>177209.187340815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215.729716489505</v>
      </c>
      <c r="T76" s="37" t="n">
        <f aca="false">(X76-X$54)/(X$100-X$54)*(T$100-T$54)+T$54</f>
        <v>1.42143086378431</v>
      </c>
      <c r="U76" s="39" t="n">
        <f aca="false">(X76-X$54)/(X$77-X$54)*(U$77-U$54)+U$54</f>
        <v>219.39135296563</v>
      </c>
      <c r="V76" s="39" t="n">
        <f aca="false">8314.4621*U76/(Sheet1!H$20*Sheet1!H$12*9.80665)</f>
        <v>43543.620645883</v>
      </c>
      <c r="W76" s="39" t="n">
        <f aca="false">W75-LN(R76/R75)*(V75+V76)/2</f>
        <v>1189997.65085974</v>
      </c>
      <c r="X76" s="39" t="n">
        <f aca="false">Sheet1!H$10*10/Sheet1!H$11*1000*W76/(Sheet1!H$10*10/Sheet1!H$11*1000-W76)</f>
        <v>1214387.71346286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253.284146774281</v>
      </c>
      <c r="AI76" s="37" t="n">
        <f aca="false">(AM76-AM$62)/(AM$95-AM$62)*(AI$95-AI$62)+AI$62</f>
        <v>0.2</v>
      </c>
      <c r="AJ76" s="39" t="n">
        <f aca="false">(AM76-AM$75)/(AM$80-AM$75)*(AJ$80-AJ$75)+AJ$75</f>
        <v>254.650958603249</v>
      </c>
      <c r="AK76" s="39" t="n">
        <f aca="false">8314.4621*AJ76/(Sheet1!M$21*Sheet1!M$12*9.80665)</f>
        <v>8414.32090377611</v>
      </c>
      <c r="AL76" s="39" t="n">
        <f aca="false">AL74-LN(AG76/AG74)*(AK74+AK76)/2</f>
        <v>122165.939128036</v>
      </c>
      <c r="AM76" s="39" t="n">
        <f aca="false">Sheet1!M$10*10/Sheet1!M$11*1000*AL76/(Sheet1!M$10*10/Sheet1!M$11*1000-AL76)</f>
        <v>124621.504142407</v>
      </c>
      <c r="AN76" s="41"/>
      <c r="AO76" s="37" t="n">
        <f aca="false">AO75+(AO$77-AO$69)/8</f>
        <v>-3.2</v>
      </c>
      <c r="AP76" s="40" t="n">
        <f aca="false">10^AO76</f>
        <v>0.000630957344480192</v>
      </c>
      <c r="AQ76" s="39" t="n">
        <f aca="false">AS76-AR76*((Sheet1!R$19-Sheet1!R$20)*COS(RADIANS(38))+Sheet1!R$20)/2</f>
        <v>141.844445056897</v>
      </c>
      <c r="AR76" s="37" t="n">
        <f aca="false">(AV76-AV$51)/(AV$116-AV$51)*(AR$116-AR$51)+AR$51</f>
        <v>0.0492625085229764</v>
      </c>
      <c r="AS76" s="39" t="n">
        <f aca="false">(AV76-AV$69)/(AV$77-AV$69)*(AS$77-AS$69)+AS$69</f>
        <v>143.415046391992</v>
      </c>
      <c r="AT76" s="39" t="n">
        <f aca="false">8314.4621*AS76/(Sheet1!R$22*Sheet1!R$12*9.80665)</f>
        <v>10075.280699129</v>
      </c>
      <c r="AU76" s="39" t="n">
        <f aca="false">AU75-LN(AP76/AP75)*(AT75+AT76)/2</f>
        <v>175090.696094485</v>
      </c>
      <c r="AV76" s="39" t="n">
        <f aca="false">Sheet1!R$10*10/Sheet1!R$11*1000*AU76/(Sheet1!R$10*10/Sheet1!R$11*1000-AU76)</f>
        <v>179642.613644596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217.914030335946</v>
      </c>
      <c r="T77" s="37" t="n">
        <f aca="false">(X77-X$54)/(X$100-X$54)*(T$100-T$54)+T$54</f>
        <v>1.43337429494588</v>
      </c>
      <c r="U77" s="39" t="n">
        <f aca="false">70/610*(U$170-U$54)+U$54</f>
        <v>221.606433347613</v>
      </c>
      <c r="V77" s="39" t="n">
        <f aca="false">8314.4621*U77/(Sheet1!H$20*Sheet1!H$12*9.80665)</f>
        <v>43983.2579358191</v>
      </c>
      <c r="W77" s="39" t="n">
        <f aca="false">W76-LN(R77/R76)*(V76+V77)/2</f>
        <v>1195036.10300621</v>
      </c>
      <c r="X77" s="39" t="n">
        <f aca="false">Sheet1!H$10*10/Sheet1!H$11*1000*W77/(Sheet1!H$10*10/Sheet1!H$11*1000-W77)</f>
        <v>1219635.27268739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217.914030335946</v>
      </c>
      <c r="AA77" s="39" t="n">
        <f aca="false">IF(Y77=LOG(Sheet1!H$17*101325),(LOG(Sheet1!H$17*101325)-Q87)/(Q77-Q87)*(X77-X87)+X87,IF(Y77=0,0,X77))</f>
        <v>1219635.27268739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273.108002697935</v>
      </c>
      <c r="AI77" s="37" t="n">
        <f aca="false">(AM77-AM$62)/(AM$95-AM$62)*(AI$95-AI$62)+AI$62</f>
        <v>0.2</v>
      </c>
      <c r="AJ77" s="39" t="n">
        <f aca="false">(AM77-AM$75)/(AM$80-AM$75)*(AJ$80-AJ$75)+AJ$75</f>
        <v>274.474814526902</v>
      </c>
      <c r="AK77" s="39" t="n">
        <f aca="false">8314.4621*AJ77/(Sheet1!M$21*Sheet1!M$12*9.80665)</f>
        <v>9069.3519557178</v>
      </c>
      <c r="AL77" s="39" t="n">
        <f aca="false">AL76-LN(AG77/AG76)*(AK76+AK77)/2</f>
        <v>124178.821352888</v>
      </c>
      <c r="AM77" s="39" t="n">
        <f aca="false">Sheet1!M$10*10/Sheet1!M$11*1000*AL77/(Sheet1!M$10*10/Sheet1!M$11*1000-AL77)</f>
        <v>126716.812386394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142.711440135442</v>
      </c>
      <c r="AR77" s="37" t="n">
        <f aca="false">(AV77-AV$51)/(AV$116-AV$51)*(AR$116-AR$51)+AR$51</f>
        <v>0.0511924926757213</v>
      </c>
      <c r="AS77" s="39" t="n">
        <f aca="false">AS69+0.05*(AS116-AS69)</f>
        <v>144.343573775284</v>
      </c>
      <c r="AT77" s="39" t="n">
        <f aca="false">8314.4621*AS77/(Sheet1!R$22*Sheet1!R$12*9.80665)</f>
        <v>10140.512167227</v>
      </c>
      <c r="AU77" s="39" t="n">
        <f aca="false">AU76-LN(AP77/AP76)*(AT76+AT77)/2</f>
        <v>177418.125259341</v>
      </c>
      <c r="AV77" s="39" t="n">
        <f aca="false">Sheet1!R$10*10/Sheet1!R$11*1000*AU77/(Sheet1!R$10*10/Sheet1!R$11*1000-AU77)</f>
        <v>182093.477413414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217.882945099016</v>
      </c>
      <c r="T78" s="37" t="n">
        <f aca="false">(X78-X$54)/(X$100-X$54)*(T$100-T$54)+T$54</f>
        <v>1.4453798011665</v>
      </c>
      <c r="U78" s="39" t="n">
        <f aca="false">(X78-X$77)/(X$90-X$77)*(U$90-U$77)+U$77</f>
        <v>221.606274552912</v>
      </c>
      <c r="V78" s="39" t="n">
        <f aca="false">8314.4621*U78/(Sheet1!H$20*Sheet1!H$12*9.80665)</f>
        <v>43983.2264190973</v>
      </c>
      <c r="W78" s="39" t="n">
        <f aca="false">W77-LN(R78/R77)*(V77+V78)/2</f>
        <v>1200099.86089517</v>
      </c>
      <c r="X78" s="39" t="n">
        <f aca="false">Sheet1!H$10*10/Sheet1!H$11*1000*W78/(Sheet1!H$10*10/Sheet1!H$11*1000-W78)</f>
        <v>1224910.10569484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294.490390462137</v>
      </c>
      <c r="AI78" s="37" t="n">
        <f aca="false">(AM78-AM$62)/(AM$95-AM$62)*(AI$95-AI$62)+AI$62</f>
        <v>0.2</v>
      </c>
      <c r="AJ78" s="39" t="n">
        <f aca="false">(AM78-AM$75)/(AM$80-AM$75)*(AJ$80-AJ$75)+AJ$75</f>
        <v>295.857202291104</v>
      </c>
      <c r="AK78" s="39" t="n">
        <f aca="false">8314.4621*AJ78/(Sheet1!M$21*Sheet1!M$12*9.80665)</f>
        <v>9775.8808976225</v>
      </c>
      <c r="AL78" s="39" t="n">
        <f aca="false">AL77-LN(AG78/AG77)*(AK77+AK78)/2</f>
        <v>126348.458964993</v>
      </c>
      <c r="AM78" s="39" t="n">
        <f aca="false">Sheet1!M$10*10/Sheet1!M$11*1000*AL78/(Sheet1!M$10*10/Sheet1!M$11*1000-AL78)</f>
        <v>128976.850300086</v>
      </c>
      <c r="AN78" s="41"/>
      <c r="AO78" s="37" t="n">
        <f aca="false">AO77+(AO$86-AO$77)/9</f>
        <v>-3.38888888888889</v>
      </c>
      <c r="AP78" s="40" t="n">
        <f aca="false">10^AO78</f>
        <v>0.000408423865267452</v>
      </c>
      <c r="AQ78" s="39" t="n">
        <f aca="false">AS78-AR78*((Sheet1!R$19-Sheet1!R$20)*COS(RADIANS(38))+Sheet1!R$20)/2</f>
        <v>146.017783316882</v>
      </c>
      <c r="AR78" s="37" t="n">
        <f aca="false">(AV78-AV$51)/(AV$116-AV$51)*(AR$116-AR$51)+AR$51</f>
        <v>0.0529347577463186</v>
      </c>
      <c r="AS78" s="39" t="n">
        <f aca="false">(AV78-AV$77)/(AV$86-AV$77)*(AS$86-AS$77)+AS$77</f>
        <v>147.705464348198</v>
      </c>
      <c r="AT78" s="39" t="n">
        <f aca="false">8314.4621*AS78/(Sheet1!R$22*Sheet1!R$12*9.80665)</f>
        <v>10376.6937399003</v>
      </c>
      <c r="AU78" s="39" t="n">
        <f aca="false">AU77-LN(AP78/AP77)*(AT77+AT78)/2</f>
        <v>179517.796924748</v>
      </c>
      <c r="AV78" s="39" t="n">
        <f aca="false">Sheet1!R$10*10/Sheet1!R$11*1000*AU78/(Sheet1!R$10*10/Sheet1!R$11*1000-AU78)</f>
        <v>184305.958967281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217.820758419661</v>
      </c>
      <c r="T79" s="37" t="n">
        <f aca="false">(X79-X$54)/(X$100-X$54)*(T$100-T$54)+T$54</f>
        <v>1.4693970723705</v>
      </c>
      <c r="U79" s="39" t="n">
        <f aca="false">(X79-X$77)/(X$90-X$77)*(U$90-U$77)+U$77</f>
        <v>221.605956880724</v>
      </c>
      <c r="V79" s="39" t="n">
        <f aca="false">8314.4621*U79/(Sheet1!H$20*Sheet1!H$12*9.80665)</f>
        <v>43983.1633692228</v>
      </c>
      <c r="W79" s="39" t="n">
        <f aca="false">W78-LN(R79/R78)*(V78+V79)/2</f>
        <v>1210227.36578573</v>
      </c>
      <c r="X79" s="39" t="n">
        <f aca="false">Sheet1!H$10*10/Sheet1!H$11*1000*W79/(Sheet1!H$10*10/Sheet1!H$11*1000-W79)</f>
        <v>1235462.52160863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317.556311283651</v>
      </c>
      <c r="AI79" s="37" t="n">
        <f aca="false">(AM79-AM$62)/(AM$95-AM$62)*(AI$95-AI$62)+AI$62</f>
        <v>0.2</v>
      </c>
      <c r="AJ79" s="39" t="n">
        <f aca="false">(AM79-AM$75)/(AM$80-AM$75)*(AJ$80-AJ$75)+AJ$75</f>
        <v>318.923123112618</v>
      </c>
      <c r="AK79" s="39" t="n">
        <f aca="false">8314.4621*AJ79/(Sheet1!M$21*Sheet1!M$12*9.80665)</f>
        <v>10538.0380903456</v>
      </c>
      <c r="AL79" s="39" t="n">
        <f aca="false">AL78-LN(AG79/AG78)*(AK78+AK79)/2</f>
        <v>128687.185317093</v>
      </c>
      <c r="AM79" s="39" t="n">
        <f aca="false">Sheet1!M$10*10/Sheet1!M$11*1000*AL79/(Sheet1!M$10*10/Sheet1!M$11*1000-AL79)</f>
        <v>131414.831243158</v>
      </c>
      <c r="AN79" s="41"/>
      <c r="AO79" s="37" t="n">
        <f aca="false">AO78+(AO$86-AO$77)/9</f>
        <v>-3.47777777777778</v>
      </c>
      <c r="AP79" s="40" t="n">
        <f aca="false">10^AO79</f>
        <v>0.000332829813945462</v>
      </c>
      <c r="AQ79" s="39" t="n">
        <f aca="false">AS79-AR79*((Sheet1!R$19-Sheet1!R$20)*COS(RADIANS(38))+Sheet1!R$20)/2</f>
        <v>149.403295317311</v>
      </c>
      <c r="AR79" s="37" t="n">
        <f aca="false">(AV79-AV$51)/(AV$116-AV$51)*(AR$116-AR$51)+AR$51</f>
        <v>0.0547187405275213</v>
      </c>
      <c r="AS79" s="39" t="n">
        <f aca="false">(AV79-AV$77)/(AV$86-AV$77)*(AS$86-AS$77)+AS$77</f>
        <v>151.14785379604</v>
      </c>
      <c r="AT79" s="39" t="n">
        <f aca="false">8314.4621*AS79/(Sheet1!R$22*Sheet1!R$12*9.80665)</f>
        <v>10618.5305682894</v>
      </c>
      <c r="AU79" s="39" t="n">
        <f aca="false">AU78-LN(AP79/AP78)*(AT78+AT79)/2</f>
        <v>181666.387614352</v>
      </c>
      <c r="AV79" s="39" t="n">
        <f aca="false">Sheet1!R$10*10/Sheet1!R$11*1000*AU79/(Sheet1!R$10*10/Sheet1!R$11*1000-AU79)</f>
        <v>186571.417342381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217.758550123617</v>
      </c>
      <c r="T80" s="37" t="n">
        <f aca="false">(X80-X$54)/(X$100-X$54)*(T$100-T$54)+T$54</f>
        <v>1.49342269220848</v>
      </c>
      <c r="U80" s="39" t="n">
        <f aca="false">(X80-X$77)/(X$90-X$77)*(U$90-U$77)+U$77</f>
        <v>221.605639098106</v>
      </c>
      <c r="V80" s="39" t="n">
        <f aca="false">8314.4621*U80/(Sheet1!H$20*Sheet1!H$12*9.80665)</f>
        <v>43983.100297431</v>
      </c>
      <c r="W80" s="39" t="n">
        <f aca="false">W79-LN(R80/R79)*(V79+V80)/2</f>
        <v>1220354.85615599</v>
      </c>
      <c r="X80" s="39" t="n">
        <f aca="false">Sheet1!H$10*10/Sheet1!H$11*1000*W80/(Sheet1!H$10*10/Sheet1!H$11*1000-W80)</f>
        <v>1246018.60564346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342.441256098461</v>
      </c>
      <c r="AI80" s="37" t="n">
        <f aca="false">(AM80-AM$62)/(AM$95-AM$62)*(AI$95-AI$62)+AI$62</f>
        <v>0.2</v>
      </c>
      <c r="AJ80" s="39" t="n">
        <f aca="false">0.18*(320*LOG(Sheet1!M15)-AJ62)+AJ62</f>
        <v>343.808067927428</v>
      </c>
      <c r="AK80" s="39" t="n">
        <f aca="false">8314.4621*AJ80/(Sheet1!M$21*Sheet1!M$12*9.80665)</f>
        <v>11360.300501974</v>
      </c>
      <c r="AL80" s="39" t="n">
        <f aca="false">AL79-LN(AG80/AG79)*(AK79+AK80)/2</f>
        <v>131208.324717293</v>
      </c>
      <c r="AM80" s="39" t="n">
        <f aca="false">Sheet1!M$10*10/Sheet1!M$11*1000*AL80/(Sheet1!M$10*10/Sheet1!M$11*1000-AL80)</f>
        <v>134045.071370706</v>
      </c>
      <c r="AN80" s="41"/>
      <c r="AO80" s="37" t="n">
        <f aca="false">AO79+(AO$86-AO$77)/9</f>
        <v>-3.56666666666667</v>
      </c>
      <c r="AP80" s="40" t="n">
        <f aca="false">10^AO80</f>
        <v>0.000271227257933203</v>
      </c>
      <c r="AQ80" s="39" t="n">
        <f aca="false">AS80-AR80*((Sheet1!R$19-Sheet1!R$20)*COS(RADIANS(38))+Sheet1!R$20)/2</f>
        <v>152.869974527291</v>
      </c>
      <c r="AR80" s="37" t="n">
        <f aca="false">(AV80-AV$51)/(AV$116-AV$51)*(AR$116-AR$51)+AR$51</f>
        <v>0.0565454940637</v>
      </c>
      <c r="AS80" s="39" t="n">
        <f aca="false">(AV80-AV$77)/(AV$86-AV$77)*(AS$86-AS$77)+AS$77</f>
        <v>154.672774082832</v>
      </c>
      <c r="AT80" s="39" t="n">
        <f aca="false">8314.4621*AS80/(Sheet1!R$22*Sheet1!R$12*9.80665)</f>
        <v>10866.1654031617</v>
      </c>
      <c r="AU80" s="39" t="n">
        <f aca="false">AU79-LN(AP80/AP79)*(AT79+AT80)/2</f>
        <v>183865.069421969</v>
      </c>
      <c r="AV80" s="39" t="n">
        <f aca="false">Sheet1!R$10*10/Sheet1!R$11*1000*AU80/(Sheet1!R$10*10/Sheet1!R$11*1000-AU80)</f>
        <v>188891.189787151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217.696911347662</v>
      </c>
      <c r="T81" s="37" t="n">
        <f aca="false">(X81-X$54)/(X$100-X$54)*(T$100-T$54)+T$54</f>
        <v>1.51745669708846</v>
      </c>
      <c r="U81" s="39" t="n">
        <f aca="false">(X81-X$77)/(X$90-X$77)*(U$90-U$77)+U$77</f>
        <v>221.605912435627</v>
      </c>
      <c r="V81" s="39" t="n">
        <f aca="false">8314.4621*U81/(Sheet1!H$20*Sheet1!H$12*9.80665)</f>
        <v>43983.1545479981</v>
      </c>
      <c r="W81" s="39" t="n">
        <f aca="false">W80-LN(R81/R80)*(V80+V81)/2</f>
        <v>1230482.34551067</v>
      </c>
      <c r="X81" s="39" t="n">
        <f aca="false">Sheet1!H$10*10/Sheet1!H$11*1000*W81/(Sheet1!H$10*10/Sheet1!H$11*1000-W81)</f>
        <v>1256578.37379587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365.282400850886</v>
      </c>
      <c r="AI81" s="37" t="n">
        <f aca="false">(AM81-AM$62)/(AM$95-AM$62)*(AI$95-AI$62)+AI$62</f>
        <v>0.2</v>
      </c>
      <c r="AJ81" s="39" t="n">
        <f aca="false">(AM81-AM$80)/(AM$95-AM$80)*(AJ$95-AJ$80)+AJ$80</f>
        <v>366.649212679853</v>
      </c>
      <c r="AK81" s="39" t="n">
        <f aca="false">8314.4621*AJ81/(Sheet1!M$21*Sheet1!M$12*9.80665)</f>
        <v>12115.0305167781</v>
      </c>
      <c r="AL81" s="39" t="n">
        <f aca="false">AL80-LN(AG81/AG80)*(AK80+AK81)/2</f>
        <v>133911.022080137</v>
      </c>
      <c r="AM81" s="39" t="n">
        <f aca="false">Sheet1!M$10*10/Sheet1!M$11*1000*AL81/(Sheet1!M$10*10/Sheet1!M$11*1000-AL81)</f>
        <v>136867.154425017</v>
      </c>
      <c r="AN81" s="41"/>
      <c r="AO81" s="37" t="n">
        <f aca="false">AO80+(AO$86-AO$77)/9</f>
        <v>-3.65555555555556</v>
      </c>
      <c r="AP81" s="40" t="n">
        <f aca="false">10^AO81</f>
        <v>0.000221026549797064</v>
      </c>
      <c r="AQ81" s="39" t="n">
        <f aca="false">AS81-AR81*((Sheet1!R$19-Sheet1!R$20)*COS(RADIANS(38))+Sheet1!R$20)/2</f>
        <v>156.419874690996</v>
      </c>
      <c r="AR81" s="37" t="n">
        <f aca="false">(AV81-AV$51)/(AV$116-AV$51)*(AR$116-AR$51)+AR$51</f>
        <v>0.0584161005676011</v>
      </c>
      <c r="AS81" s="39" t="n">
        <f aca="false">(AV81-AV$77)/(AV$86-AV$77)*(AS$86-AS$77)+AS$77</f>
        <v>158.282313456162</v>
      </c>
      <c r="AT81" s="39" t="n">
        <f aca="false">8314.4621*AS81/(Sheet1!R$22*Sheet1!R$12*9.80665)</f>
        <v>11119.7449493514</v>
      </c>
      <c r="AU81" s="39" t="n">
        <f aca="false">AU80-LN(AP81/AP80)*(AT80+AT81)/2</f>
        <v>186115.044063462</v>
      </c>
      <c r="AV81" s="39" t="n">
        <f aca="false">Sheet1!R$10*10/Sheet1!R$11*1000*AU81/(Sheet1!R$10*10/Sheet1!R$11*1000-AU81)</f>
        <v>191266.650590602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217.63459401712</v>
      </c>
      <c r="T82" s="37" t="n">
        <f aca="false">(X82-X$54)/(X$100-X$54)*(T$100-T$54)+T$54</f>
        <v>1.54149908782908</v>
      </c>
      <c r="U82" s="39" t="n">
        <f aca="false">(X82-X$77)/(X$90-X$77)*(U$90-U$77)+U$77</f>
        <v>221.605528820717</v>
      </c>
      <c r="V82" s="39" t="n">
        <f aca="false">8314.4621*U82/(Sheet1!H$20*Sheet1!H$12*9.80665)</f>
        <v>43983.0784101655</v>
      </c>
      <c r="W82" s="39" t="n">
        <f aca="false">W81-LN(R82/R81)*(V81+V82)/2</f>
        <v>1240609.83234549</v>
      </c>
      <c r="X82" s="39" t="n">
        <f aca="false">Sheet1!H$10*10/Sheet1!H$11*1000*W82/(Sheet1!H$10*10/Sheet1!H$11*1000-W82)</f>
        <v>1267141.82642551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389.663708489142</v>
      </c>
      <c r="AI82" s="37" t="n">
        <f aca="false">(AM82-AM$62)/(AM$95-AM$62)*(AI$95-AI$62)+AI$62</f>
        <v>0.2</v>
      </c>
      <c r="AJ82" s="39" t="n">
        <f aca="false">(AM82-AM$80)/(AM$95-AM$80)*(AJ$95-AJ$80)+AJ$80</f>
        <v>391.030520318109</v>
      </c>
      <c r="AK82" s="39" t="n">
        <f aca="false">8314.4621*AJ82/(Sheet1!M$21*Sheet1!M$12*9.80665)</f>
        <v>12920.6514641612</v>
      </c>
      <c r="AL82" s="39" t="n">
        <f aca="false">AL81-LN(AG82/AG81)*(AK81+AK82)/2</f>
        <v>136793.36148625</v>
      </c>
      <c r="AM82" s="39" t="n">
        <f aca="false">Sheet1!M$10*10/Sheet1!M$11*1000*AL82/(Sheet1!M$10*10/Sheet1!M$11*1000-AL82)</f>
        <v>139879.587119374</v>
      </c>
      <c r="AN82" s="41"/>
      <c r="AO82" s="37" t="n">
        <f aca="false">AO81+(AO$86-AO$77)/9</f>
        <v>-3.74444444444444</v>
      </c>
      <c r="AP82" s="40" t="n">
        <f aca="false">10^AO82</f>
        <v>0.000180117352833413</v>
      </c>
      <c r="AQ82" s="39" t="n">
        <f aca="false">AS82-AR82*((Sheet1!R$19-Sheet1!R$20)*COS(RADIANS(38))+Sheet1!R$20)/2</f>
        <v>160.055106673635</v>
      </c>
      <c r="AR82" s="37" t="n">
        <f aca="false">(AV82-AV$51)/(AV$116-AV$51)*(AR$116-AR$51)+AR$51</f>
        <v>0.0603316723516871</v>
      </c>
      <c r="AS82" s="39" t="n">
        <f aca="false">(AV82-AV$77)/(AV$86-AV$77)*(AS$86-AS$77)+AS$77</f>
        <v>161.978618244303</v>
      </c>
      <c r="AT82" s="39" t="n">
        <f aca="false">8314.4621*AS82/(Sheet1!R$22*Sheet1!R$12*9.80665)</f>
        <v>11379.4199920123</v>
      </c>
      <c r="AU82" s="39" t="n">
        <f aca="false">AU81-LN(AP82/AP81)*(AT81+AT82)/2</f>
        <v>188417.543698964</v>
      </c>
      <c r="AV82" s="39" t="n">
        <f aca="false">Sheet1!R$10*10/Sheet1!R$11*1000*AU82/(Sheet1!R$10*10/Sheet1!R$11*1000-AU82)</f>
        <v>193699.212265013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217.572255031686</v>
      </c>
      <c r="T83" s="37" t="n">
        <f aca="false">(X83-X$54)/(X$100-X$54)*(T$100-T$54)+T$54</f>
        <v>1.56554983315718</v>
      </c>
      <c r="U83" s="39" t="n">
        <f aca="false">(X83-X$77)/(X$90-X$77)*(U$90-U$77)+U$77</f>
        <v>221.605145072513</v>
      </c>
      <c r="V83" s="39" t="n">
        <f aca="false">8314.4621*U83/(Sheet1!H$20*Sheet1!H$12*9.80665)</f>
        <v>43983.0022458773</v>
      </c>
      <c r="W83" s="39" t="n">
        <f aca="false">W82-LN(R83/R82)*(V82+V83)/2</f>
        <v>1250737.30164587</v>
      </c>
      <c r="X83" s="39" t="n">
        <f aca="false">Sheet1!H$10*10/Sheet1!H$11*1000*W83/(Sheet1!H$10*10/Sheet1!H$11*1000-W83)</f>
        <v>1277708.94979198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415.692977249001</v>
      </c>
      <c r="AI83" s="37" t="n">
        <f aca="false">(AM83-AM$62)/(AM$95-AM$62)*(AI$95-AI$62)+AI$62</f>
        <v>0.2</v>
      </c>
      <c r="AJ83" s="39" t="n">
        <f aca="false">(AM83-AM$80)/(AM$95-AM$80)*(AJ$95-AJ$80)+AJ$80</f>
        <v>417.059789077969</v>
      </c>
      <c r="AK83" s="39" t="n">
        <f aca="false">8314.4621*AJ83/(Sheet1!M$21*Sheet1!M$12*9.80665)</f>
        <v>13780.7252743577</v>
      </c>
      <c r="AL83" s="39" t="n">
        <f aca="false">AL82-LN(AG83/AG82)*(AK82+AK83)/2</f>
        <v>139867.471088276</v>
      </c>
      <c r="AM83" s="39" t="n">
        <f aca="false">Sheet1!M$10*10/Sheet1!M$11*1000*AL83/(Sheet1!M$10*10/Sheet1!M$11*1000-AL83)</f>
        <v>143095.603373387</v>
      </c>
      <c r="AN83" s="41"/>
      <c r="AO83" s="37" t="n">
        <f aca="false">AO82+(AO$86-AO$77)/9</f>
        <v>-3.83333333333333</v>
      </c>
      <c r="AP83" s="40" t="n">
        <f aca="false">10^AO83</f>
        <v>0.000146779926762207</v>
      </c>
      <c r="AQ83" s="39" t="n">
        <f aca="false">AS83-AR83*((Sheet1!R$19-Sheet1!R$20)*COS(RADIANS(38))+Sheet1!R$20)/2</f>
        <v>163.777840296341</v>
      </c>
      <c r="AR83" s="37" t="n">
        <f aca="false">(AV83-AV$51)/(AV$116-AV$51)*(AR$116-AR$51)+AR$51</f>
        <v>0.0622933527950205</v>
      </c>
      <c r="AS83" s="39" t="n">
        <f aca="false">(AV83-AV$77)/(AV$86-AV$77)*(AS$86-AS$77)+AS$77</f>
        <v>165.763894721925</v>
      </c>
      <c r="AT83" s="39" t="n">
        <f aca="false">8314.4621*AS83/(Sheet1!R$22*Sheet1!R$12*9.80665)</f>
        <v>11645.3455276888</v>
      </c>
      <c r="AU83" s="39" t="n">
        <f aca="false">AU82-LN(AP83/AP82)*(AT82+AT83)/2</f>
        <v>190773.831781424</v>
      </c>
      <c r="AV83" s="39" t="n">
        <f aca="false">Sheet1!R$10*10/Sheet1!R$11*1000*AU83/(Sheet1!R$10*10/Sheet1!R$11*1000-AU83)</f>
        <v>196190.326773766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217.509894380108</v>
      </c>
      <c r="T84" s="37" t="n">
        <f aca="false">(X84-X$54)/(X$100-X$54)*(T$100-T$54)+T$54</f>
        <v>1.58960893741369</v>
      </c>
      <c r="U84" s="39" t="n">
        <f aca="false">(X84-X$77)/(X$90-X$77)*(U$90-U$77)+U$77</f>
        <v>221.604761190945</v>
      </c>
      <c r="V84" s="39" t="n">
        <f aca="false">8314.4621*U84/(Sheet1!H$20*Sheet1!H$12*9.80665)</f>
        <v>43982.9260551197</v>
      </c>
      <c r="W84" s="39" t="n">
        <f aca="false">W83-LN(R84/R83)*(V83+V84)/2</f>
        <v>1260864.75340573</v>
      </c>
      <c r="X84" s="39" t="n">
        <f aca="false">Sheet1!H$10*10/Sheet1!H$11*1000*W84/(Sheet1!H$10*10/Sheet1!H$11*1000-W84)</f>
        <v>1288279.74580255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443.484996030374</v>
      </c>
      <c r="AI84" s="37" t="n">
        <f aca="false">(AM84-AM$62)/(AM$95-AM$62)*(AI$95-AI$62)+AI$62</f>
        <v>0.2</v>
      </c>
      <c r="AJ84" s="39" t="n">
        <f aca="false">(AM84-AM$80)/(AM$95-AM$80)*(AJ$95-AJ$80)+AJ$80</f>
        <v>444.851807859341</v>
      </c>
      <c r="AK84" s="39" t="n">
        <f aca="false">8314.4621*AJ84/(Sheet1!M$21*Sheet1!M$12*9.80665)</f>
        <v>14699.0448670775</v>
      </c>
      <c r="AL84" s="39" t="n">
        <f aca="false">AL83-LN(AG84/AG83)*(AK83+AK84)/2</f>
        <v>143146.325797255</v>
      </c>
      <c r="AM84" s="39" t="n">
        <f aca="false">Sheet1!M$10*10/Sheet1!M$11*1000*AL84/(Sheet1!M$10*10/Sheet1!M$11*1000-AL84)</f>
        <v>146529.414062459</v>
      </c>
      <c r="AN84" s="41"/>
      <c r="AO84" s="37" t="n">
        <f aca="false">AO83+(AO$86-AO$77)/9</f>
        <v>-3.92222222222222</v>
      </c>
      <c r="AP84" s="40" t="n">
        <f aca="false">10^AO84</f>
        <v>0.000119612833307875</v>
      </c>
      <c r="AQ84" s="39" t="n">
        <f aca="false">AS84-AR84*((Sheet1!R$19-Sheet1!R$20)*COS(RADIANS(38))+Sheet1!R$20)/2</f>
        <v>167.590306241589</v>
      </c>
      <c r="AR84" s="37" t="n">
        <f aca="false">(AV84-AV$51)/(AV$116-AV$51)*(AR$116-AR$51)+AR$51</f>
        <v>0.0643023173473191</v>
      </c>
      <c r="AS84" s="39" t="n">
        <f aca="false">(AV84-AV$77)/(AV$86-AV$77)*(AS$86-AS$77)+AS$77</f>
        <v>169.640411047524</v>
      </c>
      <c r="AT84" s="39" t="n">
        <f aca="false">8314.4621*AS84/(Sheet1!R$22*Sheet1!R$12*9.80665)</f>
        <v>11917.6809004252</v>
      </c>
      <c r="AU84" s="39" t="n">
        <f aca="false">AU83-LN(AP84/AP83)*(AT83+AT84)/2</f>
        <v>193185.2039325</v>
      </c>
      <c r="AV84" s="39" t="n">
        <f aca="false">Sheet1!R$10*10/Sheet1!R$11*1000*AU84/(Sheet1!R$10*10/Sheet1!R$11*1000-AU84)</f>
        <v>198741.486806384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217.447512051128</v>
      </c>
      <c r="T85" s="37" t="n">
        <f aca="false">(X85-X$54)/(X$100-X$54)*(T$100-T$54)+T$54</f>
        <v>1.61367640494254</v>
      </c>
      <c r="U85" s="39" t="n">
        <f aca="false">(X85-X$77)/(X$90-X$77)*(U$90-U$77)+U$77</f>
        <v>221.604377175943</v>
      </c>
      <c r="V85" s="39" t="n">
        <f aca="false">8314.4621*U85/(Sheet1!H$20*Sheet1!H$12*9.80665)</f>
        <v>43982.8498378791</v>
      </c>
      <c r="W85" s="39" t="n">
        <f aca="false">W84-LN(R85/R84)*(V84+V85)/2</f>
        <v>1270992.18761898</v>
      </c>
      <c r="X85" s="39" t="n">
        <f aca="false">Sheet1!H$10*10/Sheet1!H$11*1000*W85/(Sheet1!H$10*10/Sheet1!H$11*1000-W85)</f>
        <v>1298854.21636578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473.163473450737</v>
      </c>
      <c r="AI85" s="37" t="n">
        <f aca="false">(AM85-AM$62)/(AM$95-AM$62)*(AI$95-AI$62)+AI$62</f>
        <v>0.2</v>
      </c>
      <c r="AJ85" s="39" t="n">
        <f aca="false">(AM85-AM$80)/(AM$95-AM$80)*(AJ$95-AJ$80)+AJ$80</f>
        <v>474.530285279704</v>
      </c>
      <c r="AK85" s="39" t="n">
        <f aca="false">8314.4621*AJ85/(Sheet1!M$21*Sheet1!M$12*9.80665)</f>
        <v>15679.6978923798</v>
      </c>
      <c r="AL85" s="39" t="n">
        <f aca="false">AL84-LN(AG85/AG84)*(AK84+AK85)/2</f>
        <v>146643.82745577</v>
      </c>
      <c r="AM85" s="39" t="n">
        <f aca="false">Sheet1!M$10*10/Sheet1!M$11*1000*AL85/(Sheet1!M$10*10/Sheet1!M$11*1000-AL85)</f>
        <v>150196.305043065</v>
      </c>
      <c r="AN85" s="41"/>
      <c r="AO85" s="37" t="n">
        <f aca="false">AO84+(AO$86-AO$77)/9</f>
        <v>-4.01111111111111</v>
      </c>
      <c r="AP85" s="40" t="n">
        <f aca="false">10^AO85</f>
        <v>9.74740225556604E-005</v>
      </c>
      <c r="AQ85" s="39" t="n">
        <f aca="false">AS85-AR85*((Sheet1!R$19-Sheet1!R$20)*COS(RADIANS(38))+Sheet1!R$20)/2</f>
        <v>171.494798032406</v>
      </c>
      <c r="AR85" s="37" t="n">
        <f aca="false">(AV85-AV$51)/(AV$116-AV$51)*(AR$116-AR$51)+AR$51</f>
        <v>0.0663597745718934</v>
      </c>
      <c r="AS85" s="39" t="n">
        <f aca="false">(AV85-AV$77)/(AV$86-AV$77)*(AS$86-AS$77)+AS$77</f>
        <v>173.61049927589</v>
      </c>
      <c r="AT85" s="39" t="n">
        <f aca="false">8314.4621*AS85/(Sheet1!R$22*Sheet1!R$12*9.80665)</f>
        <v>12196.589943147</v>
      </c>
      <c r="AU85" s="39" t="n">
        <f aca="false">AU84-LN(AP85/AP84)*(AT84+AT85)/2</f>
        <v>195652.988846848</v>
      </c>
      <c r="AV85" s="39" t="n">
        <f aca="false">Sheet1!R$10*10/Sheet1!R$11*1000*AU85/(Sheet1!R$10*10/Sheet1!R$11*1000-AU85)</f>
        <v>201354.227102946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217.384107761912</v>
      </c>
      <c r="T86" s="37" t="n">
        <f aca="false">(X86-X$54)/(X$100-X$54)*(T$100-T$54)+T$54</f>
        <v>1.63775218573709</v>
      </c>
      <c r="U86" s="39" t="n">
        <f aca="false">(X86-X$77)/(X$90-X$77)*(U$90-U$77)+U$77</f>
        <v>221.602992615857</v>
      </c>
      <c r="V86" s="39" t="n">
        <f aca="false">8314.4621*U86/(Sheet1!H$20*Sheet1!H$12*9.80665)</f>
        <v>43982.575037809</v>
      </c>
      <c r="W86" s="39" t="n">
        <f aca="false">W85-LN(R86/R85)*(V85+V86)/2</f>
        <v>1281119.58141986</v>
      </c>
      <c r="X86" s="39" t="n">
        <f aca="false">Sheet1!H$10*10/Sheet1!H$11*1000*W86/(Sheet1!H$10*10/Sheet1!H$11*1000-W86)</f>
        <v>1309432.33951039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504.860876874446</v>
      </c>
      <c r="AI86" s="37" t="n">
        <f aca="false">(AM86-AM$62)/(AM$95-AM$62)*(AI$95-AI$62)+AI$62</f>
        <v>0.2</v>
      </c>
      <c r="AJ86" s="39" t="n">
        <f aca="false">(AM86-AM$80)/(AM$95-AM$80)*(AJ$95-AJ$80)+AJ$80</f>
        <v>506.227688703414</v>
      </c>
      <c r="AK86" s="39" t="n">
        <f aca="false">8314.4621*AJ86/(Sheet1!M$21*Sheet1!M$12*9.80665)</f>
        <v>16727.0614117887</v>
      </c>
      <c r="AL86" s="39" t="n">
        <f aca="false">AL85-LN(AG86/AG85)*(AK85+AK86)/2</f>
        <v>150374.793500071</v>
      </c>
      <c r="AM86" s="39" t="n">
        <f aca="false">Sheet1!M$10*10/Sheet1!M$11*1000*AL86/(Sheet1!M$10*10/Sheet1!M$11*1000-AL86)</f>
        <v>154112.641341603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175.493674088803</v>
      </c>
      <c r="AR86" s="37" t="n">
        <f aca="false">(AV86-AV$51)/(AV$116-AV$51)*(AR$116-AR$51)+AR$51</f>
        <v>0.0684669672292736</v>
      </c>
      <c r="AS86" s="39" t="n">
        <f aca="false">AS69+0.28*(AS116-AS69)</f>
        <v>177.676557449078</v>
      </c>
      <c r="AT86" s="39" t="n">
        <f aca="false">8314.4621*AS86/(Sheet1!R$22*Sheet1!R$12*9.80665)</f>
        <v>12482.2411245571</v>
      </c>
      <c r="AU86" s="39" t="n">
        <f aca="false">AU85-LN(AP86/AP85)*(AT85+AT86)/2</f>
        <v>198178.549225915</v>
      </c>
      <c r="AV86" s="39" t="n">
        <f aca="false">Sheet1!R$10*10/Sheet1!R$11*1000*AU86/(Sheet1!R$10*10/Sheet1!R$11*1000-AU86)</f>
        <v>204030.12583017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217.321932302583</v>
      </c>
      <c r="T87" s="37" t="n">
        <f aca="false">(X87-X$54)/(X$100-X$54)*(T$100-T$54)+T$54</f>
        <v>1.66183629767854</v>
      </c>
      <c r="U87" s="39" t="n">
        <f aca="false">(X87-X$77)/(X$90-X$77)*(U$90-U$77)+U$77</f>
        <v>221.602858346871</v>
      </c>
      <c r="V87" s="39" t="n">
        <f aca="false">8314.4621*U87/(Sheet1!H$20*Sheet1!H$12*9.80665)</f>
        <v>43982.5483888199</v>
      </c>
      <c r="W87" s="39" t="n">
        <f aca="false">W86-LN(R87/R86)*(V86+V87)/2</f>
        <v>1291246.94051514</v>
      </c>
      <c r="X87" s="39" t="n">
        <f aca="false">Sheet1!H$10*10/Sheet1!H$11*1000*W87/(Sheet1!H$10*10/Sheet1!H$11*1000-W87)</f>
        <v>1320014.12309278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538.720161062206</v>
      </c>
      <c r="AI87" s="37" t="n">
        <f aca="false">(AM87-AM$62)/(AM$95-AM$62)*(AI$95-AI$62)+AI$62</f>
        <v>0.2</v>
      </c>
      <c r="AJ87" s="39" t="n">
        <f aca="false">(AM87-AM$80)/(AM$95-AM$80)*(AJ$95-AJ$80)+AJ$80</f>
        <v>540.086972891173</v>
      </c>
      <c r="AK87" s="39" t="n">
        <f aca="false">8314.4621*AJ87/(Sheet1!M$21*Sheet1!M$12*9.80665)</f>
        <v>17845.8590173058</v>
      </c>
      <c r="AL87" s="39" t="n">
        <f aca="false">AL86-LN(AG87/AG86)*(AK86+AK87)/2</f>
        <v>154355.148060136</v>
      </c>
      <c r="AM87" s="39" t="n">
        <f aca="false">Sheet1!M$10*10/Sheet1!M$11*1000*AL87/(Sheet1!M$10*10/Sheet1!M$11*1000-AL87)</f>
        <v>158296.086093409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180.945342937973</v>
      </c>
      <c r="AR87" s="37" t="n">
        <f aca="false">(AV87-AV$51)/(AV$116-AV$51)*(AR$116-AR$51)+AR$51</f>
        <v>0.0704165703265865</v>
      </c>
      <c r="AS87" s="39" t="n">
        <f aca="false">(AV87-AV$86)/(AV$96-AV$86)*(AS$96-AS$86)+AS$86</f>
        <v>183.190384099776</v>
      </c>
      <c r="AT87" s="39" t="n">
        <f aca="false">8314.4621*AS87/(Sheet1!R$22*Sheet1!R$12*9.80665)</f>
        <v>12869.601813897</v>
      </c>
      <c r="AU87" s="39" t="n">
        <f aca="false">AU86-LN(AP87/AP86)*(AT86+AT87)/2</f>
        <v>200513.540251115</v>
      </c>
      <c r="AV87" s="39" t="n">
        <f aca="false">Sheet1!R$10*10/Sheet1!R$11*1000*AU87/(Sheet1!R$10*10/Sheet1!R$11*1000-AU87)</f>
        <v>206505.903461807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217.259735148939</v>
      </c>
      <c r="T88" s="37" t="n">
        <f aca="false">(X88-X$54)/(X$100-X$54)*(T$100-T$54)+T$54</f>
        <v>1.68592881306633</v>
      </c>
      <c r="U88" s="39" t="n">
        <f aca="false">(X88-X$77)/(X$90-X$77)*(U$90-U$77)+U$77</f>
        <v>221.602724031029</v>
      </c>
      <c r="V88" s="39" t="n">
        <f aca="false">8314.4621*U88/(Sheet1!H$20*Sheet1!H$12*9.80665)</f>
        <v>43982.521730531</v>
      </c>
      <c r="W88" s="39" t="n">
        <f aca="false">W87-LN(R88/R87)*(V87+V88)/2</f>
        <v>1301374.29347319</v>
      </c>
      <c r="X88" s="39" t="n">
        <f aca="false">Sheet1!H$10*10/Sheet1!H$11*1000*W88/(Sheet1!H$10*10/Sheet1!H$11*1000-W88)</f>
        <v>1330599.59887901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574.895425345491</v>
      </c>
      <c r="AI88" s="37" t="n">
        <f aca="false">(AM88-AM$62)/(AM$95-AM$62)*(AI$95-AI$62)+AI$62</f>
        <v>0.2</v>
      </c>
      <c r="AJ88" s="39" t="n">
        <f aca="false">(AM88-AM$80)/(AM$95-AM$80)*(AJ$95-AJ$80)+AJ$80</f>
        <v>576.262237174458</v>
      </c>
      <c r="AK88" s="39" t="n">
        <f aca="false">8314.4621*AJ88/(Sheet1!M$21*Sheet1!M$12*9.80665)</f>
        <v>19041.1825461394</v>
      </c>
      <c r="AL88" s="39" t="n">
        <f aca="false">AL87-LN(AG88/AG87)*(AK87+AK88)/2</f>
        <v>158601.925661568</v>
      </c>
      <c r="AM88" s="39" t="n">
        <f aca="false">Sheet1!M$10*10/Sheet1!M$11*1000*AL88/(Sheet1!M$10*10/Sheet1!M$11*1000-AL88)</f>
        <v>162765.625936577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186.57022924902</v>
      </c>
      <c r="AR88" s="37" t="n">
        <f aca="false">(AV88-AV$51)/(AV$116-AV$51)*(AR$116-AR$51)+AR$51</f>
        <v>0.072428118730837</v>
      </c>
      <c r="AS88" s="39" t="n">
        <f aca="false">(AV88-AV$86)/(AV$96-AV$86)*(AS$96-AS$86)+AS$86</f>
        <v>188.879403170279</v>
      </c>
      <c r="AT88" s="39" t="n">
        <f aca="false">8314.4621*AS88/(Sheet1!R$22*Sheet1!R$12*9.80665)</f>
        <v>13269.2702272192</v>
      </c>
      <c r="AU88" s="39" t="n">
        <f aca="false">AU87-LN(AP88/AP87)*(AT87+AT88)/2</f>
        <v>202921.019335497</v>
      </c>
      <c r="AV88" s="39" t="n">
        <f aca="false">Sheet1!R$10*10/Sheet1!R$11*1000*AU88/(Sheet1!R$10*10/Sheet1!R$11*1000-AU88)</f>
        <v>209060.344697084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217.197516289638</v>
      </c>
      <c r="T89" s="37" t="n">
        <f aca="false">(X89-X$54)/(X$100-X$54)*(T$100-T$54)+T$54</f>
        <v>1.71002973629431</v>
      </c>
      <c r="U89" s="39" t="n">
        <f aca="false">(X89-X$77)/(X$90-X$77)*(U$90-U$77)+U$77</f>
        <v>221.602589668306</v>
      </c>
      <c r="V89" s="39" t="n">
        <f aca="false">8314.4621*U89/(Sheet1!H$20*Sheet1!H$12*9.80665)</f>
        <v>43982.4950629375</v>
      </c>
      <c r="W89" s="39" t="n">
        <f aca="false">W88-LN(R89/R88)*(V88+V89)/2</f>
        <v>1311501.64029187</v>
      </c>
      <c r="X89" s="39" t="n">
        <f aca="false">Sheet1!H$10*10/Sheet1!H$11*1000*W89/(Sheet1!H$10*10/Sheet1!H$11*1000-W89)</f>
        <v>1341188.7687996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613.551330016659</v>
      </c>
      <c r="AI89" s="37" t="n">
        <f aca="false">(AM89-AM$62)/(AM$95-AM$62)*(AI$95-AI$62)+AI$62</f>
        <v>0.2</v>
      </c>
      <c r="AJ89" s="39" t="n">
        <f aca="false">(AM89-AM$80)/(AM$95-AM$80)*(AJ$95-AJ$80)+AJ$80</f>
        <v>614.918141845626</v>
      </c>
      <c r="AK89" s="39" t="n">
        <f aca="false">8314.4621*AJ89/(Sheet1!M$21*Sheet1!M$12*9.80665)</f>
        <v>20318.4727967359</v>
      </c>
      <c r="AL89" s="39" t="n">
        <f aca="false">AL88-LN(AG89/AG88)*(AK88+AK89)/2</f>
        <v>163133.373444463</v>
      </c>
      <c r="AM89" s="39" t="n">
        <f aca="false">Sheet1!M$10*10/Sheet1!M$11*1000*AL89/(Sheet1!M$10*10/Sheet1!M$11*1000-AL89)</f>
        <v>167541.702993157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192.374093112442</v>
      </c>
      <c r="AR89" s="37" t="n">
        <f aca="false">(AV89-AV$51)/(AV$116-AV$51)*(AR$116-AR$51)+AR$51</f>
        <v>0.0745036723415874</v>
      </c>
      <c r="AS89" s="39" t="n">
        <f aca="false">(AV89-AV$86)/(AV$96-AV$86)*(AS$96-AS$86)+AS$86</f>
        <v>194.749440425391</v>
      </c>
      <c r="AT89" s="39" t="n">
        <f aca="false">8314.4621*AS89/(Sheet1!R$22*Sheet1!R$12*9.80665)</f>
        <v>13681.655639681</v>
      </c>
      <c r="AU89" s="39" t="n">
        <f aca="false">AU88-LN(AP89/AP88)*(AT88+AT89)/2</f>
        <v>205403.291341238</v>
      </c>
      <c r="AV89" s="39" t="n">
        <f aca="false">Sheet1!R$10*10/Sheet1!R$11*1000*AU89/(Sheet1!R$10*10/Sheet1!R$11*1000-AU89)</f>
        <v>211696.065377792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217.135275626098</v>
      </c>
      <c r="T90" s="37" t="n">
        <f aca="false">(X90-X$54)/(X$100-X$54)*(T$100-T$54)+T$54</f>
        <v>1.73413907175466</v>
      </c>
      <c r="U90" s="39" t="n">
        <f aca="false">70/610*(U$170-U$54)+U$54</f>
        <v>221.602455171437</v>
      </c>
      <c r="V90" s="39" t="n">
        <f aca="false">8314.4621*U90/(Sheet1!H$20*Sheet1!H$12*9.80665)</f>
        <v>43982.4683687193</v>
      </c>
      <c r="W90" s="39" t="n">
        <f aca="false">W89-LN(R90/R89)*(V89+V90)/2</f>
        <v>1321628.98096704</v>
      </c>
      <c r="X90" s="39" t="n">
        <f aca="false">Sheet1!H$10*10/Sheet1!H$11*1000*W90/(Sheet1!H$10*10/Sheet1!H$11*1000-W90)</f>
        <v>1351781.63478432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217.135275626098</v>
      </c>
      <c r="AA90" s="39" t="n">
        <f aca="false">IF(Y90=LOG(Sheet1!H$17*101325),(LOG(Sheet1!H$17*101325)-Q100)/(Q90-Q100)*(X90-X100)+X100,IF(Y90=0,0,X90))</f>
        <v>1351781.63478432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654.866495155718</v>
      </c>
      <c r="AI90" s="37" t="n">
        <f aca="false">(AM90-AM$62)/(AM$95-AM$62)*(AI$95-AI$62)+AI$62</f>
        <v>0.2</v>
      </c>
      <c r="AJ90" s="39" t="n">
        <f aca="false">(AM90-AM$80)/(AM$95-AM$80)*(AJ$95-AJ$80)+AJ$80</f>
        <v>656.233306984685</v>
      </c>
      <c r="AK90" s="39" t="n">
        <f aca="false">8314.4621*AJ90/(Sheet1!M$21*Sheet1!M$12*9.80665)</f>
        <v>21683.6318347357</v>
      </c>
      <c r="AL90" s="39" t="n">
        <f aca="false">AL89-LN(AG90/AG89)*(AK89+AK90)/2</f>
        <v>167969.044444403</v>
      </c>
      <c r="AM90" s="39" t="n">
        <f aca="false">Sheet1!M$10*10/Sheet1!M$11*1000*AL90/(Sheet1!M$10*10/Sheet1!M$11*1000-AL90)</f>
        <v>172646.341377964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198.36290253177</v>
      </c>
      <c r="AR90" s="37" t="n">
        <f aca="false">(AV90-AV$51)/(AV$116-AV$51)*(AR$116-AR$51)+AR$51</f>
        <v>0.0766453654113921</v>
      </c>
      <c r="AS90" s="39" t="n">
        <f aca="false">(AV90-AV$86)/(AV$96-AV$86)*(AS$96-AS$86)+AS$86</f>
        <v>200.80653191349</v>
      </c>
      <c r="AT90" s="39" t="n">
        <f aca="false">8314.4621*AS90/(Sheet1!R$22*Sheet1!R$12*9.80665)</f>
        <v>14107.1820994089</v>
      </c>
      <c r="AU90" s="39" t="n">
        <f aca="false">AU89-LN(AP90/AP89)*(AT89+AT90)/2</f>
        <v>207962.737882424</v>
      </c>
      <c r="AV90" s="39" t="n">
        <f aca="false">Sheet1!R$10*10/Sheet1!R$11*1000*AU90/(Sheet1!R$10*10/Sheet1!R$11*1000-AU90)</f>
        <v>214415.775765697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221.281703113201</v>
      </c>
      <c r="T91" s="37" t="n">
        <f aca="false">(X91-X$54)/(X$100-X$54)*(T$100-T$54)+T$54</f>
        <v>1.75848591950556</v>
      </c>
      <c r="U91" s="39" t="n">
        <f aca="false">(X91-X$90)/(X$100-X$90)*(U$100-U$90)+U$90</f>
        <v>225.811600661979</v>
      </c>
      <c r="V91" s="39" t="n">
        <f aca="false">8314.4621*U91/(Sheet1!H$20*Sheet1!H$12*9.80665)</f>
        <v>44817.8770209108</v>
      </c>
      <c r="W91" s="39" t="n">
        <f aca="false">W90-LN(R91/R90)*(V90+V91)/2</f>
        <v>1331852.49854439</v>
      </c>
      <c r="X91" s="39" t="n">
        <f aca="false">Sheet1!H$10*10/Sheet1!H$11*1000*W91/(Sheet1!H$10*10/Sheet1!H$11*1000-W91)</f>
        <v>1362478.85602461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699.033139104608</v>
      </c>
      <c r="AI91" s="37" t="n">
        <f aca="false">(AM91-AM$62)/(AM$95-AM$62)*(AI$95-AI$62)+AI$62</f>
        <v>0.2</v>
      </c>
      <c r="AJ91" s="39" t="n">
        <f aca="false">(AM91-AM$80)/(AM$95-AM$80)*(AJ$95-AJ$80)+AJ$80</f>
        <v>700.399950933576</v>
      </c>
      <c r="AK91" s="39" t="n">
        <f aca="false">8314.4621*AJ91/(Sheet1!M$21*Sheet1!M$12*9.80665)</f>
        <v>23143.0110472357</v>
      </c>
      <c r="AL91" s="39" t="n">
        <f aca="false">AL90-LN(AG91/AG90)*(AK90+AK91)/2</f>
        <v>173129.902427853</v>
      </c>
      <c r="AM91" s="39" t="n">
        <f aca="false">Sheet1!M$10*10/Sheet1!M$11*1000*AL91/(Sheet1!M$10*10/Sheet1!M$11*1000-AL91)</f>
        <v>178103.290377056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204.542841971651</v>
      </c>
      <c r="AR91" s="37" t="n">
        <f aca="false">(AV91-AV$51)/(AV$116-AV$51)*(AR$116-AR$51)+AR$51</f>
        <v>0.0788554096027288</v>
      </c>
      <c r="AS91" s="39" t="n">
        <f aca="false">(AV91-AV$86)/(AV$96-AV$86)*(AS$96-AS$86)+AS$86</f>
        <v>207.056932612077</v>
      </c>
      <c r="AT91" s="39" t="n">
        <f aca="false">8314.4621*AS91/(Sheet1!R$22*Sheet1!R$12*9.80665)</f>
        <v>14546.2890348708</v>
      </c>
      <c r="AU91" s="39" t="n">
        <f aca="false">AU90-LN(AP91/AP90)*(AT90+AT91)/2</f>
        <v>210601.820102277</v>
      </c>
      <c r="AV91" s="39" t="n">
        <f aca="false">Sheet1!R$10*10/Sheet1!R$11*1000*AU91/(Sheet1!R$10*10/Sheet1!R$11*1000-AU91)</f>
        <v>217222.284424502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225.508438048312</v>
      </c>
      <c r="T92" s="37" t="n">
        <f aca="false">(X92-X$54)/(X$100-X$54)*(T$100-T$54)+T$54</f>
        <v>1.78330414326723</v>
      </c>
      <c r="U92" s="39" t="n">
        <f aca="false">(X92-X$90)/(X$100-X$90)*(U$100-U$90)+U$90</f>
        <v>230.102267875271</v>
      </c>
      <c r="V92" s="39" t="n">
        <f aca="false">8314.4621*U92/(Sheet1!H$20*Sheet1!H$12*9.80665)</f>
        <v>45669.465667992</v>
      </c>
      <c r="W92" s="39" t="n">
        <f aca="false">W91-LN(R92/R91)*(V91+V92)/2</f>
        <v>1342270.23886339</v>
      </c>
      <c r="X92" s="39" t="n">
        <f aca="false">Sheet1!H$10*10/Sheet1!H$11*1000*W92/(Sheet1!H$10*10/Sheet1!H$11*1000-W92)</f>
        <v>1373383.18471166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746.258684682169</v>
      </c>
      <c r="AI92" s="37" t="n">
        <f aca="false">(AM92-AM$62)/(AM$95-AM$62)*(AI$95-AI$62)+AI$62</f>
        <v>0.2</v>
      </c>
      <c r="AJ92" s="39" t="n">
        <f aca="false">(AM92-AM$80)/(AM$95-AM$80)*(AJ$95-AJ$80)+AJ$80</f>
        <v>747.625496511137</v>
      </c>
      <c r="AK92" s="39" t="n">
        <f aca="false">8314.4621*AJ92/(Sheet1!M$21*Sheet1!M$12*9.80665)</f>
        <v>24703.4642162521</v>
      </c>
      <c r="AL92" s="39" t="n">
        <f aca="false">AL91-LN(AG92/AG91)*(AK91+AK92)/2</f>
        <v>178638.431462553</v>
      </c>
      <c r="AM92" s="39" t="n">
        <f aca="false">Sheet1!M$10*10/Sheet1!M$11*1000*AL92/(Sheet1!M$10*10/Sheet1!M$11*1000-AL92)</f>
        <v>183938.177845854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210.920321323023</v>
      </c>
      <c r="AR92" s="37" t="n">
        <f aca="false">(AV92-AV$51)/(AV$116-AV$51)*(AR$116-AR$51)+AR$51</f>
        <v>0.0811360971940848</v>
      </c>
      <c r="AS92" s="39" t="n">
        <f aca="false">(AV92-AV$86)/(AV$96-AV$86)*(AS$96-AS$86)+AS$86</f>
        <v>213.507125495166</v>
      </c>
      <c r="AT92" s="39" t="n">
        <f aca="false">8314.4621*AS92/(Sheet1!R$22*Sheet1!R$12*9.80665)</f>
        <v>14999.4318918832</v>
      </c>
      <c r="AU92" s="39" t="n">
        <f aca="false">AU91-LN(AP92/AP91)*(AT91+AT92)/2</f>
        <v>213323.081564986</v>
      </c>
      <c r="AV92" s="39" t="n">
        <f aca="false">Sheet1!R$10*10/Sheet1!R$11*1000*AU92/(Sheet1!R$10*10/Sheet1!R$11*1000-AU92)</f>
        <v>220118.502291213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229.817050084596</v>
      </c>
      <c r="T93" s="37" t="n">
        <f aca="false">(X93-X$54)/(X$100-X$54)*(T$100-T$54)+T$54</f>
        <v>1.80860321439653</v>
      </c>
      <c r="U93" s="39" t="n">
        <f aca="false">(X93-X$90)/(X$100-X$90)*(U$100-U$90)+U$90</f>
        <v>234.476050862897</v>
      </c>
      <c r="V93" s="39" t="n">
        <f aca="false">8314.4621*U93/(Sheet1!H$20*Sheet1!H$12*9.80665)</f>
        <v>46537.5506887832</v>
      </c>
      <c r="W93" s="39" t="n">
        <f aca="false">W92-LN(R93/R92)*(V92+V93)/2</f>
        <v>1352885.96393002</v>
      </c>
      <c r="X93" s="39" t="n">
        <f aca="false">Sheet1!H$10*10/Sheet1!H$11*1000*W93/(Sheet1!H$10*10/Sheet1!H$11*1000-W93)</f>
        <v>1384498.78225484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796.767147223582</v>
      </c>
      <c r="AI93" s="37" t="n">
        <f aca="false">(AM93-AM$62)/(AM$95-AM$62)*(AI$95-AI$62)+AI$62</f>
        <v>0.2</v>
      </c>
      <c r="AJ93" s="39" t="n">
        <f aca="false">(AM93-AM$80)/(AM$95-AM$80)*(AJ$95-AJ$80)+AJ$80</f>
        <v>798.133959052549</v>
      </c>
      <c r="AK93" s="39" t="n">
        <f aca="false">8314.4621*AJ93/(Sheet1!M$21*Sheet1!M$12*9.80665)</f>
        <v>26372.3933831042</v>
      </c>
      <c r="AL93" s="39" t="n">
        <f aca="false">AL92-LN(AG93/AG92)*(AK92+AK93)/2</f>
        <v>184518.756878562</v>
      </c>
      <c r="AM93" s="39" t="n">
        <f aca="false">Sheet1!M$10*10/Sheet1!M$11*1000*AL93/(Sheet1!M$10*10/Sheet1!M$11*1000-AL93)</f>
        <v>190178.681706511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217.501985309752</v>
      </c>
      <c r="AR93" s="37" t="n">
        <f aca="false">(AV93-AV$51)/(AV$116-AV$51)*(AR$116-AR$51)+AR$51</f>
        <v>0.0834898044439214</v>
      </c>
      <c r="AS93" s="39" t="n">
        <f aca="false">(AV93-AV$86)/(AV$96-AV$86)*(AS$96-AS$86)+AS$86</f>
        <v>220.163831047171</v>
      </c>
      <c r="AT93" s="39" t="n">
        <f aca="false">8314.4621*AS93/(Sheet1!R$22*Sheet1!R$12*9.80665)</f>
        <v>15467.0828019878</v>
      </c>
      <c r="AU93" s="39" t="n">
        <f aca="false">AU92-LN(AP93/AP92)*(AT92+AT93)/2</f>
        <v>216129.151267769</v>
      </c>
      <c r="AV93" s="39" t="n">
        <f aca="false">Sheet1!R$10*10/Sheet1!R$11*1000*AU93/(Sheet1!R$10*10/Sheet1!R$11*1000-AU93)</f>
        <v>223107.446947999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234.20920118121</v>
      </c>
      <c r="T94" s="37" t="n">
        <f aca="false">(X94-X$54)/(X$100-X$54)*(T$100-T$54)+T$54</f>
        <v>1.83439280628208</v>
      </c>
      <c r="U94" s="39" t="n">
        <f aca="false">(X94-X$90)/(X$100-X$90)*(U$100-U$90)+U$90</f>
        <v>238.93463650287</v>
      </c>
      <c r="V94" s="39" t="n">
        <f aca="false">8314.4621*U94/(Sheet1!H$20*Sheet1!H$12*9.80665)</f>
        <v>47422.4668857976</v>
      </c>
      <c r="W94" s="39" t="n">
        <f aca="false">W93-LN(R94/R93)*(V93+V94)/2</f>
        <v>1363703.51072025</v>
      </c>
      <c r="X94" s="39" t="n">
        <f aca="false">Sheet1!H$10*10/Sheet1!H$11*1000*W94/(Sheet1!H$10*10/Sheet1!H$11*1000-W94)</f>
        <v>1395829.89882972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850.800517003815</v>
      </c>
      <c r="AI94" s="37" t="n">
        <f aca="false">(AM94-AM$62)/(AM$95-AM$62)*(AI$95-AI$62)+AI$62</f>
        <v>0.2</v>
      </c>
      <c r="AJ94" s="39" t="n">
        <f aca="false">(AM94-AM$80)/(AM$95-AM$80)*(AJ$95-AJ$80)+AJ$80</f>
        <v>852.167328832783</v>
      </c>
      <c r="AK94" s="39" t="n">
        <f aca="false">8314.4621*AJ94/(Sheet1!M$21*Sheet1!M$12*9.80665)</f>
        <v>28157.7945272312</v>
      </c>
      <c r="AL94" s="39" t="n">
        <f aca="false">AL93-LN(AG94/AG93)*(AK93+AK94)/2</f>
        <v>190796.776768587</v>
      </c>
      <c r="AM94" s="39" t="n">
        <f aca="false">Sheet1!M$10*10/Sheet1!M$11*1000*AL94/(Sheet1!M$10*10/Sheet1!M$11*1000-AL94)</f>
        <v>196854.719672656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224.294723362835</v>
      </c>
      <c r="AR94" s="37" t="n">
        <f aca="false">(AV94-AV$51)/(AV$116-AV$51)*(AR$116-AR$51)+AR$51</f>
        <v>0.0859189951218441</v>
      </c>
      <c r="AS94" s="39" t="n">
        <f aca="false">(AV94-AV$86)/(AV$96-AV$86)*(AS$96-AS$86)+AS$86</f>
        <v>227.034017249695</v>
      </c>
      <c r="AT94" s="39" t="n">
        <f aca="false">8314.4621*AS94/(Sheet1!R$22*Sheet1!R$12*9.80665)</f>
        <v>15949.7312840482</v>
      </c>
      <c r="AU94" s="39" t="n">
        <f aca="false">AU93-LN(AP94/AP93)*(AT93+AT94)/2</f>
        <v>219022.746779124</v>
      </c>
      <c r="AV94" s="39" t="n">
        <f aca="false">Sheet1!R$10*10/Sheet1!R$11*1000*AU94/(Sheet1!R$10*10/Sheet1!R$11*1000-AU94)</f>
        <v>226192.247106386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238.686574430879</v>
      </c>
      <c r="T95" s="37" t="n">
        <f aca="false">(X95-X$54)/(X$100-X$54)*(T$100-T$54)+T$54</f>
        <v>1.86068280159071</v>
      </c>
      <c r="U95" s="39" t="n">
        <f aca="false">(X95-X$90)/(X$100-X$90)*(U$100-U$90)+U$90</f>
        <v>243.479733345879</v>
      </c>
      <c r="V95" s="39" t="n">
        <f aca="false">8314.4621*U95/(Sheet1!H$20*Sheet1!H$12*9.80665)</f>
        <v>48324.5533630243</v>
      </c>
      <c r="W95" s="39" t="n">
        <f aca="false">W94-LN(R95/R94)*(V94+V95)/2</f>
        <v>1374726.79379643</v>
      </c>
      <c r="X95" s="39" t="n">
        <f aca="false">Sheet1!H$10*10/Sheet1!H$11*1000*W95/(Sheet1!H$10*10/Sheet1!H$11*1000-W95)</f>
        <v>1407380.87656203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908.621087065895</v>
      </c>
      <c r="AI95" s="37" t="n">
        <v>0.2</v>
      </c>
      <c r="AJ95" s="39" t="n">
        <f aca="false">0.82*(320*LOG(Sheet1!M15)-AJ62)+AJ62</f>
        <v>909.987898894862</v>
      </c>
      <c r="AK95" s="39" t="n">
        <f aca="false">8314.4621*AJ95/(Sheet1!M$21*Sheet1!M$12*9.80665)</f>
        <v>30068.3344836098</v>
      </c>
      <c r="AL95" s="39" t="n">
        <f aca="false">AL94-LN(AG95/AG94)*(AK94+AK95)/2</f>
        <v>197500.307602742</v>
      </c>
      <c r="AM95" s="39" t="n">
        <f aca="false">Sheet1!M$10*10/Sheet1!M$11*1000*AL95/(Sheet1!M$10*10/Sheet1!M$11*1000-AL95)</f>
        <v>203998.662205339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231.30567999005</v>
      </c>
      <c r="AR95" s="37" t="n">
        <f aca="false">(AV95-AV$51)/(AV$116-AV$51)*(AR$116-AR$51)+AR$51</f>
        <v>0.0884262242169543</v>
      </c>
      <c r="AS95" s="39" t="n">
        <f aca="false">(AV95-AV$86)/(AV$96-AV$86)*(AS$96-AS$86)+AS$86</f>
        <v>234.124910069407</v>
      </c>
      <c r="AT95" s="39" t="n">
        <f aca="false">8314.4621*AS95/(Sheet1!R$22*Sheet1!R$12*9.80665)</f>
        <v>16447.8849810512</v>
      </c>
      <c r="AU95" s="39" t="n">
        <f aca="false">AU94-LN(AP95/AP94)*(AT94+AT95)/2</f>
        <v>222006.677509547</v>
      </c>
      <c r="AV95" s="39" t="n">
        <f aca="false">Sheet1!R$10*10/Sheet1!R$11*1000*AU95/(Sheet1!R$10*10/Sheet1!R$11*1000-AU95)</f>
        <v>229376.147316444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243.250889291476</v>
      </c>
      <c r="T96" s="37" t="n">
        <f aca="false">(X96-X$54)/(X$100-X$54)*(T$100-T$54)+T$54</f>
        <v>1.88748329651399</v>
      </c>
      <c r="U96" s="39" t="n">
        <f aca="false">(X96-X$90)/(X$100-X$90)*(U$100-U$90)+U$90</f>
        <v>248.113086857802</v>
      </c>
      <c r="V96" s="39" t="n">
        <f aca="false">8314.4621*U96/(Sheet1!H$20*Sheet1!H$12*9.80665)</f>
        <v>49244.1565511822</v>
      </c>
      <c r="W96" s="39" t="n">
        <f aca="false">W95-LN(R96/R95)*(V95+V96)/2</f>
        <v>1385959.80664599</v>
      </c>
      <c r="X96" s="39" t="n">
        <f aca="false">Sheet1!H$10*10/Sheet1!H$11*1000*W96/(Sheet1!H$10*10/Sheet1!H$11*1000-W96)</f>
        <v>1419156.15139337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238.5422656709</v>
      </c>
      <c r="AR96" s="37" t="n">
        <f aca="false">(AV96-AV$51)/(AV$116-AV$51)*(AR$116-AR$51)+AR$51</f>
        <v>0.091014141834053</v>
      </c>
      <c r="AS96" s="39" t="n">
        <f aca="false">AS69+0.72*(AS116-AS69)</f>
        <v>241.444004477206</v>
      </c>
      <c r="AT96" s="39" t="n">
        <f aca="false">8314.4621*AS96/(Sheet1!R$22*Sheet1!R$12*9.80665)</f>
        <v>16962.0704342319</v>
      </c>
      <c r="AU96" s="39" t="n">
        <f aca="false">AU95-LN(AP96/AP95)*(AT95+AT96)/2</f>
        <v>225083.84812142</v>
      </c>
      <c r="AV96" s="39" t="n">
        <f aca="false">Sheet1!R$10*10/Sheet1!R$11*1000*AU96/(Sheet1!R$10*10/Sheet1!R$11*1000-AU96)</f>
        <v>232662.512914531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247.903902466609</v>
      </c>
      <c r="T97" s="37" t="n">
        <f aca="false">(X97-X$54)/(X$100-X$54)*(T$100-T$54)+T$54</f>
        <v>1.91480460593878</v>
      </c>
      <c r="U97" s="39" t="n">
        <f aca="false">(X97-X$90)/(X$100-X$90)*(U$100-U$90)+U$90</f>
        <v>252.836480313618</v>
      </c>
      <c r="V97" s="39" t="n">
        <f aca="false">8314.4621*U97/(Sheet1!H$20*Sheet1!H$12*9.80665)</f>
        <v>50181.6303851374</v>
      </c>
      <c r="W97" s="39" t="n">
        <f aca="false">W96-LN(R97/R96)*(V96+V97)/2</f>
        <v>1397406.62338893</v>
      </c>
      <c r="X97" s="39" t="n">
        <f aca="false">Sheet1!H$10*10/Sheet1!H$11*1000*W97/(Sheet1!H$10*10/Sheet1!H$11*1000-W97)</f>
        <v>1431160.255353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241.586586883677</v>
      </c>
      <c r="AR97" s="37" t="n">
        <f aca="false">(AV97-AV$51)/(AV$116-AV$51)*(AR$116-AR$51)+AR$51</f>
        <v>0.0936613764053201</v>
      </c>
      <c r="AS97" s="39" t="n">
        <f aca="false">(AV97-AV$96)/(AV$106-AV$96)*(AS$106-AS$96)+AS$96</f>
        <v>244.572725576968</v>
      </c>
      <c r="AT97" s="39" t="n">
        <f aca="false">8314.4621*AS97/(Sheet1!R$22*Sheet1!R$12*9.80665)</f>
        <v>17181.8712438571</v>
      </c>
      <c r="AU97" s="39" t="n">
        <f aca="false">AU96-LN(AP97/AP96)*(AT96+AT97)/2</f>
        <v>228228.621366381</v>
      </c>
      <c r="AV97" s="39" t="n">
        <f aca="false">Sheet1!R$10*10/Sheet1!R$11*1000*AU97/(Sheet1!R$10*10/Sheet1!R$11*1000-AU97)</f>
        <v>236024.204402544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252.647528431514</v>
      </c>
      <c r="T98" s="37" t="n">
        <f aca="false">(X98-X$54)/(X$100-X$54)*(T$100-T$54)+T$54</f>
        <v>1.94265727529298</v>
      </c>
      <c r="U98" s="39" t="n">
        <f aca="false">(X98-X$90)/(X$100-X$90)*(U$100-U$90)+U$90</f>
        <v>257.651855353814</v>
      </c>
      <c r="V98" s="39" t="n">
        <f aca="false">8314.4621*U98/(Sheet1!H$20*Sheet1!H$12*9.80665)</f>
        <v>51137.360231294</v>
      </c>
      <c r="W98" s="39" t="n">
        <f aca="false">W97-LN(R98/R97)*(V97+V98)/2</f>
        <v>1409071.40326046</v>
      </c>
      <c r="X98" s="39" t="n">
        <f aca="false">Sheet1!H$10*10/Sheet1!H$11*1000*W98/(Sheet1!H$10*10/Sheet1!H$11*1000-W98)</f>
        <v>1443397.82176254</v>
      </c>
      <c r="Y98" s="37"/>
      <c r="Z98" s="39"/>
      <c r="AO98" s="37" t="n">
        <f aca="false">AO97+(AO$106-AO$96)/10</f>
        <v>-5.06</v>
      </c>
      <c r="AP98" s="40" t="n">
        <f aca="false">10^AO98</f>
        <v>8.7096358995608E-006</v>
      </c>
      <c r="AQ98" s="39" t="n">
        <f aca="false">AS98-AR98*((Sheet1!R$19-Sheet1!R$20)*COS(RADIANS(38))+Sheet1!R$20)/2</f>
        <v>244.673299459158</v>
      </c>
      <c r="AR98" s="37" t="n">
        <f aca="false">(AV98-AV$51)/(AV$116-AV$51)*(AR$116-AR$51)+AR$51</f>
        <v>0.0963454730134845</v>
      </c>
      <c r="AS98" s="39" t="n">
        <f aca="false">(AV98-AV$96)/(AV$106-AV$96)*(AS$106-AS$96)+AS$96</f>
        <v>247.745013285399</v>
      </c>
      <c r="AT98" s="39" t="n">
        <f aca="false">8314.4621*AS98/(Sheet1!R$22*Sheet1!R$12*9.80665)</f>
        <v>17404.7327212608</v>
      </c>
      <c r="AU98" s="39" t="n">
        <f aca="false">AU97-LN(AP98/AP97)*(AT97+AT98)/2</f>
        <v>231414.165314675</v>
      </c>
      <c r="AV98" s="39" t="n">
        <f aca="false">Sheet1!R$10*10/Sheet1!R$11*1000*AU98/(Sheet1!R$10*10/Sheet1!R$11*1000-AU98)</f>
        <v>239432.706549881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257.4833810174</v>
      </c>
      <c r="T99" s="37" t="n">
        <f aca="false">(X99-X$54)/(X$100-X$54)*(T$100-T$54)+T$54</f>
        <v>1.97105207401091</v>
      </c>
      <c r="U99" s="39" t="n">
        <f aca="false">(X99-X$90)/(X$100-X$90)*(U$100-U$90)+U$90</f>
        <v>262.56085355189</v>
      </c>
      <c r="V99" s="39" t="n">
        <f aca="false">8314.4621*U99/(Sheet1!H$20*Sheet1!H$12*9.80665)</f>
        <v>52111.671900368</v>
      </c>
      <c r="W99" s="39" t="n">
        <f aca="false">W98-LN(R99/R98)*(V98+V99)/2</f>
        <v>1420958.38737308</v>
      </c>
      <c r="X99" s="39" t="n">
        <f aca="false">Sheet1!H$10*10/Sheet1!H$11*1000*W99/(Sheet1!H$10*10/Sheet1!H$11*1000-W99)</f>
        <v>1455873.58236477</v>
      </c>
      <c r="Y99" s="37"/>
      <c r="Z99" s="39"/>
      <c r="AO99" s="37" t="n">
        <f aca="false">AO98+(AO$106-AO$96)/10</f>
        <v>-5.14</v>
      </c>
      <c r="AP99" s="40" t="n">
        <f aca="false">10^AO99</f>
        <v>7.24435960074989E-006</v>
      </c>
      <c r="AQ99" s="39" t="n">
        <f aca="false">AS99-AR99*((Sheet1!R$19-Sheet1!R$20)*COS(RADIANS(38))+Sheet1!R$20)/2</f>
        <v>247.803072051531</v>
      </c>
      <c r="AR99" s="37" t="n">
        <f aca="false">(AV99-AV$51)/(AV$116-AV$51)*(AR$116-AR$51)+AR$51</f>
        <v>0.0990670130966929</v>
      </c>
      <c r="AS99" s="39" t="n">
        <f aca="false">(AV99-AV$96)/(AV$106-AV$96)*(AS$106-AS$96)+AS$96</f>
        <v>250.961554794264</v>
      </c>
      <c r="AT99" s="39" t="n">
        <f aca="false">8314.4621*AS99/(Sheet1!R$22*Sheet1!R$12*9.80665)</f>
        <v>17630.7031434551</v>
      </c>
      <c r="AU99" s="39" t="n">
        <f aca="false">AU98-LN(AP99/AP98)*(AT98+AT99)/2</f>
        <v>234641.048208621</v>
      </c>
      <c r="AV99" s="39" t="n">
        <f aca="false">Sheet1!R$10*10/Sheet1!R$11*1000*AU99/(Sheet1!R$10*10/Sheet1!R$11*1000-AU99)</f>
        <v>242888.757717885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262.413432850684</v>
      </c>
      <c r="T100" s="37" t="n">
        <v>2</v>
      </c>
      <c r="U100" s="39" t="n">
        <f aca="false">110/610*(U$170-U$54)+U$54</f>
        <v>267.565475865111</v>
      </c>
      <c r="V100" s="39" t="n">
        <f aca="false">8314.4621*U100/(Sheet1!H$20*Sheet1!H$12*9.80665)</f>
        <v>53104.9625316399</v>
      </c>
      <c r="W100" s="39" t="n">
        <f aca="false">W99-LN(R100/R99)*(V99+V100)/2</f>
        <v>1433071.90007198</v>
      </c>
      <c r="X100" s="39" t="n">
        <f aca="false">Sheet1!H$10*10/Sheet1!H$11*1000*W100/(Sheet1!H$10*10/Sheet1!H$11*1000-W100)</f>
        <v>1468592.36928622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262.413432850684</v>
      </c>
      <c r="AA100" s="39" t="n">
        <f aca="false">IF(Y100=LOG(Sheet1!H$17*101325),(LOG(Sheet1!H$17*101325)-Q110)/(Q100-Q110)*(X100-X110)+X110,IF(Y100=0,0,X100))</f>
        <v>1468592.36928622</v>
      </c>
      <c r="AB100" s="32" t="n">
        <f aca="false">IF(Y100=0,0,AB90+1)</f>
        <v>8</v>
      </c>
      <c r="AJ100" s="39"/>
      <c r="AO100" s="37" t="n">
        <f aca="false">AO99+(AO$106-AO$96)/10</f>
        <v>-5.22</v>
      </c>
      <c r="AP100" s="40" t="n">
        <f aca="false">10^AO100</f>
        <v>6.02559586074357E-006</v>
      </c>
      <c r="AQ100" s="39" t="n">
        <f aca="false">AS100-AR100*((Sheet1!R$19-Sheet1!R$20)*COS(RADIANS(38))+Sheet1!R$20)/2</f>
        <v>250.976585979749</v>
      </c>
      <c r="AR100" s="37" t="n">
        <f aca="false">(AV100-AV$51)/(AV$116-AV$51)*(AR$116-AR$51)+AR$51</f>
        <v>0.101826589105926</v>
      </c>
      <c r="AS100" s="39" t="n">
        <f aca="false">(AV100-AV$96)/(AV$106-AV$96)*(AS$106-AS$96)+AS$96</f>
        <v>254.223050311206</v>
      </c>
      <c r="AT100" s="39" t="n">
        <f aca="false">8314.4621*AS100/(Sheet1!R$22*Sheet1!R$12*9.80665)</f>
        <v>17859.8317018515</v>
      </c>
      <c r="AU100" s="39" t="n">
        <f aca="false">AU99-LN(AP100/AP99)*(AT99+AT100)/2</f>
        <v>237909.847267709</v>
      </c>
      <c r="AV100" s="39" t="n">
        <f aca="false">Sheet1!R$10*10/Sheet1!R$11*1000*AU100/(Sheet1!R$10*10/Sheet1!R$11*1000-AU100)</f>
        <v>246393.110252962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272.500322094976</v>
      </c>
      <c r="T101" s="37" t="n">
        <f aca="false">(X101-X$100)/(X$170-X$100)*(T$170-T$100)+T$100</f>
        <v>2.01117303155622</v>
      </c>
      <c r="U101" s="39" t="n">
        <f aca="false">(X101-X$100)/(X$125-X$100)*(U$125-U$100)+U$100</f>
        <v>277.681147078993</v>
      </c>
      <c r="V101" s="39" t="n">
        <f aca="false">8314.4621*U101/(Sheet1!H$20*Sheet1!H$12*9.80665)</f>
        <v>55112.6667732229</v>
      </c>
      <c r="W101" s="39" t="n">
        <f aca="false">W100-LN(R101/R100)*(V100+V101)/2</f>
        <v>1445530.91507381</v>
      </c>
      <c r="X101" s="39" t="n">
        <f aca="false">Sheet1!H$10*10/Sheet1!H$11*1000*W101/(Sheet1!H$10*10/Sheet1!H$11*1000-W101)</f>
        <v>1481679.48308148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5.01187233627272E-006</v>
      </c>
      <c r="AQ101" s="39" t="n">
        <f aca="false">AS101-AR101*((Sheet1!R$19-Sheet1!R$20)*COS(RADIANS(38))+Sheet1!R$20)/2</f>
        <v>254.194535525037</v>
      </c>
      <c r="AR101" s="37" t="n">
        <f aca="false">(AV101-AV$51)/(AV$116-AV$51)*(AR$116-AR$51)+AR$51</f>
        <v>0.104624804763697</v>
      </c>
      <c r="AS101" s="39" t="n">
        <f aca="false">(AV101-AV$96)/(AV$106-AV$96)*(AS$106-AS$96)+AS$96</f>
        <v>257.530213365504</v>
      </c>
      <c r="AT101" s="39" t="n">
        <f aca="false">8314.4621*AS101/(Sheet1!R$22*Sheet1!R$12*9.80665)</f>
        <v>18092.1685237409</v>
      </c>
      <c r="AU101" s="39" t="n">
        <f aca="false">AU100-LN(AP101/AP100)*(AT100+AT101)/2</f>
        <v>241221.148859019</v>
      </c>
      <c r="AV101" s="39" t="n">
        <f aca="false">Sheet1!R$10*10/Sheet1!R$11*1000*AU101/(Sheet1!R$10*10/Sheet1!R$11*1000-AU101)</f>
        <v>249946.530815104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282.973208185912</v>
      </c>
      <c r="T102" s="37" t="n">
        <f aca="false">(X102-X$100)/(X$170-X$100)*(T$170-T$100)+T$100</f>
        <v>2.02277366422898</v>
      </c>
      <c r="U102" s="39" t="n">
        <f aca="false">(X102-X$100)/(X$125-X$100)*(U$125-U$100)+U$100</f>
        <v>288.183916649191</v>
      </c>
      <c r="V102" s="39" t="n">
        <f aca="false">8314.4621*U102/(Sheet1!H$20*Sheet1!H$12*9.80665)</f>
        <v>57197.2002232148</v>
      </c>
      <c r="W102" s="39" t="n">
        <f aca="false">W101-LN(R102/R101)*(V101+V102)/2</f>
        <v>1458461.06635092</v>
      </c>
      <c r="X102" s="39" t="n">
        <f aca="false">Sheet1!H$10*10/Sheet1!H$11*1000*W102/(Sheet1!H$10*10/Sheet1!H$11*1000-W102)</f>
        <v>1495267.45149647</v>
      </c>
      <c r="Y102" s="37"/>
      <c r="Z102" s="39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257.457628236979</v>
      </c>
      <c r="AR102" s="37" t="n">
        <f aca="false">(AV102-AV$51)/(AV$116-AV$51)*(AR$116-AR$51)+AR$51</f>
        <v>0.107462275330223</v>
      </c>
      <c r="AS102" s="39" t="n">
        <f aca="false">(AV102-AV$96)/(AV$106-AV$96)*(AS$106-AS$96)+AS$96</f>
        <v>260.883771122644</v>
      </c>
      <c r="AT102" s="39" t="n">
        <f aca="false">8314.4621*AS102/(Sheet1!R$22*Sheet1!R$12*9.80665)</f>
        <v>18327.7646943935</v>
      </c>
      <c r="AU102" s="39" t="n">
        <f aca="false">AU101-LN(AP102/AP101)*(AT101+AT102)/2</f>
        <v>244575.548671656</v>
      </c>
      <c r="AV102" s="39" t="n">
        <f aca="false">Sheet1!R$10*10/Sheet1!R$11*1000*AU102/(Sheet1!R$10*10/Sheet1!R$11*1000-AU102)</f>
        <v>253549.800715893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293.847281949609</v>
      </c>
      <c r="T103" s="37" t="n">
        <f aca="false">(X103-X$100)/(X$170-X$100)*(T$170-T$100)+T$100</f>
        <v>2.03481866389859</v>
      </c>
      <c r="U103" s="39" t="n">
        <f aca="false">(X103-X$100)/(X$125-X$100)*(U$125-U$100)+U$100</f>
        <v>299.089018591091</v>
      </c>
      <c r="V103" s="39" t="n">
        <f aca="false">8314.4621*U103/(Sheet1!H$20*Sheet1!H$12*9.80665)</f>
        <v>59361.5864473938</v>
      </c>
      <c r="W103" s="39" t="n">
        <f aca="false">W102-LN(R103/R102)*(V102+V103)/2</f>
        <v>1471880.39258318</v>
      </c>
      <c r="X103" s="39" t="n">
        <f aca="false">Sheet1!H$10*10/Sheet1!H$11*1000*W103/(Sheet1!H$10*10/Sheet1!H$11*1000-W103)</f>
        <v>1509375.91261974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3.46736850452531E-006</v>
      </c>
      <c r="AQ103" s="39" t="n">
        <f aca="false">AS103-AR103*((Sheet1!R$19-Sheet1!R$20)*COS(RADIANS(38))+Sheet1!R$20)/2</f>
        <v>260.766585248493</v>
      </c>
      <c r="AR103" s="37" t="n">
        <f aca="false">(AV103-AV$51)/(AV$116-AV$51)*(AR$116-AR$51)+AR$51</f>
        <v>0.110339627877303</v>
      </c>
      <c r="AS103" s="39" t="n">
        <f aca="false">(AV103-AV$96)/(AV$106-AV$96)*(AS$106-AS$96)+AS$96</f>
        <v>264.284464708024</v>
      </c>
      <c r="AT103" s="39" t="n">
        <f aca="false">8314.4621*AS103/(Sheet1!R$22*Sheet1!R$12*9.80665)</f>
        <v>18566.6722797998</v>
      </c>
      <c r="AU103" s="39" t="n">
        <f aca="false">AU102-LN(AP103/AP102)*(AT102+AT103)/2</f>
        <v>247973.651895303</v>
      </c>
      <c r="AV103" s="39" t="n">
        <f aca="false">Sheet1!R$10*10/Sheet1!R$11*1000*AU103/(Sheet1!R$10*10/Sheet1!R$11*1000-AU103)</f>
        <v>257203.716266302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305.138283394752</v>
      </c>
      <c r="T104" s="37" t="n">
        <f aca="false">(X104-X$100)/(X$170-X$100)*(T$170-T$100)+T$100</f>
        <v>2.04732548575387</v>
      </c>
      <c r="U104" s="39" t="n">
        <f aca="false">(X104-X$100)/(X$125-X$100)*(U$125-U$100)+U$100</f>
        <v>310.41223787832</v>
      </c>
      <c r="V104" s="39" t="n">
        <f aca="false">8314.4621*U104/(Sheet1!H$20*Sheet1!H$12*9.80665)</f>
        <v>61608.9583627785</v>
      </c>
      <c r="W104" s="39" t="n">
        <f aca="false">W103-LN(R104/R103)*(V103+V104)/2</f>
        <v>1485807.64124174</v>
      </c>
      <c r="X104" s="39" t="n">
        <f aca="false">Sheet1!H$10*10/Sheet1!H$11*1000*W104/(Sheet1!H$10*10/Sheet1!H$11*1000-W104)</f>
        <v>1524025.31193573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2.8840315031266E-006</v>
      </c>
      <c r="AQ104" s="39" t="n">
        <f aca="false">AS104-AR104*((Sheet1!R$19-Sheet1!R$20)*COS(RADIANS(38))+Sheet1!R$20)/2</f>
        <v>264.122141599982</v>
      </c>
      <c r="AR104" s="37" t="n">
        <f aca="false">(AV104-AV$51)/(AV$116-AV$51)*(AR$116-AR$51)+AR$51</f>
        <v>0.113257501570202</v>
      </c>
      <c r="AS104" s="39" t="n">
        <f aca="false">(AV104-AV$96)/(AV$106-AV$96)*(AS$106-AS$96)+AS$96</f>
        <v>267.733049540098</v>
      </c>
      <c r="AT104" s="39" t="n">
        <f aca="false">8314.4621*AS104/(Sheet1!R$22*Sheet1!R$12*9.80665)</f>
        <v>18808.9443500743</v>
      </c>
      <c r="AU104" s="39" t="n">
        <f aca="false">AU103-LN(AP104/AP103)*(AT103+AT104)/2</f>
        <v>251416.07340304</v>
      </c>
      <c r="AV104" s="39" t="n">
        <f aca="false">Sheet1!R$10*10/Sheet1!R$11*1000*AU104/(Sheet1!R$10*10/Sheet1!R$11*1000-AU104)</f>
        <v>260909.089134646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316.862709770931</v>
      </c>
      <c r="T105" s="37" t="n">
        <f aca="false">(X105-X$100)/(X$170-X$100)*(T$170-T$100)+T$100</f>
        <v>2.0603123057142</v>
      </c>
      <c r="U105" s="39" t="n">
        <f aca="false">(X105-X$100)/(X$125-X$100)*(U$125-U$100)+U$100</f>
        <v>322.170118582027</v>
      </c>
      <c r="V105" s="39" t="n">
        <f aca="false">8314.4621*U105/(Sheet1!H$20*Sheet1!H$12*9.80665)</f>
        <v>63942.5995479987</v>
      </c>
      <c r="W105" s="39" t="n">
        <f aca="false">W104-LN(R105/R104)*(V104+V105)/2</f>
        <v>1500262.29852412</v>
      </c>
      <c r="X105" s="39" t="n">
        <f aca="false">Sheet1!H$10*10/Sheet1!H$11*1000*W105/(Sheet1!H$10*10/Sheet1!H$11*1000-W105)</f>
        <v>1539236.93912968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2.39883291901948E-006</v>
      </c>
      <c r="AQ105" s="39" t="n">
        <f aca="false">AS105-AR105*((Sheet1!R$19-Sheet1!R$20)*COS(RADIANS(38))+Sheet1!R$20)/2</f>
        <v>267.525046573</v>
      </c>
      <c r="AR105" s="37" t="n">
        <f aca="false">(AV105-AV$51)/(AV$116-AV$51)*(AR$116-AR$51)+AR$51</f>
        <v>0.116216547957786</v>
      </c>
      <c r="AS105" s="39" t="n">
        <f aca="false">(AV105-AV$96)/(AV$106-AV$96)*(AS$106-AS$96)+AS$96</f>
        <v>271.230295673287</v>
      </c>
      <c r="AT105" s="39" t="n">
        <f aca="false">8314.4621*AS105/(Sheet1!R$22*Sheet1!R$12*9.80665)</f>
        <v>19054.6350035467</v>
      </c>
      <c r="AU105" s="39" t="n">
        <f aca="false">AU104-LN(AP105/AP104)*(AT104+AT105)/2</f>
        <v>254903.437938522</v>
      </c>
      <c r="AV105" s="39" t="n">
        <f aca="false">Sheet1!R$10*10/Sheet1!R$11*1000*AU105/(Sheet1!R$10*10/Sheet1!R$11*1000-AU105)</f>
        <v>264666.746715029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329.03751042096</v>
      </c>
      <c r="T106" s="37" t="n">
        <f aca="false">(X106-X$100)/(X$170-X$100)*(T$170-T$100)+T$100</f>
        <v>2.0737980502448</v>
      </c>
      <c r="U106" s="39" t="n">
        <f aca="false">(X106-X$100)/(X$125-X$100)*(U$125-U$100)+U$100</f>
        <v>334.379658800008</v>
      </c>
      <c r="V106" s="39" t="n">
        <f aca="false">8314.4621*U106/(Sheet1!H$20*Sheet1!H$12*9.80665)</f>
        <v>66365.8836944605</v>
      </c>
      <c r="W106" s="39" t="n">
        <f aca="false">W105-LN(R106/R105)*(V105+V106)/2</f>
        <v>1515264.61707436</v>
      </c>
      <c r="X106" s="39" t="n">
        <f aca="false">Sheet1!H$10*10/Sheet1!H$11*1000*W106/(Sheet1!H$10*10/Sheet1!H$11*1000-W106)</f>
        <v>1555032.96301074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270.976064033751</v>
      </c>
      <c r="AR106" s="37" t="n">
        <f aca="false">(AV106-AV$51)/(AV$116-AV$51)*(AR$116-AR$51)+AR$51</f>
        <v>0.119217431271217</v>
      </c>
      <c r="AS106" s="39" t="n">
        <f aca="false">AS69+0.95*(AS116-AS69)</f>
        <v>274.776988151</v>
      </c>
      <c r="AT106" s="39" t="n">
        <f aca="false">8314.4621*AS106/(Sheet1!R$22*Sheet1!R$12*9.80665)</f>
        <v>19303.799391562</v>
      </c>
      <c r="AU106" s="39" t="n">
        <f aca="false">AU105-LN(AP106/AP105)*(AT105+AT106)/2</f>
        <v>258436.380307672</v>
      </c>
      <c r="AV106" s="39" t="n">
        <f aca="false">Sheet1!R$10*10/Sheet1!R$11*1000*AU106/(Sheet1!R$10*10/Sheet1!R$11*1000-AU106)</f>
        <v>268477.532506653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341.6805108891</v>
      </c>
      <c r="T107" s="37" t="n">
        <f aca="false">(X107-X$100)/(X$170-X$100)*(T$170-T$100)+T$100</f>
        <v>2.087802429028</v>
      </c>
      <c r="U107" s="39" t="n">
        <f aca="false">(X107-X$100)/(X$125-X$100)*(U$125-U$100)+U$100</f>
        <v>347.058734849089</v>
      </c>
      <c r="V107" s="39" t="n">
        <f aca="false">8314.4621*U107/(Sheet1!H$20*Sheet1!H$12*9.80665)</f>
        <v>68882.3587977794</v>
      </c>
      <c r="W107" s="39" t="n">
        <f aca="false">W106-LN(R107/R106)*(V106+V107)/2</f>
        <v>1530835.64642517</v>
      </c>
      <c r="X107" s="39" t="n">
        <f aca="false">Sheet1!H$10*10/Sheet1!H$11*1000*W107/(Sheet1!H$10*10/Sheet1!H$11*1000-W107)</f>
        <v>1571436.46978019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271.592226260804</v>
      </c>
      <c r="AR107" s="37" t="n">
        <f aca="false">(AV107-AV$51)/(AV$116-AV$51)*(AR$116-AR$51)+AR$51</f>
        <v>0.122244951276655</v>
      </c>
      <c r="AS107" s="39" t="n">
        <f aca="false">(AV107-AV$106)/(AV$116-AV$106)*(AS$116-AS$106)+AS$106</f>
        <v>275.489674633621</v>
      </c>
      <c r="AT107" s="39" t="n">
        <f aca="false">8314.4621*AS107/(Sheet1!R$22*Sheet1!R$12*9.80665)</f>
        <v>19353.867473981</v>
      </c>
      <c r="AU107" s="39" t="n">
        <f aca="false">AU106-LN(AP107/AP106)*(AT106+AT107)/2</f>
        <v>261996.883005853</v>
      </c>
      <c r="AV107" s="39" t="n">
        <f aca="false">Sheet1!R$10*10/Sheet1!R$11*1000*AU107/(Sheet1!R$10*10/Sheet1!R$11*1000-AU107)</f>
        <v>272322.143914548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354.810264376032</v>
      </c>
      <c r="T108" s="37" t="n">
        <f aca="false">(X108-X$100)/(X$170-X$100)*(T$170-T$100)+T$100</f>
        <v>2.10234597375159</v>
      </c>
      <c r="U108" s="39" t="n">
        <f aca="false">(X108-X$100)/(X$125-X$100)*(U$125-U$100)+U$100</f>
        <v>360.22595282002</v>
      </c>
      <c r="V108" s="39" t="n">
        <f aca="false">8314.4621*U108/(Sheet1!H$20*Sheet1!H$12*9.80665)</f>
        <v>71495.7176951909</v>
      </c>
      <c r="W108" s="39" t="n">
        <f aca="false">W107-LN(R108/R107)*(V107+V108)/2</f>
        <v>1546997.26974097</v>
      </c>
      <c r="X108" s="39" t="n">
        <f aca="false">Sheet1!H$10*10/Sheet1!H$11*1000*W108/(Sheet1!H$10*10/Sheet1!H$11*1000-W108)</f>
        <v>1588471.50846476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272.210650410943</v>
      </c>
      <c r="AR108" s="37" t="n">
        <f aca="false">(AV108-AV$51)/(AV$116-AV$51)*(AR$116-AR$51)+AR$51</f>
        <v>0.125283585266517</v>
      </c>
      <c r="AS108" s="39" t="n">
        <f aca="false">(AV108-AV$106)/(AV$116-AV$106)*(AS$116-AS$106)+AS$106</f>
        <v>276.204977378546</v>
      </c>
      <c r="AT108" s="39" t="n">
        <f aca="false">8314.4621*AS108/(Sheet1!R$22*Sheet1!R$12*9.80665)</f>
        <v>19404.1193556439</v>
      </c>
      <c r="AU108" s="39" t="n">
        <f aca="false">AU107-LN(AP108/AP107)*(AT107+AT108)/2</f>
        <v>265566.625514188</v>
      </c>
      <c r="AV108" s="39" t="n">
        <f aca="false">Sheet1!R$10*10/Sheet1!R$11*1000*AU108/(Sheet1!R$10*10/Sheet1!R$11*1000-AU108)</f>
        <v>276180.868838202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368.446082024797</v>
      </c>
      <c r="T109" s="37" t="n">
        <f aca="false">(X109-X$100)/(X$170-X$100)*(T$170-T$100)+T$100</f>
        <v>2.11745007496563</v>
      </c>
      <c r="U109" s="39" t="n">
        <f aca="false">(X109-X$100)/(X$125-X$100)*(U$125-U$100)+U$100</f>
        <v>373.900678958359</v>
      </c>
      <c r="V109" s="39" t="n">
        <f aca="false">8314.4621*U109/(Sheet1!H$20*Sheet1!H$12*9.80665)</f>
        <v>74209.8040953851</v>
      </c>
      <c r="W109" s="39" t="n">
        <f aca="false">W108-LN(R109/R108)*(V108+V109)/2</f>
        <v>1563772.23786306</v>
      </c>
      <c r="X109" s="39" t="n">
        <f aca="false">Sheet1!H$10*10/Sheet1!H$11*1000*W109/(Sheet1!H$10*10/Sheet1!H$11*1000-W109)</f>
        <v>1606163.13408747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272.831348603793</v>
      </c>
      <c r="AR109" s="37" t="n">
        <f aca="false">(AV109-AV$51)/(AV$116-AV$51)*(AR$116-AR$51)+AR$51</f>
        <v>0.128333392790716</v>
      </c>
      <c r="AS109" s="39" t="n">
        <f aca="false">(AV109-AV$106)/(AV$116-AV$106)*(AS$116-AS$106)+AS$106</f>
        <v>276.922910403988</v>
      </c>
      <c r="AT109" s="39" t="n">
        <f aca="false">8314.4621*AS109/(Sheet1!R$22*Sheet1!R$12*9.80665)</f>
        <v>19454.5560213668</v>
      </c>
      <c r="AU109" s="39" t="n">
        <f aca="false">AU108-LN(AP109/AP108)*(AT108+AT109)/2</f>
        <v>269145.641780452</v>
      </c>
      <c r="AV109" s="39" t="n">
        <f aca="false">Sheet1!R$10*10/Sheet1!R$11*1000*AU109/(Sheet1!R$10*10/Sheet1!R$11*1000-AU109)</f>
        <v>280053.782899335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382.608085646617</v>
      </c>
      <c r="T110" s="37" t="n">
        <f aca="false">(X110-X$100)/(X$170-X$100)*(T$170-T$100)+T$100</f>
        <v>2.13313702118049</v>
      </c>
      <c r="U110" s="39" t="n">
        <f aca="false">(X110-X$100)/(X$125-X$100)*(U$125-U$100)+U$100</f>
        <v>388.103092491012</v>
      </c>
      <c r="V110" s="39" t="n">
        <f aca="false">8314.4621*U110/(Sheet1!H$20*Sheet1!H$12*9.80665)</f>
        <v>77028.6230632349</v>
      </c>
      <c r="W110" s="39" t="n">
        <f aca="false">W109-LN(R110/R109)*(V109+V110)/2</f>
        <v>1581184.20525622</v>
      </c>
      <c r="X110" s="39" t="n">
        <f aca="false">Sheet1!H$10*10/Sheet1!H$11*1000*W110/(Sheet1!H$10*10/Sheet1!H$11*1000-W110)</f>
        <v>1624537.45346364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9.54992586021435E-007</v>
      </c>
      <c r="AQ110" s="39" t="n">
        <f aca="false">AS110-AR110*((Sheet1!R$19-Sheet1!R$20)*COS(RADIANS(38))+Sheet1!R$20)/2</f>
        <v>273.454333048456</v>
      </c>
      <c r="AR110" s="37" t="n">
        <f aca="false">(AV110-AV$51)/(AV$116-AV$51)*(AR$116-AR$51)+AR$51</f>
        <v>0.131394433838807</v>
      </c>
      <c r="AS110" s="39" t="n">
        <f aca="false">(AV110-AV$106)/(AV$116-AV$106)*(AS$116-AS$106)+AS$106</f>
        <v>277.643487831652</v>
      </c>
      <c r="AT110" s="39" t="n">
        <f aca="false">8314.4621*AS110/(Sheet1!R$22*Sheet1!R$12*9.80665)</f>
        <v>19505.1784632362</v>
      </c>
      <c r="AU110" s="39" t="n">
        <f aca="false">AU109-LN(AP110/AP109)*(AT109+AT110)/2</f>
        <v>272733.965934502</v>
      </c>
      <c r="AV110" s="39" t="n">
        <f aca="false">Sheet1!R$10*10/Sheet1!R$11*1000*AU110/(Sheet1!R$10*10/Sheet1!R$11*1000-AU110)</f>
        <v>283940.962277964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397.317245218372</v>
      </c>
      <c r="T111" s="37" t="n">
        <f aca="false">(X111-X$100)/(X$170-X$100)*(T$170-T$100)+T$100</f>
        <v>2.14943004040195</v>
      </c>
      <c r="U111" s="39" t="n">
        <f aca="false">(X111-X$100)/(X$125-X$100)*(U$125-U$100)+U$100</f>
        <v>402.854223230698</v>
      </c>
      <c r="V111" s="39" t="n">
        <f aca="false">8314.4621*U111/(Sheet1!H$20*Sheet1!H$12*9.80665)</f>
        <v>79956.3484833308</v>
      </c>
      <c r="W111" s="39" t="n">
        <f aca="false">W110-LN(R111/R110)*(V110+V111)/2</f>
        <v>1599257.76802159</v>
      </c>
      <c r="X111" s="39" t="n">
        <f aca="false">Sheet1!H$10*10/Sheet1!H$11*1000*W111/(Sheet1!H$10*10/Sheet1!H$11*1000-W111)</f>
        <v>1643621.67385153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7.94328234724281E-007</v>
      </c>
      <c r="AQ111" s="39" t="n">
        <f aca="false">AS111-AR111*((Sheet1!R$19-Sheet1!R$20)*COS(RADIANS(38))+Sheet1!R$20)/2</f>
        <v>274.079616044355</v>
      </c>
      <c r="AR111" s="37" t="n">
        <f aca="false">(AV111-AV$51)/(AV$116-AV$51)*(AR$116-AR$51)+AR$51</f>
        <v>0.134466768844154</v>
      </c>
      <c r="AS111" s="39" t="n">
        <f aca="false">(AV111-AV$106)/(AV$116-AV$106)*(AS$116-AS$106)+AS$106</f>
        <v>278.366723887718</v>
      </c>
      <c r="AT111" s="39" t="n">
        <f aca="false">8314.4621*AS111/(Sheet1!R$22*Sheet1!R$12*9.80665)</f>
        <v>19555.9876806782</v>
      </c>
      <c r="AU111" s="39" t="n">
        <f aca="false">AU110-LN(AP111/AP110)*(AT110+AT111)/2</f>
        <v>276331.632289619</v>
      </c>
      <c r="AV111" s="39" t="n">
        <f aca="false">Sheet1!R$10*10/Sheet1!R$11*1000*AU111/(Sheet1!R$10*10/Sheet1!R$11*1000-AU111)</f>
        <v>287842.483717696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412.595418381175</v>
      </c>
      <c r="T112" s="37" t="n">
        <f aca="false">(X112-X$100)/(X$170-X$100)*(T$170-T$100)+T$100</f>
        <v>2.16635334388298</v>
      </c>
      <c r="U112" s="39" t="n">
        <f aca="false">(X112-X$100)/(X$125-X$100)*(U$125-U$100)+U$100</f>
        <v>418.175991187242</v>
      </c>
      <c r="V112" s="39" t="n">
        <f aca="false">8314.4621*U112/(Sheet1!H$20*Sheet1!H$12*9.80665)</f>
        <v>82997.3309218161</v>
      </c>
      <c r="W112" s="39" t="n">
        <f aca="false">W111-LN(R112/R111)*(V111+V112)/2</f>
        <v>1618018.50367393</v>
      </c>
      <c r="X112" s="39" t="n">
        <f aca="false">Sheet1!H$10*10/Sheet1!H$11*1000*W112/(Sheet1!H$10*10/Sheet1!H$11*1000-W112)</f>
        <v>1663444.15419929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6.60693448007595E-007</v>
      </c>
      <c r="AQ112" s="39" t="n">
        <f aca="false">AS112-AR112*((Sheet1!R$19-Sheet1!R$20)*COS(RADIANS(38))+Sheet1!R$20)/2</f>
        <v>274.707209982101</v>
      </c>
      <c r="AR112" s="37" t="n">
        <f aca="false">(AV112-AV$51)/(AV$116-AV$51)*(AR$116-AR$51)+AR$51</f>
        <v>0.13755045868815</v>
      </c>
      <c r="AS112" s="39" t="n">
        <f aca="false">(AV112-AV$106)/(AV$116-AV$106)*(AS$116-AS$106)+AS$106</f>
        <v>279.092632903831</v>
      </c>
      <c r="AT112" s="39" t="n">
        <f aca="false">8314.4621*AS112/(Sheet1!R$22*Sheet1!R$12*9.80665)</f>
        <v>19606.9846805284</v>
      </c>
      <c r="AU112" s="39" t="n">
        <f aca="false">AU111-LN(AP112/AP111)*(AT111+AT112)/2</f>
        <v>279938.675343869</v>
      </c>
      <c r="AV112" s="39" t="n">
        <f aca="false">Sheet1!R$10*10/Sheet1!R$11*1000*AU112/(Sheet1!R$10*10/Sheet1!R$11*1000-AU112)</f>
        <v>291758.424531083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428.465392066873</v>
      </c>
      <c r="T113" s="37" t="n">
        <f aca="false">(X113-X$100)/(X$170-X$100)*(T$170-T$100)+T$100</f>
        <v>2.18393217223252</v>
      </c>
      <c r="U113" s="39" t="n">
        <f aca="false">(X113-X$100)/(X$125-X$100)*(U$125-U$100)+U$100</f>
        <v>434.091248312839</v>
      </c>
      <c r="V113" s="39" t="n">
        <f aca="false">8314.4621*U113/(Sheet1!H$20*Sheet1!H$12*9.80665)</f>
        <v>86156.1059117642</v>
      </c>
      <c r="W113" s="39" t="n">
        <f aca="false">W112-LN(R113/R112)*(V112+V113)/2</f>
        <v>1637493.01277801</v>
      </c>
      <c r="X113" s="39" t="n">
        <f aca="false">Sheet1!H$10*10/Sheet1!H$11*1000*W113/(Sheet1!H$10*10/Sheet1!H$11*1000-W113)</f>
        <v>1684034.4591528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5.49540873857624E-007</v>
      </c>
      <c r="AQ113" s="39" t="n">
        <f aca="false">AS113-AR113*((Sheet1!R$19-Sheet1!R$20)*COS(RADIANS(38))+Sheet1!R$20)/2</f>
        <v>275.337127344354</v>
      </c>
      <c r="AR113" s="37" t="n">
        <f aca="false">(AV113-AV$51)/(AV$116-AV$51)*(AR$116-AR$51)+AR$51</f>
        <v>0.140645564704489</v>
      </c>
      <c r="AS113" s="39" t="n">
        <f aca="false">(AV113-AV$106)/(AV$116-AV$106)*(AS$116-AS$106)+AS$106</f>
        <v>279.82122931811</v>
      </c>
      <c r="AT113" s="39" t="n">
        <f aca="false">8314.4621*AS113/(Sheet1!R$22*Sheet1!R$12*9.80665)</f>
        <v>19658.1704771022</v>
      </c>
      <c r="AU113" s="39" t="n">
        <f aca="false">AU112-LN(AP113/AP112)*(AT112+AT113)/2</f>
        <v>283555.129781472</v>
      </c>
      <c r="AV113" s="39" t="n">
        <f aca="false">Sheet1!R$10*10/Sheet1!R$11*1000*AU113/(Sheet1!R$10*10/Sheet1!R$11*1000-AU113)</f>
        <v>295688.862605048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444.950926388744</v>
      </c>
      <c r="T114" s="37" t="n">
        <f aca="false">(X114-X$100)/(X$170-X$100)*(T$170-T$100)+T$100</f>
        <v>2.20219284403226</v>
      </c>
      <c r="U114" s="39" t="n">
        <f aca="false">(X114-X$100)/(X$125-X$100)*(U$125-U$100)+U$100</f>
        <v>450.623822518003</v>
      </c>
      <c r="V114" s="39" t="n">
        <f aca="false">8314.4621*U114/(Sheet1!H$20*Sheet1!H$12*9.80665)</f>
        <v>89437.402689228</v>
      </c>
      <c r="W114" s="39" t="n">
        <f aca="false">W113-LN(R114/R113)*(V113+V114)/2</f>
        <v>1657708.96254457</v>
      </c>
      <c r="X114" s="39" t="n">
        <f aca="false">Sheet1!H$10*10/Sheet1!H$11*1000*W114/(Sheet1!H$10*10/Sheet1!H$11*1000-W114)</f>
        <v>1705423.41600115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4.57088189614874E-007</v>
      </c>
      <c r="AQ114" s="39" t="n">
        <f aca="false">AS114-AR114*((Sheet1!R$19-Sheet1!R$20)*COS(RADIANS(38))+Sheet1!R$20)/2</f>
        <v>275.969380706704</v>
      </c>
      <c r="AR114" s="37" t="n">
        <f aca="false">(AV114-AV$51)/(AV$116-AV$51)*(AR$116-AR$51)+AR$51</f>
        <v>0.14375214868348</v>
      </c>
      <c r="AS114" s="39" t="n">
        <f aca="false">(AV114-AV$106)/(AV$116-AV$106)*(AS$116-AS$106)+AS$106</f>
        <v>280.552527676164</v>
      </c>
      <c r="AT114" s="39" t="n">
        <f aca="false">8314.4621*AS114/(Sheet1!R$22*Sheet1!R$12*9.80665)</f>
        <v>19709.5460922665</v>
      </c>
      <c r="AU114" s="39" t="n">
        <f aca="false">AU113-LN(AP114/AP113)*(AT113+AT114)/2</f>
        <v>287181.030474185</v>
      </c>
      <c r="AV114" s="39" t="n">
        <f aca="false">Sheet1!R$10*10/Sheet1!R$11*1000*AU114/(Sheet1!R$10*10/Sheet1!R$11*1000-AU114)</f>
        <v>299633.876406364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462.076734627419</v>
      </c>
      <c r="T115" s="37" t="n">
        <f aca="false">(X115-X$100)/(X$170-X$100)*(T$170-T$100)+T$100</f>
        <v>2.22116280575363</v>
      </c>
      <c r="U115" s="39" t="n">
        <f aca="false">(X115-X$100)/(X$125-X$100)*(U$125-U$100)+U$100</f>
        <v>467.798497786063</v>
      </c>
      <c r="V115" s="39" t="n">
        <f aca="false">8314.4621*U115/(Sheet1!H$20*Sheet1!H$12*9.80665)</f>
        <v>92846.1402464726</v>
      </c>
      <c r="W115" s="39" t="n">
        <f aca="false">W114-LN(R115/R114)*(V114+V115)/2</f>
        <v>1678695.13097766</v>
      </c>
      <c r="X115" s="39" t="n">
        <f aca="false">Sheet1!H$10*10/Sheet1!H$11*1000*W115/(Sheet1!H$10*10/Sheet1!H$11*1000-W115)</f>
        <v>1727643.17314497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3.8018939632056E-007</v>
      </c>
      <c r="AQ115" s="39" t="n">
        <f aca="false">AS115-AR115*((Sheet1!R$19-Sheet1!R$20)*COS(RADIANS(38))+Sheet1!R$20)/2</f>
        <v>276.603982738564</v>
      </c>
      <c r="AR115" s="37" t="n">
        <f aca="false">(AV115-AV$51)/(AV$116-AV$51)*(AR$116-AR$51)+AR$51</f>
        <v>0.146870272876418</v>
      </c>
      <c r="AS115" s="39" t="n">
        <f aca="false">(AV115-AV$106)/(AV$116-AV$106)*(AS$116-AS$106)+AS$106</f>
        <v>281.286542632117</v>
      </c>
      <c r="AT115" s="39" t="n">
        <f aca="false">8314.4621*AS115/(Sheet1!R$22*Sheet1!R$12*9.80665)</f>
        <v>19761.1125555117</v>
      </c>
      <c r="AU115" s="39" t="n">
        <f aca="false">AU114-LN(AP115/AP114)*(AT114+AT115)/2</f>
        <v>290816.412482707</v>
      </c>
      <c r="AV115" s="39" t="n">
        <f aca="false">Sheet1!R$10*10/Sheet1!R$11*1000*AU115/(Sheet1!R$10*10/Sheet1!R$11*1000-AU115)</f>
        <v>303593.544987205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479.868791491139</v>
      </c>
      <c r="T116" s="37" t="n">
        <f aca="false">(X116-X$100)/(X$170-X$100)*(T$170-T$100)+T$100</f>
        <v>2.24087068850624</v>
      </c>
      <c r="U116" s="39" t="n">
        <f aca="false">(X116-X$100)/(X$125-X$100)*(U$125-U$100)+U$100</f>
        <v>485.641322579615</v>
      </c>
      <c r="V116" s="39" t="n">
        <f aca="false">8314.4621*U116/(Sheet1!H$20*Sheet1!H$12*9.80665)</f>
        <v>96387.4885428345</v>
      </c>
      <c r="W116" s="39" t="n">
        <f aca="false">W115-LN(R116/R115)*(V115+V116)/2</f>
        <v>1700481.45761484</v>
      </c>
      <c r="X116" s="39" t="n">
        <f aca="false">Sheet1!H$10*10/Sheet1!H$11*1000*W116/(Sheet1!H$10*10/Sheet1!H$11*1000-W116)</f>
        <v>1750727.26656664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277.240946204064</v>
      </c>
      <c r="AR116" s="37" t="n">
        <f aca="false">ROUND((5.7*LOG(Sheet1!R15)+4.8)/(Sheet1!R21+Sheet1!R19)/0.05,0)*0.05</f>
        <v>0.15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282.023288949651</v>
      </c>
      <c r="AT116" s="39" t="n">
        <f aca="false">8314.4621*AS116/(Sheet1!R$22*Sheet1!R$12*9.80665)</f>
        <v>19812.870904025</v>
      </c>
      <c r="AU116" s="39" t="n">
        <f aca="false">AU115-LN(AP116/AP115)*(AT115+AT116)/2</f>
        <v>294461.31105808</v>
      </c>
      <c r="AV116" s="39" t="n">
        <f aca="false">Sheet1!R$10*10/Sheet1!R$11*1000*AU116/(Sheet1!R$10*10/Sheet1!R$11*1000-AU116)</f>
        <v>307567.947990757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498.354004343582</v>
      </c>
      <c r="T117" s="37" t="n">
        <f aca="false">(X117-X$100)/(X$170-X$100)*(T$170-T$100)+T$100</f>
        <v>2.26134636532815</v>
      </c>
      <c r="U117" s="39" t="n">
        <f aca="false">(X117-X$100)/(X$125-X$100)*(U$125-U$100)+U$100</f>
        <v>504.179281215927</v>
      </c>
      <c r="V117" s="39" t="n">
        <f aca="false">8314.4621*U117/(Sheet1!H$20*Sheet1!H$12*9.80665)</f>
        <v>100066.803281074</v>
      </c>
      <c r="W117" s="39" t="n">
        <f aca="false">W116-LN(R117/R116)*(V116+V117)/2</f>
        <v>1723099.09380526</v>
      </c>
      <c r="X117" s="39" t="n">
        <f aca="false">Sheet1!H$10*10/Sheet1!H$11*1000*W117/(Sheet1!H$10*10/Sheet1!H$11*1000-W117)</f>
        <v>1774710.68693516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517.560515596034</v>
      </c>
      <c r="T118" s="37" t="n">
        <f aca="false">(X118-X$100)/(X$170-X$100)*(T$170-T$100)+T$100</f>
        <v>2.2826210089693</v>
      </c>
      <c r="U118" s="39" t="n">
        <f aca="false">(X118-X$100)/(X$125-X$100)*(U$125-U$100)+U$100</f>
        <v>523.440596407956</v>
      </c>
      <c r="V118" s="39" t="n">
        <f aca="false">8314.4621*U118/(Sheet1!H$20*Sheet1!H$12*9.80665)</f>
        <v>103889.685954093</v>
      </c>
      <c r="W118" s="39" t="n">
        <f aca="false">W117-LN(R118/R117)*(V117+V118)/2</f>
        <v>1746580.45239187</v>
      </c>
      <c r="X118" s="39" t="n">
        <f aca="false">Sheet1!H$10*10/Sheet1!H$11*1000*W118/(Sheet1!H$10*10/Sheet1!H$11*1000-W118)</f>
        <v>1799629.94728849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537.517699804949</v>
      </c>
      <c r="T119" s="37" t="n">
        <f aca="false">(X119-X$100)/(X$170-X$100)*(T$170-T$100)+T$100</f>
        <v>2.3047271570008</v>
      </c>
      <c r="U119" s="39" t="n">
        <f aca="false">(X119-X$100)/(X$125-X$100)*(U$125-U$100)+U$100</f>
        <v>543.454726529642</v>
      </c>
      <c r="V119" s="39" t="n">
        <f aca="false">8314.4621*U119/(Sheet1!H$20*Sheet1!H$12*9.80665)</f>
        <v>107861.983302168</v>
      </c>
      <c r="W119" s="39" t="n">
        <f aca="false">W118-LN(R119/R118)*(V118+V119)/2</f>
        <v>1770959.26424418</v>
      </c>
      <c r="X119" s="39" t="n">
        <f aca="false">Sheet1!H$10*10/Sheet1!H$11*1000*W119/(Sheet1!H$10*10/Sheet1!H$11*1000-W119)</f>
        <v>1825523.15929702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558.256224657029</v>
      </c>
      <c r="T120" s="37" t="n">
        <f aca="false">(X120-X$100)/(X$170-X$100)*(T$170-T$100)+T$100</f>
        <v>2.32769877936681</v>
      </c>
      <c r="U120" s="39" t="n">
        <f aca="false">(X120-X$100)/(X$125-X$100)*(U$125-U$100)+U$100</f>
        <v>564.252426774992</v>
      </c>
      <c r="V120" s="39" t="n">
        <f aca="false">8314.4621*U120/(Sheet1!H$20*Sheet1!H$12*9.80665)</f>
        <v>111989.799451477</v>
      </c>
      <c r="W120" s="39" t="n">
        <f aca="false">W119-LN(R120/R119)*(V119+V120)/2</f>
        <v>1796270.63612601</v>
      </c>
      <c r="X120" s="39" t="n">
        <f aca="false">Sheet1!H$10*10/Sheet1!H$11*1000*W120/(Sheet1!H$10*10/Sheet1!H$11*1000-W120)</f>
        <v>1852430.11238787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579.808084417145</v>
      </c>
      <c r="T121" s="37" t="n">
        <f aca="false">(X121-X$100)/(X$170-X$100)*(T$170-T$100)+T$100</f>
        <v>2.35157134923918</v>
      </c>
      <c r="U121" s="39" t="n">
        <f aca="false">(X121-X$100)/(X$125-X$100)*(U$125-U$100)+U$100</f>
        <v>585.865782788532</v>
      </c>
      <c r="V121" s="39" t="n">
        <f aca="false">8314.4621*U121/(Sheet1!H$20*Sheet1!H$12*9.80665)</f>
        <v>116279.50258889</v>
      </c>
      <c r="W121" s="39" t="n">
        <f aca="false">W120-LN(R121/R120)*(V120+V121)/2</f>
        <v>1822551.11072933</v>
      </c>
      <c r="X121" s="39" t="n">
        <f aca="false">Sheet1!H$10*10/Sheet1!H$11*1000*W121/(Sheet1!H$10*10/Sheet1!H$11*1000-W121)</f>
        <v>1880392.35673786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602.20678863748</v>
      </c>
      <c r="T122" s="37" t="n">
        <f aca="false">(X122-X$100)/(X$170-X$100)*(T$170-T$100)+T$100</f>
        <v>2.37638191994889</v>
      </c>
      <c r="U122" s="39" t="n">
        <f aca="false">(X122-X$100)/(X$125-X$100)*(U$125-U$100)+U$100</f>
        <v>608.328399572621</v>
      </c>
      <c r="V122" s="39" t="n">
        <f aca="false">8314.4621*U122/(Sheet1!H$20*Sheet1!H$12*9.80665)</f>
        <v>120737.762455283</v>
      </c>
      <c r="W122" s="39" t="n">
        <f aca="false">W121-LN(R122/R121)*(V121+V122)/2</f>
        <v>1849838.73179297</v>
      </c>
      <c r="X122" s="39" t="n">
        <f aca="false">Sheet1!H$10*10/Sheet1!H$11*1000*W122/(Sheet1!H$10*10/Sheet1!H$11*1000-W122)</f>
        <v>1909453.29338425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625.48725992592</v>
      </c>
      <c r="T123" s="37" t="n">
        <f aca="false">(X123-X$100)/(X$170-X$100)*(T$170-T$100)+T$100</f>
        <v>2.40216920531894</v>
      </c>
      <c r="U123" s="39" t="n">
        <f aca="false">(X123-X$100)/(X$125-X$100)*(U$125-U$100)+U$100</f>
        <v>631.675299462787</v>
      </c>
      <c r="V123" s="39" t="n">
        <f aca="false">8314.4621*U123/(Sheet1!H$20*Sheet1!H$12*9.80665)</f>
        <v>125371.530096226</v>
      </c>
      <c r="W123" s="39" t="n">
        <f aca="false">W122-LN(R123/R122)*(V122+V123)/2</f>
        <v>1878173.11120679</v>
      </c>
      <c r="X123" s="39" t="n">
        <f aca="false">Sheet1!H$10*10/Sheet1!H$11*1000*W123/(Sheet1!H$10*10/Sheet1!H$11*1000-W123)</f>
        <v>1939658.26831972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649.6860235023</v>
      </c>
      <c r="T124" s="37" t="n">
        <f aca="false">(X124-X$100)/(X$170-X$100)*(T$170-T$100)+T$100</f>
        <v>2.42897366355768</v>
      </c>
      <c r="U124" s="39" t="n">
        <f aca="false">(X124-X$100)/(X$125-X$100)*(U$125-U$100)+U$100</f>
        <v>655.943111900079</v>
      </c>
      <c r="V124" s="39" t="n">
        <f aca="false">8314.4621*U124/(Sheet1!H$20*Sheet1!H$12*9.80665)</f>
        <v>130188.075526986</v>
      </c>
      <c r="W124" s="39" t="n">
        <f aca="false">W123-LN(R124/R123)*(V123+V124)/2</f>
        <v>1907595.49812077</v>
      </c>
      <c r="X124" s="39" t="n">
        <f aca="false">Sheet1!H$10*10/Sheet1!H$11*1000*W124/(Sheet1!H$10*10/Sheet1!H$11*1000-W124)</f>
        <v>1971054.67075765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674.841281443299</v>
      </c>
      <c r="T125" s="37" t="n">
        <f aca="false">(X125-X$100)/(X$170-X$100)*(T$170-T$100)+T$100</f>
        <v>2.4568375885456</v>
      </c>
      <c r="U125" s="39" t="n">
        <f aca="false">470/610*(U$170-U$54)+U$54</f>
        <v>681.170147911123</v>
      </c>
      <c r="V125" s="39" t="n">
        <f aca="false">8314.4621*U125/(Sheet1!H$20*Sheet1!H$12*9.80665)</f>
        <v>135195.002514929</v>
      </c>
      <c r="W125" s="39" t="n">
        <f aca="false">W124-LN(R125/R124)*(V124+V125)/2</f>
        <v>1938148.85409238</v>
      </c>
      <c r="X125" s="39" t="n">
        <f aca="false">Sheet1!H$10*10/Sheet1!H$11*1000*W125/(Sheet1!H$10*10/Sheet1!H$11*1000-W125)</f>
        <v>2003692.04005754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674.841281443299</v>
      </c>
      <c r="AA125" s="39" t="n">
        <f aca="false">IF(Y125=LOG(Sheet1!H$17*101325),(LOG(Sheet1!H$17*101325)-Q135)/(Q125-Q135)*(X125-X135)+X135,IF(Y125=0,0,X125))</f>
        <v>2003692.04005754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681.82510062183</v>
      </c>
      <c r="T126" s="37" t="n">
        <f aca="false">(X126-X$100)/(X$170-X$100)*(T$170-T$100)+T$100</f>
        <v>2.4854050950054</v>
      </c>
      <c r="U126" s="39" t="n">
        <f aca="false">(X126-X$125)/(X$140-X$125)*(U$140-U$125)+U$125</f>
        <v>688.227557600702</v>
      </c>
      <c r="V126" s="39" t="n">
        <f aca="false">8314.4621*U126/(Sheet1!H$20*Sheet1!H$12*9.80665)</f>
        <v>136595.719389644</v>
      </c>
      <c r="W126" s="39" t="n">
        <f aca="false">W125-LN(R126/R125)*(V125+V126)/2</f>
        <v>1969439.91732595</v>
      </c>
      <c r="X126" s="39" t="n">
        <f aca="false">Sheet1!H$10*10/Sheet1!H$11*1000*W126/(Sheet1!H$10*10/Sheet1!H$11*1000-W126)</f>
        <v>2037153.52327319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688.889014881049</v>
      </c>
      <c r="T127" s="37" t="n">
        <f aca="false">(X127-X$100)/(X$170-X$100)*(T$170-T$100)+T$100</f>
        <v>2.51430046028587</v>
      </c>
      <c r="U127" s="39" t="n">
        <f aca="false">(X127-X$125)/(X$140-X$125)*(U$140-U$125)+U$125</f>
        <v>695.365906942342</v>
      </c>
      <c r="V127" s="39" t="n">
        <f aca="false">8314.4621*U127/(Sheet1!H$20*Sheet1!H$12*9.80665)</f>
        <v>138012.500732976</v>
      </c>
      <c r="W127" s="39" t="n">
        <f aca="false">W126-LN(R127/R126)*(V126+V127)/2</f>
        <v>2001055.35702935</v>
      </c>
      <c r="X127" s="39" t="n">
        <f aca="false">Sheet1!H$10*10/Sheet1!H$11*1000*W127/(Sheet1!H$10*10/Sheet1!H$11*1000-W127)</f>
        <v>2070999.03169035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696.034194425372</v>
      </c>
      <c r="T128" s="37" t="n">
        <f aca="false">(X128-X$100)/(X$170-X$100)*(T$170-T$100)+T$100</f>
        <v>2.54352813040161</v>
      </c>
      <c r="U128" s="39" t="n">
        <f aca="false">(X128-X$125)/(X$140-X$125)*(U$140-U$125)+U$125</f>
        <v>702.586377593489</v>
      </c>
      <c r="V128" s="39" t="n">
        <f aca="false">8314.4621*U128/(Sheet1!H$20*Sheet1!H$12*9.80665)</f>
        <v>139445.581073967</v>
      </c>
      <c r="W128" s="39" t="n">
        <f aca="false">W127-LN(R128/R127)*(V127+V128)/2</f>
        <v>2032998.89918432</v>
      </c>
      <c r="X128" s="39" t="n">
        <f aca="false">Sheet1!H$10*10/Sheet1!H$11*1000*W128/(Sheet1!H$10*10/Sheet1!H$11*1000-W128)</f>
        <v>2105233.77298241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703.261769052791</v>
      </c>
      <c r="T129" s="37" t="n">
        <f aca="false">(X129-X$100)/(X$170-X$100)*(T$170-T$100)+T$100</f>
        <v>2.57309262891722</v>
      </c>
      <c r="U129" s="39" t="n">
        <f aca="false">(X129-X$125)/(X$140-X$125)*(U$140-U$125)+U$125</f>
        <v>709.890111004934</v>
      </c>
      <c r="V129" s="39" t="n">
        <f aca="false">8314.4621*U129/(Sheet1!H$20*Sheet1!H$12*9.80665)</f>
        <v>140895.186961654</v>
      </c>
      <c r="W129" s="39" t="n">
        <f aca="false">W128-LN(R129/R128)*(V128+V129)/2</f>
        <v>2065274.32285619</v>
      </c>
      <c r="X129" s="39" t="n">
        <f aca="false">Sheet1!H$10*10/Sheet1!H$11*1000*W129/(Sheet1!H$10*10/Sheet1!H$11*1000-W129)</f>
        <v>2139863.04565804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710.57277221877</v>
      </c>
      <c r="T130" s="37" t="n">
        <f aca="false">(X130-X$100)/(X$170-X$100)*(T$170-T$100)+T$100</f>
        <v>2.60299855492328</v>
      </c>
      <c r="U130" s="39" t="n">
        <f aca="false">(X130-X$125)/(X$140-X$125)*(U$140-U$125)+U$125</f>
        <v>717.278152479498</v>
      </c>
      <c r="V130" s="39" t="n">
        <f aca="false">8314.4621*U130/(Sheet1!H$20*Sheet1!H$12*9.80665)</f>
        <v>142361.525862143</v>
      </c>
      <c r="W130" s="39" t="n">
        <f aca="false">W129-LN(R130/R129)*(V129+V130)/2</f>
        <v>2097885.45707812</v>
      </c>
      <c r="X130" s="39" t="n">
        <f aca="false">Sheet1!H$10*10/Sheet1!H$11*1000*W130/(Sheet1!H$10*10/Sheet1!H$11*1000-W130)</f>
        <v>2174892.23669045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717.968386236894</v>
      </c>
      <c r="T131" s="37" t="n">
        <f aca="false">(X131-X$100)/(X$170-X$100)*(T$170-T$100)+T$100</f>
        <v>2.63325058498583</v>
      </c>
      <c r="U131" s="39" t="n">
        <f aca="false">(X131-X$125)/(X$140-X$125)*(U$140-U$125)+U$125</f>
        <v>724.7516963777</v>
      </c>
      <c r="V131" s="39" t="n">
        <f aca="false">8314.4621*U131/(Sheet1!H$20*Sheet1!H$12*9.80665)</f>
        <v>143844.834825713</v>
      </c>
      <c r="W131" s="39" t="n">
        <f aca="false">W130-LN(R131/R130)*(V130+V131)/2</f>
        <v>2130836.18206011</v>
      </c>
      <c r="X131" s="39" t="n">
        <f aca="false">Sheet1!H$10*10/Sheet1!H$11*1000*W131/(Sheet1!H$10*10/Sheet1!H$11*1000-W131)</f>
        <v>2210326.82380088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725.449774191196</v>
      </c>
      <c r="T132" s="37" t="n">
        <f aca="false">(X132-X$100)/(X$170-X$100)*(T$170-T$100)+T$100</f>
        <v>2.6638534767448</v>
      </c>
      <c r="U132" s="39" t="n">
        <f aca="false">(X132-X$125)/(X$140-X$125)*(U$140-U$125)+U$125</f>
        <v>732.311918039355</v>
      </c>
      <c r="V132" s="39" t="n">
        <f aca="false">8314.4621*U132/(Sheet1!H$20*Sheet1!H$12*9.80665)</f>
        <v>145345.347127515</v>
      </c>
      <c r="W132" s="39" t="n">
        <f aca="false">W131-LN(R132/R131)*(V131+V132)/2</f>
        <v>2164130.4321604</v>
      </c>
      <c r="X132" s="39" t="n">
        <f aca="false">Sheet1!H$10*10/Sheet1!H$11*1000*W132/(Sheet1!H$10*10/Sheet1!H$11*1000-W132)</f>
        <v>2246172.3796734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733.01816624568</v>
      </c>
      <c r="T133" s="37" t="n">
        <f aca="false">(X133-X$100)/(X$170-X$100)*(T$170-T$100)+T$100</f>
        <v>2.69481207083257</v>
      </c>
      <c r="U133" s="39" t="n">
        <f aca="false">(X133-X$125)/(X$140-X$125)*(U$140-U$125)+U$125</f>
        <v>739.960060098043</v>
      </c>
      <c r="V133" s="39" t="n">
        <f aca="false">8314.4621*U133/(Sheet1!H$20*Sheet1!H$12*9.80665)</f>
        <v>146863.309398806</v>
      </c>
      <c r="W133" s="39" t="n">
        <f aca="false">W132-LN(R133/R132)*(V132+V133)/2</f>
        <v>2197772.19698847</v>
      </c>
      <c r="X133" s="39" t="n">
        <f aca="false">Sheet1!H$10*10/Sheet1!H$11*1000*W133/(Sheet1!H$10*10/Sheet1!H$11*1000-W133)</f>
        <v>2282434.5742022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740.674678730833</v>
      </c>
      <c r="T134" s="37" t="n">
        <f aca="false">(X134-X$100)/(X$170-X$100)*(T$170-T$100)+T$100</f>
        <v>2.72613129082923</v>
      </c>
      <c r="U134" s="39" t="n">
        <f aca="false">(X134-X$125)/(X$140-X$125)*(U$140-U$125)+U$125</f>
        <v>747.697251567497</v>
      </c>
      <c r="V134" s="39" t="n">
        <f aca="false">8314.4621*U134/(Sheet1!H$20*Sheet1!H$12*9.80665)</f>
        <v>148398.945720185</v>
      </c>
      <c r="W134" s="39" t="n">
        <f aca="false">W133-LN(R134/R133)*(V133+V134)/2</f>
        <v>2231765.52034651</v>
      </c>
      <c r="X134" s="39" t="n">
        <f aca="false">Sheet1!H$10*10/Sheet1!H$11*1000*W134/(Sheet1!H$10*10/Sheet1!H$11*1000-W134)</f>
        <v>2319119.17443919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748.420576622566</v>
      </c>
      <c r="T135" s="37" t="n">
        <f aca="false">(X135-X$100)/(X$170-X$100)*(T$170-T$100)+T$100</f>
        <v>2.75781614495419</v>
      </c>
      <c r="U135" s="39" t="n">
        <f aca="false">(X135-X$125)/(X$140-X$125)*(U$140-U$125)+U$125</f>
        <v>755.524770324909</v>
      </c>
      <c r="V135" s="39" t="n">
        <f aca="false">8314.4621*U135/(Sheet1!H$20*Sheet1!H$12*9.80665)</f>
        <v>149952.509717872</v>
      </c>
      <c r="W135" s="39" t="n">
        <f aca="false">W134-LN(R135/R134)*(V134+V135)/2</f>
        <v>2266114.50103474</v>
      </c>
      <c r="X135" s="39" t="n">
        <f aca="false">Sheet1!H$10*10/Sheet1!H$11*1000*W135/(Sheet1!H$10*10/Sheet1!H$11*1000-W135)</f>
        <v>2356232.04657539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756.257105865259</v>
      </c>
      <c r="T136" s="37" t="n">
        <f aca="false">(X136-X$100)/(X$170-X$100)*(T$170-T$100)+T$100</f>
        <v>2.78987172978879</v>
      </c>
      <c r="U136" s="39" t="n">
        <f aca="false">(X136-X$125)/(X$140-X$125)*(U$140-U$125)+U$125</f>
        <v>763.443875443562</v>
      </c>
      <c r="V136" s="39" t="n">
        <f aca="false">8314.4621*U136/(Sheet1!H$20*Sheet1!H$12*9.80665)</f>
        <v>151524.251285989</v>
      </c>
      <c r="W136" s="39" t="n">
        <f aca="false">W135-LN(R136/R135)*(V135+V136)/2</f>
        <v>2300823.29582332</v>
      </c>
      <c r="X136" s="39" t="n">
        <f aca="false">Sheet1!H$10*10/Sheet1!H$11*1000*W136/(Sheet1!H$10*10/Sheet1!H$11*1000-W136)</f>
        <v>2393779.16030127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764.185534270558</v>
      </c>
      <c r="T137" s="37" t="n">
        <f aca="false">(X137-X$100)/(X$170-X$100)*(T$170-T$100)+T$100</f>
        <v>2.82230323136323</v>
      </c>
      <c r="U137" s="39" t="n">
        <f aca="false">(X137-X$125)/(X$140-X$125)*(U$140-U$125)+U$125</f>
        <v>771.455848094428</v>
      </c>
      <c r="V137" s="39" t="n">
        <f aca="false">8314.4621*U137/(Sheet1!H$20*Sheet1!H$12*9.80665)</f>
        <v>153114.424704488</v>
      </c>
      <c r="W137" s="39" t="n">
        <f aca="false">W136-LN(R137/R136)*(V136+V137)/2</f>
        <v>2335896.11952758</v>
      </c>
      <c r="X137" s="39" t="n">
        <f aca="false">Sheet1!H$10*10/Sheet1!H$11*1000*W137/(Sheet1!H$10*10/Sheet1!H$11*1000-W137)</f>
        <v>2431766.59007987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772.207152003653</v>
      </c>
      <c r="T138" s="37" t="n">
        <f aca="false">(X138-X$100)/(X$170-X$100)*(T$170-T$100)+T$100</f>
        <v>2.85511592714572</v>
      </c>
      <c r="U138" s="39" t="n">
        <f aca="false">(X138-X$125)/(X$140-X$125)*(U$140-U$125)+U$125</f>
        <v>779.561992037568</v>
      </c>
      <c r="V138" s="39" t="n">
        <f aca="false">8314.4621*U138/(Sheet1!H$20*Sheet1!H$12*9.80665)</f>
        <v>154723.288736683</v>
      </c>
      <c r="W138" s="39" t="n">
        <f aca="false">W137-LN(R138/R137)*(V137+V138)/2</f>
        <v>2371337.24602913</v>
      </c>
      <c r="X138" s="39" t="n">
        <f aca="false">Sheet1!H$10*10/Sheet1!H$11*1000*W138/(Sheet1!H$10*10/Sheet1!H$11*1000-W138)</f>
        <v>2470200.51747675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780.323271554473</v>
      </c>
      <c r="T139" s="37" t="n">
        <f aca="false">(X139-X$100)/(X$170-X$100)*(T$170-T$100)+T$100</f>
        <v>2.88831518807477</v>
      </c>
      <c r="U139" s="39" t="n">
        <f aca="false">(X139-X$125)/(X$140-X$125)*(U$140-U$125)+U$125</f>
        <v>787.763633598565</v>
      </c>
      <c r="V139" s="39" t="n">
        <f aca="false">8314.4621*U139/(Sheet1!H$20*Sheet1!H$12*9.80665)</f>
        <v>156351.106624572</v>
      </c>
      <c r="W139" s="39" t="n">
        <f aca="false">W138-LN(R139/R138)*(V138+V139)/2</f>
        <v>2407151.00930768</v>
      </c>
      <c r="X139" s="39" t="n">
        <f aca="false">Sheet1!H$10*10/Sheet1!H$11*1000*W139/(Sheet1!H$10*10/Sheet1!H$11*1000-W139)</f>
        <v>2509087.23354043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788.535177162652</v>
      </c>
      <c r="T140" s="37" t="n">
        <f aca="false">(X140-X$100)/(X$170-X$100)*(T$170-T$100)+T$100</f>
        <v>2.92190647955209</v>
      </c>
      <c r="U140" s="39" t="n">
        <f aca="false">570/610*(U$170-U$54)+U$54</f>
        <v>796.062071096044</v>
      </c>
      <c r="V140" s="39" t="n">
        <f aca="false">8314.4621*U140/(Sheet1!H$20*Sheet1!H$12*9.80665)</f>
        <v>157998.136051481</v>
      </c>
      <c r="W140" s="39" t="n">
        <f aca="false">W139-LN(R140/R139)*(V139+V140)/2</f>
        <v>2443341.80331667</v>
      </c>
      <c r="X140" s="39" t="n">
        <f aca="false">Sheet1!H$10*10/Sheet1!H$11*1000*W140/(Sheet1!H$10*10/Sheet1!H$11*1000-W140)</f>
        <v>2548433.13996534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788.535177162652</v>
      </c>
      <c r="AA140" s="39" t="n">
        <f aca="false">IF(Y140=LOG(Sheet1!H$17*101325),(LOG(Sheet1!H$17*101325)-Q150)/(Q140-Q150)*(X140-X150)+X150,IF(Y140=0,0,X140))</f>
        <v>2548433.13996534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791.317785874034</v>
      </c>
      <c r="T141" s="37" t="n">
        <f aca="false">(X141-X$100)/(X$170-X$100)*(T$170-T$100)+T$100</f>
        <v>2.95577792150461</v>
      </c>
      <c r="U141" s="39" t="n">
        <f aca="false">(X141-X$140)/(X$155-X$140)*(U$155-U$140)+U$140</f>
        <v>798.931933370376</v>
      </c>
      <c r="V141" s="39" t="n">
        <f aca="false">8314.4621*U141/(Sheet1!H$20*Sheet1!H$12*9.80665)</f>
        <v>158567.730944307</v>
      </c>
      <c r="W141" s="39" t="n">
        <f aca="false">W140-LN(R141/R140)*(V140+V141)/2</f>
        <v>2479787.79563143</v>
      </c>
      <c r="X141" s="39" t="n">
        <f aca="false">Sheet1!H$10*10/Sheet1!H$11*1000*W141/(Sheet1!H$10*10/Sheet1!H$11*1000-W141)</f>
        <v>2588107.19020067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794.114100670991</v>
      </c>
      <c r="T142" s="37" t="n">
        <f aca="false">(X142-X$100)/(X$170-X$100)*(T$170-T$100)+T$100</f>
        <v>2.98981530685697</v>
      </c>
      <c r="U142" s="39" t="n">
        <f aca="false">(X142-X$140)/(X$155-X$140)*(U$155-U$140)+U$140</f>
        <v>801.81592920405</v>
      </c>
      <c r="V142" s="39" t="n">
        <f aca="false">8314.4621*U142/(Sheet1!H$20*Sheet1!H$12*9.80665)</f>
        <v>159140.13099029</v>
      </c>
      <c r="W142" s="39" t="n">
        <f aca="false">W141-LN(R142/R141)*(V141+V142)/2</f>
        <v>2516365.26497231</v>
      </c>
      <c r="X142" s="39" t="n">
        <f aca="false">Sheet1!H$10*10/Sheet1!H$11*1000*W142/(Sheet1!H$10*10/Sheet1!H$11*1000-W142)</f>
        <v>2627975.61204823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796.924106945255</v>
      </c>
      <c r="T143" s="37" t="n">
        <f aca="false">(X143-X$100)/(X$170-X$100)*(T$170-T$100)+T$100</f>
        <v>3.02401979554377</v>
      </c>
      <c r="U143" s="39" t="n">
        <f aca="false">(X143-X$140)/(X$155-X$140)*(U$155-U$140)+U$140</f>
        <v>804.714046976815</v>
      </c>
      <c r="V143" s="39" t="n">
        <f aca="false">8314.4621*U143/(Sheet1!H$20*Sheet1!H$12*9.80665)</f>
        <v>159715.333883105</v>
      </c>
      <c r="W143" s="39" t="n">
        <f aca="false">W142-LN(R143/R142)*(V142+V143)/2</f>
        <v>2553074.85698417</v>
      </c>
      <c r="X143" s="39" t="n">
        <f aca="false">Sheet1!H$10*10/Sheet1!H$11*1000*W143/(Sheet1!H$10*10/Sheet1!H$11*1000-W143)</f>
        <v>2668039.76415419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799.747937394988</v>
      </c>
      <c r="T144" s="37" t="n">
        <f aca="false">(X144-X$100)/(X$170-X$100)*(T$170-T$100)+T$100</f>
        <v>3.05839255704061</v>
      </c>
      <c r="U144" s="39" t="n">
        <f aca="false">(X144-X$140)/(X$155-X$140)*(U$155-U$140)+U$140</f>
        <v>807.626422399426</v>
      </c>
      <c r="V144" s="39" t="n">
        <f aca="false">8314.4621*U144/(Sheet1!H$20*Sheet1!H$12*9.80665)</f>
        <v>160293.366557895</v>
      </c>
      <c r="W144" s="39" t="n">
        <f aca="false">W143-LN(R144/R143)*(V143+V144)/2</f>
        <v>2589917.22014736</v>
      </c>
      <c r="X144" s="39" t="n">
        <f aca="false">Sheet1!H$10*10/Sheet1!H$11*1000*W144/(Sheet1!H$10*10/Sheet1!H$11*1000-W144)</f>
        <v>2708301.01634016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802.585689083423</v>
      </c>
      <c r="T145" s="37" t="n">
        <f aca="false">(X145-X$100)/(X$170-X$100)*(T$170-T$100)+T$100</f>
        <v>3.09293477283663</v>
      </c>
      <c r="U145" s="39" t="n">
        <f aca="false">(X145-X$140)/(X$155-X$140)*(U$155-U$140)+U$140</f>
        <v>810.553155578659</v>
      </c>
      <c r="V145" s="39" t="n">
        <f aca="false">8314.4621*U145/(Sheet1!H$20*Sheet1!H$12*9.80665)</f>
        <v>160874.248883317</v>
      </c>
      <c r="W145" s="39" t="n">
        <f aca="false">W144-LN(R145/R144)*(V144+V145)/2</f>
        <v>2626893.00833073</v>
      </c>
      <c r="X145" s="39" t="n">
        <f aca="false">Sheet1!H$10*10/Sheet1!H$11*1000*W145/(Sheet1!H$10*10/Sheet1!H$11*1000-W145)</f>
        <v>2748760.75249936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805.437388788459</v>
      </c>
      <c r="T146" s="37" t="n">
        <f aca="false">(X146-X$100)/(X$170-X$100)*(T$170-T$100)+T$100</f>
        <v>3.12764763427304</v>
      </c>
      <c r="U146" s="39" t="n">
        <f aca="false">(X146-X$140)/(X$155-X$140)*(U$155-U$140)+U$140</f>
        <v>813.494276361331</v>
      </c>
      <c r="V146" s="39" t="n">
        <f aca="false">8314.4621*U146/(Sheet1!H$20*Sheet1!H$12*9.80665)</f>
        <v>161457.986783208</v>
      </c>
      <c r="W146" s="39" t="n">
        <f aca="false">W145-LN(R146/R145)*(V145+V146)/2</f>
        <v>2664002.87837259</v>
      </c>
      <c r="X146" s="39" t="n">
        <f aca="false">Sheet1!H$10*10/Sheet1!H$11*1000*W146/(Sheet1!H$10*10/Sheet1!H$11*1000-W146)</f>
        <v>2789420.3680649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808.303265567069</v>
      </c>
      <c r="T147" s="37" t="n">
        <f aca="false">(X147-X$100)/(X$170-X$100)*(T$170-T$100)+T$100</f>
        <v>3.16253234546042</v>
      </c>
      <c r="U147" s="39" t="n">
        <f aca="false">(X147-X$140)/(X$155-X$140)*(U$155-U$140)+U$140</f>
        <v>816.450016906234</v>
      </c>
      <c r="V147" s="39" t="n">
        <f aca="false">8314.4621*U147/(Sheet1!H$20*Sheet1!H$12*9.80665)</f>
        <v>162044.626335201</v>
      </c>
      <c r="W147" s="39" t="n">
        <f aca="false">W146-LN(R147/R146)*(V146+V147)/2</f>
        <v>2701247.49309814</v>
      </c>
      <c r="X147" s="39" t="n">
        <f aca="false">Sheet1!H$10*10/Sheet1!H$11*1000*W147/(Sheet1!H$10*10/Sheet1!H$11*1000-W147)</f>
        <v>2830281.27342679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811.183360310596</v>
      </c>
      <c r="T148" s="37" t="n">
        <f aca="false">(X148-X$100)/(X$170-X$100)*(T$170-T$100)+T$100</f>
        <v>3.19759012369188</v>
      </c>
      <c r="U148" s="39" t="n">
        <f aca="false">(X148-X$140)/(X$155-X$140)*(U$155-U$140)+U$140</f>
        <v>819.420421240479</v>
      </c>
      <c r="V148" s="39" t="n">
        <f aca="false">8314.4621*U148/(Sheet1!H$20*Sheet1!H$12*9.80665)</f>
        <v>162634.176277562</v>
      </c>
      <c r="W148" s="39" t="n">
        <f aca="false">W147-LN(R148/R147)*(V147+V148)/2</f>
        <v>2738627.52164351</v>
      </c>
      <c r="X148" s="39" t="n">
        <f aca="false">Sheet1!H$10*10/Sheet1!H$11*1000*W148/(Sheet1!H$10*10/Sheet1!H$11*1000-W148)</f>
        <v>2871344.89441593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814.077818642473</v>
      </c>
      <c r="T149" s="37" t="n">
        <f aca="false">(X149-X$100)/(X$170-X$100)*(T$170-T$100)+T$100</f>
        <v>3.23282219776531</v>
      </c>
      <c r="U149" s="39" t="n">
        <f aca="false">(X149-X$140)/(X$155-X$140)*(U$155-U$140)+U$140</f>
        <v>822.405638152913</v>
      </c>
      <c r="V149" s="39" t="n">
        <f aca="false">8314.4621*U149/(Sheet1!H$20*Sheet1!H$12*9.80665)</f>
        <v>163226.666141103</v>
      </c>
      <c r="W149" s="39" t="n">
        <f aca="false">W148-LN(R149/R148)*(V148+V149)/2</f>
        <v>2776143.63755069</v>
      </c>
      <c r="X149" s="39" t="n">
        <f aca="false">Sheet1!H$10*10/Sheet1!H$11*1000*W149/(Sheet1!H$10*10/Sheet1!H$11*1000-W149)</f>
        <v>2912612.6703389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816.986657934996</v>
      </c>
      <c r="T150" s="37" t="n">
        <f aca="false">(X150-X$100)/(X$170-X$100)*(T$170-T$100)+T$100</f>
        <v>3.26822980758103</v>
      </c>
      <c r="U150" s="39" t="n">
        <f aca="false">(X150-X$140)/(X$155-X$140)*(U$155-U$140)+U$140</f>
        <v>825.405688209841</v>
      </c>
      <c r="V150" s="39" t="n">
        <f aca="false">8314.4621*U150/(Sheet1!H$20*Sheet1!H$12*9.80665)</f>
        <v>163822.100007715</v>
      </c>
      <c r="W150" s="39" t="n">
        <f aca="false">W149-LN(R150/R149)*(V149+V150)/2</f>
        <v>2813796.51823151</v>
      </c>
      <c r="X150" s="39" t="n">
        <f aca="false">Sheet1!H$10*10/Sheet1!H$11*1000*W150/(Sheet1!H$10*10/Sheet1!H$11*1000-W150)</f>
        <v>2954086.05350666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819.91002077255</v>
      </c>
      <c r="T151" s="37" t="n">
        <f aca="false">(X151-X$100)/(X$170-X$100)*(T$170-T$100)+T$100</f>
        <v>3.30381420417757</v>
      </c>
      <c r="U151" s="39" t="n">
        <f aca="false">(X151-X$140)/(X$155-X$140)*(U$155-U$140)+U$140</f>
        <v>828.420717218348</v>
      </c>
      <c r="V151" s="39" t="n">
        <f aca="false">8314.4621*U151/(Sheet1!H$20*Sheet1!H$12*9.80665)</f>
        <v>164420.506816407</v>
      </c>
      <c r="W151" s="39" t="n">
        <f aca="false">W150-LN(R151/R150)*(V150+V151)/2</f>
        <v>2851586.84489945</v>
      </c>
      <c r="X151" s="39" t="n">
        <f aca="false">Sheet1!H$10*10/Sheet1!H$11*1000*W151/(Sheet1!H$10*10/Sheet1!H$11*1000-W151)</f>
        <v>2995766.50927656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822.848011008182</v>
      </c>
      <c r="T152" s="37" t="n">
        <f aca="false">(X152-X$100)/(X$170-X$100)*(T$170-T$100)+T$100</f>
        <v>3.33957665169841</v>
      </c>
      <c r="U152" s="39" t="n">
        <f aca="false">(X152-X$140)/(X$155-X$140)*(U$155-U$140)+U$140</f>
        <v>831.450832287945</v>
      </c>
      <c r="V152" s="39" t="n">
        <f aca="false">8314.4621*U152/(Sheet1!H$20*Sheet1!H$12*9.80665)</f>
        <v>165021.907825701</v>
      </c>
      <c r="W152" s="39" t="n">
        <f aca="false">W151-LN(R152/R151)*(V151+V152)/2</f>
        <v>2889515.30454719</v>
      </c>
      <c r="X152" s="39" t="n">
        <f aca="false">Sheet1!H$10*10/Sheet1!H$11*1000*W152/(Sheet1!H$10*10/Sheet1!H$11*1000-W152)</f>
        <v>3037655.51835593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825.800733514214</v>
      </c>
      <c r="T153" s="37" t="n">
        <f aca="false">(X153-X$100)/(X$170-X$100)*(T$170-T$100)+T$100</f>
        <v>3.37551842669406</v>
      </c>
      <c r="U153" s="39" t="n">
        <f aca="false">(X153-X$140)/(X$155-X$140)*(U$155-U$140)+U$140</f>
        <v>834.496141579373</v>
      </c>
      <c r="V153" s="39" t="n">
        <f aca="false">8314.4621*U153/(Sheet1!H$20*Sheet1!H$12*9.80665)</f>
        <v>165626.324502761</v>
      </c>
      <c r="W153" s="39" t="n">
        <f aca="false">W152-LN(R153/R152)*(V152+V153)/2</f>
        <v>2927582.58908641</v>
      </c>
      <c r="X153" s="39" t="n">
        <f aca="false">Sheet1!H$10*10/Sheet1!H$11*1000*W153/(Sheet1!H$10*10/Sheet1!H$11*1000-W153)</f>
        <v>3079754.57598456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828.76829292011</v>
      </c>
      <c r="T154" s="37" t="n">
        <f aca="false">(X154-X$100)/(X$170-X$100)*(T$170-T$100)+T$100</f>
        <v>3.41164081825098</v>
      </c>
      <c r="U154" s="39" t="n">
        <f aca="false">(X154-X$140)/(X$155-X$140)*(U$155-U$140)+U$140</f>
        <v>837.556753042811</v>
      </c>
      <c r="V154" s="39" t="n">
        <f aca="false">8314.4621*U154/(Sheet1!H$20*Sheet1!H$12*9.80665)</f>
        <v>166233.778272962</v>
      </c>
      <c r="W154" s="39" t="n">
        <f aca="false">W153-LN(R154/R153)*(V153+V154)/2</f>
        <v>2965789.39536695</v>
      </c>
      <c r="X154" s="39" t="n">
        <f aca="false">Sheet1!H$10*10/Sheet1!H$11*1000*W154/(Sheet1!H$10*10/Sheet1!H$11*1000-W154)</f>
        <v>3122065.19208583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831.751132210469</v>
      </c>
      <c r="T155" s="37" t="n">
        <f aca="false">(X155-X$100)/(X$170-X$100)*(T$170-T$100)+T$100</f>
        <v>3.44782265671806</v>
      </c>
      <c r="U155" s="39" t="n">
        <f aca="false">150*LOG(Sheet1!H15)+530</f>
        <v>840.632797527232</v>
      </c>
      <c r="V155" s="39" t="n">
        <f aca="false">8314.4621*U155/(Sheet1!H$20*Sheet1!H$12*9.80665)</f>
        <v>166844.295106506</v>
      </c>
      <c r="W155" s="39" t="n">
        <f aca="false">W154-LN(R155/R154)*(V154+V155)/2</f>
        <v>3004136.42569529</v>
      </c>
      <c r="X155" s="39" t="n">
        <f aca="false">Sheet1!H$10*10/Sheet1!H$11*1000*W155/(Sheet1!H$10*10/Sheet1!H$11*1000-W155)</f>
        <v>3164588.89197358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831.751132210469</v>
      </c>
      <c r="AA155" s="39" t="n">
        <f aca="false">IF(Y155=LOG(Sheet1!H$17*101325),(LOG(Sheet1!H$17*101325)-Q165)/(Q155-Q165)*(X155-X165)+X165,IF(Y155=0,0,X155))</f>
        <v>3164588.89197358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831.750831100107</v>
      </c>
      <c r="T156" s="37" t="n">
        <f aca="false">(X156-X$100)/(X$170-X$100)*(T$170-T$100)+T$100</f>
        <v>3.48436768987433</v>
      </c>
      <c r="U156" s="39" t="n">
        <f aca="false">(X156-X$155)/(X$170-X$155)*(U$170-U$155)+U$155</f>
        <v>840.726637208263</v>
      </c>
      <c r="V156" s="39" t="n">
        <f aca="false">8314.4621*U156/(Sheet1!H$20*Sheet1!H$12*9.80665)</f>
        <v>166862.919903778</v>
      </c>
      <c r="W156" s="39" t="n">
        <f aca="false">W155-LN(R156/R155)*(V155+V156)/2</f>
        <v>3042555.88863065</v>
      </c>
      <c r="X156" s="39" t="n">
        <f aca="false">Sheet1!H$10*10/Sheet1!H$11*1000*W156/(Sheet1!H$10*10/Sheet1!H$11*1000-W156)</f>
        <v>3207251.10068362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831.750845504791</v>
      </c>
      <c r="T157" s="37" t="n">
        <f aca="false">(X157-X$100)/(X$170-X$100)*(T$170-T$100)+T$100</f>
        <v>3.52084415373484</v>
      </c>
      <c r="U157" s="39" t="n">
        <f aca="false">(X157-X$155)/(X$170-X$155)*(U$170-U$155)+U$155</f>
        <v>840.820615768359</v>
      </c>
      <c r="V157" s="39" t="n">
        <f aca="false">8314.4621*U157/(Sheet1!H$20*Sheet1!H$12*9.80665)</f>
        <v>166881.572265024</v>
      </c>
      <c r="W157" s="39" t="n">
        <f aca="false">W156-LN(R157/R156)*(V156+V157)/2</f>
        <v>3080979.64325749</v>
      </c>
      <c r="X157" s="39" t="n">
        <f aca="false">Sheet1!H$10*10/Sheet1!H$11*1000*W157/(Sheet1!H$10*10/Sheet1!H$11*1000-W157)</f>
        <v>3249976.44617194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831.750768876108</v>
      </c>
      <c r="T158" s="37" t="n">
        <f aca="false">(X158-X$100)/(X$170-X$100)*(T$170-T$100)+T$100</f>
        <v>3.55737464330384</v>
      </c>
      <c r="U158" s="39" t="n">
        <f aca="false">(X158-X$155)/(X$170-X$155)*(U$170-U$155)+U$155</f>
        <v>840.914642466475</v>
      </c>
      <c r="V158" s="39" t="n">
        <f aca="false">8314.4621*U158/(Sheet1!H$20*Sheet1!H$12*9.80665)</f>
        <v>166900.234180446</v>
      </c>
      <c r="W158" s="39" t="n">
        <f aca="false">W157-LN(R158/R157)*(V157+V158)/2</f>
        <v>3119407.69384918</v>
      </c>
      <c r="X158" s="39" t="n">
        <f aca="false">Sheet1!H$10*10/Sheet1!H$11*1000*W158/(Sheet1!H$10*10/Sheet1!H$11*1000-W158)</f>
        <v>3292765.07265891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831.750805119938</v>
      </c>
      <c r="T159" s="37" t="n">
        <f aca="false">(X159-X$100)/(X$170-X$100)*(T$170-T$100)+T$100</f>
        <v>3.59395928455209</v>
      </c>
      <c r="U159" s="39" t="n">
        <f aca="false">(X159-X$155)/(X$170-X$155)*(U$170-U$155)+U$155</f>
        <v>841.008921532994</v>
      </c>
      <c r="V159" s="39" t="n">
        <f aca="false">8314.4621*U159/(Sheet1!H$20*Sheet1!H$12*9.80665)</f>
        <v>166918.946184597</v>
      </c>
      <c r="W159" s="39" t="n">
        <f aca="false">W158-LN(R159/R158)*(V158+V159)/2</f>
        <v>3157840.04727239</v>
      </c>
      <c r="X159" s="39" t="n">
        <f aca="false">Sheet1!H$10*10/Sheet1!H$11*1000*W159/(Sheet1!H$10*10/Sheet1!H$11*1000-W159)</f>
        <v>3335617.12769569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831.750802205661</v>
      </c>
      <c r="T160" s="37" t="n">
        <f aca="false">(X160-X$100)/(X$170-X$100)*(T$170-T$100)+T$100</f>
        <v>3.63059820498359</v>
      </c>
      <c r="U160" s="39" t="n">
        <f aca="false">(X160-X$155)/(X$170-X$155)*(U$170-U$155)+U$155</f>
        <v>841.10330126575</v>
      </c>
      <c r="V160" s="39" t="n">
        <f aca="false">8314.4621*U160/(Sheet1!H$20*Sheet1!H$12*9.80665)</f>
        <v>166937.678168443</v>
      </c>
      <c r="W160" s="39" t="n">
        <f aca="false">W159-LN(R160/R159)*(V159+V160)/2</f>
        <v>3196276.71159402</v>
      </c>
      <c r="X160" s="39" t="n">
        <f aca="false">Sheet1!H$10*10/Sheet1!H$11*1000*W160/(Sheet1!H$10*10/Sheet1!H$11*1000-W160)</f>
        <v>3378532.76062933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831.750799286115</v>
      </c>
      <c r="T161" s="37" t="n">
        <f aca="false">(X161-X$100)/(X$170-X$100)*(T$170-T$100)+T$100</f>
        <v>3.66729153004893</v>
      </c>
      <c r="U161" s="39" t="n">
        <f aca="false">(X161-X$155)/(X$170-X$155)*(U$170-U$155)+U$155</f>
        <v>841.197821140743</v>
      </c>
      <c r="V161" s="39" t="n">
        <f aca="false">8314.4621*U161/(Sheet1!H$20*Sheet1!H$12*9.80665)</f>
        <v>166956.43796697</v>
      </c>
      <c r="W161" s="39" t="n">
        <f aca="false">W160-LN(R161/R160)*(V160+V161)/2</f>
        <v>3234717.69231661</v>
      </c>
      <c r="X161" s="39" t="n">
        <f aca="false">Sheet1!H$10*10/Sheet1!H$11*1000*W161/(Sheet1!H$10*10/Sheet1!H$11*1000-W161)</f>
        <v>3421512.1184017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831.750796361283</v>
      </c>
      <c r="T162" s="37" t="n">
        <f aca="false">(X162-X$100)/(X$170-X$100)*(T$170-T$100)+T$100</f>
        <v>3.70403938645283</v>
      </c>
      <c r="U162" s="39" t="n">
        <f aca="false">(X162-X$155)/(X$170-X$155)*(U$170-U$155)+U$155</f>
        <v>841.292481484351</v>
      </c>
      <c r="V162" s="39" t="n">
        <f aca="false">8314.4621*U162/(Sheet1!H$20*Sheet1!H$12*9.80665)</f>
        <v>166975.225644955</v>
      </c>
      <c r="W162" s="39" t="n">
        <f aca="false">W161-LN(R162/R161)*(V161+V162)/2</f>
        <v>3273162.99585218</v>
      </c>
      <c r="X162" s="39" t="n">
        <f aca="false">Sheet1!H$10*10/Sheet1!H$11*1000*W162/(Sheet1!H$10*10/Sheet1!H$11*1000-W162)</f>
        <v>3464555.34942365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831.751024305753</v>
      </c>
      <c r="T163" s="37" t="n">
        <f aca="false">(X163-X$100)/(X$170-X$100)*(T$170-T$100)+T$100</f>
        <v>3.74084190635802</v>
      </c>
      <c r="U163" s="39" t="n">
        <f aca="false">(X163-X$155)/(X$170-X$155)*(U$170-U$155)+U$155</f>
        <v>841.387513511616</v>
      </c>
      <c r="V163" s="39" t="n">
        <f aca="false">8314.4621*U163/(Sheet1!H$20*Sheet1!H$12*9.80665)</f>
        <v>166994.087092722</v>
      </c>
      <c r="W163" s="39" t="n">
        <f aca="false">W162-LN(R163/R162)*(V162+V163)/2</f>
        <v>3311612.63390355</v>
      </c>
      <c r="X163" s="39" t="n">
        <f aca="false">Sheet1!H$10*10/Sheet1!H$11*1000*W163/(Sheet1!H$10*10/Sheet1!H$11*1000-W163)</f>
        <v>3507662.60849906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831.751050431477</v>
      </c>
      <c r="T164" s="37" t="n">
        <f aca="false">(X164-X$100)/(X$170-X$100)*(T$170-T$100)+T$100</f>
        <v>3.77769921793872</v>
      </c>
      <c r="U164" s="39" t="n">
        <f aca="false">(X164-X$155)/(X$170-X$155)*(U$170-U$155)+U$155</f>
        <v>841.482484864671</v>
      </c>
      <c r="V164" s="39" t="n">
        <f aca="false">8314.4621*U164/(Sheet1!H$20*Sheet1!H$12*9.80665)</f>
        <v>167012.936498196</v>
      </c>
      <c r="W164" s="39" t="n">
        <f aca="false">W163-LN(R164/R163)*(V163+V164)/2</f>
        <v>3350066.61357733</v>
      </c>
      <c r="X164" s="39" t="n">
        <f aca="false">Sheet1!H$10*10/Sheet1!H$11*1000*W164/(Sheet1!H$10*10/Sheet1!H$11*1000-W164)</f>
        <v>3550834.04576003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831.751076596625</v>
      </c>
      <c r="T165" s="37" t="n">
        <f aca="false">(X165-X$100)/(X$170-X$100)*(T$170-T$100)+T$100</f>
        <v>3.81461144471462</v>
      </c>
      <c r="U165" s="39" t="n">
        <f aca="false">(X165-X$155)/(X$170-X$155)*(U$170-U$155)+U$155</f>
        <v>841.577597719873</v>
      </c>
      <c r="V165" s="39" t="n">
        <f aca="false">8314.4621*U165/(Sheet1!H$20*Sheet1!H$12*9.80665)</f>
        <v>167031.813988259</v>
      </c>
      <c r="W165" s="39" t="n">
        <f aca="false">W164-LN(R165/R164)*(V164+V165)/2</f>
        <v>3388524.93672049</v>
      </c>
      <c r="X165" s="39" t="n">
        <f aca="false">Sheet1!H$10*10/Sheet1!H$11*1000*W165/(Sheet1!H$10*10/Sheet1!H$11*1000-W165)</f>
        <v>3594069.80588674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831.751102801292</v>
      </c>
      <c r="T166" s="37" t="n">
        <f aca="false">(X166-X$100)/(X$170-X$100)*(T$170-T$100)+T$100</f>
        <v>3.85157871502679</v>
      </c>
      <c r="U166" s="39" t="n">
        <f aca="false">(X166-X$155)/(X$170-X$155)*(U$170-U$155)+U$155</f>
        <v>841.672852407926</v>
      </c>
      <c r="V166" s="39" t="n">
        <f aca="false">8314.4621*U166/(Sheet1!H$20*Sheet1!H$12*9.80665)</f>
        <v>167050.719628547</v>
      </c>
      <c r="W166" s="39" t="n">
        <f aca="false">W165-LN(R166/R165)*(V165+V166)/2</f>
        <v>3426987.60980727</v>
      </c>
      <c r="X166" s="39" t="n">
        <f aca="false">Sheet1!H$10*10/Sheet1!H$11*1000*W166/(Sheet1!H$10*10/Sheet1!H$11*1000-W166)</f>
        <v>3637370.03920671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831.75112904557</v>
      </c>
      <c r="T167" s="37" t="n">
        <f aca="false">(X167-X$100)/(X$170-X$100)*(T$170-T$100)+T$100</f>
        <v>3.88860115762771</v>
      </c>
      <c r="U167" s="39" t="n">
        <f aca="false">(X167-X$155)/(X$170-X$155)*(U$170-U$155)+U$155</f>
        <v>841.768249260594</v>
      </c>
      <c r="V167" s="39" t="n">
        <f aca="false">8314.4621*U167/(Sheet1!H$20*Sheet1!H$12*9.80665)</f>
        <v>167069.653484905</v>
      </c>
      <c r="W167" s="39" t="n">
        <f aca="false">W166-LN(R167/R166)*(V166+V167)/2</f>
        <v>3465454.6393271</v>
      </c>
      <c r="X167" s="39" t="n">
        <f aca="false">Sheet1!H$10*10/Sheet1!H$11*1000*W167/(Sheet1!H$10*10/Sheet1!H$11*1000-W167)</f>
        <v>3680734.89652936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831.751076158601</v>
      </c>
      <c r="T168" s="37" t="n">
        <f aca="false">(X168-X$100)/(X$170-X$100)*(T$170-T$100)+T$100</f>
        <v>3.92567889993812</v>
      </c>
      <c r="U168" s="39" t="n">
        <f aca="false">(X168-X$155)/(X$170-X$155)*(U$170-U$155)+U$155</f>
        <v>841.863709435256</v>
      </c>
      <c r="V168" s="39" t="n">
        <f aca="false">8314.4621*U168/(Sheet1!H$20*Sheet1!H$12*9.80665)</f>
        <v>167088.599909074</v>
      </c>
      <c r="W168" s="39" t="n">
        <f aca="false">W167-LN(R168/R167)*(V167+V168)/2</f>
        <v>3503926.0299754</v>
      </c>
      <c r="X168" s="39" t="n">
        <f aca="false">Sheet1!H$10*10/Sheet1!H$11*1000*W168/(Sheet1!H$10*10/Sheet1!H$11*1000-W168)</f>
        <v>3724164.52710422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831.751096322404</v>
      </c>
      <c r="T169" s="37" t="n">
        <f aca="false">(X169-X$100)/(X$170-X$100)*(T$170-T$100)+T$100</f>
        <v>3.962812071395</v>
      </c>
      <c r="U169" s="39" t="n">
        <f aca="false">(X169-X$155)/(X$170-X$155)*(U$170-U$155)+U$155</f>
        <v>841.959385447362</v>
      </c>
      <c r="V169" s="39" t="n">
        <f aca="false">8314.4621*U169/(Sheet1!H$20*Sheet1!H$12*9.80665)</f>
        <v>167107.589171503</v>
      </c>
      <c r="W169" s="39" t="n">
        <f aca="false">W168-LN(R169/R168)*(V168+V169)/2</f>
        <v>3542401.78813102</v>
      </c>
      <c r="X169" s="39" t="n">
        <f aca="false">Sheet1!H$10*10/Sheet1!H$11*1000*W169/(Sheet1!H$10*10/Sheet1!H$11*1000-W169)</f>
        <v>3767659.08254246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831.751132210469</v>
      </c>
      <c r="T170" s="37" t="n">
        <v>4</v>
      </c>
      <c r="U170" s="39" t="n">
        <f aca="false">U155+(T170-T155)*((Sheet1!H$18-Sheet1!H$19)*COS(RADIANS(38))+Sheet1!H$19)/2</f>
        <v>842.055218239323</v>
      </c>
      <c r="V170" s="39" t="n">
        <f aca="false">8314.4621*U170/(Sheet1!H$20*Sheet1!H$12*9.80665)</f>
        <v>167119.389466102</v>
      </c>
      <c r="W170" s="39" t="n">
        <f aca="false">W169-LN(R170/R169)*(V169+V170)/2</f>
        <v>3580881.09106539</v>
      </c>
      <c r="X170" s="39" t="n">
        <f aca="false">Sheet1!H$10*10/Sheet1!H$11*1000*W170/(Sheet1!H$10*10/Sheet1!H$11*1000-W170)</f>
        <v>3811217.77572389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831.751132210469</v>
      </c>
      <c r="AA170" s="39" t="n">
        <f aca="false">IF(Y170=LOG(Sheet1!H$17*101325),(LOG(Sheet1!H$17*101325)-Q180)/(Q170-Q180)*(X170-X180)+X180,IF(Y170=0,0,X170))</f>
        <v>3811217.77572389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2022-05-09T17:28:08Z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