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<sst xmlns="http://schemas.openxmlformats.org/spreadsheetml/2006/main" count="1297" uniqueCount="372">
  <si>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</si>
  <si>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</si>
  <si>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</si>
  <si>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</si>
  <si>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</si>
  <si>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</si>
  <si>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</si>
  <si>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</si>
  <si>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</si>
  <si>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</si>
  <si>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</si>
  <si>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</si>
  <si>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</si>
  <si>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</si>
  <si>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</si>
  <si>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</si>
  <si>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</si>
  <si>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</si>
  <si>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</si>
  <si>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</si>
  <si>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</si>
  <si>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</si>
  <si>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</si>
  <si>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</si>
  <si>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</si>
  <si>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</si>
  <si>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</si>
  <si>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</si>
  <si>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</si>
  <si>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</si>
  <si>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</si>
  <si>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</si>
  <si>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</si>
  <si>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</si>
  <si>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</si>
  <si>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</si>
  <si>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</si>
  <si>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</si>
  <si>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</si>
  <si>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</si>
  <si>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</si>
  <si>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</si>
  <si>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</si>
  <si>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</si>
  <si>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</si>
  <si>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</si>
  <si>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</si>
  <si>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</si>
  <si>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</si>
  <si>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</si>
  <si>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</si>
  <si>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</si>
  <si>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</si>
  <si>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</si>
  <si>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</si>
  <si>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</si>
  <si>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</si>
  <si>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</si>
  <si>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</si>
  <si>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</si>
  <si>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</si>
  <si>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</si>
  <si>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</si>
  <si>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</si>
  <si>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</si>
  <si>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</si>
  <si>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</si>
  <si>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</si>
  <si>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</si>
  <si>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</si>
  <si>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</si>
  <si>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</si>
  <si>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</si>
  <si>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</si>
  <si>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</si>
  <si>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</si>
  <si>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</si>
  <si>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</si>
  <si>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</si>
  <si>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</si>
  <si>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</si>
  <si>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</si>
  <si>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</si>
  <si>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</si>
  <si>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</si>
  <si>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</si>
  <si>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</si>
  <si>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</si>
  <si>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</si>
  <si>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</si>
  <si>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</si>
  <si>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</si>
  <si>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</si>
  <si>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</si>
  <si>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</si>
  <si>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</si>
  <si>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</si>
  <si>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</si>
  <si>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</si>
  <si>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</si>
  <si>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</si>
  <si>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</si>
  <si>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</si>
  <si>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</si>
  <si>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</si>
  <si>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</si>
  <si>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</si>
  <si>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</si>
  <si>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</si>
  <si>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</si>
  <si>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</si>
  <si>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</si>
  <si>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</si>
  <si>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</si>
  <si>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</si>
  <si>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</si>
  <si>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</si>
  <si>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</si>
  <si>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</si>
  <si>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</si>
  <si>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</si>
  <si>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</si>
  <si>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</si>
  <si>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</si>
  <si>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</si>
  <si>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</si>
  <si>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</si>
  <si>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</si>
  <si>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</si>
  <si>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</si>
  <si>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</si>
  <si>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</si>
  <si>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</si>
  <si>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</si>
  <si>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</si>
  <si>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</si>
  <si>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</si>
  <si>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</si>
  <si>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</si>
  <si>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</si>
  <si>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</si>
  <si>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</si>
  <si>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</si>
  <si>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</si>
  <si>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</si>
  <si>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</si>
  <si>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</si>
  <si>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</si>
  <si>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</si>
  <si>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</si>
  <si>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</si>
  <si>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</si>
  <si>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</si>
  <si>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</si>
  <si>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</si>
  <si>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</si>
  <si>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</si>
  <si>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</si>
  <si>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</si>
  <si>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</si>
  <si>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</si>
  <si>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</si>
  <si>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</si>
  <si>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</si>
  <si>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</si>
  <si>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</si>
  <si>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</si>
  <si>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</si>
  <si>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</si>
  <si>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</si>
  <si>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</si>
  <si>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</si>
  <si>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</si>
  <si>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</si>
  <si>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</si>
  <si>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</si>
  <si>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</si>
  <si>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</si>
  <si>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</si>
  <si>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</si>
  <si>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</si>
  <si>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</si>
  <si>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</si>
  <si>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</si>
  <si>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</si>
  <si>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</si>
  <si>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</si>
  <si>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</si>
  <si>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</si>
  <si>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</si>
  <si>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</si>
  <si>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</si>
  <si>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</si>
  <si>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</si>
  <si>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</si>
  <si>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</si>
  <si>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</si>
  <si>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</si>
  <si>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</si>
  <si>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</si>
  <si>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</si>
  <si>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</si>
  <si>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</si>
  <si>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</si>
  <si>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</si>
  <si>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</si>
  <si>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</si>
  <si>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</si>
  <si>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</si>
  <si>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</si>
  <si>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</si>
  <si>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</si>
  <si>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</si>
  <si>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</si>
  <si>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</si>
  <si>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</si>
  <si>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</si>
  <si>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</si>
  <si>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</si>
  <si>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</si>
  <si>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</si>
  <si>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</si>
  <si>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</si>
  <si>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</si>
  <si>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</si>
  <si>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</si>
  <si>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</si>
  <si>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</si>
  <si>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</si>
  <si>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</si>
  <si>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</si>
  <si>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</si>
  <si>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</si>
  <si>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</si>
  <si>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</si>
  <si>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</si>
  <si>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</si>
  <si>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</si>
  <si>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</si>
  <si>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</si>
  <si>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</si>
  <si>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</si>
  <si>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</si>
  <si>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</si>
  <si>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</si>
  <si>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</si>
  <si>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</si>
  <si>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</si>
  <si>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</si>
  <si>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</si>
  <si>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</si>
  <si>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</si>
  <si>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</si>
  <si>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</si>
  <si>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</si>
  <si>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</si>
  <si>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</si>
  <si>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</si>
  <si>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</si>
  <si>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</si>
  <si>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</si>
  <si>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</si>
  <si>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</si>
  <si>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</si>
  <si>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</si>
  <si>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</si>
  <si>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</si>
  <si>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</si>
  <si>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</si>
  <si>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</si>
  <si>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</si>
  <si>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</si>
  <si>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</si>
  <si>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</si>
  <si>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</si>
  <si>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</si>
  <si>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</si>
  <si>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</si>
  <si>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</si>
  <si>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</si>
  <si>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</si>
  <si>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</si>
  <si>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</si>
  <si>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</si>
  <si>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</si>
  <si>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</si>
  <si>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</si>
  <si>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</si>
  <si>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</si>
  <si>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</si>
  <si>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</si>
  <si>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</si>
  <si>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</si>
  <si>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</si>
  <si>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</si>
  <si>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</si>
  <si>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</si>
  <si>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</si>
  <si>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</si>
  <si>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</si>
  <si>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</si>
  <si>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</si>
  <si>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</si>
  <si>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</si>
  <si>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</si>
  <si>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</si>
  <si>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</si>
  <si>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</si>
  <si>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</si>
  <si>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</si>
  <si>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</si>
  <si>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</si>
  <si>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</si>
  <si>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</si>
  <si>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</si>
  <si>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</si>
  <si>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</si>
  <si>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</si>
  <si>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</si>
  <si>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</si>
  <si>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</si>
  <si>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</si>
  <si>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</si>
  <si>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</si>
  <si>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</si>
  <si>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</si>
  <si>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</si>
  <si>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</si>
  <si>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</si>
  <si>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</si>
  <si>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</si>
  <si>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</si>
  <si>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</si>
  <si>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</si>
  <si>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</si>
  <si>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</si>
  <si>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</si>
  <si>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</si>
  <si>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</si>
  <si>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</si>
  <si>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</si>
  <si>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</si>
  <si>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</si>
  <si>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</si>
  <si>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</si>
  <si>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</si>
  <si>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</si>
  <si>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</si>
  <si>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</si>
  <si>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</si>
  <si>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</si>
  <si>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</si>
  <si>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</si>
  <si>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</si>
  <si>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</si>
  <si>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</si>
  <si>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</si>
  <si>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</si>
  <si>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</si>
  <si>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</si>
  <si>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</si>
  <si>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</si>
  <si>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</si>
  <si>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</si>
  <si>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</si>
  <si>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None</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</si>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</sst>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7">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2"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2"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6" fontId="9" fillId="0" borderId="9"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bottom" textRotation="0" wrapText="false" indent="2"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6" fontId="9" fillId="0"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2"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2"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4" fillId="2" borderId="17"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general"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70" fontId="4" fillId="2" borderId="0" xfId="0" applyFont="true" applyBorder="false" applyAlignment="true" applyProtection="false">
      <alignment horizontal="center" vertical="bottom" textRotation="0" wrapText="false" indent="0" shrinkToFit="false"/>
      <protection locked="true" hidden="false"/>
    </xf>
    <xf numFmtId="171" fontId="4" fillId="2" borderId="0" xfId="0" applyFont="true" applyBorder="true" applyAlignment="false" applyProtection="false">
      <alignment horizontal="general" vertical="bottom" textRotation="0" wrapText="false" indent="0" shrinkToFit="false"/>
      <protection locked="true" hidden="false"/>
    </xf>
    <xf numFmtId="172"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tru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67" fontId="4" fillId="2" borderId="18" xfId="0" applyFont="true" applyBorder="true" applyAlignment="true" applyProtection="false">
      <alignment horizontal="center" vertical="bottom" textRotation="0" wrapText="false" indent="0" shrinkToFit="false"/>
      <protection locked="true" hidden="false"/>
    </xf>
    <xf numFmtId="168" fontId="4" fillId="2" borderId="0" xfId="0" applyFont="true" applyBorder="false" applyAlignment="true" applyProtection="false">
      <alignment horizontal="center" vertical="bottom" textRotation="0" wrapText="false" indent="0" shrinkToFit="false"/>
      <protection locked="true" hidden="false"/>
    </xf>
    <xf numFmtId="167" fontId="4" fillId="2" borderId="19" xfId="0" applyFont="true" applyBorder="true" applyAlignment="true" applyProtection="false">
      <alignment horizontal="center" vertical="bottom" textRotation="0" wrapText="false" indent="0" shrinkToFit="false"/>
      <protection locked="true" hidden="false"/>
    </xf>
    <xf numFmtId="167" fontId="4" fillId="2"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75" fontId="0" fillId="0" borderId="0" xfId="0" applyFont="true" applyBorder="false" applyAlignment="false" applyProtection="true">
      <alignment horizontal="general" vertical="bottom" textRotation="0" wrapText="false" indent="0" shrinkToFit="false"/>
      <protection locked="false" hidden="false"/>
    </xf>
    <xf numFmtId="164" fontId="11" fillId="2" borderId="0" xfId="0" applyFont="true" applyBorder="true" applyAlignment="true" applyProtection="false">
      <alignment horizontal="left" vertical="bottom" textRotation="0" wrapText="false" indent="0" shrinkToFit="false"/>
      <protection locked="true" hidden="false"/>
    </xf>
    <xf numFmtId="175" fontId="4" fillId="2" borderId="0" xfId="0" applyFont="true" applyBorder="true" applyAlignment="false" applyProtection="false">
      <alignment horizontal="general" vertical="bottom" textRotation="0" wrapText="false" indent="0" shrinkToFit="false"/>
      <protection locked="true" hidden="false"/>
    </xf>
    <xf numFmtId="167" fontId="4" fillId="2" borderId="0" xfId="0" applyFont="true" applyBorder="true" applyAlignment="false" applyProtection="false">
      <alignment horizontal="general" vertical="bottom" textRotation="0" wrapText="false" indent="0" shrinkToFit="false"/>
      <protection locked="true" hidden="false"/>
    </xf>
    <xf numFmtId="176"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2" shrinkToFit="false"/>
      <protection locked="true" hidden="false"/>
    </xf>
    <xf numFmtId="171" fontId="4"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7" fontId="4" fillId="2" borderId="0" xfId="0" applyFont="true" applyBorder="false" applyAlignment="true" applyProtection="false">
      <alignment horizontal="right" vertical="bottom" textRotation="0" wrapText="false" indent="0" shrinkToFit="false"/>
      <protection locked="true" hidden="false"/>
    </xf>
    <xf numFmtId="172" fontId="4" fillId="2"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false" applyAlignment="fals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fals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fals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false" applyProtection="true">
      <alignment horizontal="general" vertical="bottom" textRotation="0" wrapText="false" indent="0" shrinkToFit="false"/>
      <protection locked="true" hidden="false"/>
    </xf>
    <xf numFmtId="164" fontId="9" fillId="2" borderId="13" xfId="0" applyFont="true" applyBorder="true" applyAlignment="false" applyProtection="true">
      <alignment horizontal="general" vertical="bottom" textRotation="0" wrapText="false" indent="0" shrinkToFit="false"/>
      <protection locked="true" hidden="false"/>
    </xf>
    <xf numFmtId="164" fontId="9" fillId="0" borderId="14"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fals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75" fontId="4" fillId="2" borderId="0" xfId="0" applyFont="true" applyBorder="true" applyAlignment="fals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76" fontId="4" fillId="2" borderId="0" xfId="0" applyFont="true" applyBorder="false" applyAlignment="false" applyProtection="true">
      <alignment horizontal="general"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67"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fals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left" vertical="bottom" textRotation="0" wrapText="false" indent="3"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true" indent="0" shrinkToFit="false"/>
      <protection locked="true" hidden="false"/>
    </xf>
    <xf numFmtId="172" fontId="14" fillId="2" borderId="0" xfId="0" applyFont="true" applyBorder="false" applyAlignment="false" applyProtection="true">
      <alignment horizontal="general" vertical="bottom" textRotation="0" wrapText="false" indent="0" shrinkToFit="false"/>
      <protection locked="true" hidden="false"/>
    </xf>
    <xf numFmtId="177" fontId="9" fillId="2" borderId="0" xfId="0" applyFont="true" applyBorder="false" applyAlignment="false" applyProtection="true">
      <alignment horizontal="general" vertical="bottom" textRotation="0" wrapText="false" indent="0" shrinkToFit="false"/>
      <protection locked="true" hidden="false"/>
    </xf>
    <xf numFmtId="176" fontId="9" fillId="2" borderId="0" xfId="0" applyFont="true" applyBorder="false" applyAlignment="false" applyProtection="true">
      <alignment horizontal="general" vertical="bottom" textRotation="0" wrapText="false" indent="0" shrinkToFit="false"/>
      <protection locked="true" hidden="false"/>
    </xf>
    <xf numFmtId="172" fontId="4" fillId="2" borderId="0" xfId="0" applyFont="true" applyBorder="false" applyAlignment="fals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false" applyProtection="true">
      <alignment horizontal="general" vertical="bottom" textRotation="0" wrapText="false" indent="0" shrinkToFit="false"/>
      <protection locked="true" hidden="false"/>
    </xf>
    <xf numFmtId="165" fontId="9" fillId="2" borderId="0" xfId="0" applyFont="true" applyBorder="false" applyAlignment="fals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77" fontId="4" fillId="2" borderId="0" xfId="0" applyFont="true" applyBorder="true" applyAlignment="true" applyProtection="false">
      <alignment horizontal="center" vertical="bottom" textRotation="0" wrapText="false" indent="0" shrinkToFit="false"/>
      <protection locked="true" hidden="false"/>
    </xf>
    <xf numFmtId="167" fontId="9" fillId="2" borderId="0" xfId="0" applyFont="true" applyBorder="false" applyAlignment="false" applyProtection="false">
      <alignment horizontal="general" vertical="bottom" textRotation="0" wrapText="false" indent="0" shrinkToFit="false"/>
      <protection locked="true" hidden="false"/>
    </xf>
    <xf numFmtId="176" fontId="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false">
      <alignment horizontal="center" vertical="bottom" textRotation="0" wrapText="false" indent="0" shrinkToFit="false"/>
      <protection locked="true" hidden="false"/>
    </xf>
    <xf numFmtId="167" fontId="0" fillId="0" borderId="16" xfId="0" applyFont="true" applyBorder="tru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3"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false">
      <alignment horizontal="right" vertical="bottom" textRotation="0" wrapText="false" indent="0" shrinkToFit="false"/>
      <protection locked="true" hidden="false"/>
    </xf>
    <xf numFmtId="172" fontId="14" fillId="2" borderId="0" xfId="0" applyFont="true" applyBorder="false" applyAlignment="false" applyProtection="false">
      <alignment horizontal="general" vertical="bottom" textRotation="0" wrapText="false" indent="0" shrinkToFit="false"/>
      <protection locked="true" hidden="false"/>
    </xf>
    <xf numFmtId="177" fontId="9" fillId="2"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76" fontId="4" fillId="2" borderId="0" xfId="0" applyFont="true" applyBorder="false" applyAlignment="true" applyProtection="false">
      <alignment horizontal="right" vertical="bottom" textRotation="0" wrapText="false" indent="0" shrinkToFit="false"/>
      <protection locked="true" hidden="false"/>
    </xf>
    <xf numFmtId="164" fontId="15"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false" hidden="false" outlineLevel="0" max="1024" min="1" style="1" width="9.13"/>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true" hidden="false" outlineLevel="0" max="17" min="17" style="1" width="13.7"/>
    <col collapsed="false" customWidth="false" hidden="false" outlineLevel="0" max="1024" min="18" style="1" width="9.13"/>
  </cols>
  <sheetData>
    <row r="2" customFormat="false" ht="31.5" hidden="false" customHeight="false" outlineLevel="0" collapsed="false">
      <c r="B2" s="5" t="s">
        <v>361</v>
      </c>
      <c r="C2" s="5"/>
      <c r="D2" s="5"/>
      <c r="E2" s="5"/>
      <c r="F2" s="5"/>
      <c r="G2" s="5"/>
      <c r="H2" s="5"/>
    </row>
    <row r="4" customFormat="false" ht="15.75" hidden="false" customHeight="false" outlineLevel="0" collapsed="false">
      <c r="B4" s="57" t="s">
        <v>362</v>
      </c>
      <c r="C4" s="57"/>
      <c r="D4" s="57"/>
      <c r="E4" s="57"/>
      <c r="F4" s="57"/>
      <c r="G4" s="57"/>
      <c r="H4" s="57"/>
    </row>
    <row r="5" customFormat="false" ht="15.75" hidden="false" customHeight="false" outlineLevel="0" collapsed="false">
      <c r="B5" s="57" t="s">
        <v>363</v>
      </c>
      <c r="C5" s="57"/>
      <c r="D5" s="57"/>
      <c r="E5" s="57"/>
      <c r="F5" s="57"/>
      <c r="G5" s="57"/>
      <c r="H5" s="57"/>
    </row>
    <row r="7" customFormat="false" ht="18.75" hidden="false" customHeight="false" outlineLevel="0" collapsed="false">
      <c r="B7" s="178" t="s">
        <v>364</v>
      </c>
    </row>
    <row r="9" customFormat="false" ht="15.75" hidden="false" customHeight="false" outlineLevel="0" collapsed="false">
      <c r="B9" s="6" t="s">
        <v>20</v>
      </c>
      <c r="C9" s="6"/>
      <c r="D9" s="6"/>
      <c r="E9" s="6"/>
      <c r="F9" s="6"/>
      <c r="G9" s="6"/>
      <c r="H9" s="6"/>
    </row>
    <row r="10" customFormat="false" ht="15.75" hidden="false" customHeight="false" outlineLevel="0" collapsed="false">
      <c r="B10" s="6" t="s">
        <v>233</v>
      </c>
      <c r="C10" s="6"/>
      <c r="D10" s="6"/>
      <c r="E10" s="6"/>
      <c r="F10" s="6"/>
      <c r="G10" s="6"/>
      <c r="H10" s="6"/>
    </row>
    <row r="11" customFormat="false" ht="15.75" hidden="false" customHeight="false" outlineLevel="0" collapsed="false">
      <c r="B11" s="6" t="s">
        <v>234</v>
      </c>
      <c r="C11" s="6"/>
      <c r="D11" s="6"/>
      <c r="E11" s="6"/>
      <c r="F11" s="6"/>
      <c r="G11" s="6"/>
      <c r="H11" s="6"/>
    </row>
    <row r="12" customFormat="false" ht="15.75" hidden="false" customHeight="false" outlineLevel="0" collapsed="false">
      <c r="B12" s="6" t="s">
        <v>235</v>
      </c>
      <c r="C12" s="6"/>
      <c r="D12" s="6"/>
      <c r="E12" s="6"/>
      <c r="F12" s="6"/>
      <c r="G12" s="6"/>
      <c r="H12" s="6"/>
    </row>
    <row r="14" customFormat="false" ht="15.75" hidden="false" customHeight="false" outlineLevel="0" collapsed="false">
      <c r="B14" s="4" t="s">
        <v>29</v>
      </c>
    </row>
    <row r="15" customFormat="false" ht="15.75" hidden="false" customHeight="false" outlineLevel="0" collapsed="false">
      <c r="B15" s="3" t="s">
        <v>32</v>
      </c>
      <c r="F15" s="14" t="n">
        <v>13599840256</v>
      </c>
      <c r="G15" s="14"/>
      <c r="H15" s="13" t="s">
        <v>33</v>
      </c>
    </row>
    <row r="16" customFormat="false" ht="15.75" hidden="false" customHeight="false" outlineLevel="0" collapsed="false">
      <c r="B16" s="4" t="s">
        <v>36</v>
      </c>
      <c r="F16" s="15"/>
      <c r="G16" s="15"/>
    </row>
    <row r="17" customFormat="false" ht="15.75" hidden="false" customHeight="false" outlineLevel="0" collapsed="false">
      <c r="B17" s="3" t="s">
        <v>39</v>
      </c>
      <c r="F17" s="14" t="n">
        <v>46000000</v>
      </c>
      <c r="G17" s="14"/>
      <c r="H17" s="1" t="s">
        <v>33</v>
      </c>
    </row>
    <row r="18" customFormat="false" ht="15" hidden="false" customHeight="true" outlineLevel="0" collapsed="false">
      <c r="B18" s="16" t="s">
        <v>42</v>
      </c>
      <c r="C18" s="17"/>
      <c r="D18" s="18" t="s">
        <v>43</v>
      </c>
      <c r="E18" s="18"/>
      <c r="F18" s="19"/>
      <c r="G18" s="20"/>
      <c r="H18" s="13" t="s">
        <v>44</v>
      </c>
    </row>
    <row r="19" customFormat="false" ht="15.75" hidden="false" customHeight="false" outlineLevel="0" collapsed="false">
      <c r="B19" s="21" t="s">
        <v>47</v>
      </c>
      <c r="C19" s="13"/>
      <c r="D19" s="18"/>
      <c r="E19" s="18"/>
      <c r="F19" s="22"/>
      <c r="G19" s="23"/>
      <c r="H19" s="1" t="s">
        <v>48</v>
      </c>
    </row>
    <row r="20" customFormat="false" ht="15.75" hidden="false" customHeight="false" outlineLevel="0" collapsed="false">
      <c r="B20" s="24" t="s">
        <v>50</v>
      </c>
      <c r="C20" s="25"/>
      <c r="D20" s="18"/>
      <c r="E20" s="18"/>
      <c r="F20" s="26"/>
      <c r="G20" s="27" t="n">
        <v>39.8</v>
      </c>
      <c r="H20" s="13" t="s">
        <v>51</v>
      </c>
    </row>
    <row r="21" customFormat="false" ht="15.75" hidden="false" customHeight="false" outlineLevel="0" collapsed="false">
      <c r="B21" s="3" t="s">
        <v>236</v>
      </c>
      <c r="F21" s="15"/>
      <c r="G21" s="31" t="n">
        <v>252</v>
      </c>
      <c r="H21" s="13" t="s">
        <v>135</v>
      </c>
    </row>
    <row r="22" s="13" customFormat="true" ht="15.75" hidden="false" customHeight="false" outlineLevel="0" collapsed="false">
      <c r="B22" s="4" t="s">
        <v>237</v>
      </c>
      <c r="F22" s="22"/>
      <c r="G22" s="22"/>
      <c r="N22" s="1"/>
      <c r="O22" s="1"/>
      <c r="P22" s="1"/>
      <c r="Q22" s="1"/>
    </row>
    <row r="23" s="13" customFormat="true" ht="15.75" hidden="false" customHeight="false" outlineLevel="0" collapsed="false">
      <c r="B23" s="3" t="s">
        <v>39</v>
      </c>
      <c r="C23" s="1"/>
      <c r="D23" s="1"/>
      <c r="E23" s="1"/>
      <c r="F23" s="14" t="n">
        <v>480000</v>
      </c>
      <c r="G23" s="14"/>
      <c r="H23" s="1" t="s">
        <v>33</v>
      </c>
      <c r="N23" s="1"/>
      <c r="O23" s="1"/>
      <c r="P23" s="1"/>
      <c r="Q23" s="1"/>
    </row>
    <row r="24" customFormat="false" ht="15" hidden="false" customHeight="true" outlineLevel="0" collapsed="false">
      <c r="B24" s="16" t="s">
        <v>42</v>
      </c>
      <c r="C24" s="17"/>
      <c r="D24" s="18" t="s">
        <v>43</v>
      </c>
      <c r="E24" s="18"/>
      <c r="F24" s="19"/>
      <c r="G24" s="20"/>
      <c r="H24" s="13" t="s">
        <v>44</v>
      </c>
    </row>
    <row r="25" s="13" customFormat="true" ht="15.75" hidden="false" customHeight="false" outlineLevel="0" collapsed="false">
      <c r="B25" s="21" t="s">
        <v>47</v>
      </c>
      <c r="D25" s="18"/>
      <c r="E25" s="18"/>
      <c r="F25" s="22"/>
      <c r="G25" s="23"/>
      <c r="H25" s="1" t="s">
        <v>48</v>
      </c>
      <c r="O25" s="1"/>
      <c r="P25" s="1"/>
      <c r="Q25" s="1"/>
    </row>
    <row r="26" customFormat="false" ht="15.75" hidden="false" customHeight="false" outlineLevel="0" collapsed="false">
      <c r="B26" s="24" t="s">
        <v>50</v>
      </c>
      <c r="C26" s="25"/>
      <c r="D26" s="18"/>
      <c r="E26" s="18"/>
      <c r="F26" s="26"/>
      <c r="G26" s="27" t="n">
        <v>0.7</v>
      </c>
      <c r="H26" s="13" t="s">
        <v>51</v>
      </c>
      <c r="I26" s="13"/>
    </row>
    <row r="27" s="13" customFormat="true" ht="15.75" hidden="false" customHeight="false" outlineLevel="0" collapsed="false">
      <c r="B27" s="3" t="s">
        <v>238</v>
      </c>
      <c r="F27" s="22"/>
      <c r="G27" s="31" t="n">
        <v>0.25</v>
      </c>
      <c r="O27" s="1"/>
      <c r="P27" s="1"/>
      <c r="Q27" s="1"/>
    </row>
    <row r="28" s="13" customFormat="true" ht="15.75" hidden="false" customHeight="false" outlineLevel="0" collapsed="false">
      <c r="B28" s="3" t="s">
        <v>32</v>
      </c>
      <c r="F28" s="14" t="n">
        <v>5000000000</v>
      </c>
      <c r="G28" s="14"/>
      <c r="H28" s="13" t="s">
        <v>33</v>
      </c>
      <c r="O28" s="1"/>
      <c r="P28" s="1"/>
      <c r="Q28" s="1"/>
    </row>
    <row r="29" s="13" customFormat="true" ht="15.75" hidden="false" customHeight="false" outlineLevel="0" collapsed="false">
      <c r="B29" s="3" t="s">
        <v>239</v>
      </c>
      <c r="F29" s="22"/>
      <c r="G29" s="31" t="n">
        <v>0.03</v>
      </c>
      <c r="O29" s="1"/>
      <c r="P29" s="1"/>
      <c r="Q29" s="1"/>
    </row>
    <row r="30" s="13" customFormat="true" ht="15.75" hidden="false" customHeight="false" outlineLevel="0" collapsed="false">
      <c r="B30" s="3" t="s">
        <v>240</v>
      </c>
      <c r="F30" s="22"/>
      <c r="G30" s="31" t="n">
        <v>2</v>
      </c>
      <c r="H30" s="13" t="s">
        <v>241</v>
      </c>
      <c r="O30" s="1"/>
      <c r="P30" s="1"/>
      <c r="Q30" s="1"/>
    </row>
    <row r="31" s="13" customFormat="true" ht="15.75" hidden="false" customHeight="false" outlineLevel="0" collapsed="false">
      <c r="B31" s="3" t="s">
        <v>242</v>
      </c>
      <c r="F31" s="22"/>
      <c r="G31" s="31" t="n">
        <v>0</v>
      </c>
      <c r="H31" s="13" t="s">
        <v>241</v>
      </c>
      <c r="O31" s="1"/>
      <c r="P31" s="1"/>
      <c r="Q31" s="1"/>
    </row>
    <row r="32" s="13" customFormat="true" ht="15.75" hidden="false" customHeight="false" outlineLevel="0" collapsed="false">
      <c r="B32" s="29"/>
      <c r="F32" s="22"/>
      <c r="G32" s="22"/>
      <c r="O32" s="1"/>
      <c r="P32" s="1"/>
      <c r="Q32" s="1"/>
    </row>
    <row r="33" customFormat="false" ht="15.75" hidden="false" customHeight="false" outlineLevel="0" collapsed="false">
      <c r="B33" s="6" t="s">
        <v>69</v>
      </c>
      <c r="C33" s="6"/>
      <c r="D33" s="6"/>
      <c r="E33" s="6"/>
      <c r="F33" s="6"/>
      <c r="G33" s="6"/>
      <c r="H33" s="6"/>
      <c r="K33" s="13"/>
      <c r="L33" s="13"/>
      <c r="M33" s="13"/>
      <c r="N33" s="13"/>
    </row>
    <row r="34" customFormat="false" ht="15.75" hidden="false" customHeight="false" outlineLevel="0" collapsed="false">
      <c r="B34" s="6" t="s">
        <v>243</v>
      </c>
      <c r="C34" s="6"/>
      <c r="D34" s="6"/>
      <c r="E34" s="6"/>
      <c r="F34" s="6"/>
      <c r="G34" s="6"/>
      <c r="H34" s="6"/>
      <c r="K34" s="13"/>
      <c r="L34" s="13"/>
      <c r="M34" s="13"/>
      <c r="N34" s="13"/>
    </row>
    <row r="35" customFormat="false" ht="15.75" hidden="false" customHeight="false" outlineLevel="0" collapsed="false">
      <c r="F35" s="15"/>
      <c r="G35" s="15"/>
    </row>
    <row r="36" customFormat="false" ht="15.75" hidden="false" customHeight="false" outlineLevel="0" collapsed="false">
      <c r="B36" s="3" t="s">
        <v>75</v>
      </c>
      <c r="F36" s="35" t="n">
        <v>5100000</v>
      </c>
      <c r="G36" s="35"/>
      <c r="H36" s="1" t="s">
        <v>33</v>
      </c>
    </row>
    <row r="38" customFormat="false" ht="15.75" hidden="false" customHeight="false" outlineLevel="0" collapsed="false">
      <c r="B38" s="57" t="s">
        <v>325</v>
      </c>
      <c r="C38" s="57"/>
      <c r="D38" s="57"/>
      <c r="E38" s="57"/>
      <c r="F38" s="57"/>
      <c r="G38" s="57"/>
      <c r="H38" s="57"/>
      <c r="I38" s="57"/>
      <c r="J38" s="57"/>
    </row>
    <row r="39" customFormat="false" ht="15.75" hidden="false" customHeight="false" outlineLevel="0" collapsed="false">
      <c r="B39" s="57" t="s">
        <v>326</v>
      </c>
      <c r="C39" s="57"/>
      <c r="D39" s="57"/>
      <c r="E39" s="57"/>
      <c r="F39" s="57"/>
      <c r="G39" s="57"/>
      <c r="H39" s="57"/>
      <c r="I39" s="57"/>
      <c r="J39" s="57"/>
    </row>
    <row r="40" customFormat="false" ht="15.75" hidden="false" customHeight="false" outlineLevel="0" collapsed="false">
      <c r="B40" s="57" t="s">
        <v>327</v>
      </c>
      <c r="C40" s="57"/>
      <c r="D40" s="57"/>
      <c r="E40" s="57"/>
      <c r="F40" s="57"/>
      <c r="G40" s="57"/>
      <c r="H40" s="57"/>
      <c r="I40" s="57"/>
      <c r="J40" s="57"/>
    </row>
    <row r="42" customFormat="false" ht="15.75" hidden="false" customHeight="false" outlineLevel="0" collapsed="false">
      <c r="B42" s="3" t="s">
        <v>328</v>
      </c>
      <c r="G42" s="46" t="n">
        <v>0.2</v>
      </c>
      <c r="H42" s="1" t="s">
        <v>189</v>
      </c>
    </row>
    <row r="43" customFormat="false" ht="15.75" hidden="false" customHeight="false" outlineLevel="0" collapsed="false">
      <c r="B43" s="85" t="s">
        <v>259</v>
      </c>
      <c r="G43" s="164" t="n">
        <f aca="false">G103</f>
        <v>303.790231628002</v>
      </c>
      <c r="H43" s="1" t="s">
        <v>65</v>
      </c>
    </row>
    <row r="44" customFormat="false" ht="15.75" hidden="false" customHeight="false" outlineLevel="0" collapsed="false">
      <c r="B44" s="85" t="s">
        <v>329</v>
      </c>
      <c r="G44" s="165" t="n">
        <f aca="false">IF(G97&gt;0,IF(F36&gt;0,150*8314.4621*G43/(G97*9.80665*F36),25),25)</f>
        <v>10.8220697917823</v>
      </c>
      <c r="H44" s="1" t="s">
        <v>94</v>
      </c>
    </row>
    <row r="46" customFormat="false" ht="15.75" hidden="false" customHeight="false" outlineLevel="0" collapsed="false">
      <c r="B46" s="4"/>
      <c r="F46" s="10" t="s">
        <v>87</v>
      </c>
      <c r="G46" s="10" t="s">
        <v>88</v>
      </c>
      <c r="H46" s="10" t="s">
        <v>89</v>
      </c>
      <c r="I46" s="163" t="s">
        <v>330</v>
      </c>
      <c r="J46" s="163" t="s">
        <v>331</v>
      </c>
    </row>
    <row r="47" customFormat="false" ht="15.75" hidden="false" customHeight="false" outlineLevel="0" collapsed="false">
      <c r="B47" s="39" t="s">
        <v>91</v>
      </c>
      <c r="C47" s="37"/>
      <c r="D47" s="37"/>
      <c r="E47" s="37" t="s">
        <v>92</v>
      </c>
      <c r="F47" s="40" t="s">
        <v>93</v>
      </c>
      <c r="G47" s="40" t="s">
        <v>94</v>
      </c>
      <c r="H47" s="40" t="s">
        <v>95</v>
      </c>
      <c r="I47" s="40" t="s">
        <v>65</v>
      </c>
      <c r="J47" s="40" t="s">
        <v>65</v>
      </c>
    </row>
    <row r="48" customFormat="false" ht="15.75" hidden="false" customHeight="false" outlineLevel="0" collapsed="false">
      <c r="B48" s="41" t="s">
        <v>244</v>
      </c>
      <c r="C48" s="41"/>
      <c r="D48" s="41"/>
      <c r="E48" s="1" t="s">
        <v>245</v>
      </c>
      <c r="F48" s="42" t="n">
        <v>0</v>
      </c>
      <c r="G48" s="43" t="n">
        <v>2.01588</v>
      </c>
      <c r="H48" s="43"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28.8733903646954</v>
      </c>
      <c r="I48" s="61" t="str">
        <f aca="false">IF(G$42&gt;0,IF(F48&gt;0,IF(G$42*F48*60.795&lt;7.04,"n/a",14.025*(1+G$42*F48*60.795/28600)^0.589*EXP(-0.0000000046*G$42*F48*60.795)),"---"),"---")</f>
        <v>---</v>
      </c>
      <c r="J48" s="61"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44" t="s">
        <v>250</v>
      </c>
      <c r="C49" s="44"/>
      <c r="D49" s="44"/>
      <c r="E49" s="1" t="s">
        <v>251</v>
      </c>
      <c r="F49" s="42" t="n">
        <v>0</v>
      </c>
      <c r="G49" s="43" t="n">
        <v>3.02204</v>
      </c>
      <c r="H49" s="43" t="n">
        <f aca="false">IF(G$103&lt;100,29.288,IF(G$103&lt;298.15,0.0000056637*G$103^2-0.00269911*G$103+29.5013,IF(G$103&lt;1000,31.24992-7.58919*(G$103/1000)+9.011375*(G$103/1000)^2-1.914415*(G$103/1000)^3-0.047793/(G$103/1000)^2,IF(G$103&lt;6000,28.22296+4.575371*(G$103/1000)-0.551669*(G$103/1000)^2+0.031038*(G$103/1000)^3-1.732276/(G$103/1000)^2,42.339))))</f>
        <v>29.2045061897591</v>
      </c>
      <c r="I49" s="61" t="str">
        <f aca="false">IF(G$42&gt;0,IF(F49&gt;0,IF(G$42*F49*60.795&lt;12.37,"n/a",16.597*(1+G$42*F49*60.795/38430)^0.589),"---"),"---")</f>
        <v>---</v>
      </c>
      <c r="J49" s="61"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44" t="s">
        <v>100</v>
      </c>
      <c r="C50" s="44"/>
      <c r="D50" s="44"/>
      <c r="E50" s="1" t="s">
        <v>101</v>
      </c>
      <c r="F50" s="42" t="n">
        <v>0</v>
      </c>
      <c r="G50" s="43" t="n">
        <v>4.002602</v>
      </c>
      <c r="H50" s="43" t="n">
        <v>20.786</v>
      </c>
      <c r="I50" s="61" t="str">
        <f aca="false">IF(G$42&gt;0,IF(F50&gt;0,IF(G$42*F50*60.795&lt;3013,"n/a",4.107*LOG(G$42*F50*60.795)^2-26.12*LOG(G$42*F50*60.795)+42.93),"---"),"---")</f>
        <v>---</v>
      </c>
      <c r="J50" s="61" t="str">
        <f aca="false">IF(G$42&gt;0,IF(F50&gt;0,IF(G$42*F50*60.795&gt;227.5,"n/a",37/(10.56-LN(G$42*F50*60.795))-2),"---"),"---")</f>
        <v>---</v>
      </c>
      <c r="K50" s="1" t="str">
        <f aca="false">IF(F50&gt;0,IF(G50&lt;G$44,"Molecular weight too low",IF(J50&gt;G$43,"Boiling point too high","")),"")</f>
        <v/>
      </c>
    </row>
    <row r="51" customFormat="false" ht="15.75" hidden="false" customHeight="false" outlineLevel="0" collapsed="false">
      <c r="B51" s="44" t="s">
        <v>246</v>
      </c>
      <c r="C51" s="44"/>
      <c r="D51" s="44"/>
      <c r="E51" s="1" t="s">
        <v>247</v>
      </c>
      <c r="F51" s="42" t="n">
        <v>0</v>
      </c>
      <c r="G51" s="43" t="n">
        <v>16.0425</v>
      </c>
      <c r="H51" s="43" t="n">
        <f aca="false">IF(G$103&lt;100,33.258,IF(G$103&lt;298.15,0.000000327888*G$103^3-0.000095605*G$103^2+0.00787935*G$103+33.0982,IF(G$103&lt;1300,-0.703029+108.4773*(G$103/1000)-42.52157*(G$103/1000)^2+5.862788*(G$103/1000)^3+0.678565/(G$103/1000)^2,IF(G$103&lt;6000,85.81217+11.26467*(G$103/1000)-2.114146*(G$103/1000)^2+0.13819*(G$103/1000)^3-26.42221/(G$103/1000)^2,106.306))))</f>
        <v>35.8440833160702</v>
      </c>
      <c r="I51" s="61" t="str">
        <f aca="false">IF(G$42&gt;0,IF(F51&gt;0,IF(G$42*F51*60.795&lt;11.696,"n/a",((G$42*F51*60.795-11.696)/208000+1)^(1/1.698)*90.69),"---"),"---")</f>
        <v>---</v>
      </c>
      <c r="J51" s="61"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44" t="s">
        <v>248</v>
      </c>
      <c r="C52" s="44"/>
      <c r="D52" s="44"/>
      <c r="E52" s="1" t="s">
        <v>249</v>
      </c>
      <c r="F52" s="42" t="n">
        <v>0</v>
      </c>
      <c r="G52" s="43" t="n">
        <v>17.0305</v>
      </c>
      <c r="H52" s="43" t="n">
        <f aca="false">IF(G$103&lt;100,33.284,IF(G$103&lt;298.15,0.0000735664*G$103^2-0.0173399*G$103+34.2823,IF(G$103&lt;1400,19.99563+49.77119*(G$103/1000)-15.37599*(G$103/1000)^2+1.921168*(G$103/1000)^3+0.189174/(G$103/1000)^2,IF(G$103&lt;6000,52.02427+18.48801*(G$103/1000)-3.765128*(G$103/1000)^2+0.248541*(G$103/1000)^3-12.45799/(G$103/1000)^2,80.751))))</f>
        <v>35.800277824925</v>
      </c>
      <c r="I52" s="61" t="str">
        <f aca="false">IF(G$42&gt;0,IF(F52&gt;0,IF(G$42*F52*60.795&lt;6.1111,"n/a",195.49*(1+G$42*F52*60.795/3051000)^1.466*EXP(-0.000000039*G$42*F52*60.795)),"---"),"---")</f>
        <v>---</v>
      </c>
      <c r="J52" s="61" t="str">
        <f aca="false">IF(G$42&gt;0,IF(F52&gt;0,IF(G$42*F52*60.795&gt;11333,"n/a",IF(G$42*F52*60.795&lt;6.1111,0.1044*LOG(G$42*F52*60.795)^3+1.891*LOG(G$42*F52*60.795)^2+19.626*LOG(G$42*F52*60.795)+178.8,2363/(15.49-LN(G$42*F52*60.795))+22.62)),"---"),"---")</f>
        <v>---</v>
      </c>
      <c r="K52" s="1" t="str">
        <f aca="false">IF(F52&gt;0,IF(G52&lt;G$44,"Molecular weight too low",IF(J52&gt;G$43,"Boiling point too high","")),"")</f>
        <v/>
      </c>
    </row>
    <row r="53" customFormat="false" ht="15.75" hidden="false" customHeight="false" outlineLevel="0" collapsed="false">
      <c r="B53" s="44" t="s">
        <v>309</v>
      </c>
      <c r="C53" s="44"/>
      <c r="D53" s="44"/>
      <c r="E53" s="1" t="s">
        <v>310</v>
      </c>
      <c r="F53" s="42" t="n">
        <v>0</v>
      </c>
      <c r="G53" s="43" t="n">
        <v>18.0153</v>
      </c>
      <c r="H53" s="43"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33.6091638357636</v>
      </c>
      <c r="I53" s="61" t="str">
        <f aca="false">IF(G$42&gt;0,IF(F53&gt;0,IF(G$42*F53*60.795&lt;0.61157,"n/a",(G$42*F53*60.795/-395200+1)^(1/9)*273.16),"---"),"---")</f>
        <v>---</v>
      </c>
      <c r="J53" s="61"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44" t="s">
        <v>332</v>
      </c>
      <c r="C54" s="44"/>
      <c r="D54" s="44"/>
      <c r="E54" s="1" t="s">
        <v>333</v>
      </c>
      <c r="F54" s="42" t="n">
        <v>0</v>
      </c>
      <c r="G54" s="43" t="n">
        <v>20.1797</v>
      </c>
      <c r="H54" s="43" t="n">
        <v>20.786</v>
      </c>
      <c r="I54" s="61" t="str">
        <f aca="false">IF(G$42&gt;0,IF(F54&gt;0,IF(G$42*F54*60.795&lt;43.3,"n/a",((G$42*F54*60.795/100000+1.2214)/0.012062)^(1/1.4587)+0.851),"---"),"---")</f>
        <v>---</v>
      </c>
      <c r="J54" s="61"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44" t="s">
        <v>334</v>
      </c>
      <c r="C55" s="44"/>
      <c r="D55" s="44"/>
      <c r="E55" s="1" t="s">
        <v>335</v>
      </c>
      <c r="F55" s="42" t="n">
        <v>0</v>
      </c>
      <c r="G55" s="43" t="n">
        <v>28.0101</v>
      </c>
      <c r="H55" s="43" t="n">
        <f aca="false">IF(G$103&lt;100,29.104,IF(G$103&lt;298.15,0.00000154635*G$103^2-0.000423904*G$103+29.1309,IF(G$103&lt;1300,25.56759+6.09613*(G$103/1000)+4.054656*(G$103/1000)^2-2.671301*(G$103/1000)^3+0.131021/(G$103/1000)^2,IF(G$103&lt;6000,35.1507+1.300095*(G$103/1000)-0.205921*(G$103/1000)^2+0.01355*(G$103/1000)^3-3.28278/(G$103/1000)^2,38.388))))</f>
        <v>29.1385286341872</v>
      </c>
      <c r="I55" s="61" t="str">
        <f aca="false">IF(G$42&gt;0,IF(F55&gt;0,IF(G$42*F55*60.795&lt;15.3,"n/a",-0.00000000000362*G$42*F55*60.795^2+0.0000363*G$42*F55*60.795+68.16),"---"),"---")</f>
        <v>---</v>
      </c>
      <c r="J55" s="61"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44" t="s">
        <v>303</v>
      </c>
      <c r="C56" s="44"/>
      <c r="D56" s="44"/>
      <c r="E56" s="1" t="s">
        <v>304</v>
      </c>
      <c r="F56" s="42" t="n">
        <v>0.2</v>
      </c>
      <c r="G56" s="43" t="n">
        <v>28.0134</v>
      </c>
      <c r="H56" s="43"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v>
      </c>
      <c r="I56" s="61" t="str">
        <f aca="false">IF(G$42&gt;0,IF(F56&gt;0,IF(G$42*F56*60.795&lt;12.52,"n/a",8.7126E-018*G$42*F56*60.795^3-0.000000000061022*G$42*F56*60.795^2+0.00019*G$42*F56*60.795+63.148),"---"),"---")</f>
        <v>n/a</v>
      </c>
      <c r="J56" s="61" t="n">
        <f aca="false">IF(G$42&gt;0,IF(F56&gt;0,IF(G$42*F56*60.795&gt;3395.8,"n/a",IF(G$42*F56*60.795&lt;12.52,0.1135*LOG(G$42*F56*60.795)^3+1.175*LOG(G$42*F56*60.795)^2+7.7912*LOG(G$42*F56*60.795)+52.998,658/(13.45-LN(G$42*F56*60.795))+2.85)),"---"),"---")</f>
        <v>56.1863699639078</v>
      </c>
      <c r="K56" s="1" t="str">
        <f aca="false">IF(F56&gt;0,IF(G56&lt;G$44,"Molecular weight too low",IF(J56&gt;G$43,"Boiling point too high","")),"")</f>
        <v/>
      </c>
    </row>
    <row r="57" customFormat="false" ht="15.75" hidden="false" customHeight="false" outlineLevel="0" collapsed="false">
      <c r="B57" s="44" t="s">
        <v>336</v>
      </c>
      <c r="C57" s="44"/>
      <c r="D57" s="44"/>
      <c r="E57" s="1" t="s">
        <v>337</v>
      </c>
      <c r="F57" s="42" t="n">
        <v>0</v>
      </c>
      <c r="G57" s="43" t="n">
        <v>30.0061</v>
      </c>
      <c r="H57" s="43" t="n">
        <f aca="false">IF(G$103&lt;100,32.302,IF(G$103&lt;298.15,-0.000000153413*G$103^3+0.000157177*G$103^2-0.0552342*G$103+36.4071,IF(G$103&lt;1200,23.83491+12.58878*(G$103/1000)-1.139011*(G$103/1000)^2-1.497459*(G$103/1000)^3+0.214194/(G$103/1000)^2,IF(G$103&lt;6000,35.99169+0.95717*(G$103/1000)-0.148032*(G$103/1000)^2+0.009974*(G$103/1000)^3-3.004088/(G$103/1000)^2,38.468))))</f>
        <v>29.833074926812</v>
      </c>
      <c r="I57" s="61" t="str">
        <f aca="false">IF(G$42&gt;0,IF(F57&gt;0,IF(G$42*F57*60.795&lt;21.89,"n/a",109.5),"---"),"---")</f>
        <v>---</v>
      </c>
      <c r="J57" s="61"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44" t="s">
        <v>338</v>
      </c>
      <c r="C58" s="44"/>
      <c r="D58" s="44"/>
      <c r="E58" s="1" t="s">
        <v>339</v>
      </c>
      <c r="F58" s="42" t="n">
        <v>0</v>
      </c>
      <c r="G58" s="43" t="n">
        <v>30.069</v>
      </c>
      <c r="H58" s="43" t="n">
        <f aca="false">IF(G$103&lt;100,35.7,IF(G$103&lt;500,-0.000000000000136764*G$103^5-0.000000000269855*G$103^4+0.000000113753*G$103^3+0.000202021*G$103^2+0.00190295*G$103+33.4041,IF(G$103&lt;3000,1.50106E-019*G$103^6-1.31938E-015*G$103^5+0.00000000000189664*G$103^4+0.0000000186953*G$103^3-0.0000984166*G$103^2+0.202821*G$103-1.27606,168.65)))</f>
        <v>53.1633641326535</v>
      </c>
      <c r="I58" s="61" t="str">
        <f aca="false">IF(G$42&gt;0,IF(F58&gt;0,IF(G$42*F58*60.795&lt;0.00113,"n/a",((G$42*F58*60.795-0.00113)/255970+1)^(1/2.179)*90.37),"---"),"---")</f>
        <v>---</v>
      </c>
      <c r="J58" s="61"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44" t="s">
        <v>305</v>
      </c>
      <c r="C59" s="44"/>
      <c r="D59" s="44"/>
      <c r="E59" s="1" t="s">
        <v>306</v>
      </c>
      <c r="F59" s="42" t="n">
        <v>0</v>
      </c>
      <c r="G59" s="43" t="n">
        <v>31.9988</v>
      </c>
      <c r="H59" s="43"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v>
      </c>
      <c r="I59" s="61" t="str">
        <f aca="false">IF(G$42&gt;0,IF(F59&gt;0,IF(G$42*F59*60.795&lt;0.15,"n/a",10^((LOG(1081.8+G$42*F59*60.795/98.0665)+4.145465)/4.13811)),"---"),"---")</f>
        <v>---</v>
      </c>
      <c r="J59" s="61"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44" t="s">
        <v>340</v>
      </c>
      <c r="C60" s="44"/>
      <c r="D60" s="44"/>
      <c r="E60" s="1" t="s">
        <v>341</v>
      </c>
      <c r="F60" s="42" t="n">
        <v>0</v>
      </c>
      <c r="G60" s="43" t="n">
        <v>34.081</v>
      </c>
      <c r="H60" s="43" t="n">
        <f aca="false">IF(G$103&lt;100,33.259,IF(G$103&lt;298.15,0.000035645*G$103^2-0.00948349*G$103+33.8509,IF(G$103&lt;1400,26.88412+18.67809*(G$103/1000)+3.434203*(G$103/1000)^2-3.378702*(G$103/1000)^3+0.135882/(G$103/1000)^2,IF(G$103&lt;6000,51.22136+4.147486*(G$103/1000)-0.643566*(G$103/1000)^2+0.041621*(G$103/1000)^3-10.46385/(G$103/1000)^2,61.609))))</f>
        <v>34.2529133397692</v>
      </c>
      <c r="I60" s="61" t="str">
        <f aca="false">IF(G$42&gt;0,IF(F60&gt;0,IF(G$42*F60*60.795&lt;23.2,"n/a",-0.0000000001438*G$42*F60*60.795^2+0.0001882*G$42*F60*60.795+187.7),"---"),"---")</f>
        <v>---</v>
      </c>
      <c r="J60" s="61"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44" t="s">
        <v>307</v>
      </c>
      <c r="C61" s="44"/>
      <c r="D61" s="44"/>
      <c r="E61" s="1" t="s">
        <v>308</v>
      </c>
      <c r="F61" s="42" t="n">
        <v>0</v>
      </c>
      <c r="G61" s="43" t="n">
        <v>39.948</v>
      </c>
      <c r="H61" s="43" t="n">
        <v>20.786</v>
      </c>
      <c r="I61" s="61" t="str">
        <f aca="false">IF(G$42&gt;0,IF(F61&gt;0,IF(G$42*F61*60.795&lt;68.7,"n/a",((G$42*F61*60.795-68.7)/244000+1)^(1/1.476)*83.81),"---"),"---")</f>
        <v>---</v>
      </c>
      <c r="J61" s="61" t="str">
        <f aca="false">IF(G$42&gt;0,IF(F61&gt;0,IF(G$42*F61*60.795&gt;4863,"n/a",IF(G$42*F61*60.795&lt;68.7,0.2219*LOG(G$42*F61*60.795)^3+1.496*LOG(G$42*F61*60.795)^2+9.0805*LOG(G$42*F61*60.795)+60.693,833/(13.91-LN(G$42*F61*60.795))-2.36)),"---"),"---")</f>
        <v>---</v>
      </c>
      <c r="K61" s="1" t="str">
        <f aca="false">IF(F61&gt;0,IF(G61&lt;G$44,"Molecular weight too low",IF(J61&gt;G$43,"Boiling point too high","")),"")</f>
        <v/>
      </c>
    </row>
    <row r="62" customFormat="false" ht="15.75" hidden="false" customHeight="false" outlineLevel="0" collapsed="false">
      <c r="B62" s="44" t="s">
        <v>311</v>
      </c>
      <c r="C62" s="44"/>
      <c r="D62" s="44"/>
      <c r="E62" s="1" t="s">
        <v>312</v>
      </c>
      <c r="F62" s="42" t="n">
        <v>0.8</v>
      </c>
      <c r="G62" s="43" t="n">
        <v>44.0095</v>
      </c>
      <c r="H62" s="43" t="n">
        <f aca="false">IF(G$103&lt;100,29.208,IF(G$103&lt;298.15,0.0000862432*G$103^2+0.00563705*G$103+27.7819,IF(G$103&lt;1200,24.99735+55.18696*(G$103/1000)-33.69137*(G$103/1000)^2+7.948387*(G$103/1000)^3-0.136638/(G$103/1000)^2,IF(G$103&lt;6000,58.16639+2.720074*(G$103/1000)-0.492289*(G$103/1000)^2+0.038844*(G$103/1000)^3-6.447293/(G$103/1000)^2,64.957))))</f>
        <v>37.3955741742397</v>
      </c>
      <c r="I62" s="61" t="str">
        <f aca="false">IF(G$42&gt;0,IF(F62&gt;0,IF(G$42*F62*60.795&lt;518.67,"n/a",216.59*(1+(G$42*F62*60.795-518.67)/443000)^(1/2.41)*EXP(0.0000000047*(G$42*F62*60.795-518.67))),"---"),"---")</f>
        <v>n/a</v>
      </c>
      <c r="J62" s="61" t="n">
        <f aca="false">IF(G$42&gt;0,IF(F62&gt;0,IF(G$42*F62*60.795&gt;7377.3,"n/a",IF(G$42*F62*60.795&lt;518.67,0.2309*LOG(G$42*F62*60.795)^3+2.0973*LOG(G$42*F62*60.795)^2+16.637*LOG(G$42*F62*60.795)+151.22,1956/(15.38-LN(G$42*F62*60.795))+2.11)),"---"),"---")</f>
        <v>169.927048955962</v>
      </c>
      <c r="K62" s="1" t="str">
        <f aca="false">IF(F62&gt;0,IF(G62&lt;G$44,"Molecular weight too low",IF(J62&gt;G$43,"Boiling point too high","")),"")</f>
        <v/>
      </c>
    </row>
    <row r="63" customFormat="false" ht="15.75" hidden="false" customHeight="false" outlineLevel="0" collapsed="false">
      <c r="B63" s="44" t="s">
        <v>342</v>
      </c>
      <c r="C63" s="44"/>
      <c r="D63" s="44"/>
      <c r="E63" s="1" t="s">
        <v>343</v>
      </c>
      <c r="F63" s="42" t="n">
        <v>0</v>
      </c>
      <c r="G63" s="43" t="n">
        <v>64.064</v>
      </c>
      <c r="H63" s="43" t="n">
        <f aca="false">IF(G$103&lt;100,33.526,IF(G$103&lt;298.15,0.0000366431*G$103^2+0.0174671*G$103+31.4129,IF(G$103&lt;1200,21.43049+74.35094*(G$103/1000)-57.75217*(G$103/1000)^2+16.35534*(G$103/1000)^3+0.086731/(G$103/1000)^2,IF(G$103&lt;6000,57.48188+1.009328*(G$103/1000)-0.07629*(G$103/1000)^2+0.005174*(G$103/1000)^3-4.045401/(G$103/1000)^2,61.793))))</f>
        <v>40.0860430199601</v>
      </c>
      <c r="I63" s="61" t="str">
        <f aca="false">IF(G$42&gt;0,IF(F63&gt;0,IF(G$42*F63*60.795&lt;1.6744,"n/a",0.0001118*G$42*F63*60.795+197.7),"---"),"---")</f>
        <v>---</v>
      </c>
      <c r="J63" s="61"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44" t="s">
        <v>344</v>
      </c>
      <c r="C64" s="44"/>
      <c r="D64" s="44"/>
      <c r="E64" s="1" t="s">
        <v>345</v>
      </c>
      <c r="F64" s="42" t="n">
        <v>0</v>
      </c>
      <c r="G64" s="43" t="n">
        <v>70.906</v>
      </c>
      <c r="H64" s="43"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34.0470399493197</v>
      </c>
      <c r="I64" s="61" t="str">
        <f aca="false">IF(G$42&gt;0,IF(F64&gt;0,IF(G$42*F64*60.795&lt;1.392,"n/a",-0.0000000000409*G$42*F64*60.795^2+0.0001566*G$42*F64*60.795+171.17),"---"),"---")</f>
        <v>---</v>
      </c>
      <c r="J64" s="61"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44" t="s">
        <v>346</v>
      </c>
      <c r="C65" s="44"/>
      <c r="D65" s="44"/>
      <c r="E65" s="1" t="s">
        <v>347</v>
      </c>
      <c r="F65" s="42" t="n">
        <v>0</v>
      </c>
      <c r="G65" s="43" t="n">
        <v>83.798</v>
      </c>
      <c r="H65" s="43" t="n">
        <v>20.786</v>
      </c>
      <c r="I65" s="61" t="str">
        <f aca="false">IF(G$42&gt;0,IF(F65&gt;0,IF(G$42*F65*60.795&lt;73.2,"n/a",0.0001512*G$42*F65*60.795+115.76),"---"),"---")</f>
        <v>---</v>
      </c>
      <c r="J65" s="61"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5"/>
      <c r="C66" s="45"/>
      <c r="D66" s="45"/>
      <c r="E66" s="46"/>
      <c r="F66" s="42"/>
      <c r="G66" s="47"/>
      <c r="H66" s="47"/>
      <c r="I66" s="166" t="s">
        <v>313</v>
      </c>
      <c r="J66" s="166"/>
    </row>
    <row r="67" customFormat="false" ht="15.75" hidden="false" customHeight="false" outlineLevel="0" collapsed="false">
      <c r="B67" s="45"/>
      <c r="C67" s="45"/>
      <c r="D67" s="45"/>
      <c r="E67" s="46"/>
      <c r="F67" s="42"/>
      <c r="G67" s="47"/>
      <c r="H67" s="47"/>
      <c r="I67" s="166" t="s">
        <v>313</v>
      </c>
      <c r="J67" s="166"/>
    </row>
    <row r="68" customFormat="false" ht="15.75" hidden="false" customHeight="false" outlineLevel="0" collapsed="false">
      <c r="B68" s="45"/>
      <c r="C68" s="45"/>
      <c r="D68" s="45"/>
      <c r="E68" s="46"/>
      <c r="F68" s="42"/>
      <c r="G68" s="47"/>
      <c r="H68" s="47"/>
      <c r="I68" s="166" t="s">
        <v>313</v>
      </c>
      <c r="J68" s="166"/>
    </row>
    <row r="69" customFormat="false" ht="15.75" hidden="false" customHeight="false" outlineLevel="0" collapsed="false">
      <c r="B69" s="48"/>
      <c r="C69" s="48"/>
      <c r="D69" s="48"/>
      <c r="E69" s="49"/>
      <c r="F69" s="167"/>
      <c r="G69" s="168"/>
      <c r="H69" s="168"/>
      <c r="I69" s="169" t="s">
        <v>313</v>
      </c>
      <c r="J69" s="169"/>
    </row>
    <row r="70" customFormat="false" ht="15.75" hidden="false" customHeight="false" outlineLevel="0" collapsed="false">
      <c r="B70" s="4" t="s">
        <v>112</v>
      </c>
      <c r="F70" s="52" t="n">
        <f aca="false">SUM(F48:F69)</f>
        <v>1</v>
      </c>
    </row>
    <row r="71" customFormat="false" ht="15.75" hidden="false" customHeight="false" outlineLevel="0" collapsed="false">
      <c r="B71" s="4"/>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6" t="s">
        <v>350</v>
      </c>
      <c r="C77" s="6"/>
      <c r="D77" s="6"/>
      <c r="E77" s="6"/>
      <c r="F77" s="6"/>
      <c r="G77" s="6"/>
      <c r="H77" s="6"/>
    </row>
    <row r="78" customFormat="false" ht="15.75" hidden="false" customHeight="false" outlineLevel="0" collapsed="false">
      <c r="B78" s="6" t="s">
        <v>351</v>
      </c>
      <c r="C78" s="6"/>
      <c r="D78" s="6"/>
      <c r="E78" s="6"/>
      <c r="F78" s="6"/>
      <c r="G78" s="6"/>
      <c r="H78" s="6"/>
    </row>
    <row r="79" customFormat="false" ht="15.75" hidden="false" customHeight="false" outlineLevel="0" collapsed="false">
      <c r="B79" s="3"/>
    </row>
    <row r="80" customFormat="false" ht="15.75" hidden="false" customHeight="false" outlineLevel="0" collapsed="false">
      <c r="B80" s="3" t="s">
        <v>352</v>
      </c>
      <c r="G80" s="170" t="s">
        <v>365</v>
      </c>
    </row>
    <row r="81" customFormat="false" ht="15.75" hidden="false" customHeight="false" outlineLevel="0" collapsed="false">
      <c r="B81" s="171" t="s">
        <v>353</v>
      </c>
    </row>
    <row r="82" customFormat="false" ht="15.75" hidden="false" customHeight="false" outlineLevel="0" collapsed="false">
      <c r="B82" s="3"/>
    </row>
    <row r="83" customFormat="false" ht="15.75" hidden="false" customHeight="false" outlineLevel="0" collapsed="false">
      <c r="B83" s="6" t="s">
        <v>354</v>
      </c>
      <c r="C83" s="6"/>
      <c r="D83" s="6"/>
      <c r="E83" s="6"/>
      <c r="F83" s="6"/>
      <c r="G83" s="6"/>
      <c r="H83" s="6"/>
    </row>
    <row r="84" customFormat="false" ht="15.75" hidden="false" customHeight="false" outlineLevel="0" collapsed="false">
      <c r="B84" s="3"/>
    </row>
    <row r="85" s="13" customFormat="true" ht="15.75" hidden="false" customHeight="false" outlineLevel="0" collapsed="false">
      <c r="B85" s="3" t="s">
        <v>355</v>
      </c>
      <c r="F85" s="22"/>
      <c r="G85" s="172" t="n">
        <v>0</v>
      </c>
      <c r="O85" s="1"/>
      <c r="P85" s="1"/>
      <c r="Q85" s="1"/>
    </row>
    <row r="86" customFormat="false" ht="15.75" hidden="false" customHeight="false" outlineLevel="0" collapsed="false">
      <c r="B86" s="4"/>
    </row>
    <row r="87" customFormat="false" ht="15.75" hidden="false" customHeight="false" outlineLevel="0" collapsed="false">
      <c r="B87" s="6" t="s">
        <v>120</v>
      </c>
      <c r="C87" s="6"/>
      <c r="D87" s="6"/>
      <c r="E87" s="6"/>
      <c r="F87" s="6"/>
      <c r="G87" s="6"/>
      <c r="H87" s="6"/>
    </row>
    <row r="88" customFormat="false" ht="15.75" hidden="false" customHeight="false" outlineLevel="0" collapsed="false">
      <c r="B88" s="6" t="s">
        <v>252</v>
      </c>
      <c r="C88" s="6"/>
      <c r="D88" s="6"/>
      <c r="E88" s="6"/>
      <c r="F88" s="6"/>
      <c r="G88" s="6"/>
      <c r="H88" s="6"/>
    </row>
    <row r="89" customFormat="false" ht="15.75" hidden="false" customHeight="false" outlineLevel="0" collapsed="false">
      <c r="B89" s="6" t="s">
        <v>253</v>
      </c>
      <c r="C89" s="6"/>
      <c r="D89" s="6"/>
      <c r="E89" s="6"/>
      <c r="F89" s="6"/>
      <c r="G89" s="6"/>
      <c r="H89" s="6"/>
    </row>
    <row r="90" customFormat="false" ht="15.75" hidden="false" customHeight="false" outlineLevel="0" collapsed="false">
      <c r="B90" s="4"/>
    </row>
    <row r="91" customFormat="false" ht="15.75" hidden="false" customHeight="false" outlineLevel="0" collapsed="false">
      <c r="B91" s="81" t="s">
        <v>254</v>
      </c>
      <c r="C91" s="81"/>
      <c r="D91" s="81"/>
      <c r="E91" s="81"/>
      <c r="F91" s="81"/>
      <c r="G91" s="81"/>
      <c r="H91" s="81"/>
    </row>
    <row r="93" s="13" customFormat="true" ht="15.75" hidden="false" customHeight="false" outlineLevel="0" collapsed="false">
      <c r="B93" s="13" t="s">
        <v>36</v>
      </c>
      <c r="I93" s="1"/>
      <c r="J93" s="1"/>
      <c r="K93" s="1"/>
      <c r="L93" s="1"/>
      <c r="M93" s="1"/>
      <c r="O93" s="1"/>
      <c r="P93" s="1"/>
      <c r="Q93" s="1"/>
    </row>
    <row r="94" s="13" customFormat="true" ht="15.75" hidden="false" customHeight="false" outlineLevel="0" collapsed="false">
      <c r="B94" s="30" t="s">
        <v>42</v>
      </c>
      <c r="G94" s="82" t="n">
        <f aca="false">IF(G18&gt;0,G18,IF(G19&gt;0,G19*0.0000000000667408,IF(G20&gt;0,IF(F17&gt;0,F17^2*G20*9.80665,1E+018),1E+018)))</f>
        <v>8.2588468172E+017</v>
      </c>
      <c r="H94" s="13" t="s">
        <v>44</v>
      </c>
      <c r="I94" s="1"/>
      <c r="J94" s="1"/>
      <c r="K94" s="1"/>
      <c r="L94" s="1"/>
      <c r="M94" s="1"/>
      <c r="O94" s="1"/>
      <c r="P94" s="1"/>
      <c r="Q94" s="1"/>
    </row>
    <row r="95" s="13" customFormat="true" ht="15.75" hidden="false" customHeight="false" outlineLevel="0" collapsed="false">
      <c r="B95" s="13" t="s">
        <v>237</v>
      </c>
      <c r="I95" s="1"/>
      <c r="J95" s="1"/>
      <c r="K95" s="1"/>
      <c r="L95" s="1"/>
      <c r="M95" s="1"/>
      <c r="O95" s="1"/>
      <c r="P95" s="1"/>
      <c r="Q95" s="1"/>
    </row>
    <row r="96" s="13" customFormat="true" ht="15.75" hidden="false" customHeight="false" outlineLevel="0" collapsed="false">
      <c r="B96" s="30" t="s">
        <v>42</v>
      </c>
      <c r="C96" s="1"/>
      <c r="G96" s="82" t="n">
        <f aca="false">IF(G24&gt;0,G24,IF(G25&gt;0,G25*0.0000000000667408,IF(G26&gt;0,IF(F23&gt;0,F23^2*G26*9.80665,1000000000000),1000000000000)))</f>
        <v>1581616512000</v>
      </c>
      <c r="H96" s="13" t="s">
        <v>44</v>
      </c>
      <c r="I96" s="1"/>
      <c r="J96" s="1"/>
      <c r="K96" s="1"/>
      <c r="L96" s="1"/>
      <c r="M96" s="1"/>
      <c r="O96" s="1"/>
      <c r="P96" s="1"/>
      <c r="Q96" s="1"/>
    </row>
    <row r="97" s="13" customFormat="true" ht="15.75" hidden="false" customHeight="false" outlineLevel="0" collapsed="false">
      <c r="B97" s="30" t="s">
        <v>50</v>
      </c>
      <c r="G97" s="13" t="n">
        <f aca="false">MAX(IF(G24&gt;0,IF(F23&gt;0,G24/F23^2/9.80665,1),IF(G25&gt;0,IF(F23&gt;0,G25*0.0000000000667408/F23^2/9.80665,1),IF(G26&gt;0,G26,1))),IF(F36&gt;0,F36*0.00000001,0.01))</f>
        <v>0.7</v>
      </c>
      <c r="H97" s="13" t="s">
        <v>51</v>
      </c>
      <c r="I97" s="1"/>
      <c r="J97" s="1"/>
      <c r="K97" s="1"/>
      <c r="L97" s="1"/>
      <c r="M97" s="1"/>
      <c r="O97" s="1"/>
      <c r="P97" s="1"/>
      <c r="Q97" s="1"/>
    </row>
    <row r="98" s="13" customFormat="true" ht="15.75" hidden="false" customHeight="false" outlineLevel="0" collapsed="false">
      <c r="B98" s="30" t="s">
        <v>255</v>
      </c>
      <c r="C98" s="1"/>
      <c r="G98" s="173" t="n">
        <f aca="false">2*PI()*SQRT(F28^3/G94)/3600</f>
        <v>679.004525135106</v>
      </c>
      <c r="H98" s="13" t="s">
        <v>256</v>
      </c>
      <c r="I98" s="1"/>
      <c r="J98" s="1"/>
      <c r="K98" s="1"/>
      <c r="L98" s="1"/>
      <c r="M98" s="1"/>
      <c r="O98" s="1"/>
      <c r="P98" s="1"/>
      <c r="Q98" s="1"/>
    </row>
    <row r="99" customFormat="false" ht="15.75" hidden="false" customHeight="false" outlineLevel="0" collapsed="false">
      <c r="B99" s="30" t="s">
        <v>257</v>
      </c>
      <c r="G99" s="84" t="n">
        <f aca="false">IF(F15&gt;0,IF(G21&gt;0,IF(F28&gt;0,G21*(F15/F28)^2,1000),1000),1000)</f>
        <v>1864.35300228628</v>
      </c>
      <c r="H99" s="1" t="s">
        <v>135</v>
      </c>
      <c r="N99" s="13"/>
      <c r="R99" s="13"/>
    </row>
    <row r="100" customFormat="false" ht="15.75" hidden="false" customHeight="false" outlineLevel="0" collapsed="false">
      <c r="B100" s="85" t="s">
        <v>366</v>
      </c>
      <c r="C100" s="15"/>
      <c r="D100" s="15"/>
      <c r="E100" s="15"/>
      <c r="F100" s="15"/>
      <c r="G100" s="165" t="n">
        <f aca="false">(G99*(1-G27)/(2*0.000000056704))^0.25</f>
        <v>333.224119888651</v>
      </c>
      <c r="H100" s="15" t="s">
        <v>65</v>
      </c>
      <c r="N100" s="13"/>
      <c r="R100" s="13"/>
    </row>
    <row r="101" customFormat="false" ht="15.75" hidden="false" customHeight="false" outlineLevel="0" collapsed="false">
      <c r="B101" s="85" t="s">
        <v>367</v>
      </c>
      <c r="C101" s="15"/>
      <c r="D101" s="15"/>
      <c r="E101" s="15"/>
      <c r="F101" s="15"/>
      <c r="G101" s="165" t="n">
        <f aca="false">(G99*(1-G27)/0.000000056704)^0.25</f>
        <v>396.272494262103</v>
      </c>
      <c r="H101" s="15" t="s">
        <v>65</v>
      </c>
      <c r="N101" s="13"/>
      <c r="R101" s="13"/>
    </row>
    <row r="102" customFormat="false" ht="15.75" hidden="false" customHeight="false" outlineLevel="0" collapsed="false">
      <c r="B102" s="30" t="s">
        <v>127</v>
      </c>
      <c r="F102" s="86"/>
      <c r="G102" s="86" t="n">
        <f aca="false">IF(F70&gt;0,(F48*G48+F49*G49+F50*G50+F51*G51+F52*G52+F53*G53+F54*G54+F55*G55+F56*G56+F57*G57+F58*G58+F59*G59+F60*G60+F61*G61+F62*G62+F63*G63+F64*G64+F65*G65+F66*G66+F67*G67+F68*G68+F69*G69)/(SUM(F48:F65)+IF(G66&gt;0,F66,0)+IF(G67&gt;0,F67,0)+IF(G68&gt;0,F68,0)+IF(G69&gt;0,F69,0)),29)</f>
        <v>40.81028</v>
      </c>
      <c r="H102" s="1" t="s">
        <v>128</v>
      </c>
      <c r="N102" s="13"/>
      <c r="R102" s="13"/>
    </row>
    <row r="103" customFormat="false" ht="15.75" hidden="false" customHeight="false" outlineLevel="0" collapsed="false">
      <c r="B103" s="85" t="s">
        <v>259</v>
      </c>
      <c r="G103" s="164" t="n">
        <f aca="false">(C147*I147+C148*I148+C149*I149+C150*I150+C151*I151+C152*I152+C153*I153+C154*I154+C155*I155+C156*I156+C157*I157+C158*I158+C159*I159)/SUM(I147:I159)</f>
        <v>303.790231628002</v>
      </c>
      <c r="H103" s="1" t="s">
        <v>65</v>
      </c>
      <c r="N103" s="13"/>
      <c r="R103" s="13"/>
    </row>
    <row r="104" customFormat="false" ht="15.75" hidden="false" customHeight="false" outlineLevel="0" collapsed="false">
      <c r="B104" s="30" t="s">
        <v>130</v>
      </c>
      <c r="G104" s="86" t="n">
        <f aca="false">IF(F70&gt;0,1/(1-8.3144621/((F48*H48+F49*H49+F50*H50+F51*H51+F52*H52+F53*H53+F54*H54+F55*H55+F56*H56+F57*H57+F58*H58+F59*H59+F60*H60+F61*H61+F62*H62+F63*H63+F64*H64+F65*H65+F66*H66+F67*H67+F68*H68+F69*H69)/(SUM(F48:F65)+IF(H66&gt;0,F66,0)+IF(H67&gt;0,F67,0)+IF(H68&gt;0,F68,0)+IF(H69&gt;0,F69,0)))),1.4)</f>
        <v>1.30314453271346</v>
      </c>
      <c r="N104" s="13"/>
      <c r="R104" s="13"/>
    </row>
    <row r="105" customFormat="false" ht="15.75" hidden="false" customHeight="false" outlineLevel="0" collapsed="false">
      <c r="B105" s="30" t="s">
        <v>356</v>
      </c>
      <c r="G105" s="140" t="n">
        <f aca="false">(G42*F53*760)/MAX(IF(G103&lt;381.47,10^(8.07131-1730.63/(233.426+G103-273.15)),10^(8.14019-1810.94/(244.485+G103-273.15))),0.000001)</f>
        <v>0</v>
      </c>
    </row>
    <row r="106" customFormat="false" ht="15.75" hidden="false" customHeight="false" outlineLevel="0" collapsed="false">
      <c r="B106" s="56"/>
      <c r="G106" s="84"/>
    </row>
    <row r="107" customFormat="false" ht="15.75" hidden="false" customHeight="true" outlineLevel="0" collapsed="false">
      <c r="B107" s="87" t="s">
        <v>260</v>
      </c>
      <c r="C107" s="87"/>
      <c r="D107" s="87"/>
      <c r="E107" s="87"/>
      <c r="F107" s="87"/>
      <c r="G107" s="87"/>
      <c r="H107" s="87"/>
    </row>
    <row r="108" customFormat="false" ht="15.75" hidden="false" customHeight="false" outlineLevel="0" collapsed="false">
      <c r="B108" s="4"/>
    </row>
    <row r="109" customFormat="false" ht="15.75" hidden="false" customHeight="false" outlineLevel="0" collapsed="false">
      <c r="B109" s="13" t="s">
        <v>237</v>
      </c>
    </row>
    <row r="110" customFormat="false" ht="15.75" hidden="false" customHeight="false" outlineLevel="0" collapsed="false">
      <c r="B110" s="30" t="s">
        <v>261</v>
      </c>
      <c r="G110" s="32" t="n">
        <f aca="false">ROUND(70*G99^0.25/5,0)*5</f>
        <v>460</v>
      </c>
      <c r="H110" s="1" t="s">
        <v>65</v>
      </c>
    </row>
    <row r="111" customFormat="false" ht="15.75" hidden="false" customHeight="false" outlineLevel="0" collapsed="false">
      <c r="B111" s="30" t="s">
        <v>318</v>
      </c>
      <c r="F111" s="174"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v>
      </c>
      <c r="G111" s="32" t="n">
        <f aca="false">(G99*(1-G27)/4/IF(F111&lt;3.00607947,MIN(-0.0276*F111^3+0.08774*F111^2-0.2178*F111+0.6126,0.9),0.001)/0.000000056704)^0.25-(G99*(1-G27)/(4*0.000000056704))^0.25</f>
        <v>46.264409778273</v>
      </c>
      <c r="H111" s="1" t="s">
        <v>65</v>
      </c>
    </row>
    <row r="112" customFormat="false" ht="15.75" hidden="false" customHeight="false" outlineLevel="0" collapsed="false">
      <c r="B112" s="30" t="s">
        <v>357</v>
      </c>
      <c r="G112" s="32" t="n">
        <f aca="false">G111*IF(G80=10%,-0.03,IF(G80=25%,-0.07,IF(G80=50%,-0.16,IF(G80=75%,-0.29,IF(G80=90%,-0.44,0)))))</f>
        <v>0</v>
      </c>
      <c r="H112" s="1" t="s">
        <v>65</v>
      </c>
    </row>
    <row r="113" customFormat="false" ht="15.75" hidden="false" customHeight="false" outlineLevel="0" collapsed="false">
      <c r="B113" s="30" t="s">
        <v>368</v>
      </c>
      <c r="G113" s="32" t="n">
        <f aca="false">(4*(G101-G100)-0.6*(G42/G97)^(1/3)*(G101-G100))-2/3*G85*(G101-G100)</f>
        <v>227.278024919525</v>
      </c>
      <c r="H113" s="1" t="s">
        <v>65</v>
      </c>
    </row>
    <row r="114" customFormat="false" ht="15.75" hidden="false" customHeight="false" outlineLevel="0" collapsed="false">
      <c r="A114" s="56"/>
      <c r="B114" s="30" t="s">
        <v>266</v>
      </c>
      <c r="G114" s="165" t="n">
        <f aca="false">(COS(RADIANS(38.2425-G30))*G99*(1-G27)/(PI()*0.000000056704))^0.25-(COS(RADIANS(38.2425+G30))*G99*(1-G27)/(PI()*0.000000056704))^0.25</f>
        <v>3.85596603925921</v>
      </c>
      <c r="H114" s="1" t="s">
        <v>65</v>
      </c>
    </row>
    <row r="115" customFormat="false" ht="15.75" hidden="false" customHeight="false" outlineLevel="0" collapsed="false">
      <c r="A115" s="56"/>
      <c r="B115" s="30" t="s">
        <v>267</v>
      </c>
      <c r="G115" s="165" t="n">
        <f aca="false">IF(F28&gt;0,((F15/(F28*(1-G29)))^2*G21*(1-G27)/(4*0.000000056704))^0.25-((F15/(F28*(1+G29)))^2*G21*(1-G27)/(4*0.000000056704))^0.25,0)</f>
        <v>8.41094088318488</v>
      </c>
      <c r="H115" s="1" t="s">
        <v>65</v>
      </c>
    </row>
    <row r="116" customFormat="false" ht="15.75" hidden="false" customHeight="false" outlineLevel="0" collapsed="false">
      <c r="A116" s="56"/>
      <c r="B116" s="30" t="s">
        <v>268</v>
      </c>
      <c r="G116" s="86" t="n">
        <f aca="false">IF(F23&gt;0,IF(G98&gt;0,IF((G98*(F36/F23)^0.5)^(2/3)&lt;400,0.0009*(G98*(F36/F23)^0.5)^(2/3),IF((G98*(F36/F23)^0.5)^(2/3)&lt;1600,-0.0000003333333333*((G98*(F36/F23)^0.5)^(2/3))^2+0.0012*((G98*(F36/F23)^0.5)^(2/3))-0.06666666667,1)),1),1)</f>
        <v>0.152850642313813</v>
      </c>
    </row>
    <row r="117" customFormat="false" ht="15.75" hidden="false" customHeight="false" outlineLevel="0" collapsed="false">
      <c r="A117" s="56"/>
      <c r="G117" s="54"/>
    </row>
    <row r="118" customFormat="false" ht="15.75" hidden="false" customHeight="false" outlineLevel="0" collapsed="false">
      <c r="A118" s="56"/>
      <c r="B118" s="57" t="s">
        <v>138</v>
      </c>
      <c r="C118" s="57"/>
      <c r="D118" s="57"/>
      <c r="E118" s="57"/>
      <c r="F118" s="57"/>
      <c r="G118" s="57"/>
      <c r="H118" s="57"/>
    </row>
    <row r="119" customFormat="false" ht="15.75" hidden="false" customHeight="false" outlineLevel="0" collapsed="false">
      <c r="A119" s="56"/>
      <c r="B119" s="6" t="s">
        <v>140</v>
      </c>
      <c r="C119" s="6"/>
      <c r="D119" s="6"/>
      <c r="E119" s="6"/>
      <c r="F119" s="6"/>
      <c r="G119" s="6"/>
      <c r="H119" s="6"/>
    </row>
    <row r="120" customFormat="false" ht="15.75" hidden="false" customHeight="false" outlineLevel="0" collapsed="false">
      <c r="A120" s="56"/>
      <c r="G120" s="54"/>
    </row>
    <row r="121" customFormat="false" ht="15.75" hidden="false" customHeight="false" outlineLevel="0" collapsed="false">
      <c r="A121" s="56"/>
      <c r="B121" s="30" t="s">
        <v>142</v>
      </c>
      <c r="G121" s="54" t="n">
        <f aca="false">IF(F23&gt;0,IF(F36&gt;0,F23/F36,0.1),0.1)</f>
        <v>0.0941176470588235</v>
      </c>
    </row>
    <row r="122" customFormat="false" ht="15.75" hidden="false" customHeight="false" outlineLevel="0" collapsed="false">
      <c r="A122" s="56"/>
      <c r="B122" s="30" t="s">
        <v>144</v>
      </c>
      <c r="G122" s="32" t="n">
        <f aca="false">(F147-F163)/LN(H163/H147)</f>
        <v>7296.6493376263</v>
      </c>
      <c r="H122" s="1" t="s">
        <v>33</v>
      </c>
    </row>
    <row r="123" customFormat="false" ht="15.75" hidden="false" customHeight="false" outlineLevel="0" collapsed="false">
      <c r="A123" s="56"/>
      <c r="B123" s="30" t="s">
        <v>146</v>
      </c>
      <c r="G123" s="54" t="n">
        <f aca="false">(G121-0.09412)/0.90588*(1-IF(G122&gt;3344.087,0.16684*LOG(G122)^2-1.8388*LOG(G122)+5.4082,1))+IF(G122&gt;3344.087,0.16684*LOG(G122)^2-1.8388*LOG(G122)+5.4082,1)</f>
        <v>0.794561962828081</v>
      </c>
    </row>
    <row r="124" customFormat="false" ht="15.75" hidden="false" customHeight="false" outlineLevel="0" collapsed="false">
      <c r="A124" s="56"/>
    </row>
    <row r="125" customFormat="false" ht="15.75" hidden="false" customHeight="false" outlineLevel="0" collapsed="false">
      <c r="A125" s="56"/>
      <c r="B125" s="30" t="s">
        <v>149</v>
      </c>
      <c r="F125" s="58" t="s">
        <v>150</v>
      </c>
      <c r="G125" s="59" t="n">
        <f aca="false">G123</f>
        <v>0.794561962828081</v>
      </c>
    </row>
    <row r="126" customFormat="false" ht="15.75" hidden="false" customHeight="false" outlineLevel="0" collapsed="false">
      <c r="A126" s="56"/>
      <c r="B126" s="30" t="s">
        <v>152</v>
      </c>
      <c r="G126" s="176" t="n">
        <f aca="false">'Locked CFG'!B12</f>
        <v>59000</v>
      </c>
      <c r="H126" s="1" t="s">
        <v>33</v>
      </c>
    </row>
    <row r="128" customFormat="false" ht="15.75" hidden="false" customHeight="false" outlineLevel="0" collapsed="false">
      <c r="B128" s="6" t="s">
        <v>358</v>
      </c>
      <c r="C128" s="6"/>
      <c r="D128" s="6"/>
      <c r="E128" s="6"/>
      <c r="F128" s="6"/>
      <c r="G128" s="6"/>
      <c r="H128" s="6"/>
      <c r="I128" s="6"/>
      <c r="J128" s="6"/>
      <c r="K128" s="6"/>
      <c r="L128" s="6"/>
      <c r="M128" s="6"/>
      <c r="N128" s="6"/>
      <c r="O128" s="6"/>
      <c r="P128" s="6"/>
      <c r="Q128" s="6"/>
    </row>
    <row r="129" customFormat="false" ht="15.75" hidden="false" customHeight="false" outlineLevel="0" collapsed="false">
      <c r="B129" s="6" t="s">
        <v>369</v>
      </c>
      <c r="C129" s="6"/>
      <c r="D129" s="6"/>
      <c r="E129" s="6"/>
      <c r="F129" s="6"/>
      <c r="G129" s="6"/>
      <c r="H129" s="6"/>
      <c r="I129" s="6"/>
      <c r="J129" s="6"/>
      <c r="K129" s="6"/>
      <c r="L129" s="6"/>
      <c r="M129" s="6"/>
      <c r="N129" s="6"/>
      <c r="O129" s="6"/>
      <c r="P129" s="6"/>
      <c r="Q129" s="6"/>
    </row>
    <row r="130" customFormat="false" ht="15.75" hidden="false" customHeight="false" outlineLevel="0" collapsed="false">
      <c r="B130" s="6" t="s">
        <v>370</v>
      </c>
      <c r="C130" s="6"/>
      <c r="D130" s="6"/>
      <c r="E130" s="6"/>
      <c r="F130" s="6"/>
      <c r="G130" s="6"/>
      <c r="H130" s="6"/>
      <c r="I130" s="6"/>
      <c r="J130" s="6"/>
      <c r="K130" s="6"/>
      <c r="L130" s="6"/>
      <c r="M130" s="6"/>
      <c r="N130" s="6"/>
      <c r="O130" s="6"/>
      <c r="P130" s="6"/>
      <c r="Q130" s="6"/>
    </row>
    <row r="131" customFormat="false" ht="15.75" hidden="false" customHeight="false" outlineLevel="0" collapsed="false">
      <c r="J131" s="32"/>
    </row>
    <row r="132" customFormat="false" ht="15.75" hidden="false" customHeight="false" outlineLevel="0" collapsed="false">
      <c r="B132" s="30" t="s">
        <v>164</v>
      </c>
      <c r="J132" s="32"/>
    </row>
    <row r="133" customFormat="false" ht="15.75" hidden="false" customHeight="false" outlineLevel="0" collapsed="false">
      <c r="B133" s="30" t="s">
        <v>166</v>
      </c>
      <c r="J133" s="32"/>
    </row>
    <row r="134" customFormat="false" ht="15.75" hidden="false" customHeight="false" outlineLevel="0" collapsed="false">
      <c r="B134" s="30" t="s">
        <v>168</v>
      </c>
      <c r="J134" s="32"/>
    </row>
    <row r="135" customFormat="false" ht="15.75" hidden="false" customHeight="false" outlineLevel="0" collapsed="false">
      <c r="B135" s="30" t="s">
        <v>170</v>
      </c>
      <c r="J135" s="32"/>
    </row>
    <row r="136" customFormat="false" ht="15.75" hidden="false" customHeight="false" outlineLevel="0" collapsed="false">
      <c r="B136" s="30" t="s">
        <v>172</v>
      </c>
      <c r="J136" s="32"/>
    </row>
    <row r="137" customFormat="false" ht="15.75" hidden="false" customHeight="false" outlineLevel="0" collapsed="false">
      <c r="B137" s="30" t="s">
        <v>174</v>
      </c>
      <c r="J137" s="32"/>
    </row>
    <row r="138" customFormat="false" ht="15.75" hidden="false" customHeight="false" outlineLevel="0" collapsed="false">
      <c r="B138" s="30" t="s">
        <v>272</v>
      </c>
      <c r="J138" s="32"/>
    </row>
    <row r="139" customFormat="false" ht="15.75" hidden="false" customHeight="false" outlineLevel="0" collapsed="false">
      <c r="B139" s="30" t="s">
        <v>273</v>
      </c>
      <c r="J139" s="32"/>
    </row>
    <row r="140" customFormat="false" ht="15.75" hidden="false" customHeight="false" outlineLevel="0" collapsed="false">
      <c r="B140" s="30" t="s">
        <v>274</v>
      </c>
      <c r="J140" s="32"/>
    </row>
    <row r="141" customFormat="false" ht="15.75" hidden="false" customHeight="false" outlineLevel="0" collapsed="false">
      <c r="B141" s="30" t="s">
        <v>275</v>
      </c>
      <c r="J141" s="32"/>
      <c r="K141" s="88" t="s">
        <v>322</v>
      </c>
      <c r="L141" s="177" t="n">
        <f aca="false">IF(G121&lt;1,46.5182*LOG(G121)^2+1,1)</f>
        <v>49.9999966961872</v>
      </c>
      <c r="M141" s="1" t="s">
        <v>323</v>
      </c>
    </row>
    <row r="142" customFormat="false" ht="15.75" hidden="false" customHeight="false" outlineLevel="0" collapsed="false">
      <c r="C142" s="10"/>
    </row>
    <row r="143" customFormat="false" ht="15.75" hidden="false" customHeight="false" outlineLevel="0" collapsed="false">
      <c r="B143" s="10"/>
      <c r="C143" s="10" t="s">
        <v>177</v>
      </c>
      <c r="F143" s="10"/>
      <c r="N143" s="10" t="s">
        <v>178</v>
      </c>
      <c r="O143" s="10" t="s">
        <v>278</v>
      </c>
      <c r="P143" s="10" t="s">
        <v>279</v>
      </c>
      <c r="Q143" s="10" t="s">
        <v>280</v>
      </c>
    </row>
    <row r="144" customFormat="false" ht="15.75" hidden="false" customHeight="false" outlineLevel="0" collapsed="false">
      <c r="B144" s="10" t="s">
        <v>180</v>
      </c>
      <c r="C144" s="10" t="s">
        <v>181</v>
      </c>
      <c r="D144" s="10" t="s">
        <v>182</v>
      </c>
      <c r="E144" s="10" t="s">
        <v>183</v>
      </c>
      <c r="F144" s="10" t="s">
        <v>184</v>
      </c>
      <c r="G144" s="10" t="s">
        <v>98</v>
      </c>
      <c r="H144" s="10" t="s">
        <v>185</v>
      </c>
      <c r="I144" s="10" t="s">
        <v>186</v>
      </c>
      <c r="J144" s="10" t="s">
        <v>281</v>
      </c>
      <c r="K144" s="10" t="s">
        <v>282</v>
      </c>
      <c r="L144" s="10" t="s">
        <v>283</v>
      </c>
      <c r="M144" s="10" t="s">
        <v>284</v>
      </c>
      <c r="N144" s="10" t="s">
        <v>187</v>
      </c>
      <c r="O144" s="10" t="s">
        <v>181</v>
      </c>
      <c r="P144" s="10" t="s">
        <v>285</v>
      </c>
      <c r="Q144" s="10" t="s">
        <v>286</v>
      </c>
    </row>
    <row r="145" customFormat="false" ht="15.75" hidden="false" customHeight="false" outlineLevel="0" collapsed="false">
      <c r="B145" s="10" t="s">
        <v>189</v>
      </c>
      <c r="C145" s="10" t="s">
        <v>65</v>
      </c>
      <c r="D145" s="10" t="s">
        <v>190</v>
      </c>
      <c r="E145" s="10" t="s">
        <v>191</v>
      </c>
      <c r="F145" s="10" t="s">
        <v>33</v>
      </c>
      <c r="G145" s="10" t="s">
        <v>33</v>
      </c>
      <c r="H145" s="10" t="s">
        <v>192</v>
      </c>
      <c r="I145" s="10" t="s">
        <v>193</v>
      </c>
      <c r="J145" s="10" t="s">
        <v>287</v>
      </c>
      <c r="K145" s="10" t="s">
        <v>287</v>
      </c>
      <c r="L145" s="10" t="s">
        <v>192</v>
      </c>
      <c r="M145" s="10" t="s">
        <v>135</v>
      </c>
      <c r="N145" s="10" t="s">
        <v>33</v>
      </c>
      <c r="O145" s="10" t="s">
        <v>65</v>
      </c>
      <c r="P145" s="10" t="s">
        <v>288</v>
      </c>
      <c r="Q145" s="10" t="s">
        <v>288</v>
      </c>
    </row>
    <row r="146" customFormat="false" ht="15.75" hidden="false" customHeight="false" outlineLevel="0" collapsed="false">
      <c r="B146" s="10"/>
      <c r="D146" s="10"/>
      <c r="E146" s="61"/>
      <c r="O146" s="10"/>
    </row>
    <row r="147" s="1" customFormat="true" ht="15.75" hidden="false" customHeight="false" outlineLevel="0" collapsed="false">
      <c r="B147" s="62" t="n">
        <f aca="false">LOG(IF(G42&gt;=0.001,G42,0.001))</f>
        <v>-0.698970004336019</v>
      </c>
      <c r="C147" s="63"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321.606123783605</v>
      </c>
      <c r="D147" s="10"/>
      <c r="E147" s="61" t="n">
        <v>0</v>
      </c>
      <c r="F147" s="61" t="n">
        <v>0</v>
      </c>
      <c r="G147" s="61" t="n">
        <f aca="false">8314.4621*C147/(G$102*G$97*9.80665)</f>
        <v>9544.87351332975</v>
      </c>
      <c r="H147" s="64" t="n">
        <f aca="false">10^B147*101325</f>
        <v>20265</v>
      </c>
      <c r="I147" s="64" t="n">
        <f aca="false">H147/(8314.4621/G$102*C147)</f>
        <v>0.309284186160081</v>
      </c>
      <c r="J147" s="61" t="n">
        <f aca="false">SQRT(8314.4621/G$102*G$104*C147)</f>
        <v>292.207083582117</v>
      </c>
      <c r="K147" s="61" t="n">
        <f aca="false">IF(F$23&gt;0,SQRT(2*G$96/(F$23+N147)),10000)</f>
        <v>2567.11293090117</v>
      </c>
      <c r="L147" s="64" t="n">
        <f aca="false">I147*K147^2/2</f>
        <v>1019102.03277347</v>
      </c>
      <c r="M147" s="64" t="n">
        <f aca="false">I147*K147^3/2</f>
        <v>2616150006.24044</v>
      </c>
      <c r="N147" s="61" t="n">
        <f aca="false">F147*IF(G$125&gt;0,G$125,0.5)</f>
        <v>0</v>
      </c>
      <c r="O147" s="61" t="n">
        <f aca="false">4*G$100-3*G$101+IF(B147&gt;-4,0.0625*((4/(B$147+4))*(B147-B$147))^2+0.5*((4/(B$147+4))*(B147-B$147))+1,0)*(G$111+G$112+0.3*(G$42/G$97)^(1/3)*(G$101-G$100)+1/3*G$85*(G$101-G$100)-D$148*(-2000*G$85+2000))</f>
        <v>207.967111323843</v>
      </c>
      <c r="P147" s="89" t="n">
        <f aca="false">2*(C147-O147)/G$113</f>
        <v>1</v>
      </c>
      <c r="Q147" s="10" t="str">
        <f aca="false">IF(L147&gt;L$141,"|",IF(L146&gt;L$141,"V",""))</f>
        <v>|</v>
      </c>
    </row>
    <row r="148" customFormat="false" ht="15.75" hidden="false" customHeight="false" outlineLevel="0" collapsed="false">
      <c r="A148" s="32"/>
      <c r="B148" s="62" t="n">
        <f aca="false">B147-0.25</f>
        <v>-0.948970004336019</v>
      </c>
      <c r="C148" s="65"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307.722578008178</v>
      </c>
      <c r="D148" s="64" t="n">
        <f aca="false">(C148-C147)/(E148-E147)</f>
        <v>-0.00258298424506681</v>
      </c>
      <c r="E148" s="61" t="n">
        <f aca="false">IF(D148=0,(8314.4621*C147*LN(H148/H147)/(-G$97*9.80665*G$102)),C147/D148*(1/(H148/H147)^(8314.4621*D148/(G$97*9.80665*G$102))-1))+E147</f>
        <v>5375.00211313454</v>
      </c>
      <c r="F148" s="61" t="n">
        <f aca="false">F$36*E148/(F$36-E148)</f>
        <v>5380.67292261084</v>
      </c>
      <c r="G148" s="61" t="n">
        <f aca="false">8314.4621*C148/(G$102*G$97*9.80665)</f>
        <v>9132.82698018556</v>
      </c>
      <c r="H148" s="64" t="n">
        <f aca="false">10^B148*101325</f>
        <v>11395.8469549824</v>
      </c>
      <c r="I148" s="64" t="n">
        <f aca="false">H148/(8314.4621/G$102*C148)</f>
        <v>0.181770190510444</v>
      </c>
      <c r="J148" s="61" t="n">
        <f aca="false">SQRT(8314.4621/G$102*G$104*C148)</f>
        <v>285.830300567397</v>
      </c>
      <c r="K148" s="61" t="n">
        <f aca="false">IF(F$23&gt;0,SQRT(2*G$96/(F$23+N148)),10000)</f>
        <v>2555.75632011961</v>
      </c>
      <c r="L148" s="64" t="n">
        <f aca="false">I148*K148^2/2</f>
        <v>593651.478277018</v>
      </c>
      <c r="M148" s="64" t="n">
        <f aca="false">I148*K148^3/2</f>
        <v>1517228517.55484</v>
      </c>
      <c r="N148" s="61" t="n">
        <f aca="false">F148*IF(G$125&gt;0,G$125,0.5)</f>
        <v>4275.27803872558</v>
      </c>
      <c r="O148" s="61" t="n">
        <f aca="false">4*G$100-3*G$101+IF(B148&gt;-4,0.0625*((4/(B$147+4))*(B148-B$147))^2+0.5*((4/(B$147+4))*(B148-B$147))+1,0)*(G$111+G$112+0.3*(G$42/G$97)^(1/3)*(G$101-G$100)+1/3*G$85*(G$101-G$100)-D$148*(-2000*G$85+2000))</f>
        <v>198.656552893157</v>
      </c>
      <c r="P148" s="89" t="n">
        <f aca="false">2*(C148-O148)/G$113</f>
        <v>0.959758649377907</v>
      </c>
      <c r="Q148" s="10" t="str">
        <f aca="false">IF(L148&gt;L$141,"|",IF(L147&gt;L$141,"V",""))</f>
        <v>|</v>
      </c>
    </row>
    <row r="149" customFormat="false" ht="15.75" hidden="false" customHeight="false" outlineLevel="0" collapsed="false">
      <c r="A149" s="32"/>
      <c r="B149" s="62" t="n">
        <f aca="false">B148-0.25</f>
        <v>-1.19897000433602</v>
      </c>
      <c r="C149" s="65"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294.73330057178</v>
      </c>
      <c r="D149" s="64" t="n">
        <f aca="false">(C149-C148)/(E149-E148)</f>
        <v>-0.00252438438660244</v>
      </c>
      <c r="E149" s="61" t="n">
        <f aca="false">IF(D149=0,(8314.4621*C148*LN(H149/H148)/(-G$97*9.80665*G$102)),C148/D149*(1/(H149/H148)^(8314.4621*D149/(G$97*9.80665*G$102))-1))+E148</f>
        <v>10520.5249207287</v>
      </c>
      <c r="F149" s="61" t="n">
        <f aca="false">F$36*E149/(F$36-E149)</f>
        <v>10542.272025742</v>
      </c>
      <c r="G149" s="61" t="n">
        <f aca="false">8314.4621*C149/(G$102*G$97*9.80665)</f>
        <v>8747.32122954449</v>
      </c>
      <c r="H149" s="64" t="n">
        <f aca="false">10^B149*101325</f>
        <v>6408.35567833122</v>
      </c>
      <c r="I149" s="64" t="n">
        <f aca="false">H149/(8314.4621/G$102*C149)</f>
        <v>0.106721720239371</v>
      </c>
      <c r="J149" s="61" t="n">
        <f aca="false">SQRT(8314.4621/G$102*G$104*C149)</f>
        <v>279.73266876087</v>
      </c>
      <c r="K149" s="61" t="n">
        <f aca="false">IF(F$23&gt;0,SQRT(2*G$96/(F$23+N149)),10000)</f>
        <v>2545.002534165</v>
      </c>
      <c r="L149" s="64" t="n">
        <f aca="false">I149*K149^2/2</f>
        <v>345620.31331344</v>
      </c>
      <c r="M149" s="64" t="n">
        <f aca="false">I149*K149^3/2</f>
        <v>879604573.241607</v>
      </c>
      <c r="N149" s="61" t="n">
        <f aca="false">F149*IF(G$125&gt;0,G$125,0.5)</f>
        <v>8376.48835344114</v>
      </c>
      <c r="O149" s="61" t="n">
        <f aca="false">4*G$100-3*G$101+IF(B149&gt;-4,0.0625*((4/(B$147+4))*(B149-B$147))^2+0.5*((4/(B$147+4))*(B149-B$147))+1,0)*(G$111+G$112+0.3*(G$42/G$97)^(1/3)*(G$101-G$100)+1/3*G$85*(G$101-G$100)-D$148*(-2000*G$85+2000))</f>
        <v>190.078871548283</v>
      </c>
      <c r="P149" s="89" t="n">
        <f aca="false">2*(C149-O149)/G$113</f>
        <v>0.920937508679548</v>
      </c>
      <c r="Q149" s="10" t="str">
        <f aca="false">IF(L149&gt;L$141,"|",IF(L148&gt;L$141,"V",""))</f>
        <v>|</v>
      </c>
    </row>
    <row r="150" customFormat="false" ht="15.75" hidden="false" customHeight="false" outlineLevel="0" collapsed="false">
      <c r="A150" s="32"/>
      <c r="B150" s="62" t="n">
        <f aca="false">B149-0.25</f>
        <v>-1.44897000433602</v>
      </c>
      <c r="C150" s="65"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282.617166777938</v>
      </c>
      <c r="D150" s="64" t="n">
        <f aca="false">(C150-C149)/(E150-E149)</f>
        <v>-0.00245706551125285</v>
      </c>
      <c r="E150" s="61" t="n">
        <f aca="false">IF(D150=0,(8314.4621*C149*LN(H150/H149)/(-G$97*9.80665*G$102)),C149/D150*(1/(H150/H149)^(8314.4621*D150/(G$97*9.80665*G$102))-1))+E149</f>
        <v>15451.664826585</v>
      </c>
      <c r="F150" s="61" t="n">
        <f aca="false">F$36*E150/(F$36-E150)</f>
        <v>15498.6215924911</v>
      </c>
      <c r="G150" s="61" t="n">
        <f aca="false">8314.4621*C150/(G$102*G$97*9.80665)</f>
        <v>8387.72930644225</v>
      </c>
      <c r="H150" s="64" t="n">
        <f aca="false">10^B150*101325</f>
        <v>3603.68322444388</v>
      </c>
      <c r="I150" s="64" t="n">
        <f aca="false">H150/(8314.4621/G$102*C150)</f>
        <v>0.0625869065247764</v>
      </c>
      <c r="J150" s="61" t="n">
        <f aca="false">SQRT(8314.4621/G$102*G$104*C150)</f>
        <v>273.922592957454</v>
      </c>
      <c r="K150" s="61" t="n">
        <f aca="false">IF(F$23&gt;0,SQRT(2*G$96/(F$23+N150)),10000)</f>
        <v>2534.80309447131</v>
      </c>
      <c r="L150" s="64" t="n">
        <f aca="false">I150*K150^2/2</f>
        <v>201067.532304821</v>
      </c>
      <c r="M150" s="64" t="n">
        <f aca="false">I150*K150^3/2</f>
        <v>509666603.083972</v>
      </c>
      <c r="N150" s="61" t="n">
        <f aca="false">F150*IF(G$125&gt;0,G$125,0.5)</f>
        <v>12314.6151936594</v>
      </c>
      <c r="O150" s="61" t="n">
        <f aca="false">4*G$100-3*G$101+IF(B150&gt;-4,0.0625*((4/(B$147+4))*(B150-B$147))^2+0.5*((4/(B$147+4))*(B150-B$147))+1,0)*(G$111+G$112+0.3*(G$42/G$97)^(1/3)*(G$101-G$100)+1/3*G$85*(G$101-G$100)-D$148*(-2000*G$85+2000))</f>
        <v>182.23406728922</v>
      </c>
      <c r="P150" s="89" t="n">
        <f aca="false">2*(C150-O150)/G$113</f>
        <v>0.883350684909046</v>
      </c>
      <c r="Q150" s="10" t="str">
        <f aca="false">IF(L150&gt;L$141,"|",IF(L149&gt;L$141,"V",""))</f>
        <v>|</v>
      </c>
    </row>
    <row r="151" customFormat="false" ht="15.75" hidden="false" customHeight="false" outlineLevel="0" collapsed="false">
      <c r="A151" s="32"/>
      <c r="B151" s="62" t="n">
        <f aca="false">B150-0.25</f>
        <v>-1.69897000433602</v>
      </c>
      <c r="C151" s="65"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271.353051930176</v>
      </c>
      <c r="D151" s="64" t="n">
        <f aca="false">(C151-C150)/(E151-E150)</f>
        <v>-0.002380668611499</v>
      </c>
      <c r="E151" s="61" t="n">
        <f aca="false">IF(D151=0,(8314.4621*C150*LN(H151/H150)/(-G$97*9.80665*G$102)),C150/D151*(1/(H151/H150)^(8314.4621*D151/(G$97*9.80665*G$102))-1))+E150</f>
        <v>20183.1569768802</v>
      </c>
      <c r="F151" s="61" t="n">
        <f aca="false">F$36*E151/(F$36-E151)</f>
        <v>20263.3488101965</v>
      </c>
      <c r="G151" s="61" t="n">
        <f aca="false">8314.4621*C151/(G$102*G$97*9.80665)</f>
        <v>8053.42425591452</v>
      </c>
      <c r="H151" s="64" t="n">
        <f aca="false">10^B151*101325</f>
        <v>2026.5</v>
      </c>
      <c r="I151" s="64" t="n">
        <f aca="false">H151/(8314.4621/G$102*C151)</f>
        <v>0.0366561892527028</v>
      </c>
      <c r="J151" s="61" t="n">
        <f aca="false">SQRT(8314.4621/G$102*G$104*C151)</f>
        <v>268.408299223208</v>
      </c>
      <c r="K151" s="61" t="n">
        <f aca="false">IF(F$23&gt;0,SQRT(2*G$96/(F$23+N151)),10000)</f>
        <v>2525.11270287124</v>
      </c>
      <c r="L151" s="64" t="n">
        <f aca="false">I151*K151^2/2</f>
        <v>116863.489960822</v>
      </c>
      <c r="M151" s="64" t="n">
        <f aca="false">I151*K151^3/2</f>
        <v>295093483.001937</v>
      </c>
      <c r="N151" s="61" t="n">
        <f aca="false">F151*IF(G$125&gt;0,G$125,0.5)</f>
        <v>16100.4862040999</v>
      </c>
      <c r="O151" s="61" t="n">
        <f aca="false">4*G$100-3*G$101+IF(B151&gt;-4,0.0625*((4/(B$147+4))*(B151-B$147))^2+0.5*((4/(B$147+4))*(B151-B$147))+1,0)*(G$111+G$112+0.3*(G$42/G$97)^(1/3)*(G$101-G$100)+1/3*G$85*(G$101-G$100)-D$148*(-2000*G$85+2000))</f>
        <v>175.122140115968</v>
      </c>
      <c r="P151" s="89" t="n">
        <f aca="false">2*(C151-O151)/G$113</f>
        <v>0.846812285070521</v>
      </c>
      <c r="Q151" s="10" t="str">
        <f aca="false">IF(L151&gt;L$141,"|",IF(L150&gt;L$141,"V",""))</f>
        <v>|</v>
      </c>
    </row>
    <row r="152" customFormat="false" ht="15.75" hidden="false" customHeight="false" outlineLevel="0" collapsed="false">
      <c r="A152" s="32"/>
      <c r="B152" s="62" t="n">
        <f aca="false">B151-0.25</f>
        <v>-1.94897000433602</v>
      </c>
      <c r="C152" s="65"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260.91983133202</v>
      </c>
      <c r="D152" s="64" t="n">
        <f aca="false">(C152-C151)/(E152-E151)</f>
        <v>-0.00229492294570249</v>
      </c>
      <c r="E152" s="61" t="n">
        <f aca="false">IF(D152=0,(8314.4621*C151*LN(H152/H151)/(-G$97*9.80665*G$102)),C151/D152*(1/(H152/H151)^(8314.4621*D152/(G$97*9.80665*G$102))-1))+E151</f>
        <v>24729.375235621</v>
      </c>
      <c r="F152" s="61" t="n">
        <f aca="false">F$36*E152/(F$36-E152)</f>
        <v>24849.8696968543</v>
      </c>
      <c r="G152" s="61" t="n">
        <f aca="false">8314.4621*C152/(G$102*G$97*9.80665)</f>
        <v>7743.779122997</v>
      </c>
      <c r="H152" s="64" t="n">
        <f aca="false">10^B152*101325</f>
        <v>1139.58469549824</v>
      </c>
      <c r="I152" s="64" t="n">
        <f aca="false">H152/(8314.4621/G$102*C152)</f>
        <v>0.0214375393941345</v>
      </c>
      <c r="J152" s="61" t="n">
        <f aca="false">SQRT(8314.4621/G$102*G$104*C152)</f>
        <v>263.197724036961</v>
      </c>
      <c r="K152" s="61" t="n">
        <f aca="false">IF(F$23&gt;0,SQRT(2*G$96/(F$23+N152)),10000)</f>
        <v>2515.88895146575</v>
      </c>
      <c r="L152" s="64" t="n">
        <f aca="false">I152*K152^2/2</f>
        <v>67846.5667116233</v>
      </c>
      <c r="M152" s="64" t="n">
        <f aca="false">I152*K152^3/2</f>
        <v>170694427.584657</v>
      </c>
      <c r="N152" s="61" t="n">
        <f aca="false">F152*IF(G$125&gt;0,G$125,0.5)</f>
        <v>19744.7612423546</v>
      </c>
      <c r="O152" s="61" t="n">
        <f aca="false">4*G$100-3*G$101+IF(B152&gt;-4,0.0625*((4/(B$147+4))*(B152-B$147))^2+0.5*((4/(B$147+4))*(B152-B$147))+1,0)*(G$111+G$112+0.3*(G$42/G$97)^(1/3)*(G$101-G$100)+1/3*G$85*(G$101-G$100)-D$148*(-2000*G$85+2000))</f>
        <v>168.743090028527</v>
      </c>
      <c r="P152" s="89" t="n">
        <f aca="false">2*(C152-O152)/G$113</f>
        <v>0.811136416168098</v>
      </c>
      <c r="Q152" s="10" t="str">
        <f aca="false">IF(L152&gt;L$141,"|",IF(L151&gt;L$141,"V",""))</f>
        <v>|</v>
      </c>
    </row>
    <row r="153" customFormat="false" ht="15.75" hidden="false" customHeight="false" outlineLevel="0" collapsed="false">
      <c r="A153" s="32"/>
      <c r="B153" s="62" t="n">
        <f aca="false">B152-0.25</f>
        <v>-2.19897000433602</v>
      </c>
      <c r="C153" s="65"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251.296380286995</v>
      </c>
      <c r="D153" s="64" t="n">
        <f aca="false">(C153-C152)/(E153-E152)</f>
        <v>-0.00219966760795115</v>
      </c>
      <c r="E153" s="61" t="n">
        <f aca="false">IF(D153=0,(8314.4621*C152*LN(H153/H152)/(-G$97*9.80665*G$102)),C152/D153*(1/(H153/H152)^(8314.4621*D153/(G$97*9.80665*G$102))-1))+E152</f>
        <v>29104.3321655858</v>
      </c>
      <c r="F153" s="61" t="n">
        <f aca="false">F$36*E153/(F$36-E153)</f>
        <v>29271.3760580835</v>
      </c>
      <c r="G153" s="61" t="n">
        <f aca="false">8314.4621*C153/(G$102*G$97*9.80665)</f>
        <v>7458.16695272536</v>
      </c>
      <c r="H153" s="64" t="n">
        <f aca="false">10^B153*101325</f>
        <v>640.835567833122</v>
      </c>
      <c r="I153" s="64" t="n">
        <f aca="false">H153/(8314.4621/G$102*C153)</f>
        <v>0.0125168714379909</v>
      </c>
      <c r="J153" s="61" t="n">
        <f aca="false">SQRT(8314.4621/G$102*G$104*C153)</f>
        <v>258.298391322199</v>
      </c>
      <c r="K153" s="61" t="n">
        <f aca="false">IF(F$23&gt;0,SQRT(2*G$96/(F$23+N153)),10000)</f>
        <v>2507.09206871415</v>
      </c>
      <c r="L153" s="64" t="n">
        <f aca="false">I153*K153^2/2</f>
        <v>39337.4643078192</v>
      </c>
      <c r="M153" s="64" t="n">
        <f aca="false">I153*K153^3/2</f>
        <v>98622644.7694593</v>
      </c>
      <c r="N153" s="61" t="n">
        <f aca="false">F153*IF(G$125&gt;0,G$125,0.5)</f>
        <v>23257.9220153897</v>
      </c>
      <c r="O153" s="61" t="n">
        <f aca="false">4*G$100-3*G$101+IF(B153&gt;-4,0.0625*((4/(B$147+4))*(B153-B$147))^2+0.5*((4/(B$147+4))*(B153-B$147))+1,0)*(G$111+G$112+0.3*(G$42/G$97)^(1/3)*(G$101-G$100)+1/3*G$85*(G$101-G$100)-D$148*(-2000*G$85+2000))</f>
        <v>163.096917026898</v>
      </c>
      <c r="P153" s="89" t="n">
        <f aca="false">2*(C153-O153)/G$113</f>
        <v>0.776137185205896</v>
      </c>
      <c r="Q153" s="10" t="str">
        <f aca="false">IF(L153&gt;L$141,"|",IF(L152&gt;L$141,"V",""))</f>
        <v>|</v>
      </c>
    </row>
    <row r="154" customFormat="false" ht="15.75" hidden="false" customHeight="false" outlineLevel="0" collapsed="false">
      <c r="A154" s="32"/>
      <c r="B154" s="62" t="n">
        <f aca="false">B153-0.25</f>
        <v>-2.44897000433602</v>
      </c>
      <c r="C154" s="65"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242.461574098627</v>
      </c>
      <c r="D154" s="64" t="n">
        <f aca="false">(C154-C153)/(E154-E153)</f>
        <v>-0.00209487303286672</v>
      </c>
      <c r="E154" s="61" t="n">
        <f aca="false">IF(D154=0,(8314.4621*C153*LN(H154/H153)/(-G$97*9.80665*G$102)),C153/D154*(1/(H154/H153)^(8314.4621*D154/(G$97*9.80665*G$102))-1))+E153</f>
        <v>33321.6790165683</v>
      </c>
      <c r="F154" s="61" t="n">
        <f aca="false">F$36*E154/(F$36-E154)</f>
        <v>33540.8234386416</v>
      </c>
      <c r="G154" s="61" t="n">
        <f aca="false">8314.4621*C154/(G$102*G$97*9.80665)</f>
        <v>7195.9607901353</v>
      </c>
      <c r="H154" s="64" t="n">
        <f aca="false">10^B154*101325</f>
        <v>360.368322444388</v>
      </c>
      <c r="I154" s="64" t="n">
        <f aca="false">H154/(8314.4621/G$102*C154)</f>
        <v>0.00729523194146751</v>
      </c>
      <c r="J154" s="61" t="n">
        <f aca="false">SQRT(8314.4621/G$102*G$104*C154)</f>
        <v>253.717278962572</v>
      </c>
      <c r="K154" s="61" t="n">
        <f aca="false">IF(F$23&gt;0,SQRT(2*G$96/(F$23+N154)),10000)</f>
        <v>2498.68469694897</v>
      </c>
      <c r="L154" s="64" t="n">
        <f aca="false">I154*K154^2/2</f>
        <v>22773.6175254659</v>
      </c>
      <c r="M154" s="64" t="n">
        <f aca="false">I154*K154^3/2</f>
        <v>56904089.6050505</v>
      </c>
      <c r="N154" s="61" t="n">
        <f aca="false">F154*IF(G$125&gt;0,G$125,0.5)</f>
        <v>26650.2625062772</v>
      </c>
      <c r="O154" s="61" t="n">
        <f aca="false">4*G$100-3*G$101+IF(B154&gt;-4,0.0625*((4/(B$147+4))*(B154-B$147))^2+0.5*((4/(B$147+4))*(B154-B$147))+1,0)*(G$111+G$112+0.3*(G$42/G$97)^(1/3)*(G$101-G$100)+1/3*G$85*(G$101-G$100)-D$148*(-2000*G$85+2000))</f>
        <v>158.18362111108</v>
      </c>
      <c r="P154" s="89" t="n">
        <f aca="false">2*(C154-O154)/G$113</f>
        <v>0.74162869918804</v>
      </c>
      <c r="Q154" s="10" t="str">
        <f aca="false">IF(L154&gt;L$141,"|",IF(L153&gt;L$141,"V",""))</f>
        <v>|</v>
      </c>
    </row>
    <row r="155" customFormat="false" ht="15.75" hidden="false" customHeight="false" outlineLevel="0" collapsed="false">
      <c r="A155" s="32"/>
      <c r="B155" s="62" t="n">
        <f aca="false">B154-0.25</f>
        <v>-2.69897000433602</v>
      </c>
      <c r="C155" s="65"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234.39428807044</v>
      </c>
      <c r="D155" s="64" t="n">
        <f aca="false">(C155-C154)/(E155-E154)</f>
        <v>-0.00198066121588816</v>
      </c>
      <c r="E155" s="61" t="n">
        <f aca="false">IF(D155=0,(8314.4621*C154*LN(H155/H154)/(-G$97*9.80665*G$102)),C154/D155*(1/(H155/H154)^(8314.4621*D155/(G$97*9.80665*G$102))-1))+E154</f>
        <v>37394.7057227381</v>
      </c>
      <c r="F155" s="61" t="n">
        <f aca="false">F$36*E155/(F$36-E155)</f>
        <v>37670.9200303538</v>
      </c>
      <c r="G155" s="61" t="n">
        <f aca="false">8314.4621*C155/(G$102*G$97*9.80665)</f>
        <v>6956.53368026251</v>
      </c>
      <c r="H155" s="64" t="n">
        <f aca="false">10^B155*101325</f>
        <v>202.65</v>
      </c>
      <c r="I155" s="64" t="n">
        <f aca="false">H155/(8314.4621/G$102*C155)</f>
        <v>0.00424360546826204</v>
      </c>
      <c r="J155" s="61" t="n">
        <f aca="false">SQRT(8314.4621/G$102*G$104*C155)</f>
        <v>249.460677221724</v>
      </c>
      <c r="K155" s="61" t="n">
        <f aca="false">IF(F$23&gt;0,SQRT(2*G$96/(F$23+N155)),10000)</f>
        <v>2490.63169723037</v>
      </c>
      <c r="L155" s="64" t="n">
        <f aca="false">I155*K155^2/2</f>
        <v>13162.0648563873</v>
      </c>
      <c r="M155" s="64" t="n">
        <f aca="false">I155*K155^3/2</f>
        <v>32781855.9323201</v>
      </c>
      <c r="N155" s="61" t="n">
        <f aca="false">F155*IF(G$125&gt;0,G$125,0.5)</f>
        <v>29931.8801608576</v>
      </c>
      <c r="O155" s="61" t="n">
        <f aca="false">4*G$100-3*G$101+IF(B155&gt;-4,0.0625*((4/(B$147+4))*(B155-B$147))^2+0.5*((4/(B$147+4))*(B155-B$147))+1,0)*(G$111+G$112+0.3*(G$42/G$97)^(1/3)*(G$101-G$100)+1/3*G$85*(G$101-G$100)-D$148*(-2000*G$85+2000))</f>
        <v>154.003202281073</v>
      </c>
      <c r="P155" s="89" t="n">
        <f aca="false">2*(C155-O155)/G$113</f>
        <v>0.707425065118651</v>
      </c>
      <c r="Q155" s="10" t="str">
        <f aca="false">IF(L155&gt;L$141,"|",IF(L154&gt;L$141,"V",""))</f>
        <v>|</v>
      </c>
    </row>
    <row r="156" s="1" customFormat="true" ht="15.75" hidden="false" customHeight="false" outlineLevel="0" collapsed="false">
      <c r="B156" s="62" t="n">
        <f aca="false">B155-0.25</f>
        <v>-2.94897000433602</v>
      </c>
      <c r="C156" s="65"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227.073397505959</v>
      </c>
      <c r="D156" s="64" t="n">
        <f aca="false">(C156-C155)/(E156-E155)</f>
        <v>-0.0018573232212534</v>
      </c>
      <c r="E156" s="61" t="n">
        <f aca="false">IF(D156=0,(8314.4621*C155*LN(H156/H155)/(-G$97*9.80665*G$102)),C155/D156*(1/(H156/H155)^(8314.4621*D156/(G$97*9.80665*G$102))-1))+E155</f>
        <v>41336.3409107912</v>
      </c>
      <c r="F156" s="61" t="n">
        <f aca="false">F$36*E156/(F$36-E156)</f>
        <v>41674.1164964092</v>
      </c>
      <c r="G156" s="61" t="n">
        <f aca="false">8314.4621*C156/(G$102*G$97*9.80665)</f>
        <v>6739.25866814268</v>
      </c>
      <c r="H156" s="64" t="n">
        <f aca="false">10^B156*101325</f>
        <v>113.958469549824</v>
      </c>
      <c r="I156" s="64" t="n">
        <f aca="false">H156/(8314.4621/G$102*C156)</f>
        <v>0.00246329126367361</v>
      </c>
      <c r="J156" s="61" t="n">
        <f aca="false">SQRT(8314.4621/G$102*G$104*C156)</f>
        <v>245.534042354543</v>
      </c>
      <c r="K156" s="61" t="n">
        <f aca="false">IF(F$23&gt;0,SQRT(2*G$96/(F$23+N156)),10000)</f>
        <v>2482.89997804417</v>
      </c>
      <c r="L156" s="64" t="n">
        <f aca="false">I156*K156^2/2</f>
        <v>7592.83950867299</v>
      </c>
      <c r="M156" s="64" t="n">
        <f aca="false">I156*K156^3/2</f>
        <v>18852261.0493771</v>
      </c>
      <c r="N156" s="61" t="n">
        <f aca="false">F156*IF(G$125&gt;0,G$125,0.5)</f>
        <v>33112.667802513</v>
      </c>
      <c r="O156" s="61" t="n">
        <f aca="false">4*G$100-3*G$101+IF(B156&gt;-4,0.0625*((4/(B$147+4))*(B156-B$147))^2+0.5*((4/(B$147+4))*(B156-B$147))+1,0)*(G$111+G$112+0.3*(G$42/G$97)^(1/3)*(G$101-G$100)+1/3*G$85*(G$101-G$100)-D$148*(-2000*G$85+2000))</f>
        <v>150.555660536878</v>
      </c>
      <c r="P156" s="89" t="n">
        <f aca="false">2*(C156-O156)/G$113</f>
        <v>0.67334039000185</v>
      </c>
      <c r="Q156" s="10" t="str">
        <f aca="false">IF(L156&gt;L$141,"|",IF(L155&gt;L$141,"V",""))</f>
        <v>|</v>
      </c>
    </row>
    <row r="157" customFormat="false" ht="15.75" hidden="false" customHeight="false" outlineLevel="0" collapsed="false">
      <c r="B157" s="62" t="n">
        <f aca="false">B156-0.25</f>
        <v>-3.19897000433602</v>
      </c>
      <c r="C157" s="65"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220.477777708711</v>
      </c>
      <c r="D157" s="64" t="n">
        <v>0</v>
      </c>
      <c r="E157" s="61" t="n">
        <f aca="false">IF(D157=0,(8314.4621*C156*LN(H157/H156)/(-G$97*9.80665*G$102)),C156/D157*(1/(H157/H156)^(8314.4621*D157/(G$97*9.80665*G$102))-1))+E156</f>
        <v>45215.7700475653</v>
      </c>
      <c r="F157" s="61" t="n">
        <f aca="false">F$36*E157/(F$36-E157)</f>
        <v>45620.2315968594</v>
      </c>
      <c r="G157" s="61" t="n">
        <f aca="false">8314.4621*C157/(G$102*G$97*9.80665)</f>
        <v>6543.50879881149</v>
      </c>
      <c r="H157" s="64" t="n">
        <f aca="false">10^B157*101325</f>
        <v>64.0835567833122</v>
      </c>
      <c r="I157" s="64" t="n">
        <f aca="false">H157/(8314.4621/G$102*C157)</f>
        <v>0.00142664921497915</v>
      </c>
      <c r="J157" s="61" t="n">
        <f aca="false">SQRT(8314.4621/G$102*G$104*C157)</f>
        <v>241.941849536975</v>
      </c>
      <c r="K157" s="61" t="n">
        <f aca="false">IF(F$23&gt;0,SQRT(2*G$96/(F$23+N157)),10000)</f>
        <v>2475.34854788198</v>
      </c>
      <c r="L157" s="64" t="n">
        <f aca="false">I157*K157^2/2</f>
        <v>4370.7898429285</v>
      </c>
      <c r="M157" s="64" t="n">
        <f aca="false">I157*K157^3/2</f>
        <v>10819228.2907904</v>
      </c>
      <c r="N157" s="61" t="n">
        <f aca="false">F157*IF(G$125&gt;0,G$125,0.5)</f>
        <v>36248.1007622723</v>
      </c>
      <c r="O157" s="61" t="n">
        <f aca="false">4*G$100-3*G$101+IF(B157&gt;-4,0.0625*((4/(B$147+4))*(B157-B$147))^2+0.5*((4/(B$147+4))*(B157-B$147))+1,0)*(G$111+G$112+0.3*(G$42/G$97)^(1/3)*(G$101-G$100)+1/3*G$85*(G$101-G$100)-D$148*(-2000*G$85+2000))</f>
        <v>147.840995878493</v>
      </c>
      <c r="P157" s="89" t="n">
        <f aca="false">2*(C157-O157)/G$113</f>
        <v>0.63918878084176</v>
      </c>
      <c r="Q157" s="10" t="str">
        <f aca="false">IF(L157&gt;L$141,"|",IF(L156&gt;L$141,"V",""))</f>
        <v>|</v>
      </c>
    </row>
    <row r="158" customFormat="false" ht="15.75" hidden="false" customHeight="false" outlineLevel="0" collapsed="false">
      <c r="B158" s="62" t="n">
        <f aca="false">B157-0.25</f>
        <v>-3.44897000433602</v>
      </c>
      <c r="C158" s="65"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214.586303982219</v>
      </c>
      <c r="D158" s="64" t="n">
        <f aca="false">(C158-C157)/(E158-E157)</f>
        <v>-0.00158535196064321</v>
      </c>
      <c r="E158" s="61" t="n">
        <f aca="false">IF(D158=0,(8314.4621*C157*LN(H158/H157)/(-G$97*9.80665*G$102)),C157/D158*(1/(H158/H157)^(8314.4621*D158/(G$97*9.80665*G$102))-1))+E157</f>
        <v>48931.9629641849</v>
      </c>
      <c r="F158" s="61" t="n">
        <f aca="false">F$36*E158/(F$36-E158)</f>
        <v>49405.9888497941</v>
      </c>
      <c r="G158" s="61" t="n">
        <f aca="false">8314.4621*C158/(G$102*G$97*9.80665)</f>
        <v>6368.65711730463</v>
      </c>
      <c r="H158" s="64" t="n">
        <f aca="false">10^B158*101325</f>
        <v>36.0368322444388</v>
      </c>
      <c r="I158" s="64" t="n">
        <f aca="false">H158/(8314.4621/G$102*C158)</f>
        <v>0.00082428998827873</v>
      </c>
      <c r="J158" s="61" t="n">
        <f aca="false">SQRT(8314.4621/G$102*G$104*C158)</f>
        <v>238.687449974289</v>
      </c>
      <c r="K158" s="61" t="n">
        <f aca="false">IF(F$23&gt;0,SQRT(2*G$96/(F$23+N158)),10000)</f>
        <v>2468.16836335937</v>
      </c>
      <c r="L158" s="64" t="n">
        <f aca="false">I158*K158^2/2</f>
        <v>2510.72757207688</v>
      </c>
      <c r="M158" s="64" t="n">
        <f aca="false">I158*K158^3/2</f>
        <v>6196898.36241423</v>
      </c>
      <c r="N158" s="61" t="n">
        <f aca="false">F158*IF(G$125&gt;0,G$125,0.5)</f>
        <v>39256.1194759547</v>
      </c>
      <c r="O158" s="61" t="n">
        <f aca="false">4*G$100-3*G$101+IF(B158&gt;-4,0.0625*((4/(B$147+4))*(B158-B$147))^2+0.5*((4/(B$147+4))*(B158-B$147))+1,0)*(G$111+G$112+0.3*(G$42/G$97)^(1/3)*(G$101-G$100)+1/3*G$85*(G$101-G$100)-D$148*(-2000*G$85+2000))</f>
        <v>145.859208305921</v>
      </c>
      <c r="P158" s="89" t="n">
        <f aca="false">2*(C158-O158)/G$113</f>
        <v>0.604784344642504</v>
      </c>
      <c r="Q158" s="10" t="str">
        <f aca="false">IF(L158&gt;L$141,"|",IF(L157&gt;L$141,"V",""))</f>
        <v>|</v>
      </c>
    </row>
    <row r="159" customFormat="false" ht="15.75" hidden="false" customHeight="false" outlineLevel="0" collapsed="false">
      <c r="B159" s="62" t="n">
        <f aca="false">B158-0.25</f>
        <v>-3.69897000433602</v>
      </c>
      <c r="C159" s="65"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209.37785163001</v>
      </c>
      <c r="D159" s="64" t="n">
        <f aca="false">(C159-C158)/(E159-E158)</f>
        <v>-0.00143823494106685</v>
      </c>
      <c r="E159" s="61" t="n">
        <f aca="false">IF(D159=0,(8314.4621*C158*LN(H159/H158)/(-G$97*9.80665*G$102)),C158/D159*(1/(H159/H158)^(8314.4621*D159/(G$97*9.80665*G$102))-1))+E158</f>
        <v>52553.3826665496</v>
      </c>
      <c r="F159" s="61" t="n">
        <f aca="false">F$36*E159/(F$36-E159)</f>
        <v>53100.5619116381</v>
      </c>
      <c r="G159" s="61" t="n">
        <f aca="false">8314.4621*C159/(G$102*G$97*9.80665)</f>
        <v>6214.0766686578</v>
      </c>
      <c r="H159" s="64" t="n">
        <f aca="false">10^B159*101325</f>
        <v>20.265</v>
      </c>
      <c r="I159" s="64" t="n">
        <f aca="false">H159/(8314.4621/G$102*C159)</f>
        <v>0.000475063085632758</v>
      </c>
      <c r="J159" s="61" t="n">
        <f aca="false">SQRT(8314.4621/G$102*G$104*C159)</f>
        <v>235.772937583195</v>
      </c>
      <c r="K159" s="61" t="n">
        <f aca="false">IF(F$23&gt;0,SQRT(2*G$96/(F$23+N159)),10000)</f>
        <v>2461.22102400329</v>
      </c>
      <c r="L159" s="64" t="n">
        <f aca="false">I159*K159^2/2</f>
        <v>1438.87319468265</v>
      </c>
      <c r="M159" s="64" t="n">
        <f aca="false">I159*K159^3/2</f>
        <v>3541384.95762771</v>
      </c>
      <c r="N159" s="61" t="n">
        <f aca="false">F159*IF(G$125&gt;0,G$125,0.5)</f>
        <v>42191.6866997852</v>
      </c>
      <c r="O159" s="61" t="n">
        <f aca="false">4*G$100-3*G$101+IF(B159&gt;-4,0.0625*((4/(B$147+4))*(B159-B$147))^2+0.5*((4/(B$147+4))*(B159-B$147))+1,0)*(G$111+G$112+0.3*(G$42/G$97)^(1/3)*(G$101-G$100)+1/3*G$85*(G$101-G$100)-D$148*(-2000*G$85+2000))</f>
        <v>144.610297819159</v>
      </c>
      <c r="P159" s="89" t="n">
        <f aca="false">2*(C159-O159)/G$113</f>
        <v>0.569941188408203</v>
      </c>
      <c r="Q159" s="10" t="str">
        <f aca="false">IF(L159&gt;L$141,"|",IF(L158&gt;L$141,"V",""))</f>
        <v>|</v>
      </c>
    </row>
    <row r="160" customFormat="false" ht="15.75" hidden="false" customHeight="false" outlineLevel="0" collapsed="false">
      <c r="B160" s="62" t="n">
        <f aca="false">B159-0.25</f>
        <v>-3.94897000433602</v>
      </c>
      <c r="C160" s="65"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204.831295955609</v>
      </c>
      <c r="D160" s="64" t="n">
        <f aca="false">(C160-C159)/(E160-E159)</f>
        <v>-0.00128501648977864</v>
      </c>
      <c r="E160" s="61" t="n">
        <f aca="false">IF(D160=0,(8314.4621*C159*LN(H160/H159)/(-G$97*9.80665*G$102)),C159/D160*(1/(H160/H159)^(8314.4621*D160/(G$97*9.80665*G$102))-1))+E159</f>
        <v>56091.5128855511</v>
      </c>
      <c r="F160" s="61" t="n">
        <f aca="false">F$36*E160/(F$36-E160)</f>
        <v>56715.2866565915</v>
      </c>
      <c r="G160" s="61" t="n">
        <f aca="false">8314.4621*C160/(G$102*G$97*9.80665)</f>
        <v>6079.14049790668</v>
      </c>
      <c r="H160" s="64" t="n">
        <f aca="false">10^B160*101325</f>
        <v>11.3958469549824</v>
      </c>
      <c r="I160" s="64" t="n">
        <f aca="false">H160/(8314.4621/G$102*C160)</f>
        <v>0.000273077370174103</v>
      </c>
      <c r="J160" s="61" t="n">
        <f aca="false">SQRT(8314.4621/G$102*G$104*C160)</f>
        <v>233.199030893336</v>
      </c>
      <c r="K160" s="61" t="n">
        <f aca="false">IF(F$23&gt;0,SQRT(2*G$96/(F$23+N160)),10000)</f>
        <v>2454.48029817855</v>
      </c>
      <c r="L160" s="64" t="n">
        <f aca="false">I160*K160^2/2</f>
        <v>822.573694694129</v>
      </c>
      <c r="M160" s="64" t="n">
        <f aca="false">I160*K160^3/2</f>
        <v>2018990.92742668</v>
      </c>
      <c r="N160" s="61" t="n">
        <f aca="false">F160*IF(G$125&gt;0,G$125,0.5)</f>
        <v>45063.8094882186</v>
      </c>
      <c r="O160" s="61" t="n">
        <f aca="false">4*G$100-3*G$101+IF(B160&gt;-4,0.0625*((4/(B$147+4))*(B160-B$147))^2+0.5*((4/(B$147+4))*(B160-B$147))+1,0)*(G$111+G$112+0.3*(G$42/G$97)^(1/3)*(G$101-G$100)+1/3*G$85*(G$101-G$100)-D$148*(-2000*G$85+2000))</f>
        <v>144.094264418209</v>
      </c>
      <c r="P160" s="89" t="n">
        <f aca="false">2*(C160-O160)/G$113</f>
        <v>0.53447341914298</v>
      </c>
      <c r="Q160" s="10" t="str">
        <f aca="false">IF(L160&gt;L$141,"|",IF(L159&gt;L$141,"V",""))</f>
        <v>|</v>
      </c>
    </row>
    <row r="161" s="1" customFormat="true" ht="15.75" hidden="false" customHeight="false" outlineLevel="0" collapsed="false">
      <c r="B161" s="62" t="n">
        <f aca="false">B160-0.25</f>
        <v>-4.19897000433602</v>
      </c>
      <c r="C161" s="65"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201.327141717449</v>
      </c>
      <c r="D161" s="64" t="n">
        <f aca="false">(C161-C160)/(E161-E160)</f>
        <v>-0.00101001294525838</v>
      </c>
      <c r="E161" s="61" t="n">
        <f aca="false">IF(D161=0,(8314.4621*C160*LN(H161/H160)/(-G$97*9.80665*G$102)),C160/D161*(1/(H161/H160)^(8314.4621*D161/(G$97*9.80665*G$102))-1))+E160</f>
        <v>59560.9280594957</v>
      </c>
      <c r="F161" s="61" t="n">
        <f aca="false">F$36*E161/(F$36-E161)</f>
        <v>60264.7366167813</v>
      </c>
      <c r="G161" s="61" t="n">
        <f aca="false">8314.4621*C161/(G$102*G$97*9.80665)</f>
        <v>5975.1415174739</v>
      </c>
      <c r="H161" s="64" t="n">
        <f aca="false">10^B161*101325</f>
        <v>6.40835567833122</v>
      </c>
      <c r="I161" s="64" t="n">
        <f aca="false">H161/(8314.4621/G$102*C161)</f>
        <v>0.000156235491054616</v>
      </c>
      <c r="J161" s="61" t="n">
        <f aca="false">SQRT(8314.4621/G$102*G$104*C161)</f>
        <v>231.195698092589</v>
      </c>
      <c r="K161" s="61" t="n">
        <f aca="false">IF(F$23&gt;0,SQRT(2*G$96/(F$23+N161)),10000)</f>
        <v>2447.91490020321</v>
      </c>
      <c r="L161" s="64" t="n">
        <f aca="false">I161*K161^2/2</f>
        <v>468.103979008501</v>
      </c>
      <c r="M161" s="64" t="n">
        <f aca="false">I161*K161^3/2</f>
        <v>1145878.70505932</v>
      </c>
      <c r="N161" s="61" t="n">
        <f aca="false">F161*IF(G$125&gt;0,G$125,0.5)</f>
        <v>47884.0674155471</v>
      </c>
      <c r="O161" s="61" t="n">
        <f aca="false">4*G$100-3*G$101+IF(B161&gt;-4,0.0625*((4/(B$147+4))*(B161-B$147))^2+0.5*((4/(B$147+4))*(B161-B$147))+1,0)*(G$111+G$112+0.3*(G$42/G$97)^(1/3)*(G$101-G$100)+1/3*G$85*(G$101-G$100)-D$148*(-2000*G$85+2000))</f>
        <v>144.078996768294</v>
      </c>
      <c r="P161" s="89" t="n">
        <f aca="false">2*(C161-O161)/G$113</f>
        <v>0.503771932807198</v>
      </c>
      <c r="Q161" s="10" t="str">
        <f aca="false">IF(L161&gt;L$141,"|",IF(L160&gt;L$141,"V",""))</f>
        <v>|</v>
      </c>
    </row>
    <row r="162" s="1" customFormat="true" ht="15.75" hidden="false" customHeight="false" outlineLevel="0" collapsed="false">
      <c r="B162" s="62" t="n">
        <f aca="false">B161-0.25</f>
        <v>-4.44897000433602</v>
      </c>
      <c r="C162" s="65"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198.093208880408</v>
      </c>
      <c r="D162" s="64" t="n">
        <f aca="false">(C162-C161)/(E162-E161)</f>
        <v>-0.000947848065849355</v>
      </c>
      <c r="E162" s="61" t="n">
        <f aca="false">IF(D162=0,(8314.4621*C161*LN(H162/H161)/(-G$97*9.80665*G$102)),C161/D162*(1/(H162/H161)^(8314.4621*D162/(G$97*9.80665*G$102))-1))+E161</f>
        <v>62972.7964311888</v>
      </c>
      <c r="F162" s="61" t="n">
        <f aca="false">F$36*E162/(F$36-E162)</f>
        <v>63760.0808610911</v>
      </c>
      <c r="G162" s="61" t="n">
        <f aca="false">8314.4621*C162/(G$102*G$97*9.80665)</f>
        <v>5879.1623752952</v>
      </c>
      <c r="H162" s="64" t="n">
        <f aca="false">10^B162*101325</f>
        <v>3.60368322444388</v>
      </c>
      <c r="I162" s="64" t="n">
        <f aca="false">H162/(8314.4621/G$102*C162)</f>
        <v>8.929197673862E-005</v>
      </c>
      <c r="J162" s="61" t="n">
        <f aca="false">SQRT(8314.4621/G$102*G$104*C162)</f>
        <v>229.33132404959</v>
      </c>
      <c r="K162" s="61" t="n">
        <f aca="false">IF(F$23&gt;0,SQRT(2*G$96/(F$23+N162)),10000)</f>
        <v>2441.50079691789</v>
      </c>
      <c r="L162" s="64" t="n">
        <f aca="false">I162*K162^2/2</f>
        <v>266.13143917706</v>
      </c>
      <c r="M162" s="64" t="n">
        <f aca="false">I162*K162^3/2</f>
        <v>649760.120835698</v>
      </c>
      <c r="N162" s="61" t="n">
        <f aca="false">F162*IF(G$125&gt;0,G$125,0.5)</f>
        <v>50661.3349990657</v>
      </c>
      <c r="O162" s="61" t="n">
        <f aca="false">4*G$100-3*G$101+IF(B162&gt;-4,0.0625*((4/(B$147+4))*(B162-B$147))^2+0.5*((4/(B$147+4))*(B162-B$147))+1,0)*(G$111+G$112+0.3*(G$42/G$97)^(1/3)*(G$101-G$100)+1/3*G$85*(G$101-G$100)-D$148*(-2000*G$85+2000))</f>
        <v>144.078996768294</v>
      </c>
      <c r="P162" s="89" t="n">
        <f aca="false">2*(C162-O162)/G$113</f>
        <v>0.475313987185865</v>
      </c>
      <c r="Q162" s="10" t="str">
        <f aca="false">IF(L162&gt;L$141,"|",IF(L161&gt;L$141,"V",""))</f>
        <v>|</v>
      </c>
    </row>
    <row r="163" s="1" customFormat="true" ht="15.75" hidden="false" customHeight="false" outlineLevel="0" collapsed="false">
      <c r="B163" s="62" t="n">
        <f aca="false">B162-0.25</f>
        <v>-4.69897000433602</v>
      </c>
      <c r="C163" s="65"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194.992900280735</v>
      </c>
      <c r="D163" s="64" t="n">
        <f aca="false">(C163-C162)/(E163-E162)</f>
        <v>-0.000923325146940052</v>
      </c>
      <c r="E163" s="61" t="n">
        <f aca="false">IF(D163=0,(8314.4621*C162*LN(H163/H162)/(-G$97*9.80665*G$102)),C162/D163*(1/(H163/H162)^(8314.4621*D163/(G$97*9.80665*G$102))-1))+E162</f>
        <v>66330.5611470604</v>
      </c>
      <c r="F163" s="61" t="n">
        <f aca="false">F$36*E163/(F$36-E163)</f>
        <v>67204.6239744928</v>
      </c>
      <c r="G163" s="61" t="n">
        <f aca="false">8314.4621*C163/(G$102*G$97*9.80665)</f>
        <v>5787.1490358475</v>
      </c>
      <c r="H163" s="64" t="n">
        <f aca="false">10^B163*101325</f>
        <v>2.0265</v>
      </c>
      <c r="I163" s="64" t="n">
        <f aca="false">H163/(8314.4621/G$102*C163)</f>
        <v>5.1010928149335E-005</v>
      </c>
      <c r="J163" s="61" t="n">
        <f aca="false">SQRT(8314.4621/G$102*G$104*C163)</f>
        <v>227.529642460733</v>
      </c>
      <c r="K163" s="61" t="n">
        <f aca="false">IF(F$23&gt;0,SQRT(2*G$96/(F$23+N163)),10000)</f>
        <v>2435.22898729099</v>
      </c>
      <c r="L163" s="64" t="n">
        <f aca="false">I163*K163^2/2</f>
        <v>151.256079445597</v>
      </c>
      <c r="M163" s="64" t="n">
        <f aca="false">I163*K163^3/2</f>
        <v>368343.189169906</v>
      </c>
      <c r="N163" s="61" t="n">
        <f aca="false">F163*IF(G$125&gt;0,G$125,0.5)</f>
        <v>53398.2379362961</v>
      </c>
      <c r="O163" s="61" t="n">
        <f aca="false">4*G$100-3*G$101+IF(B163&gt;-4,0.0625*((4/(B$147+4))*(B163-B$147))^2+0.5*((4/(B$147+4))*(B163-B$147))+1,0)*(G$111+G$112+0.3*(G$42/G$97)^(1/3)*(G$101-G$100)+1/3*G$85*(G$101-G$100)-D$148*(-2000*G$85+2000))</f>
        <v>144.078996768294</v>
      </c>
      <c r="P163" s="89" t="n">
        <f aca="false">2*(C163-O163)/G$113</f>
        <v>0.448031907444368</v>
      </c>
      <c r="Q163" s="10" t="str">
        <f aca="false">IF(L163&gt;L$141,"|",IF(L162&gt;L$141,"V",""))</f>
        <v>|</v>
      </c>
    </row>
    <row r="164" s="1" customFormat="true" ht="15.75" hidden="false" customHeight="false" outlineLevel="0" collapsed="false">
      <c r="B164" s="62" t="n">
        <f aca="false">B163-0.25</f>
        <v>-4.94897000433602</v>
      </c>
      <c r="C164" s="65"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192.046892633651</v>
      </c>
      <c r="D164" s="64" t="n">
        <v>0</v>
      </c>
      <c r="E164" s="61" t="n">
        <f aca="false">IF(D164=0,(8314.4621*C163*LN(H164/H163)/(-G$97*9.80665*G$102)),C163/D164*(1/(H164/H163)^(8314.4621*D164/(G$97*9.80665*G$102))-1))+E163</f>
        <v>69661.9119222797</v>
      </c>
      <c r="F164" s="61" t="n">
        <f aca="false">F$36*E164/(F$36-E164)</f>
        <v>70626.6148682246</v>
      </c>
      <c r="G164" s="61" t="n">
        <f aca="false">8314.4621*C164/(G$102*G$97*9.80665)</f>
        <v>5699.71515856335</v>
      </c>
      <c r="H164" s="64" t="n">
        <f aca="false">10^B164*101325</f>
        <v>1.13958469549824</v>
      </c>
      <c r="I164" s="64" t="n">
        <f aca="false">H164/(8314.4621/G$102*C164)</f>
        <v>2.91255905585584E-005</v>
      </c>
      <c r="J164" s="61" t="n">
        <f aca="false">SQRT(8314.4621/G$102*G$104*C164)</f>
        <v>225.804310001704</v>
      </c>
      <c r="K164" s="61" t="n">
        <f aca="false">IF(F$23&gt;0,SQRT(2*G$96/(F$23+N164)),10000)</f>
        <v>2429.04585746412</v>
      </c>
      <c r="L164" s="64" t="n">
        <f aca="false">I164*K164^2/2</f>
        <v>85.9243334878614</v>
      </c>
      <c r="M164" s="64" t="n">
        <f aca="false">I164*K164^3/2</f>
        <v>208714.146314055</v>
      </c>
      <c r="N164" s="61" t="n">
        <f aca="false">F164*IF(G$125&gt;0,G$125,0.5)</f>
        <v>56117.2217375995</v>
      </c>
      <c r="O164" s="61" t="n">
        <f aca="false">4*G$100-3*G$101+IF(B164&gt;-4,0.0625*((4/(B$147+4))*(B164-B$147))^2+0.5*((4/(B$147+4))*(B164-B$147))+1,0)*(G$111+G$112+0.3*(G$42/G$97)^(1/3)*(G$101-G$100)+1/3*G$85*(G$101-G$100)-D$148*(-2000*G$85+2000))</f>
        <v>144.078996768294</v>
      </c>
      <c r="P164" s="89" t="n">
        <f aca="false">2*(C164-O164)/G$113</f>
        <v>0.422107644435412</v>
      </c>
      <c r="Q164" s="10" t="str">
        <f aca="false">IF(L164&gt;L$141,"|",IF(L163&gt;L$141,"V",""))</f>
        <v>|</v>
      </c>
    </row>
    <row r="165" s="1" customFormat="true" ht="15.75" hidden="false" customHeight="false" outlineLevel="0" collapsed="false">
      <c r="B165" s="62" t="n">
        <f aca="false">B164-0.25</f>
        <v>-5.19897000433602</v>
      </c>
      <c r="C165" s="65"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189.275862654371</v>
      </c>
      <c r="D165" s="64" t="n">
        <v>0</v>
      </c>
      <c r="E165" s="61" t="n">
        <f aca="false">IF(D165=0,(8314.4621*C164*LN(H165/H164)/(-G$97*9.80665*G$102)),C164/D165*(1/(H165/H164)^(8314.4621*D165/(G$97*9.80665*G$102))-1))+E164</f>
        <v>72942.9317118847</v>
      </c>
      <c r="F165" s="61" t="n">
        <f aca="false">F$36*E165/(F$36-E165)</f>
        <v>74001.3384923227</v>
      </c>
      <c r="G165" s="61" t="n">
        <f aca="false">8314.4621*C165/(G$102*G$97*9.80665)</f>
        <v>5617.47440287529</v>
      </c>
      <c r="H165" s="64" t="n">
        <f aca="false">10^B165*101325</f>
        <v>0.640835567833122</v>
      </c>
      <c r="I165" s="64" t="n">
        <f aca="false">H165/(8314.4621/G$102*C165)</f>
        <v>1.66183074839742E-005</v>
      </c>
      <c r="J165" s="61" t="n">
        <f aca="false">SQRT(8314.4621/G$102*G$104*C165)</f>
        <v>224.169334246147</v>
      </c>
      <c r="K165" s="61" t="n">
        <f aca="false">IF(F$23&gt;0,SQRT(2*G$96/(F$23+N165)),10000)</f>
        <v>2422.99402983464</v>
      </c>
      <c r="L165" s="64" t="n">
        <f aca="false">I165*K165^2/2</f>
        <v>48.7822112739588</v>
      </c>
      <c r="M165" s="64" t="n">
        <f aca="false">I165*K165^3/2</f>
        <v>118199.006678934</v>
      </c>
      <c r="N165" s="61" t="n">
        <f aca="false">F165*IF(G$125&gt;0,G$125,0.5)</f>
        <v>58798.6487643652</v>
      </c>
      <c r="O165" s="61" t="n">
        <f aca="false">4*G$100-3*G$101+IF(B165&gt;-4,0.0625*((4/(B$147+4))*(B165-B$147))^2+0.5*((4/(B$147+4))*(B165-B$147))+1,0)*(G$111+G$112+0.3*(G$42/G$97)^(1/3)*(G$101-G$100)+1/3*G$85*(G$101-G$100)-D$148*(-2000*G$85+2000))</f>
        <v>144.078996768294</v>
      </c>
      <c r="P165" s="89" t="n">
        <f aca="false">2*(C165-O165)/G$113</f>
        <v>0.397723149011704</v>
      </c>
      <c r="Q165" s="10" t="str">
        <f aca="false">IF(L165&gt;L$141,"|",IF(L164&gt;L$141,"V",""))</f>
        <v>V</v>
      </c>
    </row>
    <row r="166" s="1" customFormat="true" ht="15.75" hidden="false" customHeight="false" outlineLevel="0" collapsed="false">
      <c r="B166" s="62" t="n">
        <f aca="false">B165-0.25</f>
        <v>-5.44897000433602</v>
      </c>
      <c r="C166" s="65"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186.700487058114</v>
      </c>
      <c r="D166" s="64" t="n">
        <v>0</v>
      </c>
      <c r="E166" s="61" t="n">
        <f aca="false">IF(D166=0,(8314.4621*C165*LN(H166/H165)/(-G$97*9.80665*G$102)),C165/D166*(1/(H166/H165)^(8314.4621*D166/(G$97*9.80665*G$102))-1))+E165</f>
        <v>76176.6099169688</v>
      </c>
      <c r="F166" s="61" t="n">
        <f aca="false">F$36*E166/(F$36-E166)</f>
        <v>77331.6815522291</v>
      </c>
      <c r="G166" s="61" t="n">
        <f aca="false">8314.4621*C166/(G$102*G$97*9.80665)</f>
        <v>5541.04042821587</v>
      </c>
      <c r="H166" s="64" t="n">
        <f aca="false">10^B166*101325</f>
        <v>0.360368322444388</v>
      </c>
      <c r="I166" s="64" t="n">
        <f aca="false">H166/(8314.4621/G$102*C166)</f>
        <v>9.47406965999088E-006</v>
      </c>
      <c r="J166" s="61" t="n">
        <f aca="false">SQRT(8314.4621/G$102*G$104*C166)</f>
        <v>222.639034709253</v>
      </c>
      <c r="K166" s="61" t="n">
        <f aca="false">IF(F$23&gt;0,SQRT(2*G$96/(F$23+N166)),10000)</f>
        <v>2417.06591656012</v>
      </c>
      <c r="L166" s="64" t="n">
        <f aca="false">I166*K166^2/2</f>
        <v>27.6747410984146</v>
      </c>
      <c r="M166" s="64" t="n">
        <f aca="false">I166*K166^3/2</f>
        <v>66891.6734586034</v>
      </c>
      <c r="N166" s="61" t="n">
        <f aca="false">F166*IF(G$125&gt;0,G$125,0.5)</f>
        <v>61444.8126829353</v>
      </c>
      <c r="O166" s="61" t="n">
        <f aca="false">4*G$100-3*G$101+IF(B166&gt;-4,0.0625*((4/(B$147+4))*(B166-B$147))^2+0.5*((4/(B$147+4))*(B166-B$147))+1,0)*(G$111+G$112+0.3*(G$42/G$97)^(1/3)*(G$101-G$100)+1/3*G$85*(G$101-G$100)-D$148*(-2000*G$85+2000))</f>
        <v>144.078996768294</v>
      </c>
      <c r="P166" s="89" t="n">
        <f aca="false">2*(C166-O166)/G$113</f>
        <v>0.375060372025949</v>
      </c>
      <c r="Q166" s="10" t="str">
        <f aca="false">IF(L166&gt;L$141,"|",IF(L165&gt;L$141,"V",""))</f>
        <v/>
      </c>
    </row>
    <row r="167" s="1" customFormat="true" ht="15.75" hidden="false" customHeight="false" outlineLevel="0" collapsed="false">
      <c r="B167" s="62" t="n">
        <f aca="false">B166-0.25</f>
        <v>-5.69897000433602</v>
      </c>
      <c r="C167" s="65"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184.341442560097</v>
      </c>
      <c r="D167" s="64" t="n">
        <v>0</v>
      </c>
      <c r="E167" s="61" t="n">
        <f aca="false">IF(D167=0,(8314.4621*C166*LN(H167/H166)/(-G$97*9.80665*G$102)),C166/D167*(1/(H167/H166)^(8314.4621*D167/(G$97*9.80665*G$102))-1))+E166</f>
        <v>79366.2891893906</v>
      </c>
      <c r="F167" s="61" t="n">
        <f aca="false">F$36*E167/(F$36-E167)</f>
        <v>80620.9132513155</v>
      </c>
      <c r="G167" s="61" t="n">
        <f aca="false">8314.4621*C167/(G$102*G$97*9.80665)</f>
        <v>5471.02689401764</v>
      </c>
      <c r="H167" s="64" t="n">
        <f aca="false">10^B167*101325</f>
        <v>0.20265</v>
      </c>
      <c r="I167" s="64" t="n">
        <f aca="false">H167/(8314.4621/G$102*C167)</f>
        <v>5.39583974591514E-006</v>
      </c>
      <c r="J167" s="61" t="n">
        <f aca="false">SQRT(8314.4621/G$102*G$104*C167)</f>
        <v>221.227991153877</v>
      </c>
      <c r="K167" s="61" t="n">
        <f aca="false">IF(F$23&gt;0,SQRT(2*G$96/(F$23+N167)),10000)</f>
        <v>2411.253485891</v>
      </c>
      <c r="L167" s="64" t="n">
        <f aca="false">I167*K167^2/2</f>
        <v>15.6860929508389</v>
      </c>
      <c r="M167" s="64" t="n">
        <f aca="false">I167*K167^3/2</f>
        <v>37823.1463077206</v>
      </c>
      <c r="N167" s="61" t="n">
        <f aca="false">F167*IF(G$125&gt;0,G$125,0.5)</f>
        <v>64058.3110779577</v>
      </c>
      <c r="O167" s="61" t="n">
        <f aca="false">4*G$100-3*G$101+IF(B167&gt;-4,0.0625*((4/(B$147+4))*(B167-B$147))^2+0.5*((4/(B$147+4))*(B167-B$147))+1,0)*(G$111+G$112+0.3*(G$42/G$97)^(1/3)*(G$101-G$100)+1/3*G$85*(G$101-G$100)-D$148*(-2000*G$85+2000))</f>
        <v>144.078996768294</v>
      </c>
      <c r="P167" s="89" t="n">
        <f aca="false">2*(C167-O167)/G$113</f>
        <v>0.354301264330853</v>
      </c>
      <c r="Q167" s="10" t="str">
        <f aca="false">IF(L167&gt;L$141,"|",IF(L166&gt;L$141,"V",""))</f>
        <v/>
      </c>
    </row>
    <row r="168" s="1" customFormat="true" ht="15.75" hidden="false" customHeight="false" outlineLevel="0" collapsed="false">
      <c r="B168" s="62" t="n">
        <f aca="false">B167-0.25</f>
        <v>-5.94897000433602</v>
      </c>
      <c r="C168" s="65"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182.219405875539</v>
      </c>
      <c r="D168" s="64" t="n">
        <f aca="false">(C168-C167)/(E168-E167)</f>
        <v>-0.000677704067693699</v>
      </c>
      <c r="E168" s="61" t="n">
        <f aca="false">IF(D168=0,(8314.4621*C167*LN(H168/H167)/(-G$97*9.80665*G$102)),C167/D168*(1/(H168/H167)^(8314.4621*D168/(G$97*9.80665*G$102))-1))+E167</f>
        <v>82497.503513926</v>
      </c>
      <c r="F168" s="61" t="n">
        <f aca="false">F$36*E168/(F$36-E168)</f>
        <v>83853.9229857243</v>
      </c>
      <c r="G168" s="61" t="n">
        <f aca="false">8314.4621*C168/(G$102*G$97*9.80665)</f>
        <v>5408.04745971314</v>
      </c>
      <c r="H168" s="64" t="n">
        <f aca="false">10^B168*101325</f>
        <v>0.113958469549824</v>
      </c>
      <c r="I168" s="64" t="n">
        <f aca="false">H168/(8314.4621/G$102*C168)</f>
        <v>3.06963966654114E-006</v>
      </c>
      <c r="J168" s="61" t="n">
        <f aca="false">SQRT(8314.4621/G$102*G$104*C168)</f>
        <v>219.950978339288</v>
      </c>
      <c r="K168" s="61" t="n">
        <f aca="false">IF(F$23&gt;0,SQRT(2*G$96/(F$23+N168)),10000)</f>
        <v>2405.5810760619</v>
      </c>
      <c r="L168" s="64" t="n">
        <f aca="false">I168*K168^2/2</f>
        <v>8.88172658874379</v>
      </c>
      <c r="M168" s="64" t="n">
        <f aca="false">I168*K168^3/2</f>
        <v>21365.7134046379</v>
      </c>
      <c r="N168" s="61" t="n">
        <f aca="false">F168*IF(G$125&gt;0,G$125,0.5)</f>
        <v>66627.1376383718</v>
      </c>
      <c r="O168" s="61" t="n">
        <f aca="false">4*G$100-3*G$101+IF(B168&gt;-4,0.0625*((4/(B$147+4))*(B168-B$147))^2+0.5*((4/(B$147+4))*(B168-B$147))+1,0)*(G$111+G$112+0.3*(G$42/G$97)^(1/3)*(G$101-G$100)+1/3*G$85*(G$101-G$100)-D$148*(-2000*G$85+2000))</f>
        <v>144.078996768294</v>
      </c>
      <c r="P168" s="89" t="n">
        <f aca="false">2*(C168-O168)/G$113</f>
        <v>0.335627776779122</v>
      </c>
      <c r="Q168" s="10" t="str">
        <f aca="false">IF(L168&gt;L$141,"|",IF(L167&gt;L$141,"V",""))</f>
        <v/>
      </c>
    </row>
    <row r="169" s="1" customFormat="true" ht="15.75" hidden="false" customHeight="false" outlineLevel="0" collapsed="false">
      <c r="B169" s="62" t="n">
        <f aca="false">B168-0.25</f>
        <v>-6.19897000433602</v>
      </c>
      <c r="C169" s="65"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180.355053719656</v>
      </c>
      <c r="D169" s="64" t="n">
        <f aca="false">(C169-C168)/(E169-E168)</f>
        <v>-0.000601953576195645</v>
      </c>
      <c r="E169" s="61" t="n">
        <f aca="false">IF(D169=0,(8314.4621*C168*LN(H169/H168)/(-G$97*9.80665*G$102)),C168/D169*(1/(H169/H168)^(8314.4621*D169/(G$97*9.80665*G$102))-1))+E168</f>
        <v>85594.6728465933</v>
      </c>
      <c r="F169" s="61" t="n">
        <f aca="false">F$36*E169/(F$36-E169)</f>
        <v>87055.7529830638</v>
      </c>
      <c r="G169" s="61" t="n">
        <f aca="false">8314.4621*C169/(G$102*G$97*9.80665)</f>
        <v>5352.71578473491</v>
      </c>
      <c r="H169" s="64" t="n">
        <f aca="false">10^B169*101325</f>
        <v>0.0640835567833122</v>
      </c>
      <c r="I169" s="64" t="n">
        <f aca="false">H169/(8314.4621/G$102*C169)</f>
        <v>1.74402902497763E-006</v>
      </c>
      <c r="J169" s="61" t="n">
        <f aca="false">SQRT(8314.4621/G$102*G$104*C169)</f>
        <v>218.822886733703</v>
      </c>
      <c r="K169" s="61" t="n">
        <f aca="false">IF(F$23&gt;0,SQRT(2*G$96/(F$23+N169)),10000)</f>
        <v>2400.00264405779</v>
      </c>
      <c r="L169" s="64" t="n">
        <f aca="false">I169*K169^2/2</f>
        <v>5.02281465909413</v>
      </c>
      <c r="M169" s="64" t="n">
        <f aca="false">I169*K169^3/2</f>
        <v>12054.7684624381</v>
      </c>
      <c r="N169" s="61" t="n">
        <f aca="false">F169*IF(G$125&gt;0,G$125,0.5)</f>
        <v>69171.1899656997</v>
      </c>
      <c r="O169" s="61" t="n">
        <f aca="false">4*G$100-3*G$101+IF(B169&gt;-4,0.0625*((4/(B$147+4))*(B169-B$147))^2+0.5*((4/(B$147+4))*(B169-B$147))+1,0)*(G$111+G$112+0.3*(G$42/G$97)^(1/3)*(G$101-G$100)+1/3*G$85*(G$101-G$100)-D$148*(-2000*G$85+2000))</f>
        <v>144.078996768294</v>
      </c>
      <c r="P169" s="89" t="n">
        <f aca="false">2*(C169-O169)/G$113</f>
        <v>0.319221860223461</v>
      </c>
      <c r="Q169" s="10" t="str">
        <f aca="false">IF(L169&gt;L$141,"|",IF(L168&gt;L$141,"V",""))</f>
        <v/>
      </c>
    </row>
    <row r="170" s="1" customFormat="true" ht="15.75" hidden="false" customHeight="false" outlineLevel="0" collapsed="false">
      <c r="B170" s="62" t="n">
        <f aca="false">B169-0.25</f>
        <v>-6.44897000433602</v>
      </c>
      <c r="C170" s="65"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178.769062807667</v>
      </c>
      <c r="D170" s="64" t="n">
        <f aca="false">(C170-C169)/(E170-E169)</f>
        <v>-0.000516996231710209</v>
      </c>
      <c r="E170" s="61" t="n">
        <f aca="false">IF(D170=0,(8314.4621*C169*LN(H170/H169)/(-G$97*9.80665*G$102)),C169/D170*(1/(H170/H169)^(8314.4621*D170/(G$97*9.80665*G$102))-1))+E169</f>
        <v>88662.3758871797</v>
      </c>
      <c r="F170" s="61" t="n">
        <f aca="false">F$36*E170/(F$36-E170)</f>
        <v>90231.0223220427</v>
      </c>
      <c r="G170" s="61" t="n">
        <f aca="false">8314.4621*C170/(G$102*G$97*9.80665)</f>
        <v>5305.6455285155</v>
      </c>
      <c r="H170" s="64" t="n">
        <f aca="false">10^B170*101325</f>
        <v>0.0360368322444388</v>
      </c>
      <c r="I170" s="64" t="n">
        <f aca="false">H170/(8314.4621/G$102*C170)</f>
        <v>9.89440450244914E-007</v>
      </c>
      <c r="J170" s="61" t="n">
        <f aca="false">SQRT(8314.4621/G$102*G$104*C170)</f>
        <v>217.858629168268</v>
      </c>
      <c r="K170" s="61" t="n">
        <f aca="false">IF(F$23&gt;0,SQRT(2*G$96/(F$23+N170)),10000)</f>
        <v>2394.50863885594</v>
      </c>
      <c r="L170" s="64" t="n">
        <f aca="false">I170*K170^2/2</f>
        <v>2.8365633153943</v>
      </c>
      <c r="M170" s="64" t="n">
        <f aca="false">I170*K170^3/2</f>
        <v>6792.17536337352</v>
      </c>
      <c r="N170" s="61" t="n">
        <f aca="false">F170*IF(G$125&gt;0,G$125,0.5)</f>
        <v>71694.1382041866</v>
      </c>
      <c r="O170" s="61" t="n">
        <f aca="false">4*G$100-3*G$101+IF(B170&gt;-4,0.0625*((4/(B$147+4))*(B170-B$147))^2+0.5*((4/(B$147+4))*(B170-B$147))+1,0)*(G$111+G$112+0.3*(G$42/G$97)^(1/3)*(G$101-G$100)+1/3*G$85*(G$101-G$100)-D$148*(-2000*G$85+2000))</f>
        <v>144.078996768294</v>
      </c>
      <c r="P170" s="89" t="n">
        <f aca="false">2*(C170-O170)/G$113</f>
        <v>0.305265465516576</v>
      </c>
      <c r="Q170" s="10" t="str">
        <f aca="false">IF(L170&gt;L$141,"|",IF(L169&gt;L$141,"V",""))</f>
        <v/>
      </c>
    </row>
    <row r="171" s="1" customFormat="true" ht="15.75" hidden="false" customHeight="false" outlineLevel="0" collapsed="false">
      <c r="B171" s="62" t="n">
        <f aca="false">B170-0.25</f>
        <v>-6.69897000433602</v>
      </c>
      <c r="C171" s="65"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177.482109854789</v>
      </c>
      <c r="D171" s="64" t="n">
        <f aca="false">(C171-C170)/(E171-E170)</f>
        <v>-0.000422899028718689</v>
      </c>
      <c r="E171" s="61" t="n">
        <f aca="false">IF(D171=0,(8314.4621*C170*LN(H171/H170)/(-G$97*9.80665*G$102)),C170/D171*(1/(H171/H170)^(8314.4621*D171/(G$97*9.80665*G$102))-1))+E170</f>
        <v>91705.5442689494</v>
      </c>
      <c r="F171" s="61" t="n">
        <f aca="false">F$36*E171/(F$36-E171)</f>
        <v>93384.7400358917</v>
      </c>
      <c r="G171" s="61" t="n">
        <f aca="false">8314.4621*C171/(G$102*G$97*9.80665)</f>
        <v>5267.45035048745</v>
      </c>
      <c r="H171" s="64" t="n">
        <f aca="false">10^B171*101325</f>
        <v>0.020265</v>
      </c>
      <c r="I171" s="64" t="n">
        <f aca="false">H171/(8314.4621/G$102*C171)</f>
        <v>5.60437828578283E-007</v>
      </c>
      <c r="J171" s="61" t="n">
        <f aca="false">SQRT(8314.4621/G$102*G$104*C171)</f>
        <v>217.073033979672</v>
      </c>
      <c r="K171" s="61" t="n">
        <f aca="false">IF(F$23&gt;0,SQRT(2*G$96/(F$23+N171)),10000)</f>
        <v>2389.08910091938</v>
      </c>
      <c r="L171" s="64" t="n">
        <f aca="false">I171*K171^2/2</f>
        <v>1.59941859231536</v>
      </c>
      <c r="M171" s="64" t="n">
        <f aca="false">I171*K171^3/2</f>
        <v>3821.15352670843</v>
      </c>
      <c r="N171" s="61" t="n">
        <f aca="false">F171*IF(G$125&gt;0,G$125,0.5)</f>
        <v>74199.9623411082</v>
      </c>
      <c r="O171" s="61" t="n">
        <f aca="false">4*G$100-3*G$101+IF(B171&gt;-4,0.0625*((4/(B$147+4))*(B171-B$147))^2+0.5*((4/(B$147+4))*(B171-B$147))+1,0)*(G$111+G$112+0.3*(G$42/G$97)^(1/3)*(G$101-G$100)+1/3*G$85*(G$101-G$100)-D$148*(-2000*G$85+2000))</f>
        <v>144.078996768294</v>
      </c>
      <c r="P171" s="89" t="n">
        <f aca="false">2*(C171-O171)/G$113</f>
        <v>0.293940543511173</v>
      </c>
      <c r="Q171" s="10" t="str">
        <f aca="false">IF(L171&gt;L$141,"|",IF(L170&gt;L$141,"V",""))</f>
        <v/>
      </c>
    </row>
    <row r="172" s="1" customFormat="true" ht="15.75" hidden="false" customHeight="false" outlineLevel="0" collapsed="false">
      <c r="B172" s="62" t="n">
        <f aca="false">B171-0.25</f>
        <v>-6.94897000433602</v>
      </c>
      <c r="C172" s="65"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176.51487157624</v>
      </c>
      <c r="D172" s="64" t="n">
        <f aca="false">(C172-C171)/(E172-E171)</f>
        <v>-0.000319862574022213</v>
      </c>
      <c r="E172" s="61" t="n">
        <f aca="false">IF(D172=0,(8314.4621*C171*LN(H172/H171)/(-G$97*9.80665*G$102)),C171/D172*(1/(H172/H171)^(8314.4621*D172/(G$97*9.80665*G$102))-1))+E171</f>
        <v>94729.4625298016</v>
      </c>
      <c r="F172" s="61" t="n">
        <f aca="false">F$36*E172/(F$36-E172)</f>
        <v>96522.3068933593</v>
      </c>
      <c r="G172" s="61" t="n">
        <f aca="false">8314.4621*C172/(G$102*G$97*9.80665)</f>
        <v>5238.74391008331</v>
      </c>
      <c r="H172" s="64" t="n">
        <f aca="false">10^B172*101325</f>
        <v>0.0113958469549824</v>
      </c>
      <c r="I172" s="64" t="n">
        <f aca="false">H172/(8314.4621/G$102*C172)</f>
        <v>3.16884300622523E-007</v>
      </c>
      <c r="J172" s="61" t="n">
        <f aca="false">SQRT(8314.4621/G$102*G$104*C172)</f>
        <v>216.480725857</v>
      </c>
      <c r="K172" s="61" t="n">
        <f aca="false">IF(F$23&gt;0,SQRT(2*G$96/(F$23+N172)),10000)</f>
        <v>2383.73367000322</v>
      </c>
      <c r="L172" s="64" t="n">
        <f aca="false">I172*K172^2/2</f>
        <v>0.900297801503291</v>
      </c>
      <c r="M172" s="64" t="n">
        <f aca="false">I172*K172^3/2</f>
        <v>2146.07018247327</v>
      </c>
      <c r="N172" s="61" t="n">
        <f aca="false">F172*IF(G$125&gt;0,G$125,0.5)</f>
        <v>76692.953621882</v>
      </c>
      <c r="O172" s="61" t="n">
        <f aca="false">4*G$100-3*G$101+IF(B172&gt;-4,0.0625*((4/(B$147+4))*(B172-B$147))^2+0.5*((4/(B$147+4))*(B172-B$147))+1,0)*(G$111+G$112+0.3*(G$42/G$97)^(1/3)*(G$101-G$100)+1/3*G$85*(G$101-G$100)-D$148*(-2000*G$85+2000))</f>
        <v>144.078996768294</v>
      </c>
      <c r="P172" s="89" t="n">
        <f aca="false">2*(C172-O172)/G$113</f>
        <v>0.285429045059957</v>
      </c>
      <c r="Q172" s="10" t="str">
        <f aca="false">IF(L172&gt;L$141,"|",IF(L171&gt;L$141,"V",""))</f>
        <v/>
      </c>
    </row>
    <row r="173" s="1" customFormat="true" ht="15.75" hidden="false" customHeight="false" outlineLevel="0" collapsed="false">
      <c r="B173" s="62" t="n">
        <f aca="false">B172-0.25</f>
        <v>-7.19897000433602</v>
      </c>
      <c r="C173" s="65"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175.888024687238</v>
      </c>
      <c r="D173" s="64" t="n">
        <f aca="false">(C173-C172)/(E173-E172)</f>
        <v>-0.000208233641619953</v>
      </c>
      <c r="E173" s="61" t="n">
        <f aca="false">IF(D173=0,(8314.4621*C172*LN(H173/H172)/(-G$97*9.80665*G$102)),C172/D173*(1/(H173/H172)^(8314.4621*D173/(G$97*9.80665*G$102))-1))+E172</f>
        <v>97739.7680891042</v>
      </c>
      <c r="F173" s="61" t="n">
        <f aca="false">F$36*E173/(F$36-E173)</f>
        <v>99649.5172471288</v>
      </c>
      <c r="G173" s="61" t="n">
        <f aca="false">8314.4621*C173/(G$102*G$97*9.80665)</f>
        <v>5220.13986673562</v>
      </c>
      <c r="H173" s="64" t="n">
        <f aca="false">10^B173*101325</f>
        <v>0.00640835567833122</v>
      </c>
      <c r="I173" s="64" t="n">
        <f aca="false">H173/(8314.4621/G$102*C173)</f>
        <v>1.78832213874594E-007</v>
      </c>
      <c r="J173" s="61" t="n">
        <f aca="false">SQRT(8314.4621/G$102*G$104*C173)</f>
        <v>216.095996347205</v>
      </c>
      <c r="K173" s="61" t="n">
        <f aca="false">IF(F$23&gt;0,SQRT(2*G$96/(F$23+N173)),10000)</f>
        <v>2378.43159326448</v>
      </c>
      <c r="L173" s="64" t="n">
        <f aca="false">I173*K173^2/2</f>
        <v>0.505821269766211</v>
      </c>
      <c r="M173" s="64" t="n">
        <f aca="false">I173*K173^3/2</f>
        <v>1203.06128855711</v>
      </c>
      <c r="N173" s="61" t="n">
        <f aca="false">F173*IF(G$125&gt;0,G$125,0.5)</f>
        <v>79177.7160187494</v>
      </c>
      <c r="O173" s="61" t="n">
        <f aca="false">4*G$100-3*G$101+IF(B173&gt;-4,0.0625*((4/(B$147+4))*(B173-B$147))^2+0.5*((4/(B$147+4))*(B173-B$147))+1,0)*(G$111+G$112+0.3*(G$42/G$97)^(1/3)*(G$101-G$100)+1/3*G$85*(G$101-G$100)-D$148*(-2000*G$85+2000))</f>
        <v>144.078996768294</v>
      </c>
      <c r="P173" s="89" t="n">
        <f aca="false">2*(C173-O173)/G$113</f>
        <v>0.279912921015634</v>
      </c>
      <c r="Q173" s="10" t="str">
        <f aca="false">IF(L173&gt;L$141,"|",IF(L172&gt;L$141,"V",""))</f>
        <v/>
      </c>
    </row>
    <row r="174" s="1" customFormat="true" ht="15.75" hidden="false" customHeight="false" outlineLevel="0" collapsed="false">
      <c r="B174" s="62" t="n">
        <f aca="false">B173-0.25</f>
        <v>-7.44897000433602</v>
      </c>
      <c r="C174" s="65"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175.622245903</v>
      </c>
      <c r="D174" s="64" t="n">
        <f aca="false">(C174-C173)/(E174-E173)</f>
        <v>-8.85137630574537E-005</v>
      </c>
      <c r="E174" s="61" t="n">
        <f aca="false">IF(D174=0,(8314.4621*C173*LN(H174/H173)/(-G$97*9.80665*G$102)),C173/D174*(1/(H174/H173)^(8314.4621*D174/(G$97*9.80665*G$102))-1))+E173</f>
        <v>100742.4512319</v>
      </c>
      <c r="F174" s="61" t="n">
        <f aca="false">F$36*E174/(F$36-E174)</f>
        <v>102772.560979439</v>
      </c>
      <c r="G174" s="61" t="n">
        <f aca="false">8314.4621*C174/(G$102*G$97*9.80665)</f>
        <v>5212.25187987693</v>
      </c>
      <c r="H174" s="64" t="n">
        <f aca="false">10^B174*101325</f>
        <v>0.00360368322444388</v>
      </c>
      <c r="I174" s="64" t="n">
        <f aca="false">H174/(8314.4621/G$102*C174)</f>
        <v>1.0071693428404E-007</v>
      </c>
      <c r="J174" s="61" t="n">
        <f aca="false">SQRT(8314.4621/G$102*G$104*C174)</f>
        <v>215.93266673944</v>
      </c>
      <c r="K174" s="61" t="n">
        <f aca="false">IF(F$23&gt;0,SQRT(2*G$96/(F$23+N174)),10000)</f>
        <v>2373.17173384703</v>
      </c>
      <c r="L174" s="64" t="n">
        <f aca="false">I174*K174^2/2</f>
        <v>0.283616070814303</v>
      </c>
      <c r="M174" s="64" t="n">
        <f aca="false">I174*K174^3/2</f>
        <v>673.069642521262</v>
      </c>
      <c r="N174" s="61" t="n">
        <f aca="false">F174*IF(G$125&gt;0,G$125,0.5)</f>
        <v>81659.1677766921</v>
      </c>
      <c r="O174" s="61" t="n">
        <f aca="false">4*G$100-3*G$101+IF(B174&gt;-4,0.0625*((4/(B$147+4))*(B174-B$147))^2+0.5*((4/(B$147+4))*(B174-B$147))+1,0)*(G$111+G$112+0.3*(G$42/G$97)^(1/3)*(G$101-G$100)+1/3*G$85*(G$101-G$100)-D$148*(-2000*G$85+2000))</f>
        <v>144.078996768294</v>
      </c>
      <c r="P174" s="89" t="n">
        <f aca="false">2*(C174-O174)/G$113</f>
        <v>0.277574122230911</v>
      </c>
      <c r="Q174" s="10" t="str">
        <f aca="false">IF(L174&gt;L$141,"|",IF(L173&gt;L$141,"V",""))</f>
        <v/>
      </c>
    </row>
    <row r="175" s="1" customFormat="true" ht="15.75" hidden="false" customHeight="false" outlineLevel="0" collapsed="false">
      <c r="B175" s="62" t="n">
        <f aca="false">B174-0.25</f>
        <v>-7.69897000433602</v>
      </c>
      <c r="C175" s="65"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175.89057966899</v>
      </c>
      <c r="D175" s="64" t="n">
        <f aca="false">(C175-C174)/(E175-E174)</f>
        <v>8.9364013392152E-005</v>
      </c>
      <c r="E175" s="61" t="n">
        <f aca="false">IF(D175=0,(8314.4621*C174*LN(H175/H174)/(-G$97*9.80665*G$102)),C174/D175*(1/(H175/H174)^(8314.4621*D175/(G$97*9.80665*G$102))-1))+E174</f>
        <v>103745.156188904</v>
      </c>
      <c r="F175" s="61" t="n">
        <f aca="false">F$36*E175/(F$36-E175)</f>
        <v>105899.381257305</v>
      </c>
      <c r="G175" s="61" t="n">
        <f aca="false">8314.4621*C175/(G$102*G$97*9.80665)</f>
        <v>5220.21569544612</v>
      </c>
      <c r="H175" s="64" t="n">
        <f aca="false">10^B175*101325</f>
        <v>0.0020265</v>
      </c>
      <c r="I175" s="64" t="n">
        <f aca="false">H175/(8314.4621/G$102*C175)</f>
        <v>5.65508900167931E-008</v>
      </c>
      <c r="J175" s="61" t="n">
        <f aca="false">SQRT(8314.4621/G$102*G$104*C175)</f>
        <v>216.097565866572</v>
      </c>
      <c r="K175" s="61" t="n">
        <f aca="false">IF(F$23&gt;0,SQRT(2*G$96/(F$23+N175)),10000)</f>
        <v>2367.94031944732</v>
      </c>
      <c r="L175" s="64" t="n">
        <f aca="false">I175*K175^2/2</f>
        <v>0.158544417079011</v>
      </c>
      <c r="M175" s="64" t="n">
        <f aca="false">I175*K175^3/2</f>
        <v>375.423717624662</v>
      </c>
      <c r="N175" s="61" t="n">
        <f aca="false">F175*IF(G$125&gt;0,G$125,0.5)</f>
        <v>84143.620234084</v>
      </c>
      <c r="O175" s="61" t="n">
        <f aca="false">4*G$100-3*G$101+IF(B175&gt;-4,0.0625*((4/(B$147+4))*(B175-B$147))^2+0.5*((4/(B$147+4))*(B175-B$147))+1,0)*(G$111+G$112+0.3*(G$42/G$97)^(1/3)*(G$101-G$100)+1/3*G$85*(G$101-G$100)-D$148*(-2000*G$85+2000))</f>
        <v>144.078996768294</v>
      </c>
      <c r="P175" s="89" t="n">
        <f aca="false">2*(C175-O175)/G$113</f>
        <v>0.279935404330976</v>
      </c>
      <c r="Q175" s="10" t="str">
        <f aca="false">IF(L175&gt;L$141,"|",IF(L174&gt;L$141,"V",""))</f>
        <v/>
      </c>
    </row>
    <row r="176" s="1" customFormat="true" ht="15.75" hidden="false" customHeight="false" outlineLevel="0" collapsed="false">
      <c r="B176" s="62" t="n">
        <f aca="false">B175-0.25</f>
        <v>-7.94897000433602</v>
      </c>
      <c r="C176" s="65"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177.002945988483</v>
      </c>
      <c r="D176" s="64" t="n">
        <f aca="false">(C176-C175)/(E176-E175)</f>
        <v>0.00036900649364907</v>
      </c>
      <c r="E176" s="61" t="n">
        <f aca="false">IF(D176=0,(8314.4621*C175*LN(H176/H175)/(-G$97*9.80665*G$102)),C175/D176*(1/(H176/H175)^(8314.4621*D176/(G$97*9.80665*G$102))-1))+E175</f>
        <v>106759.646011273</v>
      </c>
      <c r="F176" s="61" t="n">
        <f aca="false">F$36*E176/(F$36-E176)</f>
        <v>109042.256342127</v>
      </c>
      <c r="G176" s="61" t="n">
        <f aca="false">8314.4621*C176/(G$102*G$97*9.80665)</f>
        <v>5253.22935729788</v>
      </c>
      <c r="H176" s="64" t="n">
        <f aca="false">10^B176*101325</f>
        <v>0.00113958469549824</v>
      </c>
      <c r="I176" s="64" t="n">
        <f aca="false">H176/(8314.4621/G$102*C176)</f>
        <v>3.16010512234925E-008</v>
      </c>
      <c r="J176" s="61" t="n">
        <f aca="false">SQRT(8314.4621/G$102*G$104*C176)</f>
        <v>216.779810474352</v>
      </c>
      <c r="K176" s="61" t="n">
        <f aca="false">IF(F$23&gt;0,SQRT(2*G$96/(F$23+N176)),10000)</f>
        <v>2362.71675371351</v>
      </c>
      <c r="L176" s="64" t="n">
        <f aca="false">I176*K176^2/2</f>
        <v>0.088205335431822</v>
      </c>
      <c r="M176" s="64" t="n">
        <f aca="false">I176*K176^3/2</f>
        <v>208.404223791686</v>
      </c>
      <c r="N176" s="61" t="n">
        <f aca="false">F176*IF(G$125&gt;0,G$125,0.5)</f>
        <v>86640.8292304031</v>
      </c>
      <c r="O176" s="61" t="n">
        <f aca="false">4*G$100-3*G$101+IF(B176&gt;-4,0.0625*((4/(B$147+4))*(B176-B$147))^2+0.5*((4/(B$147+4))*(B176-B$147))+1,0)*(G$111+G$112+0.3*(G$42/G$97)^(1/3)*(G$101-G$100)+1/3*G$85*(G$101-G$100)-D$148*(-2000*G$85+2000))</f>
        <v>144.078996768294</v>
      </c>
      <c r="P176" s="89" t="n">
        <f aca="false">2*(C176-O176)/G$113</f>
        <v>0.289723999773822</v>
      </c>
      <c r="Q176" s="10" t="str">
        <f aca="false">IF(L176&gt;L$141,"|",IF(L175&gt;L$141,"V",""))</f>
        <v/>
      </c>
    </row>
    <row r="177" s="1" customFormat="true" ht="15.75" hidden="false" customHeight="false" outlineLevel="0" collapsed="false">
      <c r="B177" s="62" t="n">
        <f aca="false">B176-0.25</f>
        <v>-8.19897000433602</v>
      </c>
      <c r="C177" s="65"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178.935621455164</v>
      </c>
      <c r="D177" s="64" t="n">
        <f aca="false">(C177-C176)/(E177-E176)</f>
        <v>0.000635647852465366</v>
      </c>
      <c r="E177" s="61" t="n">
        <f aca="false">IF(D177=0,(8314.4621*C176*LN(H177/H176)/(-G$97*9.80665*G$102)),C176/D177*(1/(H177/H176)^(8314.4621*D177/(G$97*9.80665*G$102))-1))+E176</f>
        <v>109800.127402321</v>
      </c>
      <c r="F177" s="61" t="n">
        <f aca="false">F$36*E177/(F$36-E177)</f>
        <v>112216.07631927</v>
      </c>
      <c r="G177" s="61" t="n">
        <f aca="false">8314.4621*C177/(G$102*G$97*9.80665)</f>
        <v>5310.58878396164</v>
      </c>
      <c r="H177" s="64" t="n">
        <f aca="false">10^B177*101325</f>
        <v>0.000640835567833122</v>
      </c>
      <c r="I177" s="64" t="n">
        <f aca="false">H177/(8314.4621/G$102*C177)</f>
        <v>1.75786378324506E-008</v>
      </c>
      <c r="J177" s="61" t="n">
        <f aca="false">SQRT(8314.4621/G$102*G$104*C177)</f>
        <v>217.960094684833</v>
      </c>
      <c r="K177" s="61" t="n">
        <f aca="false">IF(F$23&gt;0,SQRT(2*G$96/(F$23+N177)),10000)</f>
        <v>2357.47668223834</v>
      </c>
      <c r="L177" s="64" t="n">
        <f aca="false">I177*K177^2/2</f>
        <v>0.0488483652843652</v>
      </c>
      <c r="M177" s="64" t="n">
        <f aca="false">I177*K177^3/2</f>
        <v>115.158882123352</v>
      </c>
      <c r="N177" s="61" t="n">
        <f aca="false">F177*IF(G$125&gt;0,G$125,0.5)</f>
        <v>89162.6258611053</v>
      </c>
      <c r="O177" s="61" t="n">
        <f aca="false">4*G$100-3*G$101+IF(B177&gt;-4,0.0625*((4/(B$147+4))*(B177-B$147))^2+0.5*((4/(B$147+4))*(B177-B$147))+1,0)*(G$111+G$112+0.3*(G$42/G$97)^(1/3)*(G$101-G$100)+1/3*G$85*(G$101-G$100)-D$148*(-2000*G$85+2000))</f>
        <v>144.078996768294</v>
      </c>
      <c r="P177" s="89" t="n">
        <f aca="false">2*(C177-O177)/G$113</f>
        <v>0.306731147450019</v>
      </c>
      <c r="Q177" s="10" t="str">
        <f aca="false">IF(L177&gt;L$141,"|",IF(L176&gt;L$141,"V",""))</f>
        <v/>
      </c>
    </row>
    <row r="178" s="1" customFormat="true" ht="15.75" hidden="false" customHeight="false" outlineLevel="0" collapsed="false">
      <c r="B178" s="62" t="n">
        <f aca="false">B177-0.25</f>
        <v>-8.44897000433602</v>
      </c>
      <c r="C178" s="65"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181.654479777182</v>
      </c>
      <c r="D178" s="64" t="n">
        <f aca="false">(C178-C177)/(E178-E177)</f>
        <v>0.000882692502248658</v>
      </c>
      <c r="E178" s="61" t="n">
        <f aca="false">IF(D178=0,(8314.4621*C177*LN(H178/H177)/(-G$97*9.80665*G$102)),C177/D178*(1/(H178/H177)^(8314.4621*D178/(G$97*9.80665*G$102))-1))+E177</f>
        <v>112880.314800641</v>
      </c>
      <c r="F178" s="61" t="n">
        <f aca="false">F$36*E178/(F$36-E178)</f>
        <v>115435.289670666</v>
      </c>
      <c r="G178" s="61" t="n">
        <f aca="false">8314.4621*C178/(G$102*G$97*9.80665)</f>
        <v>5391.2811491412</v>
      </c>
      <c r="H178" s="64" t="n">
        <f aca="false">10^B178*101325</f>
        <v>0.000360368322444388</v>
      </c>
      <c r="I178" s="64" t="n">
        <f aca="false">H178/(8314.4621/G$102*C178)</f>
        <v>9.73724084378445E-009</v>
      </c>
      <c r="J178" s="61" t="n">
        <f aca="false">SQRT(8314.4621/G$102*G$104*C178)</f>
        <v>219.609761926933</v>
      </c>
      <c r="K178" s="61" t="n">
        <f aca="false">IF(F$23&gt;0,SQRT(2*G$96/(F$23+N178)),10000)</f>
        <v>2352.19712191358</v>
      </c>
      <c r="L178" s="64" t="n">
        <f aca="false">I178*K178^2/2</f>
        <v>0.0269372554597127</v>
      </c>
      <c r="M178" s="64" t="n">
        <f aca="false">I178*K178^3/2</f>
        <v>63.3617347645872</v>
      </c>
      <c r="N178" s="61" t="n">
        <f aca="false">F178*IF(G$125&gt;0,G$125,0.5)</f>
        <v>91720.4903403528</v>
      </c>
      <c r="O178" s="61" t="n">
        <f aca="false">4*G$100-3*G$101+IF(B178&gt;-4,0.0625*((4/(B$147+4))*(B178-B$147))^2+0.5*((4/(B$147+4))*(B178-B$147))+1,0)*(G$111+G$112+0.3*(G$42/G$97)^(1/3)*(G$101-G$100)+1/3*G$85*(G$101-G$100)-D$148*(-2000*G$85+2000))</f>
        <v>144.078996768294</v>
      </c>
      <c r="P178" s="89" t="n">
        <f aca="false">2*(C178-O178)/G$113</f>
        <v>0.330656542991283</v>
      </c>
      <c r="Q178" s="10" t="str">
        <f aca="false">IF(L178&gt;L$141,"|",IF(L177&gt;L$141,"V",""))</f>
        <v/>
      </c>
    </row>
    <row r="179" s="1" customFormat="true" ht="15.75" hidden="false" customHeight="false" outlineLevel="0" collapsed="false">
      <c r="B179" s="62" t="n">
        <f aca="false">B178-0.25</f>
        <v>-8.69897000433602</v>
      </c>
      <c r="C179" s="65"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185.125394662689</v>
      </c>
      <c r="D179" s="64" t="n">
        <f aca="false">(C179-C178)/(E179-E178)</f>
        <v>0.00110784719223664</v>
      </c>
      <c r="E179" s="61" t="n">
        <f aca="false">IF(D179=0,(8314.4621*C178*LN(H179/H178)/(-G$97*9.80665*G$102)),C178/D179*(1/(H179/H178)^(8314.4621*D179/(G$97*9.80665*G$102))-1))+E178</f>
        <v>116013.341548219</v>
      </c>
      <c r="F179" s="61" t="n">
        <f aca="false">F$36*E179/(F$36-E179)</f>
        <v>118713.809334256</v>
      </c>
      <c r="G179" s="61" t="n">
        <f aca="false">8314.4621*C179/(G$102*G$97*9.80665)</f>
        <v>5494.29362654038</v>
      </c>
      <c r="H179" s="64" t="n">
        <f aca="false">10^B179*101325</f>
        <v>0.00020265</v>
      </c>
      <c r="I179" s="64" t="n">
        <f aca="false">H179/(8314.4621/G$102*C179)</f>
        <v>5.37298993688831E-009</v>
      </c>
      <c r="J179" s="61" t="n">
        <f aca="false">SQRT(8314.4621/G$102*G$104*C179)</f>
        <v>221.697902173236</v>
      </c>
      <c r="K179" s="61" t="n">
        <f aca="false">IF(F$23&gt;0,SQRT(2*G$96/(F$23+N179)),10000)</f>
        <v>2346.85659017311</v>
      </c>
      <c r="L179" s="64" t="n">
        <f aca="false">I179*K179^2/2</f>
        <v>0.0147965046615443</v>
      </c>
      <c r="M179" s="64" t="n">
        <f aca="false">I179*K179^3/2</f>
        <v>34.7252744764724</v>
      </c>
      <c r="N179" s="61" t="n">
        <f aca="false">F179*IF(G$125&gt;0,G$125,0.5)</f>
        <v>94325.4773594247</v>
      </c>
      <c r="O179" s="61" t="n">
        <f aca="false">4*G$100-3*G$101+IF(B179&gt;-4,0.0625*((4/(B$147+4))*(B179-B$147))^2+0.5*((4/(B$147+4))*(B179-B$147))+1,0)*(G$111+G$112+0.3*(G$42/G$97)^(1/3)*(G$101-G$100)+1/3*G$85*(G$101-G$100)-D$148*(-2000*G$85+2000))</f>
        <v>144.078996768294</v>
      </c>
      <c r="P179" s="89" t="n">
        <f aca="false">2*(C179-O179)/G$113</f>
        <v>0.361199882029324</v>
      </c>
      <c r="Q179" s="10" t="str">
        <f aca="false">IF(L179&gt;L$141,"|",IF(L178&gt;L$141,"V",""))</f>
        <v/>
      </c>
    </row>
    <row r="180" s="1" customFormat="true" ht="15.75" hidden="false" customHeight="false" outlineLevel="0" collapsed="false">
      <c r="B180" s="62" t="n">
        <f aca="false">B179-0.25</f>
        <v>-8.94897000433602</v>
      </c>
      <c r="C180" s="65"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189.314239819834</v>
      </c>
      <c r="D180" s="64" t="n">
        <f aca="false">(C180-C179)/(E180-E179)</f>
        <v>0.00130966144496611</v>
      </c>
      <c r="E180" s="61" t="n">
        <f aca="false">IF(D180=0,(8314.4621*C179*LN(H180/H179)/(-G$97*9.80665*G$102)),C179/D180*(1/(H180/H179)^(8314.4621*D180/(G$97*9.80665*G$102))-1))+E179</f>
        <v>119211.759867126</v>
      </c>
      <c r="F180" s="61" t="n">
        <f aca="false">F$36*E180/(F$36-E180)</f>
        <v>122065.011803457</v>
      </c>
      <c r="G180" s="61" t="n">
        <f aca="false">8314.4621*C180/(G$102*G$97*9.80665)</f>
        <v>5618.61338986297</v>
      </c>
      <c r="H180" s="64" t="n">
        <f aca="false">10^B180*101325</f>
        <v>0.000113958469549824</v>
      </c>
      <c r="I180" s="64" t="n">
        <f aca="false">H180/(8314.4621/G$102*C180)</f>
        <v>2.95460033445678E-009</v>
      </c>
      <c r="J180" s="61" t="n">
        <f aca="false">SQRT(8314.4621/G$102*G$104*C180)</f>
        <v>224.192059139525</v>
      </c>
      <c r="K180" s="61" t="n">
        <f aca="false">IF(F$23&gt;0,SQRT(2*G$96/(F$23+N180)),10000)</f>
        <v>2341.43508375702</v>
      </c>
      <c r="L180" s="64" t="n">
        <f aca="false">I180*K180^2/2</f>
        <v>0.00809902966966372</v>
      </c>
      <c r="M180" s="64" t="n">
        <f aca="false">I180*K180^3/2</f>
        <v>18.9633522129396</v>
      </c>
      <c r="N180" s="61" t="n">
        <f aca="false">F180*IF(G$125&gt;0,G$125,0.5)</f>
        <v>96988.2153711881</v>
      </c>
      <c r="O180" s="61" t="n">
        <f aca="false">4*G$100-3*G$101+IF(B180&gt;-4,0.0625*((4/(B$147+4))*(B180-B$147))^2+0.5*((4/(B$147+4))*(B180-B$147))+1,0)*(G$111+G$112+0.3*(G$42/G$97)^(1/3)*(G$101-G$100)+1/3*G$85*(G$101-G$100)-D$148*(-2000*G$85+2000))</f>
        <v>144.078996768294</v>
      </c>
      <c r="P180" s="89" t="n">
        <f aca="false">2*(C180-O180)/G$113</f>
        <v>0.398060860195853</v>
      </c>
      <c r="Q180" s="10" t="str">
        <f aca="false">IF(L180&gt;L$141,"|",IF(L179&gt;L$141,"V",""))</f>
        <v/>
      </c>
    </row>
    <row r="181" s="1" customFormat="true" ht="15.75" hidden="false" customHeight="false" outlineLevel="0" collapsed="false">
      <c r="B181" s="62" t="n">
        <f aca="false">B180-0.25</f>
        <v>-9.19897000433602</v>
      </c>
      <c r="C181" s="65"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194.186888956767</v>
      </c>
      <c r="D181" s="64" t="n">
        <f aca="false">(C181-C180)/(E181-E180)</f>
        <v>0.0014874771257929</v>
      </c>
      <c r="E181" s="61" t="n">
        <f aca="false">IF(D181=0,(8314.4621*C180*LN(H181/H180)/(-G$97*9.80665*G$102)),C180/D181*(1/(H181/H180)^(8314.4621*D181/(G$97*9.80665*G$102))-1))+E180</f>
        <v>122487.540753058</v>
      </c>
      <c r="F181" s="61" t="n">
        <f aca="false">F$36*E181/(F$36-E181)</f>
        <v>125501.736651625</v>
      </c>
      <c r="G181" s="61" t="n">
        <f aca="false">8314.4621*C181/(G$102*G$97*9.80665)</f>
        <v>5763.22761281276</v>
      </c>
      <c r="H181" s="64" t="n">
        <f aca="false">10^B181*101325</f>
        <v>6.40835567833122E-005</v>
      </c>
      <c r="I181" s="64" t="n">
        <f aca="false">H181/(8314.4621/G$102*C181)</f>
        <v>1.61980270747583E-009</v>
      </c>
      <c r="J181" s="61" t="n">
        <f aca="false">SQRT(8314.4621/G$102*G$104*C181)</f>
        <v>227.058903846983</v>
      </c>
      <c r="K181" s="61" t="n">
        <f aca="false">IF(F$23&gt;0,SQRT(2*G$96/(F$23+N181)),10000)</f>
        <v>2335.91406118018</v>
      </c>
      <c r="L181" s="64" t="n">
        <f aca="false">I181*K181^2/2</f>
        <v>0.00441922228320101</v>
      </c>
      <c r="M181" s="64" t="n">
        <f aca="false">I181*K181^3/2</f>
        <v>10.32292347081</v>
      </c>
      <c r="N181" s="61" t="n">
        <f aca="false">F181*IF(G$125&gt;0,G$125,0.5)</f>
        <v>99718.9062122483</v>
      </c>
      <c r="O181" s="61" t="n">
        <f aca="false">4*G$100-3*G$101+IF(B181&gt;-4,0.0625*((4/(B$147+4))*(B181-B$147))^2+0.5*((4/(B$147+4))*(B181-B$147))+1,0)*(G$111+G$112+0.3*(G$42/G$97)^(1/3)*(G$101-G$100)+1/3*G$85*(G$101-G$100)-D$148*(-2000*G$85+2000))</f>
        <v>144.078996768294</v>
      </c>
      <c r="P181" s="89" t="n">
        <f aca="false">2*(C181-O181)/G$113</f>
        <v>0.440939173122573</v>
      </c>
      <c r="Q181" s="10" t="str">
        <f aca="false">IF(L181&gt;L$141,"|",IF(L180&gt;L$141,"V",""))</f>
        <v/>
      </c>
    </row>
    <row r="182" s="1" customFormat="true" ht="15.75" hidden="false" customHeight="false" outlineLevel="0" collapsed="false">
      <c r="B182" s="62" t="n">
        <f aca="false">B181-0.25</f>
        <v>-9.44897000433602</v>
      </c>
      <c r="C182" s="65"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199.709215781639</v>
      </c>
      <c r="D182" s="64" t="n">
        <f aca="false">(C182-C181)/(E182-E181)</f>
        <v>0.00164133528687417</v>
      </c>
      <c r="E182" s="61" t="n">
        <f aca="false">IF(D182=0,(8314.4621*C181*LN(H182/H181)/(-G$97*9.80665*G$102)),C181/D182*(1/(H182/H181)^(8314.4621*D182/(G$97*9.80665*G$102))-1))+E181</f>
        <v>125852.073806745</v>
      </c>
      <c r="F182" s="61" t="n">
        <f aca="false">F$36*E182/(F$36-E182)</f>
        <v>129036.286402847</v>
      </c>
      <c r="G182" s="61" t="n">
        <f aca="false">8314.4621*C182/(G$102*G$97*9.80665)</f>
        <v>5927.1234690936</v>
      </c>
      <c r="H182" s="64" t="n">
        <f aca="false">10^B182*101325</f>
        <v>3.60368322444388E-005</v>
      </c>
      <c r="I182" s="64" t="n">
        <f aca="false">H182/(8314.4621/G$102*C182)</f>
        <v>8.85694439798313E-010</v>
      </c>
      <c r="J182" s="61" t="n">
        <f aca="false">SQRT(8314.4621/G$102*G$104*C182)</f>
        <v>230.26484481115</v>
      </c>
      <c r="K182" s="61" t="n">
        <f aca="false">IF(F$23&gt;0,SQRT(2*G$96/(F$23+N182)),10000)</f>
        <v>2330.27642785641</v>
      </c>
      <c r="L182" s="64" t="n">
        <f aca="false">I182*K182^2/2</f>
        <v>0.00240474376128347</v>
      </c>
      <c r="M182" s="64" t="n">
        <f aca="false">I182*K182^3/2</f>
        <v>5.60371770195362</v>
      </c>
      <c r="N182" s="61" t="n">
        <f aca="false">F182*IF(G$125&gt;0,G$125,0.5)</f>
        <v>102527.325000293</v>
      </c>
      <c r="O182" s="61" t="n">
        <f aca="false">4*G$100-3*G$101+IF(B182&gt;-4,0.0625*((4/(B$147+4))*(B182-B$147))^2+0.5*((4/(B$147+4))*(B182-B$147))+1,0)*(G$111+G$112+0.3*(G$42/G$97)^(1/3)*(G$101-G$100)+1/3*G$85*(G$101-G$100)-D$148*(-2000*G$85+2000))</f>
        <v>144.078996768294</v>
      </c>
      <c r="P182" s="89" t="n">
        <f aca="false">2*(C182-O182)/G$113</f>
        <v>0.489534516441202</v>
      </c>
      <c r="Q182" s="10" t="str">
        <f aca="false">IF(L182&gt;L$141,"|",IF(L181&gt;L$141,"V",""))</f>
        <v/>
      </c>
    </row>
    <row r="183" s="1" customFormat="true" ht="15.75" hidden="false" customHeight="false" outlineLevel="0" collapsed="false">
      <c r="B183" s="62" t="n">
        <f aca="false">B182-0.25</f>
        <v>-9.69897000433602</v>
      </c>
      <c r="C183" s="65"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205.8470940026</v>
      </c>
      <c r="D183" s="64" t="n">
        <f aca="false">(C183-C182)/(E183-E182)</f>
        <v>0.00177185711632177</v>
      </c>
      <c r="E183" s="61" t="n">
        <f aca="false">IF(D183=0,(8314.4621*C182*LN(H183/H182)/(-G$97*9.80665*G$102)),C182/D183*(1/(H183/H182)^(8314.4621*D183/(G$97*9.80665*G$102))-1))+E182</f>
        <v>129316.167025335</v>
      </c>
      <c r="F183" s="61" t="n">
        <f aca="false">F$36*E183/(F$36-E183)</f>
        <v>132680.426675726</v>
      </c>
      <c r="G183" s="61" t="n">
        <f aca="false">8314.4621*C183/(G$102*G$97*9.80665)</f>
        <v>6109.28813240924</v>
      </c>
      <c r="H183" s="64" t="n">
        <f aca="false">10^B183*101325</f>
        <v>2.0265E-005</v>
      </c>
      <c r="I183" s="64" t="n">
        <f aca="false">H183/(8314.4621/G$102*C183)</f>
        <v>4.83211525236563E-010</v>
      </c>
      <c r="J183" s="61" t="n">
        <f aca="false">SQRT(8314.4621/G$102*G$104*C183)</f>
        <v>233.776555332906</v>
      </c>
      <c r="K183" s="61" t="n">
        <f aca="false">IF(F$23&gt;0,SQRT(2*G$96/(F$23+N183)),10000)</f>
        <v>2324.50652291717</v>
      </c>
      <c r="L183" s="64" t="n">
        <f aca="false">I183*K183^2/2</f>
        <v>0.00130547580427196</v>
      </c>
      <c r="M183" s="64" t="n">
        <f aca="false">I183*K183^3/2</f>
        <v>3.03458702254072</v>
      </c>
      <c r="N183" s="61" t="n">
        <f aca="false">F183*IF(G$125&gt;0,G$125,0.5)</f>
        <v>105422.820248332</v>
      </c>
      <c r="O183" s="61" t="n">
        <f aca="false">4*G$100-3*G$101+IF(B183&gt;-4,0.0625*((4/(B$147+4))*(B183-B$147))^2+0.5*((4/(B$147+4))*(B183-B$147))+1,0)*(G$111+G$112+0.3*(G$42/G$97)^(1/3)*(G$101-G$100)+1/3*G$85*(G$101-G$100)-D$148*(-2000*G$85+2000))</f>
        <v>144.078996768294</v>
      </c>
      <c r="P183" s="89" t="n">
        <f aca="false">2*(C183-O183)/G$113</f>
        <v>0.543546585783445</v>
      </c>
      <c r="Q183" s="10" t="str">
        <f aca="false">IF(L183&gt;L$141,"|",IF(L182&gt;L$141,"V",""))</f>
        <v/>
      </c>
    </row>
    <row r="184" s="1" customFormat="true" ht="15.75" hidden="false" customHeight="false" outlineLevel="0" collapsed="false">
      <c r="B184" s="62" t="n">
        <f aca="false">B183-0.25</f>
        <v>-9.94897000433602</v>
      </c>
      <c r="C184" s="65"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212.5663973278</v>
      </c>
      <c r="D184" s="64" t="n">
        <f aca="false">(C184-C183)/(E184-E183)</f>
        <v>0.00188011465783161</v>
      </c>
      <c r="E184" s="61" t="n">
        <f aca="false">IF(D184=0,(8314.4621*C183*LN(H184/H183)/(-G$97*9.80665*G$102)),C183/D184*(1/(H184/H183)^(8314.4621*D184/(G$97*9.80665*G$102))-1))+E183</f>
        <v>132890.046574229</v>
      </c>
      <c r="F184" s="61" t="n">
        <f aca="false">F$36*E184/(F$36-E184)</f>
        <v>136445.386529271</v>
      </c>
      <c r="G184" s="61" t="n">
        <f aca="false">8314.4621*C184/(G$102*G$97*9.80665)</f>
        <v>6308.70877646354</v>
      </c>
      <c r="H184" s="64" t="n">
        <f aca="false">10^B184*101325</f>
        <v>1.13958469549824E-005</v>
      </c>
      <c r="I184" s="64" t="n">
        <f aca="false">H184/(8314.4621/G$102*C184)</f>
        <v>2.63140328537694E-010</v>
      </c>
      <c r="J184" s="61" t="n">
        <f aca="false">SQRT(8314.4621/G$102*G$104*C184)</f>
        <v>237.561408148318</v>
      </c>
      <c r="K184" s="61" t="n">
        <f aca="false">IF(F$23&gt;0,SQRT(2*G$96/(F$23+N184)),10000)</f>
        <v>2318.59010685315</v>
      </c>
      <c r="L184" s="64" t="n">
        <f aca="false">I184*K184^2/2</f>
        <v>0.000707302794285233</v>
      </c>
      <c r="M184" s="64" t="n">
        <f aca="false">I184*K184^3/2</f>
        <v>1.63994526137933</v>
      </c>
      <c r="N184" s="61" t="n">
        <f aca="false">F184*IF(G$125&gt;0,G$125,0.5)</f>
        <v>108414.314139534</v>
      </c>
      <c r="O184" s="61" t="n">
        <f aca="false">4*G$100-3*G$101+IF(B184&gt;-4,0.0625*((4/(B$147+4))*(B184-B$147))^2+0.5*((4/(B$147+4))*(B184-B$147))+1,0)*(G$111+G$112+0.3*(G$42/G$97)^(1/3)*(G$101-G$100)+1/3*G$85*(G$101-G$100)-D$148*(-2000*G$85+2000))</f>
        <v>144.078996768294</v>
      </c>
      <c r="P184" s="89" t="n">
        <f aca="false">2*(C184-O184)/G$113</f>
        <v>0.602675076781019</v>
      </c>
      <c r="Q184" s="10" t="str">
        <f aca="false">IF(L184&gt;L$141,"|",IF(L183&gt;L$141,"V",""))</f>
        <v/>
      </c>
    </row>
    <row r="185" s="1" customFormat="true" ht="15.75" hidden="false" customHeight="false" outlineLevel="0" collapsed="false">
      <c r="B185" s="62" t="n">
        <f aca="false">B184-0.25</f>
        <v>-10.198970004336</v>
      </c>
      <c r="C185" s="65"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219.708024409709</v>
      </c>
      <c r="D185" s="64" t="n">
        <f aca="false">(C185-C184)/(E185-E184)</f>
        <v>0.00193421870146309</v>
      </c>
      <c r="E185" s="61" t="n">
        <f aca="false">IF(D185=0,(8314.4621*C184*LN(H185/H184)/(-G$97*9.80665*G$102)),C184/D185*(1/(H185/H184)^(8314.4621*D185/(G$97*9.80665*G$102))-1))+E184</f>
        <v>136582.300752367</v>
      </c>
      <c r="F185" s="61" t="n">
        <f aca="false">F$36*E185/(F$36-E185)</f>
        <v>140340.744230061</v>
      </c>
      <c r="G185" s="61" t="n">
        <f aca="false">8314.4621*C185/(G$102*G$97*9.80665)</f>
        <v>6520.66346928542</v>
      </c>
      <c r="H185" s="64" t="n">
        <f aca="false">10^B185*101325</f>
        <v>6.40835567833122E-006</v>
      </c>
      <c r="I185" s="64" t="n">
        <f aca="false">H185/(8314.4621/G$102*C185)</f>
        <v>1.43164752099323E-010</v>
      </c>
      <c r="J185" s="61" t="n">
        <f aca="false">SQRT(8314.4621/G$102*G$104*C185)</f>
        <v>241.519134889647</v>
      </c>
      <c r="K185" s="61" t="n">
        <f aca="false">IF(F$23&gt;0,SQRT(2*G$96/(F$23+N185)),10000)</f>
        <v>2312.51608053632</v>
      </c>
      <c r="L185" s="64" t="n">
        <f aca="false">I185*K185^2/2</f>
        <v>0.000382803264449199</v>
      </c>
      <c r="M185" s="64" t="n">
        <f aca="false">I185*K185^3/2</f>
        <v>0.88523870472057</v>
      </c>
      <c r="N185" s="61" t="n">
        <f aca="false">F185*IF(G$125&gt;0,G$125,0.5)</f>
        <v>111509.417200191</v>
      </c>
      <c r="O185" s="61" t="n">
        <f aca="false">4*G$100-3*G$101+IF(B185&gt;-4,0.0625*((4/(B$147+4))*(B185-B$147))^2+0.5*((4/(B$147+4))*(B185-B$147))+1,0)*(G$111+G$112+0.3*(G$42/G$97)^(1/3)*(G$101-G$100)+1/3*G$85*(G$101-G$100)-D$148*(-2000*G$85+2000))</f>
        <v>144.078996768294</v>
      </c>
      <c r="P185" s="89" t="n">
        <f aca="false">2*(C185-O185)/G$113</f>
        <v>0.665519930210534</v>
      </c>
      <c r="Q185" s="10" t="str">
        <f aca="false">IF(L185&gt;L$141,"|",IF(L184&gt;L$141,"V",""))</f>
        <v/>
      </c>
    </row>
    <row r="186" s="1" customFormat="true" ht="15.75" hidden="false" customHeight="false" outlineLevel="0" collapsed="false">
      <c r="B186" s="62" t="n">
        <f aca="false">B185-0.25</f>
        <v>-10.448970004336</v>
      </c>
      <c r="C186" s="65"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226.979112759858</v>
      </c>
      <c r="D186" s="64" t="n">
        <f aca="false">(C186-C185)/(E186-E185)</f>
        <v>0.00190573613044791</v>
      </c>
      <c r="E186" s="61" t="n">
        <f aca="false">IF(D186=0,(8314.4621*C185*LN(H186/H185)/(-G$97*9.80665*G$102)),C185/D186*(1/(H186/H185)^(8314.4621*D186/(G$97*9.80665*G$102))-1))+E185</f>
        <v>140397.67069471</v>
      </c>
      <c r="F186" s="61" t="n">
        <f aca="false">F$36*E186/(F$36-E186)</f>
        <v>144372.083284209</v>
      </c>
      <c r="G186" s="61" t="n">
        <f aca="false">8314.4621*C186/(G$102*G$97*9.80665)</f>
        <v>6736.46041304359</v>
      </c>
      <c r="H186" s="64" t="n">
        <f aca="false">10^B186*101325</f>
        <v>3.60368322444388E-006</v>
      </c>
      <c r="I186" s="64" t="n">
        <f aca="false">H186/(8314.4621/G$102*C186)</f>
        <v>7.7928466563978E-011</v>
      </c>
      <c r="J186" s="61" t="n">
        <f aca="false">SQRT(8314.4621/G$102*G$104*C186)</f>
        <v>245.483062101733</v>
      </c>
      <c r="K186" s="61" t="n">
        <f aca="false">IF(F$23&gt;0,SQRT(2*G$96/(F$23+N186)),10000)</f>
        <v>2306.28001437137</v>
      </c>
      <c r="L186" s="64" t="n">
        <f aca="false">I186*K186^2/2</f>
        <v>0.000207247932102682</v>
      </c>
      <c r="M186" s="64" t="n">
        <f aca="false">I186*K186^3/2</f>
        <v>0.477971763828211</v>
      </c>
      <c r="N186" s="61" t="n">
        <f aca="false">F186*IF(G$125&gt;0,G$125,0.5)</f>
        <v>114712.56587188</v>
      </c>
      <c r="O186" s="61" t="n">
        <f aca="false">4*G$100-3*G$101+IF(B186&gt;-4,0.0625*((4/(B$147+4))*(B186-B$147))^2+0.5*((4/(B$147+4))*(B186-B$147))+1,0)*(G$111+G$112+0.3*(G$42/G$97)^(1/3)*(G$101-G$100)+1/3*G$85*(G$101-G$100)-D$148*(-2000*G$85+2000))</f>
        <v>144.078996768294</v>
      </c>
      <c r="P186" s="89" t="n">
        <f aca="false">2*(C186-O186)/G$113</f>
        <v>0.729504016245454</v>
      </c>
      <c r="Q186" s="10" t="str">
        <f aca="false">IF(L186&gt;L$141,"|",IF(L185&gt;L$141,"V",""))</f>
        <v/>
      </c>
    </row>
    <row r="187" s="1" customFormat="true" ht="15.75" hidden="false" customHeight="false" outlineLevel="0" collapsed="false">
      <c r="B187" s="62" t="n">
        <f aca="false">B186-0.25</f>
        <v>-10.698970004336</v>
      </c>
      <c r="C187" s="65"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234.342246728284</v>
      </c>
      <c r="D187" s="64" t="n">
        <f aca="false">(C187-C186)/(E187-E186)</f>
        <v>0.00186863488688561</v>
      </c>
      <c r="E187" s="61" t="n">
        <f aca="false">IF(D187=0,(8314.4621*C186*LN(H187/H186)/(-G$97*9.80665*G$102)),C186/D187*(1/(H187/H186)^(8314.4621*D187/(G$97*9.80665*G$102))-1))+E186</f>
        <v>144338.051996645</v>
      </c>
      <c r="F187" s="61" t="n">
        <f aca="false">F$36*E187/(F$36-E187)</f>
        <v>148542.02584974</v>
      </c>
      <c r="G187" s="61" t="n">
        <f aca="false">8314.4621*C187/(G$102*G$97*9.80665)</f>
        <v>6954.9891573458</v>
      </c>
      <c r="H187" s="64" t="n">
        <f aca="false">10^B187*101325</f>
        <v>2.0265E-006</v>
      </c>
      <c r="I187" s="64" t="n">
        <f aca="false">H187/(8314.4621/G$102*C187)</f>
        <v>4.24454786310219E-011</v>
      </c>
      <c r="J187" s="61" t="n">
        <f aca="false">SQRT(8314.4621/G$102*G$104*C187)</f>
        <v>249.4329824574</v>
      </c>
      <c r="K187" s="61" t="n">
        <f aca="false">IF(F$23&gt;0,SQRT(2*G$96/(F$23+N187)),10000)</f>
        <v>2299.88233130358</v>
      </c>
      <c r="L187" s="64" t="n">
        <f aca="false">I187*K187^2/2</f>
        <v>0.000112256803913381</v>
      </c>
      <c r="M187" s="64" t="n">
        <f aca="false">I187*K187^3/2</f>
        <v>0.258177439888996</v>
      </c>
      <c r="N187" s="61" t="n">
        <f aca="false">F187*IF(G$125&gt;0,G$125,0.5)</f>
        <v>118025.843621629</v>
      </c>
      <c r="O187" s="61" t="n">
        <f aca="false">4*G$100-3*G$101+IF(B187&gt;-4,0.0625*((4/(B$147+4))*(B187-B$147))^2+0.5*((4/(B$147+4))*(B187-B$147))+1,0)*(G$111+G$112+0.3*(G$42/G$97)^(1/3)*(G$101-G$100)+1/3*G$85*(G$101-G$100)-D$148*(-2000*G$85+2000))</f>
        <v>144.078996768294</v>
      </c>
      <c r="P187" s="89" t="n">
        <f aca="false">2*(C187-O187)/G$113</f>
        <v>0.794298084840811</v>
      </c>
      <c r="Q187" s="10" t="str">
        <f aca="false">IF(L187&gt;L$141,"|",IF(L186&gt;L$141,"V",""))</f>
        <v/>
      </c>
    </row>
    <row r="188" s="1" customFormat="true" ht="15.75" hidden="false" customHeight="false" outlineLevel="0" collapsed="false">
      <c r="B188" s="62" t="n">
        <f aca="false">B187-0.25</f>
        <v>-10.948970004336</v>
      </c>
      <c r="C188" s="65"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241.768265665214</v>
      </c>
      <c r="D188" s="64" t="n">
        <f aca="false">(C188-C187)/(E188-E187)</f>
        <v>0.0018260469237399</v>
      </c>
      <c r="E188" s="61" t="n">
        <f aca="false">IF(D188=0,(8314.4621*C187*LN(H188/H187)/(-G$97*9.80665*G$102)),C187/D188*(1/(H188/H187)^(8314.4621*D188/(G$97*9.80665*G$102))-1))+E187</f>
        <v>148404.770567995</v>
      </c>
      <c r="F188" s="61" t="n">
        <f aca="false">F$36*E188/(F$36-E188)</f>
        <v>152852.625230353</v>
      </c>
      <c r="G188" s="61" t="n">
        <f aca="false">8314.4621*C188/(G$102*G$97*9.80665)</f>
        <v>7175.38425003465</v>
      </c>
      <c r="H188" s="64" t="n">
        <f aca="false">10^B188*101325</f>
        <v>1.13958469549824E-006</v>
      </c>
      <c r="I188" s="64" t="n">
        <f aca="false">H188/(8314.4621/G$102*C188)</f>
        <v>2.31357045454288E-011</v>
      </c>
      <c r="J188" s="61" t="n">
        <f aca="false">SQRT(8314.4621/G$102*G$104*C188)</f>
        <v>253.354272457968</v>
      </c>
      <c r="K188" s="61" t="n">
        <f aca="false">IF(F$23&gt;0,SQRT(2*G$96/(F$23+N188)),10000)</f>
        <v>2293.32449609984</v>
      </c>
      <c r="L188" s="64" t="n">
        <f aca="false">I188*K188^2/2</f>
        <v>6.08392362957381E-005</v>
      </c>
      <c r="M188" s="64" t="n">
        <f aca="false">I188*K188^3/2</f>
        <v>0.139524110921023</v>
      </c>
      <c r="N188" s="61" t="n">
        <f aca="false">F188*IF(G$125&gt;0,G$125,0.5)</f>
        <v>121450.881926454</v>
      </c>
      <c r="O188" s="61" t="n">
        <f aca="false">4*G$100-3*G$101+IF(B188&gt;-4,0.0625*((4/(B$147+4))*(B188-B$147))^2+0.5*((4/(B$147+4))*(B188-B$147))+1,0)*(G$111+G$112+0.3*(G$42/G$97)^(1/3)*(G$101-G$100)+1/3*G$85*(G$101-G$100)-D$148*(-2000*G$85+2000))</f>
        <v>144.078996768294</v>
      </c>
      <c r="P188" s="89" t="n">
        <f aca="false">2*(C188-O188)/G$113</f>
        <v>0.859645528260029</v>
      </c>
      <c r="Q188" s="10" t="str">
        <f aca="false">IF(L188&gt;L$141,"|",IF(L187&gt;L$141,"V",""))</f>
        <v/>
      </c>
    </row>
    <row r="189" s="1" customFormat="true" ht="15.75" hidden="false" customHeight="false" outlineLevel="0" collapsed="false">
      <c r="B189" s="62" t="n">
        <f aca="false">B188-0.25</f>
        <v>-11.198970004336</v>
      </c>
      <c r="C189" s="66"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249.228008920875</v>
      </c>
      <c r="D189" s="64" t="n">
        <f aca="false">(C189-C188)/(E189-E188)</f>
        <v>0.00177871977444947</v>
      </c>
      <c r="E189" s="61" t="n">
        <f aca="false">IF(D189=0,(8314.4621*C188*LN(H189/H188)/(-G$97*9.80665*G$102)),C188/D189*(1/(H189/H188)^(8314.4621*D189/(G$97*9.80665*G$102))-1))+E188</f>
        <v>152598.653923213</v>
      </c>
      <c r="F189" s="61" t="n">
        <f aca="false">F$36*E189/(F$36-E189)</f>
        <v>157305.437858913</v>
      </c>
      <c r="G189" s="61" t="n">
        <f aca="false">8314.4621*C189/(G$102*G$97*9.80665)</f>
        <v>7396.78023895277</v>
      </c>
      <c r="H189" s="64" t="n">
        <f aca="false">10^B189*101325</f>
        <v>6.40835567833122E-007</v>
      </c>
      <c r="I189" s="64" t="n">
        <f aca="false">H189/(8314.4621/G$102*C189)</f>
        <v>1.26207503663179E-011</v>
      </c>
      <c r="J189" s="61" t="n">
        <f aca="false">SQRT(8314.4621/G$102*G$104*C189)</f>
        <v>257.233193159036</v>
      </c>
      <c r="K189" s="61" t="n">
        <f aca="false">IF(F$23&gt;0,SQRT(2*G$96/(F$23+N189)),10000)</f>
        <v>2286.60886807117</v>
      </c>
      <c r="L189" s="64" t="n">
        <f aca="false">I189*K189^2/2</f>
        <v>3.29943022042727E-005</v>
      </c>
      <c r="M189" s="64" t="n">
        <f aca="false">I189*K189^3/2</f>
        <v>0.0754450640161102</v>
      </c>
      <c r="N189" s="61" t="n">
        <f aca="false">F189*IF(G$125&gt;0,G$125,0.5)</f>
        <v>124988.917468709</v>
      </c>
      <c r="O189" s="61" t="n">
        <f aca="false">4*G$100-3*G$101+IF(B189&gt;-4,0.0625*((4/(B$147+4))*(B189-B$147))^2+0.5*((4/(B$147+4))*(B189-B$147))+1,0)*(G$111+G$112+0.3*(G$42/G$97)^(1/3)*(G$101-G$100)+1/3*G$85*(G$101-G$100)-D$148*(-2000*G$85+2000))</f>
        <v>144.078996768294</v>
      </c>
      <c r="P189" s="89" t="n">
        <f aca="false">2*(C189-O189)/G$113</f>
        <v>0.925289738766539</v>
      </c>
      <c r="Q189" s="10"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Locked!G27</f>
        <v>0.25</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371</v>
      </c>
      <c r="B9" s="75" t="n">
        <v>0</v>
      </c>
      <c r="D9" s="71"/>
      <c r="E9" s="75"/>
    </row>
    <row r="10" customFormat="false" ht="15" hidden="false" customHeight="false" outlineLevel="0" collapsed="false">
      <c r="A10" s="72" t="s">
        <v>214</v>
      </c>
      <c r="B10" s="75" t="s">
        <v>215</v>
      </c>
      <c r="D10" s="75"/>
      <c r="E10" s="75"/>
    </row>
    <row r="11" customFormat="false" ht="15" hidden="false" customHeight="false" outlineLevel="0" collapsed="false">
      <c r="A11" s="72" t="s">
        <v>216</v>
      </c>
      <c r="B11" s="75" t="str">
        <f aca="false">IF(Locked!F49&gt;0,"True","False")</f>
        <v>False</v>
      </c>
      <c r="D11" s="75"/>
      <c r="E11" s="75"/>
    </row>
    <row r="12" customFormat="false" ht="15" hidden="false" customHeight="false" outlineLevel="0" collapsed="false">
      <c r="A12" s="72" t="s">
        <v>218</v>
      </c>
      <c r="B12" s="75" t="n">
        <f aca="false">MAX(B19:B61)</f>
        <v>59000</v>
      </c>
      <c r="D12" s="75"/>
      <c r="E12" s="75"/>
    </row>
    <row r="13" customFormat="false" ht="15" hidden="false" customHeight="false" outlineLevel="0" collapsed="false">
      <c r="A13" s="72" t="s">
        <v>219</v>
      </c>
      <c r="B13" s="90" t="n">
        <f aca="false">ROUND(Locked!G104,2)</f>
        <v>1.3</v>
      </c>
      <c r="D13" s="75"/>
      <c r="E13" s="75"/>
    </row>
    <row r="14" customFormat="false" ht="15" hidden="false" customHeight="false" outlineLevel="0" collapsed="false">
      <c r="A14" s="72" t="s">
        <v>220</v>
      </c>
      <c r="B14" s="75" t="n">
        <f aca="false">ROUND(Locked!G102/1000,5)</f>
        <v>0.04081</v>
      </c>
      <c r="D14" s="75"/>
      <c r="E14" s="75"/>
    </row>
    <row r="15" customFormat="false" ht="15" hidden="false" customHeight="false" outlineLevel="0" collapsed="false">
      <c r="A15" s="72" t="s">
        <v>221</v>
      </c>
      <c r="B15" s="75" t="n">
        <f aca="false">ROUND(Locked!C$147,0)</f>
        <v>322</v>
      </c>
      <c r="D15" s="75"/>
      <c r="E15" s="75"/>
    </row>
    <row r="16" customFormat="false" ht="15" hidden="false" customHeight="false" outlineLevel="0" collapsed="false">
      <c r="A16" s="72" t="s">
        <v>222</v>
      </c>
      <c r="B16" s="75" t="n">
        <f aca="false">C143</f>
        <v>20.265</v>
      </c>
      <c r="D16" s="75"/>
      <c r="E16" s="75"/>
    </row>
    <row r="17" customFormat="false" ht="15" hidden="false" customHeight="false" outlineLevel="0" collapsed="false">
      <c r="A17" s="72" t="s">
        <v>223</v>
      </c>
      <c r="B17" s="75"/>
      <c r="D17" s="75"/>
      <c r="E17" s="75"/>
    </row>
    <row r="18" customFormat="false" ht="15" hidden="false" customHeight="false" outlineLevel="0" collapsed="false">
      <c r="A18" s="72" t="s">
        <v>209</v>
      </c>
      <c r="B18" s="70"/>
      <c r="C18" s="75"/>
      <c r="D18" s="75"/>
      <c r="E18" s="75"/>
    </row>
    <row r="19" customFormat="false" ht="15" hidden="false" customHeight="false" outlineLevel="0" collapsed="false">
      <c r="A19" s="75" t="str">
        <f aca="false">IF(B19="","Unused","key =")</f>
        <v>key =</v>
      </c>
      <c r="B19" s="75" t="n">
        <f aca="false">IF(Locked!Q147="|",ROUND(Locked!N147,0),IF(Locked!Q147="V",ROUND(Locked!N147,-3),""))</f>
        <v>0</v>
      </c>
      <c r="C19" s="75" t="n">
        <f aca="false">IF(B19="","",ROUND(Locked!O147,0))</f>
        <v>208</v>
      </c>
      <c r="D19" s="77" t="n">
        <v>0</v>
      </c>
      <c r="E19" s="77" t="n">
        <f aca="false">(C20-C19)/(B20-B19)</f>
        <v>-0.00210526315789474</v>
      </c>
    </row>
    <row r="20" customFormat="false" ht="15" hidden="false" customHeight="false" outlineLevel="0" collapsed="false">
      <c r="A20" s="75" t="str">
        <f aca="false">IF(B20="","Unused","key =")</f>
        <v>key =</v>
      </c>
      <c r="B20" s="75" t="n">
        <f aca="false">IF(Locked!Q148="|",ROUND(Locked!N148,0),IF(Locked!Q148="V",ROUND(Locked!N148,-3),""))</f>
        <v>4275</v>
      </c>
      <c r="C20" s="75" t="n">
        <f aca="false">IF(B20="","",ROUND(Locked!O148,0))</f>
        <v>199</v>
      </c>
      <c r="D20" s="77" t="n">
        <f aca="false">IF(C20="","",(C20-C19)/(B20-B19))</f>
        <v>-0.00210526315789474</v>
      </c>
      <c r="E20" s="77" t="n">
        <f aca="false">IF(C20="","",IF(C21="",0,(C21-C20)/(B21-B20)))</f>
        <v>-0.0021945866861741</v>
      </c>
    </row>
    <row r="21" customFormat="false" ht="15" hidden="false" customHeight="false" outlineLevel="0" collapsed="false">
      <c r="A21" s="75" t="str">
        <f aca="false">IF(B21="","Unused","key =")</f>
        <v>key =</v>
      </c>
      <c r="B21" s="75" t="n">
        <f aca="false">IF(Locked!Q149="|",ROUND(Locked!N149,0),IF(Locked!Q149="V",ROUND(Locked!N149,-3),""))</f>
        <v>8376</v>
      </c>
      <c r="C21" s="75" t="n">
        <f aca="false">IF(B21="","",ROUND(Locked!O149,0))</f>
        <v>190</v>
      </c>
      <c r="D21" s="77" t="n">
        <f aca="false">IF(C21="","",(C21-C20)/(B21-B20))</f>
        <v>-0.0021945866861741</v>
      </c>
      <c r="E21" s="77" t="n">
        <f aca="false">IF(C21="","",IF(C22="",0,(C22-C21)/(B22-B21)))</f>
        <v>-0.00203097232800203</v>
      </c>
    </row>
    <row r="22" customFormat="false" ht="15" hidden="false" customHeight="false" outlineLevel="0" collapsed="false">
      <c r="A22" s="75" t="str">
        <f aca="false">IF(B22="","Unused","key =")</f>
        <v>key =</v>
      </c>
      <c r="B22" s="75" t="n">
        <f aca="false">IF(Locked!Q150="|",ROUND(Locked!N150,0),IF(Locked!Q150="V",ROUND(Locked!N150,-3),""))</f>
        <v>12315</v>
      </c>
      <c r="C22" s="75" t="n">
        <f aca="false">IF(B22="","",ROUND(Locked!O150,0))</f>
        <v>182</v>
      </c>
      <c r="D22" s="77" t="n">
        <f aca="false">IF(C22="","",(C22-C21)/(B22-B21))</f>
        <v>-0.00203097232800203</v>
      </c>
      <c r="E22" s="77" t="n">
        <f aca="false">IF(C22="","",IF(C23="",0,(C23-C22)/(B23-B22)))</f>
        <v>-0.00184940554821664</v>
      </c>
    </row>
    <row r="23" customFormat="false" ht="15" hidden="false" customHeight="false" outlineLevel="0" collapsed="false">
      <c r="A23" s="75" t="str">
        <f aca="false">IF(B23="","Unused","key =")</f>
        <v>key =</v>
      </c>
      <c r="B23" s="75" t="n">
        <f aca="false">IF(Locked!Q151="|",ROUND(Locked!N151,0),IF(Locked!Q151="V",ROUND(Locked!N151,-3),""))</f>
        <v>16100</v>
      </c>
      <c r="C23" s="75" t="n">
        <f aca="false">IF(B23="","",ROUND(Locked!O151,0))</f>
        <v>175</v>
      </c>
      <c r="D23" s="77" t="n">
        <f aca="false">IF(C23="","",(C23-C22)/(B23-B22))</f>
        <v>-0.00184940554821664</v>
      </c>
      <c r="E23" s="77" t="n">
        <f aca="false">IF(C23="","",IF(C24="",0,(C24-C23)/(B24-B23)))</f>
        <v>-0.00164609053497942</v>
      </c>
    </row>
    <row r="24" customFormat="false" ht="15" hidden="false" customHeight="false" outlineLevel="0" collapsed="false">
      <c r="A24" s="75" t="str">
        <f aca="false">IF(B24="","Unused","key =")</f>
        <v>key =</v>
      </c>
      <c r="B24" s="75" t="n">
        <f aca="false">IF(Locked!Q152="|",ROUND(Locked!N152,0),IF(Locked!Q152="V",ROUND(Locked!N152,-3),""))</f>
        <v>19745</v>
      </c>
      <c r="C24" s="75" t="n">
        <f aca="false">IF(B24="","",ROUND(Locked!O152,0))</f>
        <v>169</v>
      </c>
      <c r="D24" s="77" t="n">
        <f aca="false">IF(C24="","",(C24-C23)/(B24-B23))</f>
        <v>-0.00164609053497942</v>
      </c>
      <c r="E24" s="77" t="n">
        <f aca="false">IF(C24="","",IF(C25="",0,(C25-C24)/(B25-B24)))</f>
        <v>-0.00170794192997438</v>
      </c>
    </row>
    <row r="25" customFormat="false" ht="15" hidden="false" customHeight="false" outlineLevel="0" collapsed="false">
      <c r="A25" s="75" t="str">
        <f aca="false">IF(B25="","Unused","key =")</f>
        <v>key =</v>
      </c>
      <c r="B25" s="75" t="n">
        <f aca="false">IF(Locked!Q153="|",ROUND(Locked!N153,0),IF(Locked!Q153="V",ROUND(Locked!N153,-3),""))</f>
        <v>23258</v>
      </c>
      <c r="C25" s="75" t="n">
        <f aca="false">IF(B25="","",ROUND(Locked!O153,0))</f>
        <v>163</v>
      </c>
      <c r="D25" s="77" t="n">
        <f aca="false">IF(C25="","",(C25-C24)/(B25-B24))</f>
        <v>-0.00170794192997438</v>
      </c>
      <c r="E25" s="77" t="n">
        <f aca="false">IF(C25="","",IF(C26="",0,(C26-C25)/(B26-B25)))</f>
        <v>-0.00147405660377359</v>
      </c>
    </row>
    <row r="26" customFormat="false" ht="15" hidden="false" customHeight="false" outlineLevel="0" collapsed="false">
      <c r="A26" s="75" t="str">
        <f aca="false">IF(B26="","Unused","key =")</f>
        <v>key =</v>
      </c>
      <c r="B26" s="75" t="n">
        <f aca="false">IF(Locked!Q154="|",ROUND(Locked!N154,0),IF(Locked!Q154="V",ROUND(Locked!N154,-3),""))</f>
        <v>26650</v>
      </c>
      <c r="C26" s="75" t="n">
        <f aca="false">IF(B26="","",ROUND(Locked!O154,0))</f>
        <v>158</v>
      </c>
      <c r="D26" s="77" t="n">
        <f aca="false">IF(C26="","",(C26-C25)/(B26-B25))</f>
        <v>-0.00147405660377359</v>
      </c>
      <c r="E26" s="77" t="n">
        <f aca="false">IF(C26="","",IF(C27="",0,(C27-C26)/(B27-B26)))</f>
        <v>-0.0012187690432663</v>
      </c>
    </row>
    <row r="27" customFormat="false" ht="15" hidden="false" customHeight="false" outlineLevel="0" collapsed="false">
      <c r="A27" s="75" t="str">
        <f aca="false">IF(B27="","Unused","key =")</f>
        <v>key =</v>
      </c>
      <c r="B27" s="75" t="n">
        <f aca="false">IF(Locked!Q155="|",ROUND(Locked!N155,0),IF(Locked!Q155="V",ROUND(Locked!N155,-3),""))</f>
        <v>29932</v>
      </c>
      <c r="C27" s="75" t="n">
        <f aca="false">IF(B27="","",ROUND(Locked!O155,0))</f>
        <v>154</v>
      </c>
      <c r="D27" s="77" t="n">
        <f aca="false">IF(C27="","",(C27-C26)/(B27-B26))</f>
        <v>-0.0012187690432663</v>
      </c>
      <c r="E27" s="77" t="n">
        <f aca="false">IF(C27="","",IF(C28="",0,(C28-C27)/(B28-B27)))</f>
        <v>-0.000943099654196793</v>
      </c>
    </row>
    <row r="28" customFormat="false" ht="15" hidden="false" customHeight="false" outlineLevel="0" collapsed="false">
      <c r="A28" s="75" t="str">
        <f aca="false">IF(B28="","Unused","key =")</f>
        <v>key =</v>
      </c>
      <c r="B28" s="75" t="n">
        <f aca="false">IF(Locked!Q156="|",ROUND(Locked!N156,0),IF(Locked!Q156="V",ROUND(Locked!N156,-3),""))</f>
        <v>33113</v>
      </c>
      <c r="C28" s="75" t="n">
        <f aca="false">IF(B28="","",ROUND(Locked!O156,0))</f>
        <v>151</v>
      </c>
      <c r="D28" s="77" t="n">
        <f aca="false">IF(C28="","",(C28-C27)/(B28-B27))</f>
        <v>-0.000943099654196793</v>
      </c>
      <c r="E28" s="77" t="n">
        <f aca="false">IF(C28="","",IF(C29="",0,(C29-C28)/(B29-B28)))</f>
        <v>-0.000956937799043062</v>
      </c>
    </row>
    <row r="29" customFormat="false" ht="15" hidden="false" customHeight="false" outlineLevel="0" collapsed="false">
      <c r="A29" s="75" t="str">
        <f aca="false">IF(B29="","Unused","key =")</f>
        <v>key =</v>
      </c>
      <c r="B29" s="75" t="n">
        <f aca="false">IF(Locked!Q157="|",ROUND(Locked!N157,0),IF(Locked!Q157="V",ROUND(Locked!N157,-3),""))</f>
        <v>36248</v>
      </c>
      <c r="C29" s="75" t="n">
        <f aca="false">IF(B29="","",ROUND(Locked!O157,0))</f>
        <v>148</v>
      </c>
      <c r="D29" s="77" t="n">
        <f aca="false">IF(C29="","",(C29-C28)/(B29-B28))</f>
        <v>-0.000956937799043062</v>
      </c>
      <c r="E29" s="77" t="n">
        <f aca="false">IF(C29="","",IF(C30="",0,(C30-C29)/(B30-B29)))</f>
        <v>-0.000664893617021277</v>
      </c>
    </row>
    <row r="30" customFormat="false" ht="15" hidden="false" customHeight="false" outlineLevel="0" collapsed="false">
      <c r="A30" s="75" t="str">
        <f aca="false">IF(B30="","Unused","key =")</f>
        <v>key =</v>
      </c>
      <c r="B30" s="75" t="n">
        <f aca="false">IF(Locked!Q158="|",ROUND(Locked!N158,0),IF(Locked!Q158="V",ROUND(Locked!N158,-3),""))</f>
        <v>39256</v>
      </c>
      <c r="C30" s="75" t="n">
        <f aca="false">IF(B30="","",ROUND(Locked!O158,0))</f>
        <v>146</v>
      </c>
      <c r="D30" s="77" t="n">
        <f aca="false">IF(C30="","",(C30-C29)/(B30-B29))</f>
        <v>-0.000664893617021277</v>
      </c>
      <c r="E30" s="77" t="n">
        <f aca="false">IF(C30="","",IF(C31="",0,(C31-C30)/(B31-B30)))</f>
        <v>-0.000340599455040872</v>
      </c>
    </row>
    <row r="31" customFormat="false" ht="15" hidden="false" customHeight="false" outlineLevel="0" collapsed="false">
      <c r="A31" s="75" t="str">
        <f aca="false">IF(B31="","Unused","key =")</f>
        <v>key =</v>
      </c>
      <c r="B31" s="75" t="n">
        <f aca="false">IF(Locked!Q159="|",ROUND(Locked!N159,0),IF(Locked!Q159="V",ROUND(Locked!N159,-3),""))</f>
        <v>42192</v>
      </c>
      <c r="C31" s="75" t="n">
        <f aca="false">IF(B31="","",ROUND(Locked!O159,0))</f>
        <v>145</v>
      </c>
      <c r="D31" s="77" t="n">
        <f aca="false">IF(C31="","",(C31-C30)/(B31-B30))</f>
        <v>-0.000340599455040872</v>
      </c>
      <c r="E31" s="77" t="n">
        <f aca="false">IF(C31="","",IF(C32="",0,(C32-C31)/(B32-B31)))</f>
        <v>-0.000348189415041783</v>
      </c>
    </row>
    <row r="32" customFormat="false" ht="15" hidden="false" customHeight="false" outlineLevel="0" collapsed="false">
      <c r="A32" s="75" t="str">
        <f aca="false">IF(B32="","Unused","key =")</f>
        <v>key =</v>
      </c>
      <c r="B32" s="75" t="n">
        <f aca="false">IF(Locked!Q160="|",ROUND(Locked!N160,0),IF(Locked!Q160="V",ROUND(Locked!N160,-3),""))</f>
        <v>45064</v>
      </c>
      <c r="C32" s="75" t="n">
        <f aca="false">IF(B32="","",ROUND(Locked!O160,0))</f>
        <v>144</v>
      </c>
      <c r="D32" s="77" t="n">
        <f aca="false">IF(C32="","",(C32-C31)/(B32-B31))</f>
        <v>-0.000348189415041783</v>
      </c>
      <c r="E32" s="77" t="n">
        <f aca="false">IF(C32="","",IF(C33="",0,(C33-C32)/(B33-B32)))</f>
        <v>0</v>
      </c>
    </row>
    <row r="33" customFormat="false" ht="15" hidden="false" customHeight="false" outlineLevel="0" collapsed="false">
      <c r="A33" s="75" t="str">
        <f aca="false">IF(B33="","Unused","key =")</f>
        <v>key =</v>
      </c>
      <c r="B33" s="75" t="n">
        <f aca="false">IF(Locked!Q161="|",ROUND(Locked!N161,0),IF(Locked!Q161="V",ROUND(Locked!N161,-3),""))</f>
        <v>47884</v>
      </c>
      <c r="C33" s="75" t="n">
        <f aca="false">IF(B33="","",ROUND(Locked!O161,0))</f>
        <v>144</v>
      </c>
      <c r="D33" s="77" t="n">
        <f aca="false">IF(C33="","",(C33-C32)/(B33-B32))</f>
        <v>0</v>
      </c>
      <c r="E33" s="77" t="n">
        <f aca="false">IF(C33="","",IF(C34="",0,(C34-C33)/(B34-B33)))</f>
        <v>0</v>
      </c>
    </row>
    <row r="34" customFormat="false" ht="15" hidden="false" customHeight="false" outlineLevel="0" collapsed="false">
      <c r="A34" s="75" t="str">
        <f aca="false">IF(B34="","Unused","key =")</f>
        <v>key =</v>
      </c>
      <c r="B34" s="75" t="n">
        <f aca="false">IF(Locked!Q162="|",ROUND(Locked!N162,0),IF(Locked!Q162="V",ROUND(Locked!N162,-3),""))</f>
        <v>50661</v>
      </c>
      <c r="C34" s="75" t="n">
        <f aca="false">IF(B34="","",ROUND(Locked!O162,0))</f>
        <v>144</v>
      </c>
      <c r="D34" s="77" t="n">
        <f aca="false">IF(C34="","",(C34-C33)/(B34-B33))</f>
        <v>0</v>
      </c>
      <c r="E34" s="77" t="n">
        <f aca="false">IF(C34="","",IF(C35="",0,(C35-C34)/(B35-B34)))</f>
        <v>0</v>
      </c>
    </row>
    <row r="35" customFormat="false" ht="15" hidden="false" customHeight="false" outlineLevel="0" collapsed="false">
      <c r="A35" s="75" t="str">
        <f aca="false">IF(B35="","Unused","key =")</f>
        <v>key =</v>
      </c>
      <c r="B35" s="75" t="n">
        <f aca="false">IF(Locked!Q163="|",ROUND(Locked!N163,0),IF(Locked!Q163="V",ROUND(Locked!N163,-3),""))</f>
        <v>53398</v>
      </c>
      <c r="C35" s="75" t="n">
        <f aca="false">IF(B35="","",ROUND(Locked!O163,0))</f>
        <v>144</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IF(Locked!Q164="|",ROUND(Locked!N164,0),IF(Locked!Q164="V",ROUND(Locked!N164,-3),""))</f>
        <v>56117</v>
      </c>
      <c r="C36" s="75" t="n">
        <f aca="false">IF(B36="","",ROUND(Locked!O164,0))</f>
        <v>144</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IF(Locked!Q165="|",ROUND(Locked!N165,0),IF(Locked!Q165="V",ROUND(Locked!N165,-3),""))</f>
        <v>59000</v>
      </c>
      <c r="C37" s="75" t="n">
        <f aca="false">IF(B37="","",ROUND(Locked!O165,0))</f>
        <v>144</v>
      </c>
      <c r="D37" s="77" t="n">
        <f aca="false">IF(C37="","",(C37-C36)/(B37-B36))</f>
        <v>0</v>
      </c>
      <c r="E37" s="77" t="n">
        <f aca="false">IF(C37="","",IF(C38="",0,(C38-C37)/(B38-B37)))</f>
        <v>0</v>
      </c>
    </row>
    <row r="38" customFormat="false" ht="15" hidden="false" customHeight="false" outlineLevel="0" collapsed="false">
      <c r="A38" s="75" t="str">
        <f aca="false">IF(B38="","Unused","key =")</f>
        <v>Unused</v>
      </c>
      <c r="B38" s="75" t="str">
        <f aca="false">IF(Locked!Q166="|",ROUND(Locked!N166,0),IF(Locked!Q166="V",ROUND(Locked!N166,-3),""))</f>
        <v/>
      </c>
      <c r="C38" s="75" t="str">
        <f aca="false">IF(B38="","",ROUND(Locked!O166,0))</f>
        <v/>
      </c>
      <c r="D38" s="77" t="str">
        <f aca="false">IF(C38="","",(C38-C37)/(B38-B37))</f>
        <v/>
      </c>
      <c r="E38" s="77" t="str">
        <f aca="false">IF(C38="","",IF(C39="",0,(C39-C38)/(B39-B38)))</f>
        <v/>
      </c>
    </row>
    <row r="39" customFormat="false" ht="15" hidden="false" customHeight="false" outlineLevel="0" collapsed="false">
      <c r="A39" s="75" t="str">
        <f aca="false">IF(B39="","Unused","key =")</f>
        <v>Unused</v>
      </c>
      <c r="B39" s="75" t="str">
        <f aca="false">IF(Locked!Q167="|",ROUND(Locked!N167,0),IF(Locked!Q167="V",ROUND(Locked!N167,-3),""))</f>
        <v/>
      </c>
      <c r="C39" s="75" t="str">
        <f aca="false">IF(B39="","",ROUND(Locked!O167,0))</f>
        <v/>
      </c>
      <c r="D39" s="77" t="str">
        <f aca="false">IF(C39="","",(C39-C38)/(B39-B38))</f>
        <v/>
      </c>
      <c r="E39" s="77" t="str">
        <f aca="false">IF(C39="","",IF(C40="",0,(C40-C39)/(B40-B39)))</f>
        <v/>
      </c>
    </row>
    <row r="40" customFormat="false" ht="15" hidden="false" customHeight="false" outlineLevel="0" collapsed="false">
      <c r="A40" s="75" t="str">
        <f aca="false">IF(B40="","Unused","key =")</f>
        <v>Unused</v>
      </c>
      <c r="B40" s="75" t="str">
        <f aca="false">IF(Locked!Q168="|",ROUND(Locked!N168,0),IF(Locked!Q168="V",ROUND(Locked!N168,-3),""))</f>
        <v/>
      </c>
      <c r="C40" s="75" t="str">
        <f aca="false">IF(B40="","",ROUND(Locked!O168,0))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IF(Locked!Q169="|",ROUND(Locked!N169,0),IF(Locked!Q169="V",ROUND(Locked!N169,-3),""))</f>
        <v/>
      </c>
      <c r="C41" s="75" t="str">
        <f aca="false">IF(B41="","",ROUND(Locked!O169,0))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IF(Locked!Q170="|",ROUND(Locked!N170,0),IF(Locked!Q170="V",ROUND(Locked!N170,-3),""))</f>
        <v/>
      </c>
      <c r="C42" s="75" t="str">
        <f aca="false">IF(B42="","",ROUND(Locked!O170,0))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IF(Locked!Q171="|",ROUND(Locked!N171,0),IF(Locked!Q171="V",ROUND(Locked!N171,-3),""))</f>
        <v/>
      </c>
      <c r="C43" s="75" t="str">
        <f aca="false">IF(B43="","",ROUND(Locked!O171,0))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IF(Locked!Q172="|",ROUND(Locked!N172,0),IF(Locked!Q172="V",ROUND(Locked!N172,-3),""))</f>
        <v/>
      </c>
      <c r="C44" s="75" t="str">
        <f aca="false">IF(B44="","",ROUND(Locked!O172,0))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IF(Locked!Q173="|",ROUND(Locked!N173,0),IF(Locked!Q173="V",ROUND(Locked!N173,-3),""))</f>
        <v/>
      </c>
      <c r="C45" s="75" t="str">
        <f aca="false">IF(B45="","",ROUND(Locked!O173,0))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IF(Locked!Q174="|",ROUND(Locked!N174,0),IF(Locked!Q174="V",ROUND(Locked!N174,-3),""))</f>
        <v/>
      </c>
      <c r="C46" s="75" t="str">
        <f aca="false">IF(B46="","",ROUND(Locked!O174,0))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IF(Locked!Q175="|",ROUND(Locked!N175,0),IF(Locked!Q175="V",ROUND(Locked!N175,-3),""))</f>
        <v/>
      </c>
      <c r="C47" s="75" t="str">
        <f aca="false">IF(B47="","",ROUND(Locked!O175,0))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IF(Locked!Q176="|",ROUND(Locked!N176,0),IF(Locked!Q176="V",ROUND(Locked!N176,-3),""))</f>
        <v/>
      </c>
      <c r="C48" s="75" t="str">
        <f aca="false">IF(B48="","",ROUND(Locked!O176,0))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IF(Locked!Q177="|",ROUND(Locked!N177,0),IF(Locked!Q177="V",ROUND(Locked!N177,-3),""))</f>
        <v/>
      </c>
      <c r="C49" s="75" t="str">
        <f aca="false">IF(B49="","",ROUND(Locked!O177,0))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IF(Locked!Q178="|",ROUND(Locked!N178,0),IF(Locked!Q178="V",ROUND(Locked!N178,-3),""))</f>
        <v/>
      </c>
      <c r="C50" s="75" t="str">
        <f aca="false">IF(B50="","",ROUND(Locked!O178,0))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IF(Locked!Q179="|",ROUND(Locked!N179,0),IF(Locked!Q179="V",ROUND(Locked!N179,-3),""))</f>
        <v/>
      </c>
      <c r="C51" s="75" t="str">
        <f aca="false">IF(B51="","",ROUND(Locked!O179,0))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IF(Locked!Q180="|",ROUND(Locked!N180,0),IF(Locked!Q180="V",ROUND(Locked!N180,-3),""))</f>
        <v/>
      </c>
      <c r="C52" s="75" t="str">
        <f aca="false">IF(B52="","",ROUND(Locked!O180,0))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IF(Locked!Q181="|",ROUND(Locked!N181,0),IF(Locked!Q181="V",ROUND(Locked!N181,-3),""))</f>
        <v/>
      </c>
      <c r="C53" s="75" t="str">
        <f aca="false">IF(B53="","",ROUND(Locked!O181,0))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IF(Locked!Q182="|",ROUND(Locked!N182,0),IF(Locked!Q182="V",ROUND(Locked!N182,-3),""))</f>
        <v/>
      </c>
      <c r="C54" s="75" t="str">
        <f aca="false">IF(B54="","",ROUND(Locked!O182,0))</f>
        <v/>
      </c>
      <c r="D54" s="77" t="str">
        <f aca="false">IF(C54="","",(C54-C53)/(B54-B53))</f>
        <v/>
      </c>
      <c r="E54" s="77" t="str">
        <f aca="false">IF(C54="","",IF(C55="",0,(C55-C54)/(B55-B54)))</f>
        <v/>
      </c>
    </row>
    <row r="55" customFormat="false" ht="15" hidden="false" customHeight="false" outlineLevel="0" collapsed="false">
      <c r="A55" s="75" t="str">
        <f aca="false">IF(B55="","Unused","key =")</f>
        <v>Unused</v>
      </c>
      <c r="B55" s="75" t="str">
        <f aca="false">IF(Locked!Q183="|",ROUND(Locked!N183,0),IF(Locked!Q183="V",ROUND(Locked!N183,-3),""))</f>
        <v/>
      </c>
      <c r="C55" s="75" t="str">
        <f aca="false">IF(B55="","",ROUND(Locked!O183,0))</f>
        <v/>
      </c>
      <c r="D55" s="77" t="str">
        <f aca="false">IF(C55="","",(C55-C54)/(B55-B54))</f>
        <v/>
      </c>
      <c r="E55" s="77" t="str">
        <f aca="false">IF(C55="","",IF(C56="",0,(C56-C55)/(B56-B55)))</f>
        <v/>
      </c>
    </row>
    <row r="56" customFormat="false" ht="15" hidden="false" customHeight="false" outlineLevel="0" collapsed="false">
      <c r="A56" s="75" t="str">
        <f aca="false">IF(B56="","Unused","key =")</f>
        <v>Unused</v>
      </c>
      <c r="B56" s="75" t="str">
        <f aca="false">IF(Locked!Q184="|",ROUND(Locked!N184,0),IF(Locked!Q184="V",ROUND(Locked!N184,-3),""))</f>
        <v/>
      </c>
      <c r="C56" s="75" t="str">
        <f aca="false">IF(B56="","",ROUND(Locked!O184,0))</f>
        <v/>
      </c>
      <c r="D56" s="77" t="str">
        <f aca="false">IF(C56="","",(C56-C55)/(B56-B55))</f>
        <v/>
      </c>
      <c r="E56" s="77" t="str">
        <f aca="false">IF(C56="","",IF(C57="",0,(C57-C56)/(B57-B56)))</f>
        <v/>
      </c>
    </row>
    <row r="57" customFormat="false" ht="15" hidden="false" customHeight="false" outlineLevel="0" collapsed="false">
      <c r="A57" s="75" t="str">
        <f aca="false">IF(B57="","Unused","key =")</f>
        <v>Unused</v>
      </c>
      <c r="B57" s="75" t="str">
        <f aca="false">IF(Locked!Q185="|",ROUND(Locked!N185,0),IF(Locked!Q185="V",ROUND(Locked!N185,-3),""))</f>
        <v/>
      </c>
      <c r="C57" s="75" t="str">
        <f aca="false">IF(B57="","",ROUND(Locked!O185,0))</f>
        <v/>
      </c>
      <c r="D57" s="77" t="str">
        <f aca="false">IF(C57="","",(C57-C56)/(B57-B56))</f>
        <v/>
      </c>
      <c r="E57" s="77" t="str">
        <f aca="false">IF(C57="","",IF(C58="",0,(C58-C57)/(B58-B57)))</f>
        <v/>
      </c>
    </row>
    <row r="58" customFormat="false" ht="15" hidden="false" customHeight="false" outlineLevel="0" collapsed="false">
      <c r="A58" s="75" t="str">
        <f aca="false">IF(B58="","Unused","key =")</f>
        <v>Unused</v>
      </c>
      <c r="B58" s="75" t="str">
        <f aca="false">IF(Locked!Q186="|",ROUND(Locked!N186,0),IF(Locked!Q186="V",ROUND(Locked!N186,-3),""))</f>
        <v/>
      </c>
      <c r="C58" s="75" t="str">
        <f aca="false">IF(B58="","",ROUND(Locked!O186,0))</f>
        <v/>
      </c>
      <c r="D58" s="77" t="str">
        <f aca="false">IF(C58="","",(C58-C57)/(B58-B57))</f>
        <v/>
      </c>
      <c r="E58" s="77" t="str">
        <f aca="false">IF(C58="","",IF(C59="",0,(C59-C58)/(B59-B58)))</f>
        <v/>
      </c>
    </row>
    <row r="59" customFormat="false" ht="15" hidden="false" customHeight="false" outlineLevel="0" collapsed="false">
      <c r="A59" s="75" t="str">
        <f aca="false">IF(B59="","Unused","key =")</f>
        <v>Unused</v>
      </c>
      <c r="B59" s="75" t="str">
        <f aca="false">IF(Locked!Q187="|",ROUND(Locked!N187,0),IF(Locked!Q187="V",ROUND(Locked!N187,-3),""))</f>
        <v/>
      </c>
      <c r="C59" s="75" t="str">
        <f aca="false">IF(B59="","",ROUND(Locked!O187,0))</f>
        <v/>
      </c>
      <c r="D59" s="77" t="str">
        <f aca="false">IF(C59="","",(C59-C58)/(B59-B58))</f>
        <v/>
      </c>
      <c r="E59" s="77" t="str">
        <f aca="false">IF(C59="","",IF(C60="",0,(C60-C59)/(B60-B59)))</f>
        <v/>
      </c>
    </row>
    <row r="60" customFormat="false" ht="15" hidden="false" customHeight="false" outlineLevel="0" collapsed="false">
      <c r="A60" s="75" t="str">
        <f aca="false">IF(B60="","Unused","key =")</f>
        <v>Unused</v>
      </c>
      <c r="B60" s="75" t="str">
        <f aca="false">IF(Locked!Q188="|",ROUND(Locked!N188,0),IF(Locked!Q188="V",ROUND(Locked!N188,-3),""))</f>
        <v/>
      </c>
      <c r="C60" s="75" t="str">
        <f aca="false">IF(B60="","",ROUND(Locked!O188,0))</f>
        <v/>
      </c>
      <c r="D60" s="77" t="str">
        <f aca="false">IF(C60="","",(C60-C59)/(B60-B59))</f>
        <v/>
      </c>
      <c r="E60" s="77" t="str">
        <f aca="false">IF(C60="","",IF(C61="",0,(C61-C60)/(B61-B60)))</f>
        <v/>
      </c>
    </row>
    <row r="61" customFormat="false" ht="15" hidden="false" customHeight="false" outlineLevel="0" collapsed="false">
      <c r="A61" s="75" t="str">
        <f aca="false">IF(B61="","Unused","key =")</f>
        <v>Unused</v>
      </c>
      <c r="B61" s="75" t="str">
        <f aca="false">IF(Locked!Q189="|",ROUND(Locked!N189,0),IF(Locked!Q189="V",ROUND(Locked!N189,-3),""))</f>
        <v/>
      </c>
      <c r="C61" s="75" t="str">
        <f aca="false">IF(B61="","",ROUND(Locked!O189,0))</f>
        <v/>
      </c>
      <c r="D61" s="77" t="str">
        <f aca="false">IF(C61="","",(C61-C60)/(B61-B60))</f>
        <v/>
      </c>
      <c r="E61" s="77" t="str">
        <f aca="false">IF(C61="","",IF(C62="",0,(C62-C61)/(B62-B61)))</f>
        <v/>
      </c>
    </row>
    <row r="62" customFormat="false" ht="15" hidden="false" customHeight="false" outlineLevel="0" collapsed="false">
      <c r="A62" s="72" t="s">
        <v>212</v>
      </c>
      <c r="B62" s="75"/>
      <c r="C62" s="75"/>
      <c r="D62" s="77"/>
      <c r="E62" s="77"/>
    </row>
    <row r="63" customFormat="false" ht="15" hidden="false" customHeight="false" outlineLevel="0" collapsed="false">
      <c r="A63" s="72" t="s">
        <v>226</v>
      </c>
      <c r="B63" s="75"/>
      <c r="C63" s="75"/>
      <c r="D63" s="77"/>
      <c r="E63" s="77"/>
    </row>
    <row r="64" customFormat="false" ht="15" hidden="false" customHeight="false" outlineLevel="0" collapsed="false">
      <c r="A64" s="72" t="s">
        <v>209</v>
      </c>
      <c r="B64" s="75"/>
      <c r="C64" s="75"/>
      <c r="D64" s="77"/>
      <c r="E64" s="77"/>
    </row>
    <row r="65" customFormat="false" ht="15" hidden="false" customHeight="false" outlineLevel="0" collapsed="false">
      <c r="A65" s="75" t="str">
        <f aca="false">IF(B65="","Unused","key =")</f>
        <v>key =</v>
      </c>
      <c r="B65" s="75" t="n">
        <f aca="false">IF(Locked!Q147="|",ROUND(Locked!N147,0),IF(Locked!Q147="V",ROUND(Locked!N147,-3),""))</f>
        <v>0</v>
      </c>
      <c r="C65" s="76" t="n">
        <f aca="false">IF(B65="","",ROUND(Locked!P147,3))</f>
        <v>1</v>
      </c>
      <c r="D65" s="77" t="n">
        <v>0</v>
      </c>
      <c r="E65" s="77" t="n">
        <f aca="false">(C66-C65)/(B66-B65)</f>
        <v>-9.35672514619884E-006</v>
      </c>
    </row>
    <row r="66" customFormat="false" ht="15" hidden="false" customHeight="false" outlineLevel="0" collapsed="false">
      <c r="A66" s="75" t="str">
        <f aca="false">IF(B66="","Unused","key =")</f>
        <v>key =</v>
      </c>
      <c r="B66" s="75" t="n">
        <f aca="false">IF(Locked!Q148="|",ROUND(Locked!N148,0),IF(Locked!Q148="V",ROUND(Locked!N148,-3),""))</f>
        <v>4275</v>
      </c>
      <c r="C66" s="76" t="n">
        <f aca="false">IF(B66="","",ROUND(Locked!P148,3))</f>
        <v>0.96</v>
      </c>
      <c r="D66" s="77" t="n">
        <f aca="false">IF(C66="","",(C66-C65)/(B66-B65))</f>
        <v>-9.35672514619884E-006</v>
      </c>
      <c r="E66" s="77" t="n">
        <f aca="false">IF(C66="","",IF(C67="",0,(C67-C66)/(B67-B66)))</f>
        <v>-9.50987564008777E-006</v>
      </c>
    </row>
    <row r="67" customFormat="false" ht="15" hidden="false" customHeight="false" outlineLevel="0" collapsed="false">
      <c r="A67" s="75" t="str">
        <f aca="false">IF(B67="","Unused","key =")</f>
        <v>key =</v>
      </c>
      <c r="B67" s="75" t="n">
        <f aca="false">IF(Locked!Q149="|",ROUND(Locked!N149,0),IF(Locked!Q149="V",ROUND(Locked!N149,-3),""))</f>
        <v>8376</v>
      </c>
      <c r="C67" s="76" t="n">
        <f aca="false">IF(B67="","",ROUND(Locked!P149,3))</f>
        <v>0.921</v>
      </c>
      <c r="D67" s="77" t="n">
        <f aca="false">IF(C67="","",(C67-C66)/(B67-B66))</f>
        <v>-9.50987564008777E-006</v>
      </c>
      <c r="E67" s="77" t="n">
        <f aca="false">IF(C67="","",IF(C68="",0,(C68-C67)/(B68-B67)))</f>
        <v>-9.64711855800966E-006</v>
      </c>
    </row>
    <row r="68" customFormat="false" ht="15" hidden="false" customHeight="false" outlineLevel="0" collapsed="false">
      <c r="A68" s="75" t="str">
        <f aca="false">IF(B68="","Unused","key =")</f>
        <v>key =</v>
      </c>
      <c r="B68" s="75" t="n">
        <f aca="false">IF(Locked!Q150="|",ROUND(Locked!N150,0),IF(Locked!Q150="V",ROUND(Locked!N150,-3),""))</f>
        <v>12315</v>
      </c>
      <c r="C68" s="76" t="n">
        <f aca="false">IF(B68="","",ROUND(Locked!P150,3))</f>
        <v>0.883</v>
      </c>
      <c r="D68" s="77" t="n">
        <f aca="false">IF(C68="","",(C68-C67)/(B68-B67))</f>
        <v>-9.64711855800966E-006</v>
      </c>
      <c r="E68" s="77" t="n">
        <f aca="false">IF(C68="","",IF(C69="",0,(C69-C68)/(B69-B68)))</f>
        <v>-9.51122853368561E-006</v>
      </c>
    </row>
    <row r="69" customFormat="false" ht="15" hidden="false" customHeight="false" outlineLevel="0" collapsed="false">
      <c r="A69" s="75" t="str">
        <f aca="false">IF(B69="","Unused","key =")</f>
        <v>key =</v>
      </c>
      <c r="B69" s="75" t="n">
        <f aca="false">IF(Locked!Q151="|",ROUND(Locked!N151,0),IF(Locked!Q151="V",ROUND(Locked!N151,-3),""))</f>
        <v>16100</v>
      </c>
      <c r="C69" s="76" t="n">
        <f aca="false">IF(B69="","",ROUND(Locked!P151,3))</f>
        <v>0.847</v>
      </c>
      <c r="D69" s="77" t="n">
        <f aca="false">IF(C69="","",(C69-C68)/(B69-B68))</f>
        <v>-9.51122853368561E-006</v>
      </c>
      <c r="E69" s="77" t="n">
        <f aca="false">IF(C69="","",IF(C70="",0,(C70-C69)/(B70-B69)))</f>
        <v>-9.87654320987652E-006</v>
      </c>
    </row>
    <row r="70" customFormat="false" ht="15" hidden="false" customHeight="false" outlineLevel="0" collapsed="false">
      <c r="A70" s="75" t="str">
        <f aca="false">IF(B70="","Unused","key =")</f>
        <v>key =</v>
      </c>
      <c r="B70" s="75" t="n">
        <f aca="false">IF(Locked!Q152="|",ROUND(Locked!N152,0),IF(Locked!Q152="V",ROUND(Locked!N152,-3),""))</f>
        <v>19745</v>
      </c>
      <c r="C70" s="76" t="n">
        <f aca="false">IF(B70="","",ROUND(Locked!P152,3))</f>
        <v>0.811</v>
      </c>
      <c r="D70" s="77" t="n">
        <f aca="false">IF(C70="","",(C70-C69)/(B70-B69))</f>
        <v>-9.87654320987652E-006</v>
      </c>
      <c r="E70" s="77" t="n">
        <f aca="false">IF(C70="","",IF(C71="",0,(C71-C70)/(B71-B70)))</f>
        <v>-9.96299459151723E-006</v>
      </c>
    </row>
    <row r="71" customFormat="false" ht="15" hidden="false" customHeight="false" outlineLevel="0" collapsed="false">
      <c r="A71" s="75" t="str">
        <f aca="false">IF(B71="","Unused","key =")</f>
        <v>key =</v>
      </c>
      <c r="B71" s="75" t="n">
        <f aca="false">IF(Locked!Q153="|",ROUND(Locked!N153,0),IF(Locked!Q153="V",ROUND(Locked!N153,-3),""))</f>
        <v>23258</v>
      </c>
      <c r="C71" s="76" t="n">
        <f aca="false">IF(B71="","",ROUND(Locked!P153,3))</f>
        <v>0.776</v>
      </c>
      <c r="D71" s="77" t="n">
        <f aca="false">IF(C71="","",(C71-C70)/(B71-B70))</f>
        <v>-9.96299459151723E-006</v>
      </c>
      <c r="E71" s="77" t="n">
        <f aca="false">IF(C71="","",IF(C72="",0,(C72-C71)/(B72-B71)))</f>
        <v>-1.00235849056604E-005</v>
      </c>
    </row>
    <row r="72" customFormat="false" ht="15" hidden="false" customHeight="false" outlineLevel="0" collapsed="false">
      <c r="A72" s="75" t="str">
        <f aca="false">IF(B72="","Unused","key =")</f>
        <v>key =</v>
      </c>
      <c r="B72" s="75" t="n">
        <f aca="false">IF(Locked!Q154="|",ROUND(Locked!N154,0),IF(Locked!Q154="V",ROUND(Locked!N154,-3),""))</f>
        <v>26650</v>
      </c>
      <c r="C72" s="76" t="n">
        <f aca="false">IF(B72="","",ROUND(Locked!P154,3))</f>
        <v>0.742</v>
      </c>
      <c r="D72" s="77" t="n">
        <f aca="false">IF(C72="","",(C72-C71)/(B72-B71))</f>
        <v>-1.00235849056604E-005</v>
      </c>
      <c r="E72" s="77" t="n">
        <f aca="false">IF(C72="","",IF(C73="",0,(C73-C72)/(B73-B72)))</f>
        <v>-1.06642291285801E-005</v>
      </c>
    </row>
    <row r="73" customFormat="false" ht="15" hidden="false" customHeight="false" outlineLevel="0" collapsed="false">
      <c r="A73" s="75" t="str">
        <f aca="false">IF(B73="","Unused","key =")</f>
        <v>key =</v>
      </c>
      <c r="B73" s="75" t="n">
        <f aca="false">IF(Locked!Q155="|",ROUND(Locked!N155,0),IF(Locked!Q155="V",ROUND(Locked!N155,-3),""))</f>
        <v>29932</v>
      </c>
      <c r="C73" s="76" t="n">
        <f aca="false">IF(B73="","",ROUND(Locked!P155,3))</f>
        <v>0.707</v>
      </c>
      <c r="D73" s="77" t="n">
        <f aca="false">IF(C73="","",(C73-C72)/(B73-B72))</f>
        <v>-1.06642291285801E-005</v>
      </c>
      <c r="E73" s="77" t="n">
        <f aca="false">IF(C73="","",IF(C74="",0,(C74-C73)/(B74-B73)))</f>
        <v>-1.06884627475636E-005</v>
      </c>
    </row>
    <row r="74" customFormat="false" ht="15" hidden="false" customHeight="false" outlineLevel="0" collapsed="false">
      <c r="A74" s="75" t="str">
        <f aca="false">IF(B74="","Unused","key =")</f>
        <v>key =</v>
      </c>
      <c r="B74" s="75" t="n">
        <f aca="false">IF(Locked!Q156="|",ROUND(Locked!N156,0),IF(Locked!Q156="V",ROUND(Locked!N156,-3),""))</f>
        <v>33113</v>
      </c>
      <c r="C74" s="76" t="n">
        <f aca="false">IF(B74="","",ROUND(Locked!P156,3))</f>
        <v>0.673</v>
      </c>
      <c r="D74" s="77" t="n">
        <f aca="false">IF(C74="","",(C74-C73)/(B74-B73))</f>
        <v>-1.06884627475636E-005</v>
      </c>
      <c r="E74" s="77" t="n">
        <f aca="false">IF(C74="","",IF(C75="",0,(C75-C74)/(B75-B74)))</f>
        <v>-1.08452950558214E-005</v>
      </c>
    </row>
    <row r="75" customFormat="false" ht="15" hidden="false" customHeight="false" outlineLevel="0" collapsed="false">
      <c r="A75" s="75" t="str">
        <f aca="false">IF(B75="","Unused","key =")</f>
        <v>key =</v>
      </c>
      <c r="B75" s="75" t="n">
        <f aca="false">IF(Locked!Q157="|",ROUND(Locked!N157,0),IF(Locked!Q157="V",ROUND(Locked!N157,-3),""))</f>
        <v>36248</v>
      </c>
      <c r="C75" s="76" t="n">
        <f aca="false">IF(B75="","",ROUND(Locked!P157,3))</f>
        <v>0.639</v>
      </c>
      <c r="D75" s="77" t="n">
        <f aca="false">IF(C75="","",(C75-C74)/(B75-B74))</f>
        <v>-1.08452950558214E-005</v>
      </c>
      <c r="E75" s="77" t="n">
        <f aca="false">IF(C75="","",IF(C76="",0,(C76-C75)/(B76-B75)))</f>
        <v>-1.13031914893617E-005</v>
      </c>
    </row>
    <row r="76" customFormat="false" ht="15" hidden="false" customHeight="false" outlineLevel="0" collapsed="false">
      <c r="A76" s="75" t="str">
        <f aca="false">IF(B76="","Unused","key =")</f>
        <v>key =</v>
      </c>
      <c r="B76" s="75" t="n">
        <f aca="false">IF(Locked!Q158="|",ROUND(Locked!N158,0),IF(Locked!Q158="V",ROUND(Locked!N158,-3),""))</f>
        <v>39256</v>
      </c>
      <c r="C76" s="76" t="n">
        <f aca="false">IF(B76="","",ROUND(Locked!P158,3))</f>
        <v>0.605</v>
      </c>
      <c r="D76" s="77" t="n">
        <f aca="false">IF(C76="","",(C76-C75)/(B76-B75))</f>
        <v>-1.13031914893617E-005</v>
      </c>
      <c r="E76" s="77" t="n">
        <f aca="false">IF(C76="","",IF(C77="",0,(C77-C76)/(B77-B76)))</f>
        <v>-1.19209809264305E-005</v>
      </c>
    </row>
    <row r="77" customFormat="false" ht="15" hidden="false" customHeight="false" outlineLevel="0" collapsed="false">
      <c r="A77" s="75" t="str">
        <f aca="false">IF(B77="","Unused","key =")</f>
        <v>key =</v>
      </c>
      <c r="B77" s="75" t="n">
        <f aca="false">IF(Locked!Q159="|",ROUND(Locked!N159,0),IF(Locked!Q159="V",ROUND(Locked!N159,-3),""))</f>
        <v>42192</v>
      </c>
      <c r="C77" s="76" t="n">
        <f aca="false">IF(B77="","",ROUND(Locked!P159,3))</f>
        <v>0.57</v>
      </c>
      <c r="D77" s="77" t="n">
        <f aca="false">IF(C77="","",(C77-C76)/(B77-B76))</f>
        <v>-1.19209809264305E-005</v>
      </c>
      <c r="E77" s="77" t="n">
        <f aca="false">IF(C77="","",IF(C78="",0,(C78-C77)/(B78-B77)))</f>
        <v>-1.25348189415042E-005</v>
      </c>
    </row>
    <row r="78" customFormat="false" ht="15" hidden="false" customHeight="false" outlineLevel="0" collapsed="false">
      <c r="A78" s="75" t="str">
        <f aca="false">IF(B78="","Unused","key =")</f>
        <v>key =</v>
      </c>
      <c r="B78" s="75" t="n">
        <f aca="false">IF(Locked!Q160="|",ROUND(Locked!N160,0),IF(Locked!Q160="V",ROUND(Locked!N160,-3),""))</f>
        <v>45064</v>
      </c>
      <c r="C78" s="76" t="n">
        <f aca="false">IF(B78="","",ROUND(Locked!P160,3))</f>
        <v>0.534</v>
      </c>
      <c r="D78" s="77" t="n">
        <f aca="false">IF(C78="","",(C78-C77)/(B78-B77))</f>
        <v>-1.25348189415042E-005</v>
      </c>
      <c r="E78" s="77" t="n">
        <f aca="false">IF(C78="","",IF(C79="",0,(C79-C78)/(B79-B78)))</f>
        <v>-1.06382978723404E-005</v>
      </c>
    </row>
    <row r="79" customFormat="false" ht="15" hidden="false" customHeight="false" outlineLevel="0" collapsed="false">
      <c r="A79" s="75" t="str">
        <f aca="false">IF(B79="","Unused","key =")</f>
        <v>key =</v>
      </c>
      <c r="B79" s="75" t="n">
        <f aca="false">IF(Locked!Q161="|",ROUND(Locked!N161,0),IF(Locked!Q161="V",ROUND(Locked!N161,-3),""))</f>
        <v>47884</v>
      </c>
      <c r="C79" s="76" t="n">
        <f aca="false">IF(B79="","",ROUND(Locked!P161,3))</f>
        <v>0.504</v>
      </c>
      <c r="D79" s="77" t="n">
        <f aca="false">IF(C79="","",(C79-C78)/(B79-B78))</f>
        <v>-1.06382978723404E-005</v>
      </c>
      <c r="E79" s="77" t="n">
        <f aca="false">IF(C79="","",IF(C80="",0,(C80-C79)/(B80-B79)))</f>
        <v>-1.04429240187253E-005</v>
      </c>
    </row>
    <row r="80" customFormat="false" ht="15" hidden="false" customHeight="false" outlineLevel="0" collapsed="false">
      <c r="A80" s="75" t="str">
        <f aca="false">IF(B80="","Unused","key =")</f>
        <v>key =</v>
      </c>
      <c r="B80" s="75" t="n">
        <f aca="false">IF(Locked!Q162="|",ROUND(Locked!N162,0),IF(Locked!Q162="V",ROUND(Locked!N162,-3),""))</f>
        <v>50661</v>
      </c>
      <c r="C80" s="76" t="n">
        <f aca="false">IF(B80="","",ROUND(Locked!P162,3))</f>
        <v>0.475</v>
      </c>
      <c r="D80" s="77" t="n">
        <f aca="false">IF(C80="","",(C80-C79)/(B80-B79))</f>
        <v>-1.04429240187253E-005</v>
      </c>
      <c r="E80" s="77" t="n">
        <f aca="false">IF(C80="","",IF(C81="",0,(C81-C80)/(B81-B80)))</f>
        <v>-9.86481549141395E-006</v>
      </c>
    </row>
    <row r="81" customFormat="false" ht="15" hidden="false" customHeight="false" outlineLevel="0" collapsed="false">
      <c r="A81" s="75" t="str">
        <f aca="false">IF(B81="","Unused","key =")</f>
        <v>key =</v>
      </c>
      <c r="B81" s="75" t="n">
        <f aca="false">IF(Locked!Q163="|",ROUND(Locked!N163,0),IF(Locked!Q163="V",ROUND(Locked!N163,-3),""))</f>
        <v>53398</v>
      </c>
      <c r="C81" s="76" t="n">
        <f aca="false">IF(B81="","",ROUND(Locked!P163,3))</f>
        <v>0.448</v>
      </c>
      <c r="D81" s="77" t="n">
        <f aca="false">IF(C81="","",(C81-C80)/(B81-B80))</f>
        <v>-9.86481549141395E-006</v>
      </c>
      <c r="E81" s="77" t="n">
        <f aca="false">IF(C81="","",IF(C82="",0,(C82-C81)/(B82-B81)))</f>
        <v>-9.56233909525562E-006</v>
      </c>
    </row>
    <row r="82" customFormat="false" ht="15" hidden="false" customHeight="false" outlineLevel="0" collapsed="false">
      <c r="A82" s="75" t="str">
        <f aca="false">IF(B82="","Unused","key =")</f>
        <v>key =</v>
      </c>
      <c r="B82" s="75" t="n">
        <f aca="false">IF(Locked!Q164="|",ROUND(Locked!N164,0),IF(Locked!Q164="V",ROUND(Locked!N164,-3),""))</f>
        <v>56117</v>
      </c>
      <c r="C82" s="76" t="n">
        <f aca="false">IF(B82="","",ROUND(Locked!P164,3))</f>
        <v>0.422</v>
      </c>
      <c r="D82" s="77" t="n">
        <f aca="false">IF(C82="","",(C82-C81)/(B82-B81))</f>
        <v>-9.56233909525562E-006</v>
      </c>
      <c r="E82" s="77" t="n">
        <f aca="false">IF(C82="","",IF(C83="",0,(C83-C82)/(B83-B82)))</f>
        <v>-8.32466181061393E-006</v>
      </c>
    </row>
    <row r="83" customFormat="false" ht="15" hidden="false" customHeight="false" outlineLevel="0" collapsed="false">
      <c r="A83" s="75" t="str">
        <f aca="false">IF(B83="","Unused","key =")</f>
        <v>key =</v>
      </c>
      <c r="B83" s="75" t="n">
        <f aca="false">IF(Locked!Q165="|",ROUND(Locked!N165,0),IF(Locked!Q165="V",ROUND(Locked!N165,-3),""))</f>
        <v>59000</v>
      </c>
      <c r="C83" s="76" t="n">
        <f aca="false">IF(B83="","",ROUND(Locked!P165,3))</f>
        <v>0.398</v>
      </c>
      <c r="D83" s="77" t="n">
        <f aca="false">IF(C83="","",(C83-C82)/(B83-B82))</f>
        <v>-8.32466181061393E-006</v>
      </c>
      <c r="E83" s="77" t="n">
        <f aca="false">IF(C83="","",IF(C84="",0,(C84-C83)/(B84-B83)))</f>
        <v>0</v>
      </c>
    </row>
    <row r="84" customFormat="false" ht="15" hidden="false" customHeight="false" outlineLevel="0" collapsed="false">
      <c r="A84" s="75" t="str">
        <f aca="false">IF(B84="","Unused","key =")</f>
        <v>Unused</v>
      </c>
      <c r="B84" s="75" t="str">
        <f aca="false">IF(Locked!Q166="|",ROUND(Locked!N166,0),IF(Locked!Q166="V",ROUND(Locked!N166,-3),""))</f>
        <v/>
      </c>
      <c r="C84" s="76" t="str">
        <f aca="false">IF(B84="","",ROUND(Locked!P166,3))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IF(Locked!Q167="|",ROUND(Locked!N167,0),IF(Locked!Q167="V",ROUND(Locked!N167,-3),""))</f>
        <v/>
      </c>
      <c r="C85" s="76" t="str">
        <f aca="false">IF(B85="","",ROUND(Locked!P167,3))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IF(Locked!Q168="|",ROUND(Locked!N168,0),IF(Locked!Q168="V",ROUND(Locked!N168,-3),""))</f>
        <v/>
      </c>
      <c r="C86" s="76" t="str">
        <f aca="false">IF(B86="","",ROUND(Locked!P168,3))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IF(Locked!Q169="|",ROUND(Locked!N169,0),IF(Locked!Q169="V",ROUND(Locked!N169,-3),""))</f>
        <v/>
      </c>
      <c r="C87" s="76" t="str">
        <f aca="false">IF(B87="","",ROUND(Locked!P169,3))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IF(Locked!Q170="|",ROUND(Locked!N170,0),IF(Locked!Q170="V",ROUND(Locked!N170,-3),""))</f>
        <v/>
      </c>
      <c r="C88" s="76" t="str">
        <f aca="false">IF(B88="","",ROUND(Locked!P170,3))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IF(Locked!Q171="|",ROUND(Locked!N171,0),IF(Locked!Q171="V",ROUND(Locked!N171,-3),""))</f>
        <v/>
      </c>
      <c r="C89" s="76" t="str">
        <f aca="false">IF(B89="","",ROUND(Locked!P171,3))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IF(Locked!Q172="|",ROUND(Locked!N172,0),IF(Locked!Q172="V",ROUND(Locked!N172,-3),""))</f>
        <v/>
      </c>
      <c r="C90" s="76" t="str">
        <f aca="false">IF(B90="","",ROUND(Locked!P172,3))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IF(Locked!Q173="|",ROUND(Locked!N173,0),IF(Locked!Q173="V",ROUND(Locked!N173,-3),""))</f>
        <v/>
      </c>
      <c r="C91" s="76" t="str">
        <f aca="false">IF(B91="","",ROUND(Locked!P173,3))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IF(Locked!Q174="|",ROUND(Locked!N174,0),IF(Locked!Q174="V",ROUND(Locked!N174,-3),""))</f>
        <v/>
      </c>
      <c r="C92" s="76" t="str">
        <f aca="false">IF(B92="","",ROUND(Locked!P174,3))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IF(Locked!Q175="|",ROUND(Locked!N175,0),IF(Locked!Q175="V",ROUND(Locked!N175,-3),""))</f>
        <v/>
      </c>
      <c r="C93" s="76" t="str">
        <f aca="false">IF(B93="","",ROUND(Locked!P175,3))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IF(Locked!Q176="|",ROUND(Locked!N176,0),IF(Locked!Q176="V",ROUND(Locked!N176,-3),""))</f>
        <v/>
      </c>
      <c r="C94" s="76" t="str">
        <f aca="false">IF(B94="","",ROUND(Locked!P176,3))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IF(Locked!Q177="|",ROUND(Locked!N177,0),IF(Locked!Q177="V",ROUND(Locked!N177,-3),""))</f>
        <v/>
      </c>
      <c r="C95" s="76" t="str">
        <f aca="false">IF(B95="","",ROUND(Locked!P177,3))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IF(Locked!Q178="|",ROUND(Locked!N178,0),IF(Locked!Q178="V",ROUND(Locked!N178,-3),""))</f>
        <v/>
      </c>
      <c r="C96" s="76" t="str">
        <f aca="false">IF(B96="","",ROUND(Locked!P178,3))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IF(Locked!Q179="|",ROUND(Locked!N179,0),IF(Locked!Q179="V",ROUND(Locked!N179,-3),""))</f>
        <v/>
      </c>
      <c r="C97" s="76" t="str">
        <f aca="false">IF(B97="","",ROUND(Locked!P179,3))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IF(Locked!Q180="|",ROUND(Locked!N180,0),IF(Locked!Q180="V",ROUND(Locked!N180,-3),""))</f>
        <v/>
      </c>
      <c r="C98" s="76" t="str">
        <f aca="false">IF(B98="","",ROUND(Locked!P180,3))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IF(Locked!Q181="|",ROUND(Locked!N181,0),IF(Locked!Q181="V",ROUND(Locked!N181,-3),""))</f>
        <v/>
      </c>
      <c r="C99" s="76" t="str">
        <f aca="false">IF(B99="","",ROUND(Locked!P181,3))</f>
        <v/>
      </c>
      <c r="D99" s="77" t="str">
        <f aca="false">IF(C99="","",(C99-C98)/(B99-B98))</f>
        <v/>
      </c>
      <c r="E99" s="77" t="str">
        <f aca="false">IF(C99="","",IF(C100="",0,(C100-C99)/(B100-B99)))</f>
        <v/>
      </c>
    </row>
    <row r="100" customFormat="false" ht="15" hidden="false" customHeight="false" outlineLevel="0" collapsed="false">
      <c r="A100" s="75" t="str">
        <f aca="false">IF(B100="","Unused","key =")</f>
        <v>Unused</v>
      </c>
      <c r="B100" s="75" t="str">
        <f aca="false">IF(Locked!Q182="|",ROUND(Locked!N182,0),IF(Locked!Q182="V",ROUND(Locked!N182,-3),""))</f>
        <v/>
      </c>
      <c r="C100" s="76" t="str">
        <f aca="false">IF(B100="","",ROUND(Locked!P182,3))</f>
        <v/>
      </c>
      <c r="D100" s="77" t="str">
        <f aca="false">IF(C100="","",(C100-C99)/(B100-B99))</f>
        <v/>
      </c>
      <c r="E100" s="77" t="str">
        <f aca="false">IF(C100="","",IF(C101="",0,(C101-C100)/(B101-B100)))</f>
        <v/>
      </c>
    </row>
    <row r="101" customFormat="false" ht="15" hidden="false" customHeight="false" outlineLevel="0" collapsed="false">
      <c r="A101" s="75" t="str">
        <f aca="false">IF(B101="","Unused","key =")</f>
        <v>Unused</v>
      </c>
      <c r="B101" s="75" t="str">
        <f aca="false">IF(Locked!Q183="|",ROUND(Locked!N183,0),IF(Locked!Q183="V",ROUND(Locked!N183,-3),""))</f>
        <v/>
      </c>
      <c r="C101" s="76" t="str">
        <f aca="false">IF(B101="","",ROUND(Locked!P183,3))</f>
        <v/>
      </c>
      <c r="D101" s="77" t="str">
        <f aca="false">IF(C101="","",(C101-C100)/(B101-B100))</f>
        <v/>
      </c>
      <c r="E101" s="77" t="str">
        <f aca="false">IF(C101="","",IF(C102="",0,(C102-C101)/(B102-B101)))</f>
        <v/>
      </c>
    </row>
    <row r="102" customFormat="false" ht="15" hidden="false" customHeight="false" outlineLevel="0" collapsed="false">
      <c r="A102" s="75" t="str">
        <f aca="false">IF(B102="","Unused","key =")</f>
        <v>Unused</v>
      </c>
      <c r="B102" s="75" t="str">
        <f aca="false">IF(Locked!Q184="|",ROUND(Locked!N184,0),IF(Locked!Q184="V",ROUND(Locked!N184,-3),""))</f>
        <v/>
      </c>
      <c r="C102" s="76" t="str">
        <f aca="false">IF(B102="","",ROUND(Locked!P184,3))</f>
        <v/>
      </c>
      <c r="D102" s="77" t="str">
        <f aca="false">IF(C102="","",(C102-C101)/(B102-B101))</f>
        <v/>
      </c>
      <c r="E102" s="77" t="str">
        <f aca="false">IF(C102="","",IF(C103="",0,(C103-C102)/(B103-B102)))</f>
        <v/>
      </c>
    </row>
    <row r="103" customFormat="false" ht="15" hidden="false" customHeight="false" outlineLevel="0" collapsed="false">
      <c r="A103" s="75" t="str">
        <f aca="false">IF(B103="","Unused","key =")</f>
        <v>Unused</v>
      </c>
      <c r="B103" s="75" t="str">
        <f aca="false">IF(Locked!Q185="|",ROUND(Locked!N185,0),IF(Locked!Q185="V",ROUND(Locked!N185,-3),""))</f>
        <v/>
      </c>
      <c r="C103" s="76" t="str">
        <f aca="false">IF(B103="","",ROUND(Locked!P185,3))</f>
        <v/>
      </c>
      <c r="D103" s="77" t="str">
        <f aca="false">IF(C103="","",(C103-C102)/(B103-B102))</f>
        <v/>
      </c>
      <c r="E103" s="77" t="str">
        <f aca="false">IF(C103="","",IF(C104="",0,(C104-C103)/(B104-B103)))</f>
        <v/>
      </c>
    </row>
    <row r="104" customFormat="false" ht="15" hidden="false" customHeight="false" outlineLevel="0" collapsed="false">
      <c r="A104" s="75" t="str">
        <f aca="false">IF(B104="","Unused","key =")</f>
        <v>Unused</v>
      </c>
      <c r="B104" s="75" t="str">
        <f aca="false">IF(Locked!Q186="|",ROUND(Locked!N186,0),IF(Locked!Q186="V",ROUND(Locked!N186,-3),""))</f>
        <v/>
      </c>
      <c r="C104" s="76" t="str">
        <f aca="false">IF(B104="","",ROUND(Locked!P186,3))</f>
        <v/>
      </c>
      <c r="D104" s="77" t="str">
        <f aca="false">IF(C104="","",(C104-C103)/(B104-B103))</f>
        <v/>
      </c>
      <c r="E104" s="77" t="str">
        <f aca="false">IF(C104="","",IF(C105="",0,(C105-C104)/(B105-B104)))</f>
        <v/>
      </c>
    </row>
    <row r="105" customFormat="false" ht="15" hidden="false" customHeight="false" outlineLevel="0" collapsed="false">
      <c r="A105" s="75" t="str">
        <f aca="false">IF(B105="","Unused","key =")</f>
        <v>Unused</v>
      </c>
      <c r="B105" s="75" t="str">
        <f aca="false">IF(Locked!Q187="|",ROUND(Locked!N187,0),IF(Locked!Q187="V",ROUND(Locked!N187,-3),""))</f>
        <v/>
      </c>
      <c r="C105" s="76" t="str">
        <f aca="false">IF(B105="","",ROUND(Locked!P187,3))</f>
        <v/>
      </c>
      <c r="D105" s="77" t="str">
        <f aca="false">IF(C105="","",(C105-C104)/(B105-B104))</f>
        <v/>
      </c>
      <c r="E105" s="77" t="str">
        <f aca="false">IF(C105="","",IF(C106="",0,(C106-C105)/(B106-B105)))</f>
        <v/>
      </c>
    </row>
    <row r="106" customFormat="false" ht="15" hidden="false" customHeight="false" outlineLevel="0" collapsed="false">
      <c r="A106" s="75" t="str">
        <f aca="false">IF(B106="","Unused","key =")</f>
        <v>Unused</v>
      </c>
      <c r="B106" s="75" t="str">
        <f aca="false">IF(Locked!Q188="|",ROUND(Locked!N188,0),IF(Locked!Q188="V",ROUND(Locked!N188,-3),""))</f>
        <v/>
      </c>
      <c r="C106" s="76" t="str">
        <f aca="false">IF(B106="","",ROUND(Locked!P188,3))</f>
        <v/>
      </c>
      <c r="D106" s="77" t="str">
        <f aca="false">IF(C106="","",(C106-C105)/(B106-B105))</f>
        <v/>
      </c>
      <c r="E106" s="77" t="str">
        <f aca="false">IF(C106="","",IF(C107="",0,(C107-C106)/(B107-B106)))</f>
        <v/>
      </c>
    </row>
    <row r="107" customFormat="false" ht="15" hidden="false" customHeight="false" outlineLevel="0" collapsed="false">
      <c r="A107" s="75" t="str">
        <f aca="false">IF(B107="","Unused","key =")</f>
        <v>Unused</v>
      </c>
      <c r="B107" s="75" t="str">
        <f aca="false">IF(Locked!Q189="|",ROUND(Locked!N189,0),IF(Locked!Q189="V",ROUND(Locked!N189,-3),""))</f>
        <v/>
      </c>
      <c r="C107" s="76" t="str">
        <f aca="false">IF(B107="","",ROUND(Locked!P189,3))</f>
        <v/>
      </c>
      <c r="D107" s="77" t="str">
        <f aca="false">IF(C107="","",(C107-C106)/(B107-B106))</f>
        <v/>
      </c>
      <c r="E107" s="77" t="str">
        <f aca="false">IF(C107="","",IF(C108="",0,(C108-C107)/(B108-B107)))</f>
        <v/>
      </c>
    </row>
    <row r="108" customFormat="false" ht="15" hidden="false" customHeight="false" outlineLevel="0" collapsed="false">
      <c r="A108" s="72" t="s">
        <v>212</v>
      </c>
      <c r="B108" s="75"/>
      <c r="C108" s="75"/>
      <c r="D108" s="75"/>
      <c r="E108" s="75"/>
    </row>
    <row r="109" customFormat="false" ht="15" hidden="false" customHeight="false" outlineLevel="0" collapsed="false">
      <c r="A109" s="72" t="s">
        <v>227</v>
      </c>
      <c r="B109" s="75"/>
      <c r="C109" s="75"/>
      <c r="D109" s="75"/>
      <c r="E109" s="75"/>
    </row>
    <row r="110" customFormat="false" ht="15" hidden="false" customHeight="false" outlineLevel="0" collapsed="false">
      <c r="A110" s="72" t="s">
        <v>209</v>
      </c>
      <c r="B110" s="75"/>
      <c r="C110" s="75"/>
      <c r="D110" s="75"/>
      <c r="E110" s="75"/>
    </row>
    <row r="111" customFormat="false" ht="15" hidden="false" customHeight="false" outlineLevel="0" collapsed="false">
      <c r="A111" s="75" t="s">
        <v>224</v>
      </c>
      <c r="B111" s="75" t="n">
        <v>0</v>
      </c>
      <c r="C111" s="75" t="n">
        <v>0</v>
      </c>
      <c r="D111" s="75" t="n">
        <v>0</v>
      </c>
      <c r="E111" s="75" t="n">
        <v>0</v>
      </c>
    </row>
    <row r="112" customFormat="false" ht="15" hidden="false" customHeight="false" outlineLevel="0" collapsed="false">
      <c r="A112" s="75" t="s">
        <v>224</v>
      </c>
      <c r="B112" s="75" t="n">
        <v>45</v>
      </c>
      <c r="C112" s="75" t="n">
        <f aca="false">ROUND(Locked!G113/2*(1-COS(RADIANS(B112))),2)</f>
        <v>33.28</v>
      </c>
      <c r="D112" s="75" t="n">
        <f aca="false">ROUND(Locked!G113*PI()/360*COS(RADIANS(90-B112)),4)</f>
        <v>1.4025</v>
      </c>
      <c r="E112" s="75" t="n">
        <f aca="false">D112</f>
        <v>1.4025</v>
      </c>
    </row>
    <row r="113" customFormat="false" ht="15" hidden="false" customHeight="false" outlineLevel="0" collapsed="false">
      <c r="A113" s="75" t="s">
        <v>224</v>
      </c>
      <c r="B113" s="75" t="n">
        <v>90</v>
      </c>
      <c r="C113" s="75" t="n">
        <f aca="false">ROUND(Locked!G113,1)/2</f>
        <v>113.65</v>
      </c>
      <c r="D113" s="75" t="n">
        <f aca="false">ROUND(Locked!G113*PI()/360,4)</f>
        <v>1.9834</v>
      </c>
      <c r="E113" s="75" t="n">
        <v>0</v>
      </c>
    </row>
    <row r="114" customFormat="false" ht="15" hidden="false" customHeight="false" outlineLevel="0" collapsed="false">
      <c r="A114" s="72" t="s">
        <v>212</v>
      </c>
      <c r="B114" s="75"/>
      <c r="C114" s="75"/>
      <c r="D114" s="75"/>
      <c r="E114" s="75"/>
    </row>
    <row r="115" customFormat="false" ht="15" hidden="false" customHeight="false" outlineLevel="0" collapsed="false">
      <c r="A115" s="72" t="s">
        <v>228</v>
      </c>
      <c r="B115" s="75"/>
      <c r="C115" s="75"/>
      <c r="D115" s="75"/>
      <c r="E115" s="75"/>
    </row>
    <row r="116" customFormat="false" ht="15" hidden="false" customHeight="false" outlineLevel="0" collapsed="false">
      <c r="A116" s="72" t="s">
        <v>209</v>
      </c>
      <c r="B116" s="75"/>
      <c r="C116" s="75"/>
      <c r="D116" s="75"/>
      <c r="E116" s="75"/>
    </row>
    <row r="117" customFormat="false" ht="15" hidden="false" customHeight="false" outlineLevel="0" collapsed="false">
      <c r="A117" s="75" t="s">
        <v>224</v>
      </c>
      <c r="B117" s="75" t="n">
        <v>0</v>
      </c>
      <c r="C117" s="75" t="n">
        <f aca="false">ROUND(Locked!G113,1)</f>
        <v>227.3</v>
      </c>
      <c r="D117" s="75" t="n">
        <v>0</v>
      </c>
      <c r="E117" s="75" t="n">
        <v>0</v>
      </c>
    </row>
    <row r="118" customFormat="false" ht="15" hidden="false" customHeight="false" outlineLevel="0" collapsed="false">
      <c r="A118" s="75" t="s">
        <v>224</v>
      </c>
      <c r="B118" s="75" t="n">
        <v>45</v>
      </c>
      <c r="C118" s="75" t="n">
        <f aca="false">ROUND(Locked!G113*COS(RADIANS(B118)),2)</f>
        <v>160.71</v>
      </c>
      <c r="D118" s="75" t="n">
        <f aca="false">ROUND(-Locked!G113*PI()/180*COS(RADIANS(90-B118)),4)</f>
        <v>-2.8049</v>
      </c>
      <c r="E118" s="75" t="n">
        <f aca="false">D118</f>
        <v>-2.8049</v>
      </c>
    </row>
    <row r="119" customFormat="false" ht="15" hidden="false" customHeight="false" outlineLevel="0" collapsed="false">
      <c r="A119" s="75" t="s">
        <v>224</v>
      </c>
      <c r="B119" s="75" t="n">
        <v>90</v>
      </c>
      <c r="C119" s="75" t="n">
        <v>0</v>
      </c>
      <c r="D119" s="75" t="n">
        <f aca="false">ROUND(-Locked!G113*PI()/180,4)</f>
        <v>-3.9667</v>
      </c>
      <c r="E119" s="75" t="n">
        <v>0</v>
      </c>
    </row>
    <row r="120" customFormat="false" ht="15" hidden="false" customHeight="false" outlineLevel="0" collapsed="false">
      <c r="A120" s="72" t="s">
        <v>212</v>
      </c>
      <c r="B120" s="75"/>
      <c r="C120" s="75"/>
      <c r="D120" s="75"/>
      <c r="E120" s="75"/>
    </row>
    <row r="121" customFormat="false" ht="15" hidden="false" customHeight="false" outlineLevel="0" collapsed="false">
      <c r="A121" s="72" t="s">
        <v>229</v>
      </c>
      <c r="B121" s="75"/>
      <c r="C121" s="75"/>
      <c r="D121" s="75"/>
      <c r="E121" s="75"/>
    </row>
    <row r="122" customFormat="false" ht="15" hidden="false" customHeight="false" outlineLevel="0" collapsed="false">
      <c r="A122" s="72" t="s">
        <v>209</v>
      </c>
      <c r="B122" s="75"/>
      <c r="C122" s="75"/>
      <c r="D122" s="75"/>
      <c r="E122" s="75"/>
    </row>
    <row r="123" customFormat="false" ht="15" hidden="false" customHeight="false" outlineLevel="0" collapsed="false">
      <c r="A123" s="75" t="s">
        <v>224</v>
      </c>
      <c r="B123" s="75" t="n">
        <v>0</v>
      </c>
      <c r="C123" s="75" t="n">
        <f aca="false">ROUND(-Locked!G$114*Locked!G$116*SIN(RADIANS(B123-36+Locked!G31)),2)</f>
        <v>0.35</v>
      </c>
      <c r="D123" s="75" t="n">
        <v>0</v>
      </c>
      <c r="E123" s="75" t="n">
        <f aca="false">IF(Locked!G$30&gt;0,D128,0)</f>
        <v>-0.0083</v>
      </c>
    </row>
    <row r="124" customFormat="false" ht="15" hidden="false" customHeight="false" outlineLevel="0" collapsed="false">
      <c r="A124" s="75" t="str">
        <f aca="false">IF(B124="","Unused","key =")</f>
        <v>key =</v>
      </c>
      <c r="B124" s="75" t="n">
        <f aca="false">IF(Locked!G$30&gt;0,MIN(IF(36-Locked!G$31&lt;0,36-Locked!G$31+360,36-Locked!G$31),IF(126-Locked!G$31&lt;0,126-Locked!G$31+360,126-Locked!G$31),IF(216-Locked!G$31&lt;0,216-Locked!G$31+360,216-Locked!G$31),IF(306-Locked!G$31&lt;0,306-Locked!G$31+360,306-Locked!G$31)),"")</f>
        <v>36</v>
      </c>
      <c r="C124" s="75" t="n">
        <f aca="false">IF(Locked!G$30&gt;0,ROUND(-Locked!G$114*Locked!G$116*SIN(RADIANS(B124-36+Locked!G$31)),2),"")</f>
        <v>0</v>
      </c>
      <c r="D124" s="75" t="n">
        <f aca="false">IF(Locked!G$30&gt;0,ROUND(Locked!G$114*Locked!G$116*SIN(RADIANS(270))*COS(RADIANS(B124-36+Locked!G$31))*PI()/180,4),"")</f>
        <v>-0.0103</v>
      </c>
      <c r="E124" s="75" t="n">
        <f aca="false">IF(Locked!G$30&gt;0,D124,"")</f>
        <v>-0.0103</v>
      </c>
    </row>
    <row r="125" customFormat="false" ht="15" hidden="false" customHeight="false" outlineLevel="0" collapsed="false">
      <c r="A125" s="75" t="str">
        <f aca="false">IF(B125="","Unused","key =")</f>
        <v>key =</v>
      </c>
      <c r="B125" s="75" t="n">
        <f aca="false">IF(Locked!G$30&gt;0,B124+90,"")</f>
        <v>126</v>
      </c>
      <c r="C125" s="75" t="n">
        <f aca="false">IF(Locked!G$30&gt;0,ROUND(-Locked!G$114*Locked!G$116*SIN(RADIANS(B125-36+Locked!G$31)),2),"")</f>
        <v>-0.59</v>
      </c>
      <c r="D125" s="75" t="n">
        <f aca="false">IF(Locked!G$30&gt;0,ROUND(Locked!G$114*Locked!G$116*SIN(RADIANS(270))*COS(RADIANS(B125-36+Locked!G$31))*PI()/180,4),"")</f>
        <v>0</v>
      </c>
      <c r="E125" s="75" t="n">
        <f aca="false">IF(Locked!G$30&gt;0,D125,"")</f>
        <v>0</v>
      </c>
    </row>
    <row r="126" customFormat="false" ht="15" hidden="false" customHeight="false" outlineLevel="0" collapsed="false">
      <c r="A126" s="75" t="str">
        <f aca="false">IF(B126="","Unused","key =")</f>
        <v>key =</v>
      </c>
      <c r="B126" s="75" t="n">
        <f aca="false">IF(Locked!G$30&gt;0,B125+90,"")</f>
        <v>216</v>
      </c>
      <c r="C126" s="75" t="n">
        <f aca="false">IF(Locked!G$30&gt;0,ROUND(-Locked!G$114*Locked!G$116*SIN(RADIANS(B126-36+Locked!G$31)),2),"")</f>
        <v>0</v>
      </c>
      <c r="D126" s="75" t="n">
        <f aca="false">IF(Locked!G$30&gt;0,ROUND(Locked!G$114*Locked!G$116*SIN(RADIANS(270))*COS(RADIANS(B126-36+Locked!G$31))*PI()/180,4),"")</f>
        <v>0.0103</v>
      </c>
      <c r="E126" s="75" t="n">
        <f aca="false">IF(Locked!G$30&gt;0,D126,"")</f>
        <v>0.0103</v>
      </c>
    </row>
    <row r="127" customFormat="false" ht="15" hidden="false" customHeight="false" outlineLevel="0" collapsed="false">
      <c r="A127" s="75" t="str">
        <f aca="false">IF(B127="","Unused","key =")</f>
        <v>key =</v>
      </c>
      <c r="B127" s="75" t="n">
        <f aca="false">IF(Locked!G$30&gt;0,B126+90,"")</f>
        <v>306</v>
      </c>
      <c r="C127" s="75" t="n">
        <f aca="false">IF(Locked!G$30&gt;0,ROUND(-Locked!G$114*Locked!G$116*SIN(RADIANS(B127-36+Locked!G$31)),2),"")</f>
        <v>0.59</v>
      </c>
      <c r="D127" s="75" t="n">
        <f aca="false">IF(Locked!G$30&gt;0,ROUND(Locked!G$114*Locked!G$116*SIN(RADIANS(270))*COS(RADIANS(B127-36+Locked!G$31))*PI()/180,4),"")</f>
        <v>0</v>
      </c>
      <c r="E127" s="75" t="n">
        <f aca="false">IF(Locked!G$30&gt;0,D127,"")</f>
        <v>0</v>
      </c>
    </row>
    <row r="128" customFormat="false" ht="15" hidden="false" customHeight="false" outlineLevel="0" collapsed="false">
      <c r="A128" s="75" t="str">
        <f aca="false">IF(B128="","Unused","key =")</f>
        <v>key =</v>
      </c>
      <c r="B128" s="75" t="n">
        <f aca="false">IF(Locked!G$30&gt;0,360,"")</f>
        <v>360</v>
      </c>
      <c r="C128" s="75" t="n">
        <f aca="false">IF(Locked!G$30&gt;0,ROUND(-Locked!G$114*Locked!G$116*SIN(RADIANS(B128-36+Locked!G$31)),2),"")</f>
        <v>0.35</v>
      </c>
      <c r="D128" s="75" t="n">
        <f aca="false">IF(Locked!G$30&gt;0,ROUND(Locked!G$114*Locked!G$116*SIN(RADIANS(270))*COS(RADIANS(B128-36+Locked!G$31))*PI()/180,4),"")</f>
        <v>-0.0083</v>
      </c>
      <c r="E128" s="75" t="n">
        <f aca="false">IF(Locked!G$30&gt;0,0,"")</f>
        <v>0</v>
      </c>
    </row>
    <row r="129" customFormat="false" ht="15" hidden="false" customHeight="false" outlineLevel="0" collapsed="false">
      <c r="A129" s="72" t="s">
        <v>212</v>
      </c>
      <c r="B129" s="75"/>
      <c r="C129" s="75"/>
      <c r="D129" s="75"/>
      <c r="E129" s="75"/>
    </row>
    <row r="130" customFormat="false" ht="15" hidden="false" customHeight="false" outlineLevel="0" collapsed="false">
      <c r="A130" s="72" t="s">
        <v>230</v>
      </c>
      <c r="B130" s="75"/>
      <c r="C130" s="75"/>
      <c r="D130" s="75"/>
      <c r="E130" s="75"/>
    </row>
    <row r="131" customFormat="false" ht="15" hidden="false" customHeight="false" outlineLevel="0" collapsed="false">
      <c r="A131" s="72" t="s">
        <v>209</v>
      </c>
      <c r="B131" s="75"/>
      <c r="C131" s="75"/>
      <c r="D131" s="75"/>
      <c r="E131" s="75"/>
    </row>
    <row r="132" customFormat="false" ht="15" hidden="false" customHeight="false" outlineLevel="0" collapsed="false">
      <c r="A132" s="75" t="s">
        <v>224</v>
      </c>
      <c r="B132" s="75" t="n">
        <v>0</v>
      </c>
      <c r="C132" s="75" t="n">
        <v>0</v>
      </c>
      <c r="D132" s="75" t="n">
        <v>0</v>
      </c>
      <c r="E132" s="75" t="n">
        <v>0</v>
      </c>
    </row>
    <row r="133" customFormat="false" ht="15" hidden="false" customHeight="false" outlineLevel="0" collapsed="false">
      <c r="A133" s="75" t="str">
        <f aca="false">IF(B133="","Unused","key =")</f>
        <v>key =</v>
      </c>
      <c r="B133" s="75" t="n">
        <f aca="false">IF(Locked!G$30&gt;0,38,"")</f>
        <v>38</v>
      </c>
      <c r="C133" s="75" t="n">
        <f aca="false">IF(Locked!G$30&gt;0,0.5,"")</f>
        <v>0.5</v>
      </c>
      <c r="D133" s="75" t="n">
        <f aca="false">IF(Locked!G$30&gt;0,0.02,"")</f>
        <v>0.02</v>
      </c>
      <c r="E133" s="75" t="n">
        <f aca="false">IF(Locked!G$30&gt;0,0.02,"")</f>
        <v>0.02</v>
      </c>
    </row>
    <row r="134" customFormat="false" ht="15" hidden="false" customHeight="false" outlineLevel="0" collapsed="false">
      <c r="A134" s="75" t="str">
        <f aca="false">IF(B134="","Unused","key =")</f>
        <v>key =</v>
      </c>
      <c r="B134" s="75" t="n">
        <f aca="false">IF(Locked!G$30&gt;0,90,"")</f>
        <v>90</v>
      </c>
      <c r="C134" s="75" t="n">
        <f aca="false">IF(Locked!G$30&gt;0,1,"")</f>
        <v>1</v>
      </c>
      <c r="D134" s="75" t="n">
        <f aca="false">IF(Locked!G$30&gt;0,0,"")</f>
        <v>0</v>
      </c>
      <c r="E134" s="75" t="n">
        <f aca="false">IF(Locked!G$30&gt;0,0,"")</f>
        <v>0</v>
      </c>
    </row>
    <row r="135" customFormat="false" ht="15" hidden="false" customHeight="false" outlineLevel="0" collapsed="false">
      <c r="A135" s="72" t="s">
        <v>212</v>
      </c>
      <c r="B135" s="75"/>
      <c r="C135" s="75"/>
      <c r="D135" s="75"/>
      <c r="E135" s="75"/>
    </row>
    <row r="136" customFormat="false" ht="15" hidden="false" customHeight="false" outlineLevel="0" collapsed="false">
      <c r="A136" s="72" t="s">
        <v>231</v>
      </c>
      <c r="B136" s="75"/>
      <c r="C136" s="75"/>
      <c r="D136" s="75"/>
      <c r="E136" s="75"/>
    </row>
    <row r="137" customFormat="false" ht="15" hidden="false" customHeight="false" outlineLevel="0" collapsed="false">
      <c r="A137" s="72" t="s">
        <v>209</v>
      </c>
      <c r="B137" s="75"/>
      <c r="C137" s="75"/>
      <c r="D137" s="75"/>
      <c r="E137" s="75"/>
    </row>
    <row r="138" customFormat="false" ht="15" hidden="false" customHeight="false" outlineLevel="0" collapsed="false">
      <c r="A138" s="75" t="s">
        <v>224</v>
      </c>
      <c r="B138" s="75" t="n">
        <v>0</v>
      </c>
      <c r="C138" s="75" t="n">
        <f aca="false">ROUND(Locked!G$115*Locked!G$116,1)/2</f>
        <v>0.65</v>
      </c>
      <c r="D138" s="75" t="n">
        <v>0</v>
      </c>
      <c r="E138" s="75" t="n">
        <f aca="false">-2*C138</f>
        <v>-1.3</v>
      </c>
    </row>
    <row r="139" customFormat="false" ht="15" hidden="false" customHeight="false" outlineLevel="0" collapsed="false">
      <c r="A139" s="75" t="str">
        <f aca="false">IF(B139="","Unused","key =")</f>
        <v>key =</v>
      </c>
      <c r="B139" s="75" t="n">
        <f aca="false">IF(Locked!G$29&gt;0,1,"")</f>
        <v>1</v>
      </c>
      <c r="C139" s="75" t="n">
        <f aca="false">IF(Locked!G$29&gt;0,-C138,"")</f>
        <v>-0.65</v>
      </c>
      <c r="D139" s="75" t="n">
        <f aca="false">IF(Locked!G$29&gt;0,E138,"")</f>
        <v>-1.3</v>
      </c>
      <c r="E139" s="75" t="n">
        <f aca="false">IF(Locked!G$29&gt;0,0,"")</f>
        <v>0</v>
      </c>
    </row>
    <row r="140" customFormat="false" ht="15" hidden="false" customHeight="false" outlineLevel="0" collapsed="false">
      <c r="A140" s="72" t="s">
        <v>212</v>
      </c>
      <c r="B140" s="75"/>
      <c r="C140" s="75"/>
      <c r="D140" s="75"/>
      <c r="E140" s="75"/>
    </row>
    <row r="141" customFormat="false" ht="15" hidden="false" customHeight="false" outlineLevel="0" collapsed="false">
      <c r="A141" s="72" t="s">
        <v>225</v>
      </c>
      <c r="B141" s="75"/>
      <c r="C141" s="75"/>
      <c r="D141" s="75"/>
      <c r="E141" s="75"/>
    </row>
    <row r="142" customFormat="false" ht="15" hidden="false" customHeight="false" outlineLevel="0" collapsed="false">
      <c r="A142" s="72" t="s">
        <v>209</v>
      </c>
      <c r="B142" s="75"/>
      <c r="C142" s="75"/>
      <c r="D142" s="75"/>
      <c r="E142" s="75"/>
    </row>
    <row r="143" customFormat="false" ht="15" hidden="false" customHeight="false" outlineLevel="0" collapsed="false">
      <c r="A143" s="75" t="str">
        <f aca="false">IF(B143="","Unused","key =")</f>
        <v>key =</v>
      </c>
      <c r="B143" s="75" t="n">
        <f aca="false">IF(Locked!Q147="|",ROUND(Locked!N147,0),IF(Locked!Q147="V",ROUND(Locked!N147,-3),""))</f>
        <v>0</v>
      </c>
      <c r="C143" s="77" t="n">
        <f aca="false">IF(B143="","",IF(B144="",0,Locked!H147/1000))</f>
        <v>20.265</v>
      </c>
      <c r="D143" s="78" t="n">
        <v>0</v>
      </c>
      <c r="E143" s="78" t="n">
        <f aca="false">IF(C143="","",IF(C143=0,0,-(C143*1.001-C143*0.999)/(Locked!G147*LN((C143*1.001)/(C143*0.999)))/IF(Locked!G$125&gt;0,Locked!G$125,0.8)))</f>
        <v>-0.00267207420762765</v>
      </c>
    </row>
    <row r="144" customFormat="false" ht="15" hidden="false" customHeight="false" outlineLevel="0" collapsed="false">
      <c r="A144" s="75" t="str">
        <f aca="false">IF(B144="","Unused","key =")</f>
        <v>key =</v>
      </c>
      <c r="B144" s="75" t="n">
        <f aca="false">IF(Locked!Q148="|",ROUND(Locked!N148,0),IF(Locked!Q148="V",ROUND(Locked!N148,-3),""))</f>
        <v>4275</v>
      </c>
      <c r="C144" s="77" t="n">
        <f aca="false">IF(B144="","",IF(B145="",0,Locked!H148/1000))</f>
        <v>11.3958469549824</v>
      </c>
      <c r="D144" s="78" t="n">
        <f aca="false">IF(C144="","",IF(C144=0,0,-(C144*1.001-C144*0.999)/(Locked!G148*LN((C144*1.001)/(C144*0.999)))/IF(Locked!G$125&gt;0,Locked!G$125,0.8)))</f>
        <v>-0.00157041148404236</v>
      </c>
      <c r="E144" s="78" t="n">
        <f aca="false">D144</f>
        <v>-0.00157041148404236</v>
      </c>
    </row>
    <row r="145" customFormat="false" ht="15" hidden="false" customHeight="false" outlineLevel="0" collapsed="false">
      <c r="A145" s="75" t="str">
        <f aca="false">IF(B145="","Unused","key =")</f>
        <v>key =</v>
      </c>
      <c r="B145" s="75" t="n">
        <f aca="false">IF(Locked!Q149="|",ROUND(Locked!N149,0),IF(Locked!Q149="V",ROUND(Locked!N149,-3),""))</f>
        <v>8376</v>
      </c>
      <c r="C145" s="77" t="n">
        <f aca="false">IF(B145="","",IF(B146="",0,Locked!H149/1000))</f>
        <v>6.40835567833122</v>
      </c>
      <c r="D145" s="78" t="n">
        <f aca="false">IF(C145="","",IF(C145=0,0,-(C145*1.001-C145*0.999)/(Locked!G149*LN((C145*1.001)/(C145*0.999)))/IF(Locked!G$125&gt;0,Locked!G$125,0.8)))</f>
        <v>-0.000922026953869759</v>
      </c>
      <c r="E145" s="78" t="n">
        <f aca="false">D145</f>
        <v>-0.000922026953869759</v>
      </c>
    </row>
    <row r="146" customFormat="false" ht="15" hidden="false" customHeight="false" outlineLevel="0" collapsed="false">
      <c r="A146" s="75" t="str">
        <f aca="false">IF(B146="","Unused","key =")</f>
        <v>key =</v>
      </c>
      <c r="B146" s="75" t="n">
        <f aca="false">IF(Locked!Q150="|",ROUND(Locked!N150,0),IF(Locked!Q150="V",ROUND(Locked!N150,-3),""))</f>
        <v>12315</v>
      </c>
      <c r="C146" s="77" t="n">
        <f aca="false">IF(B146="","",IF(B147="",0,Locked!H150/1000))</f>
        <v>3.60368322444388</v>
      </c>
      <c r="D146" s="78" t="n">
        <f aca="false">IF(C146="","",IF(C146=0,0,-(C146*1.001-C146*0.999)/(Locked!G150*LN((C146*1.001)/(C146*0.999)))/IF(Locked!G$125&gt;0,Locked!G$125,0.8)))</f>
        <v>-0.000540722307003091</v>
      </c>
      <c r="E146" s="78" t="n">
        <f aca="false">D146</f>
        <v>-0.000540722307003091</v>
      </c>
    </row>
    <row r="147" customFormat="false" ht="15" hidden="false" customHeight="false" outlineLevel="0" collapsed="false">
      <c r="A147" s="75" t="str">
        <f aca="false">IF(B147="","Unused","key =")</f>
        <v>key =</v>
      </c>
      <c r="B147" s="75" t="n">
        <f aca="false">IF(Locked!Q151="|",ROUND(Locked!N151,0),IF(Locked!Q151="V",ROUND(Locked!N151,-3),""))</f>
        <v>16100</v>
      </c>
      <c r="C147" s="77" t="n">
        <f aca="false">IF(B147="","",IF(B148="",0,Locked!H151/1000))</f>
        <v>2.0265</v>
      </c>
      <c r="D147" s="78" t="n">
        <f aca="false">IF(C147="","",IF(C147=0,0,-(C147*1.001-C147*0.999)/(Locked!G151*LN((C147*1.001)/(C147*0.999)))/IF(Locked!G$125&gt;0,Locked!G$125,0.8)))</f>
        <v>-0.000316692744844581</v>
      </c>
      <c r="E147" s="78" t="n">
        <f aca="false">D147</f>
        <v>-0.000316692744844581</v>
      </c>
    </row>
    <row r="148" customFormat="false" ht="15" hidden="false" customHeight="false" outlineLevel="0" collapsed="false">
      <c r="A148" s="75" t="str">
        <f aca="false">IF(B148="","Unused","key =")</f>
        <v>key =</v>
      </c>
      <c r="B148" s="75" t="n">
        <f aca="false">IF(Locked!Q152="|",ROUND(Locked!N152,0),IF(Locked!Q152="V",ROUND(Locked!N152,-3),""))</f>
        <v>19745</v>
      </c>
      <c r="C148" s="77" t="n">
        <f aca="false">IF(B148="","",IF(B149="",0,Locked!H152/1000))</f>
        <v>1.13958469549824</v>
      </c>
      <c r="D148" s="78" t="n">
        <f aca="false">IF(C148="","",IF(C148=0,0,-(C148*1.001-C148*0.999)/(Locked!G152*LN((C148*1.001)/(C148*0.999)))/IF(Locked!G$125&gt;0,Locked!G$125,0.8)))</f>
        <v>-0.000185210556030235</v>
      </c>
      <c r="E148" s="78" t="n">
        <f aca="false">D148</f>
        <v>-0.000185210556030235</v>
      </c>
    </row>
    <row r="149" customFormat="false" ht="15" hidden="false" customHeight="false" outlineLevel="0" collapsed="false">
      <c r="A149" s="75" t="str">
        <f aca="false">IF(B149="","Unused","key =")</f>
        <v>key =</v>
      </c>
      <c r="B149" s="75" t="n">
        <f aca="false">IF(Locked!Q153="|",ROUND(Locked!N153,0),IF(Locked!Q153="V",ROUND(Locked!N153,-3),""))</f>
        <v>23258</v>
      </c>
      <c r="C149" s="77" t="n">
        <f aca="false">IF(B149="","",IF(B150="",0,Locked!H153/1000))</f>
        <v>0.640835567833122</v>
      </c>
      <c r="D149" s="78" t="n">
        <f aca="false">IF(C149="","",IF(C149=0,0,-(C149*1.001-C149*0.999)/(Locked!G153*LN((C149*1.001)/(C149*0.999)))/IF(Locked!G$125&gt;0,Locked!G$125,0.8)))</f>
        <v>-0.000108140056382757</v>
      </c>
      <c r="E149" s="78" t="n">
        <f aca="false">D149</f>
        <v>-0.000108140056382757</v>
      </c>
    </row>
    <row r="150" customFormat="false" ht="15" hidden="false" customHeight="false" outlineLevel="0" collapsed="false">
      <c r="A150" s="75" t="str">
        <f aca="false">IF(B150="","Unused","key =")</f>
        <v>key =</v>
      </c>
      <c r="B150" s="75" t="n">
        <f aca="false">IF(Locked!Q154="|",ROUND(Locked!N154,0),IF(Locked!Q154="V",ROUND(Locked!N154,-3),""))</f>
        <v>26650</v>
      </c>
      <c r="C150" s="77" t="n">
        <f aca="false">IF(B150="","",IF(B151="",0,Locked!H154/1000))</f>
        <v>0.360368322444388</v>
      </c>
      <c r="D150" s="78" t="n">
        <f aca="false">IF(C150="","",IF(C150=0,0,-(C150*1.001-C150*0.999)/(Locked!G154*LN((C150*1.001)/(C150*0.999)))/IF(Locked!G$125&gt;0,Locked!G$125,0.8)))</f>
        <v>-6.30274743480288E-005</v>
      </c>
      <c r="E150" s="78" t="n">
        <f aca="false">D150</f>
        <v>-6.30274743480288E-005</v>
      </c>
    </row>
    <row r="151" customFormat="false" ht="15" hidden="false" customHeight="false" outlineLevel="0" collapsed="false">
      <c r="A151" s="75" t="str">
        <f aca="false">IF(B151="","Unused","key =")</f>
        <v>key =</v>
      </c>
      <c r="B151" s="75" t="n">
        <f aca="false">IF(Locked!Q155="|",ROUND(Locked!N155,0),IF(Locked!Q155="V",ROUND(Locked!N155,-3),""))</f>
        <v>29932</v>
      </c>
      <c r="C151" s="77" t="n">
        <f aca="false">IF(B151="","",IF(B152="",0,Locked!H155/1000))</f>
        <v>0.20265</v>
      </c>
      <c r="D151" s="78" t="n">
        <f aca="false">IF(C151="","",IF(C151=0,0,-(C151*1.001-C151*0.999)/(Locked!G155*LN((C151*1.001)/(C151*0.999)))/IF(Locked!G$125&gt;0,Locked!G$125,0.8)))</f>
        <v>-3.66628144163194E-005</v>
      </c>
      <c r="E151" s="78" t="n">
        <f aca="false">D151</f>
        <v>-3.66628144163194E-005</v>
      </c>
    </row>
    <row r="152" customFormat="false" ht="15" hidden="false" customHeight="false" outlineLevel="0" collapsed="false">
      <c r="A152" s="75" t="str">
        <f aca="false">IF(B152="","Unused","key =")</f>
        <v>key =</v>
      </c>
      <c r="B152" s="75" t="n">
        <f aca="false">IF(Locked!Q156="|",ROUND(Locked!N156,0),IF(Locked!Q156="V",ROUND(Locked!N156,-3),""))</f>
        <v>33113</v>
      </c>
      <c r="C152" s="77" t="n">
        <f aca="false">IF(B152="","",IF(B153="",0,Locked!H156/1000))</f>
        <v>0.113958469549824</v>
      </c>
      <c r="D152" s="78" t="n">
        <f aca="false">IF(C152="","",IF(C152=0,0,-(C152*1.001-C152*0.999)/(Locked!G156*LN((C152*1.001)/(C152*0.999)))/IF(Locked!G$125&gt;0,Locked!G$125,0.8)))</f>
        <v>-2.12817122441866E-005</v>
      </c>
      <c r="E152" s="78" t="n">
        <f aca="false">D152</f>
        <v>-2.12817122441866E-005</v>
      </c>
    </row>
    <row r="153" customFormat="false" ht="15" hidden="false" customHeight="false" outlineLevel="0" collapsed="false">
      <c r="A153" s="75" t="str">
        <f aca="false">IF(B153="","Unused","key =")</f>
        <v>key =</v>
      </c>
      <c r="B153" s="75" t="n">
        <f aca="false">IF(Locked!Q157="|",ROUND(Locked!N157,0),IF(Locked!Q157="V",ROUND(Locked!N157,-3),""))</f>
        <v>36248</v>
      </c>
      <c r="C153" s="77" t="n">
        <f aca="false">IF(B153="","",IF(B154="",0,Locked!H157/1000))</f>
        <v>0.0640835567833122</v>
      </c>
      <c r="D153" s="78" t="n">
        <f aca="false">IF(C153="","",IF(C153=0,0,-(C153*1.001-C153*0.999)/(Locked!G157*LN((C153*1.001)/(C153*0.999)))/IF(Locked!G$125&gt;0,Locked!G$125,0.8)))</f>
        <v>-1.23255980786062E-005</v>
      </c>
      <c r="E153" s="78" t="n">
        <f aca="false">D153</f>
        <v>-1.23255980786062E-005</v>
      </c>
    </row>
    <row r="154" customFormat="false" ht="15" hidden="false" customHeight="false" outlineLevel="0" collapsed="false">
      <c r="A154" s="75" t="str">
        <f aca="false">IF(B154="","Unused","key =")</f>
        <v>key =</v>
      </c>
      <c r="B154" s="75" t="n">
        <f aca="false">IF(Locked!Q158="|",ROUND(Locked!N158,0),IF(Locked!Q158="V",ROUND(Locked!N158,-3),""))</f>
        <v>39256</v>
      </c>
      <c r="C154" s="77" t="n">
        <f aca="false">IF(B154="","",IF(B155="",0,Locked!H158/1000))</f>
        <v>0.0360368322444388</v>
      </c>
      <c r="D154" s="78" t="n">
        <f aca="false">IF(C154="","",IF(C154=0,0,-(C154*1.001-C154*0.999)/(Locked!G158*LN((C154*1.001)/(C154*0.999)))/IF(Locked!G$125&gt;0,Locked!G$125,0.8)))</f>
        <v>-7.12148928346776E-006</v>
      </c>
      <c r="E154" s="78" t="n">
        <f aca="false">D154</f>
        <v>-7.12148928346776E-006</v>
      </c>
    </row>
    <row r="155" customFormat="false" ht="15" hidden="false" customHeight="false" outlineLevel="0" collapsed="false">
      <c r="A155" s="75" t="str">
        <f aca="false">IF(B155="","Unused","key =")</f>
        <v>key =</v>
      </c>
      <c r="B155" s="75" t="n">
        <f aca="false">IF(Locked!Q159="|",ROUND(Locked!N159,0),IF(Locked!Q159="V",ROUND(Locked!N159,-3),""))</f>
        <v>42192</v>
      </c>
      <c r="C155" s="77" t="n">
        <f aca="false">IF(B155="","",IF(B156="",0,Locked!H159/1000))</f>
        <v>0.020265</v>
      </c>
      <c r="D155" s="78" t="n">
        <f aca="false">IF(C155="","",IF(C155=0,0,-(C155*1.001-C155*0.999)/(Locked!G159*LN((C155*1.001)/(C155*0.999)))/IF(Locked!G$125&gt;0,Locked!G$125,0.8)))</f>
        <v>-4.10432823570919E-006</v>
      </c>
      <c r="E155" s="78" t="n">
        <f aca="false">D155</f>
        <v>-4.10432823570919E-006</v>
      </c>
    </row>
    <row r="156" customFormat="false" ht="15" hidden="false" customHeight="false" outlineLevel="0" collapsed="false">
      <c r="A156" s="75" t="str">
        <f aca="false">IF(B156="","Unused","key =")</f>
        <v>key =</v>
      </c>
      <c r="B156" s="75" t="n">
        <f aca="false">IF(Locked!Q160="|",ROUND(Locked!N160,0),IF(Locked!Q160="V",ROUND(Locked!N160,-3),""))</f>
        <v>45064</v>
      </c>
      <c r="C156" s="77" t="n">
        <f aca="false">IF(B156="","",IF(B157="",0,Locked!H160/1000))</f>
        <v>0.0113958469549824</v>
      </c>
      <c r="D156" s="78" t="n">
        <f aca="false">IF(C156="","",IF(C156=0,0,-(C156*1.001-C156*0.999)/(Locked!G160*LN((C156*1.001)/(C156*0.999)))/IF(Locked!G$125&gt;0,Locked!G$125,0.8)))</f>
        <v>-2.35926384270832E-006</v>
      </c>
      <c r="E156" s="78" t="n">
        <f aca="false">D156</f>
        <v>-2.35926384270832E-006</v>
      </c>
    </row>
    <row r="157" customFormat="false" ht="15" hidden="false" customHeight="false" outlineLevel="0" collapsed="false">
      <c r="A157" s="75" t="str">
        <f aca="false">IF(B157="","Unused","key =")</f>
        <v>key =</v>
      </c>
      <c r="B157" s="75" t="n">
        <f aca="false">IF(Locked!Q161="|",ROUND(Locked!N161,0),IF(Locked!Q161="V",ROUND(Locked!N161,-3),""))</f>
        <v>47884</v>
      </c>
      <c r="C157" s="77" t="n">
        <f aca="false">IF(B157="","",IF(B158="",0,Locked!H161/1000))</f>
        <v>0.00640835567833121</v>
      </c>
      <c r="D157" s="78" t="n">
        <f aca="false">IF(C157="","",IF(C157=0,0,-(C157*1.001-C157*0.999)/(Locked!G161*LN((C157*1.001)/(C157*0.999)))/IF(Locked!G$125&gt;0,Locked!G$125,0.8)))</f>
        <v>-1.3498033350692E-006</v>
      </c>
      <c r="E157" s="78" t="n">
        <f aca="false">D157</f>
        <v>-1.3498033350692E-006</v>
      </c>
    </row>
    <row r="158" customFormat="false" ht="15" hidden="false" customHeight="false" outlineLevel="0" collapsed="false">
      <c r="A158" s="75" t="str">
        <f aca="false">IF(B158="","Unused","key =")</f>
        <v>key =</v>
      </c>
      <c r="B158" s="75" t="n">
        <f aca="false">IF(Locked!Q162="|",ROUND(Locked!N162,0),IF(Locked!Q162="V",ROUND(Locked!N162,-3),""))</f>
        <v>50661</v>
      </c>
      <c r="C158" s="77" t="n">
        <f aca="false">IF(B158="","",IF(B159="",0,Locked!H162/1000))</f>
        <v>0.00360368322444387</v>
      </c>
      <c r="D158" s="78" t="n">
        <f aca="false">IF(C158="","",IF(C158=0,0,-(C158*1.001-C158*0.999)/(Locked!G162*LN((C158*1.001)/(C158*0.999)))/IF(Locked!G$125&gt;0,Locked!G$125,0.8)))</f>
        <v>-7.71441925155046E-007</v>
      </c>
      <c r="E158" s="78" t="n">
        <f aca="false">D158</f>
        <v>-7.71441925155046E-007</v>
      </c>
    </row>
    <row r="159" customFormat="false" ht="15" hidden="false" customHeight="false" outlineLevel="0" collapsed="false">
      <c r="A159" s="75" t="str">
        <f aca="false">IF(B159="","Unused","key =")</f>
        <v>key =</v>
      </c>
      <c r="B159" s="75" t="n">
        <f aca="false">IF(Locked!Q163="|",ROUND(Locked!N163,0),IF(Locked!Q163="V",ROUND(Locked!N163,-3),""))</f>
        <v>53398</v>
      </c>
      <c r="C159" s="77" t="n">
        <f aca="false">IF(B159="","",IF(B160="",0,Locked!H163/1000))</f>
        <v>0.0020265</v>
      </c>
      <c r="D159" s="78" t="n">
        <f aca="false">IF(C159="","",IF(C159=0,0,-(C159*1.001-C159*0.999)/(Locked!G163*LN((C159*1.001)/(C159*0.999)))/IF(Locked!G$125&gt;0,Locked!G$125,0.8)))</f>
        <v>-4.40711137246539E-007</v>
      </c>
      <c r="E159" s="78" t="n">
        <f aca="false">D159</f>
        <v>-4.40711137246539E-007</v>
      </c>
    </row>
    <row r="160" customFormat="false" ht="15" hidden="false" customHeight="false" outlineLevel="0" collapsed="false">
      <c r="A160" s="75" t="str">
        <f aca="false">IF(B160="","Unused","key =")</f>
        <v>key =</v>
      </c>
      <c r="B160" s="75" t="n">
        <f aca="false">IF(Locked!Q164="|",ROUND(Locked!N164,0),IF(Locked!Q164="V",ROUND(Locked!N164,-3),""))</f>
        <v>56117</v>
      </c>
      <c r="C160" s="77" t="n">
        <f aca="false">IF(B160="","",IF(B161="",0,Locked!H164/1000))</f>
        <v>0.00113958469549824</v>
      </c>
      <c r="D160" s="78" t="n">
        <f aca="false">IF(C160="","",IF(C160=0,0,-(C160*1.001-C160*0.999)/(Locked!G164*LN((C160*1.001)/(C160*0.999)))/IF(Locked!G$125&gt;0,Locked!G$125,0.8)))</f>
        <v>-2.51631809177477E-007</v>
      </c>
      <c r="E160" s="78" t="n">
        <f aca="false">D160</f>
        <v>-2.51631809177477E-007</v>
      </c>
    </row>
    <row r="161" customFormat="false" ht="15" hidden="false" customHeight="false" outlineLevel="0" collapsed="false">
      <c r="A161" s="75" t="str">
        <f aca="false">IF(B161="","Unused","key =")</f>
        <v>key =</v>
      </c>
      <c r="B161" s="75" t="n">
        <f aca="false">IF(Locked!Q165="|",ROUND(Locked!N165,0),IF(Locked!Q165="V",ROUND(Locked!N165,-3),""))</f>
        <v>59000</v>
      </c>
      <c r="C161" s="77" t="n">
        <f aca="false">IF(B161="","",IF(B162="",0,Locked!H165/1000))</f>
        <v>0</v>
      </c>
      <c r="D161" s="78" t="n">
        <f aca="false">IF(C161="","",IF(C161=0,0,-(C161*1.001-C161*0.999)/(Locked!G165*LN((C161*1.001)/(C161*0.999)))/IF(Locked!G$125&gt;0,Locked!G$125,0.8)))</f>
        <v>0</v>
      </c>
      <c r="E161" s="78" t="n">
        <f aca="false">D161</f>
        <v>0</v>
      </c>
    </row>
    <row r="162" customFormat="false" ht="15" hidden="false" customHeight="false" outlineLevel="0" collapsed="false">
      <c r="A162" s="75" t="str">
        <f aca="false">IF(B162="","Unused","key =")</f>
        <v>Unused</v>
      </c>
      <c r="B162" s="75" t="str">
        <f aca="false">IF(Locked!Q166="|",ROUND(Locked!N166,0),IF(Locked!Q166="V",ROUND(Locked!N166,-3),""))</f>
        <v/>
      </c>
      <c r="C162" s="77" t="str">
        <f aca="false">IF(B162="","",IF(B163="",0,Locked!H166/1000))</f>
        <v/>
      </c>
      <c r="D162" s="78" t="str">
        <f aca="false">IF(C162="","",IF(C162=0,0,-(C162*1.001-C162*0.999)/(Locked!G166*LN((C162*1.001)/(C162*0.999)))/IF(Locked!G$125&gt;0,Locked!G$125,0.8)))</f>
        <v/>
      </c>
      <c r="E162" s="78" t="str">
        <f aca="false">D162</f>
        <v/>
      </c>
    </row>
    <row r="163" customFormat="false" ht="15" hidden="false" customHeight="false" outlineLevel="0" collapsed="false">
      <c r="A163" s="75" t="str">
        <f aca="false">IF(B163="","Unused","key =")</f>
        <v>Unused</v>
      </c>
      <c r="B163" s="75" t="str">
        <f aca="false">IF(Locked!Q167="|",ROUND(Locked!N167,0),IF(Locked!Q167="V",ROUND(Locked!N167,-3),""))</f>
        <v/>
      </c>
      <c r="C163" s="77" t="str">
        <f aca="false">IF(B163="","",IF(B164="",0,Locked!H167/1000))</f>
        <v/>
      </c>
      <c r="D163" s="78" t="str">
        <f aca="false">IF(C163="","",IF(C163=0,0,-(C163*1.001-C163*0.999)/(Locked!G167*LN((C163*1.001)/(C163*0.999)))/IF(Locked!G$125&gt;0,Locked!G$125,0.8)))</f>
        <v/>
      </c>
      <c r="E163" s="78" t="str">
        <f aca="false">D163</f>
        <v/>
      </c>
    </row>
    <row r="164" customFormat="false" ht="15" hidden="false" customHeight="false" outlineLevel="0" collapsed="false">
      <c r="A164" s="75" t="str">
        <f aca="false">IF(B164="","Unused","key =")</f>
        <v>Unused</v>
      </c>
      <c r="B164" s="75" t="str">
        <f aca="false">IF(Locked!Q168="|",ROUND(Locked!N168,0),IF(Locked!Q168="V",ROUND(Locked!N168,-3),""))</f>
        <v/>
      </c>
      <c r="C164" s="77" t="str">
        <f aca="false">IF(B164="","",IF(B165="",0,Locked!H168/1000))</f>
        <v/>
      </c>
      <c r="D164" s="78" t="str">
        <f aca="false">IF(C164="","",IF(C164=0,0,-(C164*1.001-C164*0.999)/(Locked!G168*LN((C164*1.001)/(C164*0.999)))/IF(Locked!G$125&gt;0,Locked!G$125,0.8)))</f>
        <v/>
      </c>
      <c r="E164" s="78" t="str">
        <f aca="false">D164</f>
        <v/>
      </c>
    </row>
    <row r="165" customFormat="false" ht="15" hidden="false" customHeight="false" outlineLevel="0" collapsed="false">
      <c r="A165" s="75" t="str">
        <f aca="false">IF(B165="","Unused","key =")</f>
        <v>Unused</v>
      </c>
      <c r="B165" s="75" t="str">
        <f aca="false">IF(Locked!Q169="|",ROUND(Locked!N169,0),IF(Locked!Q169="V",ROUND(Locked!N169,-3),""))</f>
        <v/>
      </c>
      <c r="C165" s="77" t="str">
        <f aca="false">IF(B165="","",IF(B166="",0,Locked!H169/1000))</f>
        <v/>
      </c>
      <c r="D165" s="78" t="str">
        <f aca="false">IF(C165="","",IF(C165=0,0,-(C165*1.001-C165*0.999)/(Locked!G169*LN((C165*1.001)/(C165*0.999)))/IF(Locked!G$125&gt;0,Locked!G$125,0.8)))</f>
        <v/>
      </c>
      <c r="E165" s="78" t="str">
        <f aca="false">D165</f>
        <v/>
      </c>
    </row>
    <row r="166" customFormat="false" ht="15" hidden="false" customHeight="false" outlineLevel="0" collapsed="false">
      <c r="A166" s="75" t="str">
        <f aca="false">IF(B166="","Unused","key =")</f>
        <v>Unused</v>
      </c>
      <c r="B166" s="75" t="str">
        <f aca="false">IF(Locked!Q170="|",ROUND(Locked!N170,0),IF(Locked!Q170="V",ROUND(Locked!N170,-3),""))</f>
        <v/>
      </c>
      <c r="C166" s="77" t="str">
        <f aca="false">IF(B166="","",IF(B167="",0,Locked!H170/1000))</f>
        <v/>
      </c>
      <c r="D166" s="78" t="str">
        <f aca="false">IF(C166="","",IF(C166=0,0,-(C166*1.001-C166*0.999)/(Locked!G170*LN((C166*1.001)/(C166*0.999)))/IF(Locked!G$125&gt;0,Locked!G$125,0.8)))</f>
        <v/>
      </c>
      <c r="E166" s="78" t="str">
        <f aca="false">D166</f>
        <v/>
      </c>
    </row>
    <row r="167" customFormat="false" ht="15" hidden="false" customHeight="false" outlineLevel="0" collapsed="false">
      <c r="A167" s="75" t="str">
        <f aca="false">IF(B167="","Unused","key =")</f>
        <v>Unused</v>
      </c>
      <c r="B167" s="75" t="str">
        <f aca="false">IF(Locked!Q171="|",ROUND(Locked!N171,0),IF(Locked!Q171="V",ROUND(Locked!N171,-3),""))</f>
        <v/>
      </c>
      <c r="C167" s="77" t="str">
        <f aca="false">IF(B167="","",IF(B168="",0,Locked!H171/1000))</f>
        <v/>
      </c>
      <c r="D167" s="78" t="str">
        <f aca="false">IF(C167="","",IF(C167=0,0,-(C167*1.001-C167*0.999)/(Locked!G171*LN((C167*1.001)/(C167*0.999)))/IF(Locked!G$125&gt;0,Locked!G$125,0.8)))</f>
        <v/>
      </c>
      <c r="E167" s="78" t="str">
        <f aca="false">D167</f>
        <v/>
      </c>
    </row>
    <row r="168" customFormat="false" ht="15" hidden="false" customHeight="false" outlineLevel="0" collapsed="false">
      <c r="A168" s="75" t="str">
        <f aca="false">IF(B168="","Unused","key =")</f>
        <v>Unused</v>
      </c>
      <c r="B168" s="75" t="str">
        <f aca="false">IF(Locked!Q172="|",ROUND(Locked!N172,0),IF(Locked!Q172="V",ROUND(Locked!N172,-3),""))</f>
        <v/>
      </c>
      <c r="C168" s="77" t="str">
        <f aca="false">IF(B168="","",IF(B169="",0,Locked!H172/1000))</f>
        <v/>
      </c>
      <c r="D168" s="78" t="str">
        <f aca="false">IF(C168="","",IF(C168=0,0,-(C168*1.001-C168*0.999)/(Locked!G172*LN((C168*1.001)/(C168*0.999)))/IF(Locked!G$125&gt;0,Locked!G$125,0.8)))</f>
        <v/>
      </c>
      <c r="E168" s="78" t="str">
        <f aca="false">D168</f>
        <v/>
      </c>
    </row>
    <row r="169" customFormat="false" ht="15" hidden="false" customHeight="false" outlineLevel="0" collapsed="false">
      <c r="A169" s="75" t="str">
        <f aca="false">IF(B169="","Unused","key =")</f>
        <v>Unused</v>
      </c>
      <c r="B169" s="75" t="str">
        <f aca="false">IF(Locked!Q173="|",ROUND(Locked!N173,0),IF(Locked!Q173="V",ROUND(Locked!N173,-3),""))</f>
        <v/>
      </c>
      <c r="C169" s="77" t="str">
        <f aca="false">IF(B169="","",IF(B170="",0,Locked!H173/1000))</f>
        <v/>
      </c>
      <c r="D169" s="78" t="str">
        <f aca="false">IF(C169="","",IF(C169=0,0,-(C169*1.001-C169*0.999)/(Locked!G173*LN((C169*1.001)/(C169*0.999)))/IF(Locked!G$125&gt;0,Locked!G$125,0.8)))</f>
        <v/>
      </c>
      <c r="E169" s="78" t="str">
        <f aca="false">D169</f>
        <v/>
      </c>
    </row>
    <row r="170" customFormat="false" ht="15" hidden="false" customHeight="false" outlineLevel="0" collapsed="false">
      <c r="A170" s="75" t="str">
        <f aca="false">IF(B170="","Unused","key =")</f>
        <v>Unused</v>
      </c>
      <c r="B170" s="75" t="str">
        <f aca="false">IF(Locked!Q174="|",ROUND(Locked!N174,0),IF(Locked!Q174="V",ROUND(Locked!N174,-3),""))</f>
        <v/>
      </c>
      <c r="C170" s="77" t="str">
        <f aca="false">IF(B170="","",IF(B171="",0,Locked!H174/1000))</f>
        <v/>
      </c>
      <c r="D170" s="78" t="str">
        <f aca="false">IF(C170="","",IF(C170=0,0,-(C170*1.001-C170*0.999)/(Locked!G174*LN((C170*1.001)/(C170*0.999)))/IF(Locked!G$125&gt;0,Locked!G$125,0.8)))</f>
        <v/>
      </c>
      <c r="E170" s="78" t="str">
        <f aca="false">D170</f>
        <v/>
      </c>
    </row>
    <row r="171" customFormat="false" ht="15" hidden="false" customHeight="false" outlineLevel="0" collapsed="false">
      <c r="A171" s="75" t="str">
        <f aca="false">IF(B171="","Unused","key =")</f>
        <v>Unused</v>
      </c>
      <c r="B171" s="75" t="str">
        <f aca="false">IF(Locked!Q175="|",ROUND(Locked!N175,0),IF(Locked!Q175="V",ROUND(Locked!N175,-3),""))</f>
        <v/>
      </c>
      <c r="C171" s="77" t="str">
        <f aca="false">IF(B171="","",IF(B172="",0,Locked!H175/1000))</f>
        <v/>
      </c>
      <c r="D171" s="78" t="str">
        <f aca="false">IF(C171="","",IF(C171=0,0,-(C171*1.001-C171*0.999)/(Locked!G175*LN((C171*1.001)/(C171*0.999)))/IF(Locked!G$125&gt;0,Locked!G$125,0.8)))</f>
        <v/>
      </c>
      <c r="E171" s="78" t="str">
        <f aca="false">D171</f>
        <v/>
      </c>
    </row>
    <row r="172" customFormat="false" ht="15" hidden="false" customHeight="false" outlineLevel="0" collapsed="false">
      <c r="A172" s="75" t="str">
        <f aca="false">IF(B172="","Unused","key =")</f>
        <v>Unused</v>
      </c>
      <c r="B172" s="75" t="str">
        <f aca="false">IF(Locked!Q176="|",ROUND(Locked!N176,0),IF(Locked!Q176="V",ROUND(Locked!N176,-3),""))</f>
        <v/>
      </c>
      <c r="C172" s="77" t="str">
        <f aca="false">IF(B172="","",IF(B173="",0,Locked!H176/1000))</f>
        <v/>
      </c>
      <c r="D172" s="78" t="str">
        <f aca="false">IF(C172="","",IF(C172=0,0,-(C172*1.001-C172*0.999)/(Locked!G176*LN((C172*1.001)/(C172*0.999)))/IF(Locked!G$125&gt;0,Locked!G$125,0.8)))</f>
        <v/>
      </c>
      <c r="E172" s="78" t="str">
        <f aca="false">D172</f>
        <v/>
      </c>
    </row>
    <row r="173" customFormat="false" ht="15" hidden="false" customHeight="false" outlineLevel="0" collapsed="false">
      <c r="A173" s="75" t="str">
        <f aca="false">IF(B173="","Unused","key =")</f>
        <v>Unused</v>
      </c>
      <c r="B173" s="75" t="str">
        <f aca="false">IF(Locked!Q177="|",ROUND(Locked!N177,0),IF(Locked!Q177="V",ROUND(Locked!N177,-3),""))</f>
        <v/>
      </c>
      <c r="C173" s="77" t="str">
        <f aca="false">IF(B173="","",IF(B174="",0,Locked!H177/1000))</f>
        <v/>
      </c>
      <c r="D173" s="78" t="str">
        <f aca="false">IF(C173="","",IF(C173=0,0,-(C173*1.001-C173*0.999)/(Locked!G177*LN((C173*1.001)/(C173*0.999)))/IF(Locked!G$125&gt;0,Locked!G$125,0.8)))</f>
        <v/>
      </c>
      <c r="E173" s="78" t="str">
        <f aca="false">D173</f>
        <v/>
      </c>
    </row>
    <row r="174" customFormat="false" ht="15" hidden="false" customHeight="false" outlineLevel="0" collapsed="false">
      <c r="A174" s="75" t="str">
        <f aca="false">IF(B174="","Unused","key =")</f>
        <v>Unused</v>
      </c>
      <c r="B174" s="75" t="str">
        <f aca="false">IF(Locked!Q178="|",ROUND(Locked!N178,0),IF(Locked!Q178="V",ROUND(Locked!N178,-3),""))</f>
        <v/>
      </c>
      <c r="C174" s="77" t="str">
        <f aca="false">IF(B174="","",IF(B175="",0,Locked!H178/1000))</f>
        <v/>
      </c>
      <c r="D174" s="78" t="str">
        <f aca="false">IF(C174="","",IF(C174=0,0,-(C174*1.001-C174*0.999)/(Locked!G178*LN((C174*1.001)/(C174*0.999)))/IF(Locked!G$125&gt;0,Locked!G$125,0.8)))</f>
        <v/>
      </c>
      <c r="E174" s="78" t="str">
        <f aca="false">D174</f>
        <v/>
      </c>
    </row>
    <row r="175" customFormat="false" ht="15" hidden="false" customHeight="false" outlineLevel="0" collapsed="false">
      <c r="A175" s="75" t="str">
        <f aca="false">IF(B175="","Unused","key =")</f>
        <v>Unused</v>
      </c>
      <c r="B175" s="75" t="str">
        <f aca="false">IF(Locked!Q179="|",ROUND(Locked!N179,0),IF(Locked!Q179="V",ROUND(Locked!N179,-3),""))</f>
        <v/>
      </c>
      <c r="C175" s="77" t="str">
        <f aca="false">IF(B175="","",IF(B176="",0,Locked!H179/1000))</f>
        <v/>
      </c>
      <c r="D175" s="78" t="str">
        <f aca="false">IF(C175="","",IF(C175=0,0,-(C175*1.001-C175*0.999)/(Locked!G179*LN((C175*1.001)/(C175*0.999)))/IF(Locked!G$125&gt;0,Locked!G$125,0.8)))</f>
        <v/>
      </c>
      <c r="E175" s="78" t="str">
        <f aca="false">D175</f>
        <v/>
      </c>
    </row>
    <row r="176" customFormat="false" ht="15" hidden="false" customHeight="false" outlineLevel="0" collapsed="false">
      <c r="A176" s="75" t="str">
        <f aca="false">IF(B176="","Unused","key =")</f>
        <v>Unused</v>
      </c>
      <c r="B176" s="75" t="str">
        <f aca="false">IF(Locked!Q180="|",ROUND(Locked!N180,0),IF(Locked!Q180="V",ROUND(Locked!N180,-3),""))</f>
        <v/>
      </c>
      <c r="C176" s="77" t="str">
        <f aca="false">IF(B176="","",IF(B177="",0,Locked!H180/1000))</f>
        <v/>
      </c>
      <c r="D176" s="78" t="str">
        <f aca="false">IF(C176="","",IF(C176=0,0,-(C176*1.001-C176*0.999)/(Locked!G180*LN((C176*1.001)/(C176*0.999)))/IF(Locked!G$125&gt;0,Locked!G$125,0.8)))</f>
        <v/>
      </c>
      <c r="E176" s="78" t="str">
        <f aca="false">D176</f>
        <v/>
      </c>
    </row>
    <row r="177" customFormat="false" ht="15" hidden="false" customHeight="false" outlineLevel="0" collapsed="false">
      <c r="A177" s="75" t="str">
        <f aca="false">IF(B177="","Unused","key =")</f>
        <v>Unused</v>
      </c>
      <c r="B177" s="75" t="str">
        <f aca="false">IF(Locked!Q181="|",ROUND(Locked!N181,0),IF(Locked!Q181="V",ROUND(Locked!N181,-3),""))</f>
        <v/>
      </c>
      <c r="C177" s="77" t="str">
        <f aca="false">IF(B177="","",IF(B178="",0,Locked!H181/1000))</f>
        <v/>
      </c>
      <c r="D177" s="78" t="str">
        <f aca="false">IF(C177="","",IF(C177=0,0,-(C177*1.001-C177*0.999)/(Locked!G181*LN((C177*1.001)/(C177*0.999)))/IF(Locked!G$125&gt;0,Locked!G$125,0.8)))</f>
        <v/>
      </c>
      <c r="E177" s="78" t="str">
        <f aca="false">D177</f>
        <v/>
      </c>
    </row>
    <row r="178" customFormat="false" ht="15" hidden="false" customHeight="false" outlineLevel="0" collapsed="false">
      <c r="A178" s="75" t="str">
        <f aca="false">IF(B178="","Unused","key =")</f>
        <v>Unused</v>
      </c>
      <c r="B178" s="75" t="str">
        <f aca="false">IF(Locked!Q182="|",ROUND(Locked!N182,0),IF(Locked!Q182="V",ROUND(Locked!N182,-3),""))</f>
        <v/>
      </c>
      <c r="C178" s="77" t="str">
        <f aca="false">IF(B178="","",IF(B179="",0,Locked!H182/1000))</f>
        <v/>
      </c>
      <c r="D178" s="78" t="str">
        <f aca="false">IF(C178="","",IF(C178=0,0,-(C178*1.001-C178*0.999)/(Locked!G182*LN((C178*1.001)/(C178*0.999)))/IF(Locked!G$125&gt;0,Locked!G$125,0.8)))</f>
        <v/>
      </c>
      <c r="E178" s="78" t="str">
        <f aca="false">D178</f>
        <v/>
      </c>
    </row>
    <row r="179" customFormat="false" ht="15" hidden="false" customHeight="false" outlineLevel="0" collapsed="false">
      <c r="A179" s="75" t="str">
        <f aca="false">IF(B179="","Unused","key =")</f>
        <v>Unused</v>
      </c>
      <c r="B179" s="75" t="str">
        <f aca="false">IF(Locked!Q183="|",ROUND(Locked!N183,0),IF(Locked!Q183="V",ROUND(Locked!N183,-3),""))</f>
        <v/>
      </c>
      <c r="C179" s="77" t="str">
        <f aca="false">IF(B179="","",IF(B180="",0,Locked!H183/1000))</f>
        <v/>
      </c>
      <c r="D179" s="78" t="str">
        <f aca="false">IF(C179="","",IF(C179=0,0,-(C179*1.001-C179*0.999)/(Locked!G183*LN((C179*1.001)/(C179*0.999)))/IF(Locked!G$125&gt;0,Locked!G$125,0.8)))</f>
        <v/>
      </c>
      <c r="E179" s="78" t="str">
        <f aca="false">D179</f>
        <v/>
      </c>
    </row>
    <row r="180" customFormat="false" ht="15" hidden="false" customHeight="false" outlineLevel="0" collapsed="false">
      <c r="A180" s="75" t="str">
        <f aca="false">IF(B180="","Unused","key =")</f>
        <v>Unused</v>
      </c>
      <c r="B180" s="75" t="str">
        <f aca="false">IF(Locked!Q184="|",ROUND(Locked!N184,0),IF(Locked!Q184="V",ROUND(Locked!N184,-3),""))</f>
        <v/>
      </c>
      <c r="C180" s="77" t="str">
        <f aca="false">IF(B180="","",IF(B181="",0,Locked!H184/1000))</f>
        <v/>
      </c>
      <c r="D180" s="78" t="str">
        <f aca="false">IF(C180="","",IF(C180=0,0,-(C180*1.001-C180*0.999)/(Locked!G184*LN((C180*1.001)/(C180*0.999)))/IF(Locked!G$125&gt;0,Locked!G$125,0.8)))</f>
        <v/>
      </c>
      <c r="E180" s="78" t="str">
        <f aca="false">D180</f>
        <v/>
      </c>
    </row>
    <row r="181" customFormat="false" ht="15" hidden="false" customHeight="false" outlineLevel="0" collapsed="false">
      <c r="A181" s="75" t="str">
        <f aca="false">IF(B181="","Unused","key =")</f>
        <v>Unused</v>
      </c>
      <c r="B181" s="75" t="str">
        <f aca="false">IF(Locked!Q185="|",ROUND(Locked!N185,0),IF(Locked!Q185="V",ROUND(Locked!N185,-3),""))</f>
        <v/>
      </c>
      <c r="C181" s="77" t="str">
        <f aca="false">IF(B181="","",IF(B182="",0,Locked!H185/1000))</f>
        <v/>
      </c>
      <c r="D181" s="78" t="str">
        <f aca="false">IF(C181="","",IF(C181=0,0,-(C181*1.001-C181*0.999)/(Locked!G185*LN((C181*1.001)/(C181*0.999)))/IF(Locked!G$125&gt;0,Locked!G$125,0.8)))</f>
        <v/>
      </c>
      <c r="E181" s="78" t="str">
        <f aca="false">D181</f>
        <v/>
      </c>
    </row>
    <row r="182" customFormat="false" ht="15" hidden="false" customHeight="false" outlineLevel="0" collapsed="false">
      <c r="A182" s="75" t="str">
        <f aca="false">IF(B182="","Unused","key =")</f>
        <v>Unused</v>
      </c>
      <c r="B182" s="75" t="str">
        <f aca="false">IF(Locked!Q186="|",ROUND(Locked!N186,0),IF(Locked!Q186="V",ROUND(Locked!N186,-3),""))</f>
        <v/>
      </c>
      <c r="C182" s="77" t="str">
        <f aca="false">IF(B182="","",IF(B183="",0,Locked!H186/1000))</f>
        <v/>
      </c>
      <c r="D182" s="78" t="str">
        <f aca="false">IF(C182="","",IF(C182=0,0,-(C182*1.001-C182*0.999)/(Locked!G186*LN((C182*1.001)/(C182*0.999)))/IF(Locked!G$125&gt;0,Locked!G$125,0.8)))</f>
        <v/>
      </c>
      <c r="E182" s="78" t="str">
        <f aca="false">D182</f>
        <v/>
      </c>
    </row>
    <row r="183" customFormat="false" ht="15" hidden="false" customHeight="false" outlineLevel="0" collapsed="false">
      <c r="A183" s="75" t="str">
        <f aca="false">IF(B183="","Unused","key =")</f>
        <v>Unused</v>
      </c>
      <c r="B183" s="75" t="str">
        <f aca="false">IF(Locked!Q187="|",ROUND(Locked!N187,0),IF(Locked!Q187="V",ROUND(Locked!N187,-3),""))</f>
        <v/>
      </c>
      <c r="C183" s="77" t="str">
        <f aca="false">IF(B183="","",IF(B184="",0,Locked!H187/1000))</f>
        <v/>
      </c>
      <c r="D183" s="78" t="str">
        <f aca="false">IF(C183="","",IF(C183=0,0,-(C183*1.001-C183*0.999)/(Locked!G187*LN((C183*1.001)/(C183*0.999)))/IF(Locked!G$125&gt;0,Locked!G$125,0.8)))</f>
        <v/>
      </c>
      <c r="E183" s="78" t="str">
        <f aca="false">D183</f>
        <v/>
      </c>
    </row>
    <row r="184" customFormat="false" ht="15" hidden="false" customHeight="false" outlineLevel="0" collapsed="false">
      <c r="A184" s="75" t="str">
        <f aca="false">IF(B184="","Unused","key =")</f>
        <v>Unused</v>
      </c>
      <c r="B184" s="75" t="str">
        <f aca="false">IF(Locked!Q188="|",ROUND(Locked!N188,0),IF(Locked!Q188="V",ROUND(Locked!N188,-3),""))</f>
        <v/>
      </c>
      <c r="C184" s="77" t="str">
        <f aca="false">IF(B184="","",IF(B185="",0,Locked!H188/1000))</f>
        <v/>
      </c>
      <c r="D184" s="78" t="str">
        <f aca="false">IF(C184="","",IF(C184=0,0,-(C184*1.001-C184*0.999)/(Locked!G188*LN((C184*1.001)/(C184*0.999)))/IF(Locked!G$125&gt;0,Locked!G$125,0.8)))</f>
        <v/>
      </c>
      <c r="E184" s="78" t="str">
        <f aca="false">D184</f>
        <v/>
      </c>
    </row>
    <row r="185" customFormat="false" ht="15" hidden="false" customHeight="false" outlineLevel="0" collapsed="false">
      <c r="A185" s="75" t="str">
        <f aca="false">IF(B185="","Unused","key =")</f>
        <v>Unused</v>
      </c>
      <c r="B185" s="75" t="str">
        <f aca="false">IF(Locked!Q189="|",ROUND(Locked!N189,0),IF(Locked!Q189="V",ROUND(Locked!N189,-3),""))</f>
        <v/>
      </c>
      <c r="C185" s="77" t="str">
        <f aca="false">IF(B185="","",IF(B186="",0,Locked!H189/1000))</f>
        <v/>
      </c>
      <c r="D185" s="78" t="str">
        <f aca="false">IF(C185="","",IF(C185=0,0,-(C185*1.001-C185*0.999)/(Locked!G189*LN((C185*1.001)/(C185*0.999)))/IF(Locked!G$125&gt;0,Locked!G$125,0.8)))</f>
        <v/>
      </c>
      <c r="E185" s="78" t="str">
        <f aca="false">D185</f>
        <v/>
      </c>
    </row>
    <row r="186" customFormat="false" ht="15" hidden="false" customHeight="false" outlineLevel="0" collapsed="false">
      <c r="A186" s="72" t="s">
        <v>212</v>
      </c>
      <c r="B186" s="75"/>
      <c r="C186" s="75"/>
      <c r="D186" s="75"/>
      <c r="E186" s="75"/>
    </row>
    <row r="187" customFormat="false" ht="15" hidden="false" customHeight="false" outlineLevel="0" collapsed="false">
      <c r="A187" s="70" t="s">
        <v>212</v>
      </c>
      <c r="B187" s="75"/>
      <c r="C187" s="75"/>
      <c r="D187" s="75"/>
      <c r="E187" s="75"/>
    </row>
    <row r="188" customFormat="false" ht="15" hidden="false" customHeight="false" outlineLevel="0" collapsed="false">
      <c r="B188" s="68"/>
    </row>
    <row r="189" customFormat="false" ht="15" hidden="false" customHeight="false" outlineLevel="0" collapsed="false">
      <c r="B189" s="68"/>
      <c r="C189" s="79"/>
      <c r="D189" s="80"/>
      <c r="E189" s="80"/>
    </row>
    <row r="190" customFormat="false" ht="15" hidden="false" customHeight="false" outlineLevel="0" collapsed="false">
      <c r="B190" s="68"/>
    </row>
    <row r="191" customFormat="false" ht="15" hidden="false" customHeight="false" outlineLevel="0" collapsed="false">
      <c r="B191" s="68"/>
      <c r="E191" s="80"/>
    </row>
    <row r="192" customFormat="false" ht="15" hidden="false" customHeight="false" outlineLevel="0" collapsed="false">
      <c r="B192" s="68"/>
      <c r="D192" s="80"/>
      <c r="E192" s="80"/>
    </row>
    <row r="193" customFormat="false" ht="15" hidden="false" customHeight="false" outlineLevel="0" collapsed="false">
      <c r="B193" s="68"/>
      <c r="D193" s="80"/>
      <c r="E193" s="80"/>
    </row>
    <row r="194" customFormat="false" ht="15" hidden="false" customHeight="false" outlineLevel="0" collapsed="false">
      <c r="B194" s="68"/>
      <c r="C194" s="79"/>
      <c r="D194" s="80"/>
      <c r="E194" s="80"/>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row>
    <row r="201" customFormat="false" ht="15" hidden="false" customHeight="false" outlineLevel="0" collapsed="false">
      <c r="B201" s="68"/>
      <c r="D201" s="80"/>
      <c r="E201" s="80"/>
    </row>
    <row r="202" customFormat="false" ht="15" hidden="false" customHeight="false" outlineLevel="0" collapsed="false">
      <c r="B202"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4" activeCellId="0" sqref="G14"/>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0" min="2" style="1" width="12.71"/>
    <col collapsed="false" customWidth="false" hidden="false" outlineLevel="0" max="11" min="11" style="1" width="9.13"/>
    <col collapsed="false" customWidth="true" hidden="false" outlineLevel="0" max="12" min="12" style="1" width="26.85"/>
    <col collapsed="false" customWidth="true" hidden="false" outlineLevel="0" max="13" min="13" style="1" width="14.28"/>
    <col collapsed="false" customWidth="true" hidden="false" outlineLevel="0" max="14" min="14" style="1" width="11.57"/>
    <col collapsed="false" customWidth="false" hidden="false" outlineLevel="0" max="15" min="15" style="1" width="9.13"/>
    <col collapsed="false" customWidth="false" hidden="true" outlineLevel="0" max="24" min="16" style="1" width="9.13"/>
    <col collapsed="false" customWidth="false" hidden="false" outlineLevel="0" max="1024" min="25" style="1" width="9.13"/>
  </cols>
  <sheetData>
    <row r="2" customFormat="false" ht="31.5" hidden="false" customHeight="false" outlineLevel="0" collapsed="false">
      <c r="B2" s="5" t="s">
        <v>19</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21</v>
      </c>
      <c r="C5" s="6"/>
      <c r="D5" s="6"/>
      <c r="E5" s="6"/>
      <c r="F5" s="6"/>
      <c r="G5" s="6"/>
      <c r="H5" s="6"/>
      <c r="K5" s="7"/>
      <c r="L5" s="8" t="s">
        <v>22</v>
      </c>
      <c r="M5" s="8"/>
      <c r="N5" s="9"/>
      <c r="P5" s="10"/>
      <c r="Q5" s="10" t="s">
        <v>23</v>
      </c>
      <c r="R5" s="10" t="s">
        <v>24</v>
      </c>
      <c r="S5" s="10" t="s">
        <v>25</v>
      </c>
      <c r="T5" s="10" t="s">
        <v>26</v>
      </c>
    </row>
    <row r="6" customFormat="false" ht="15.75" hidden="false" customHeight="false" outlineLevel="0" collapsed="false">
      <c r="B6" s="6" t="s">
        <v>27</v>
      </c>
      <c r="C6" s="6"/>
      <c r="D6" s="6"/>
      <c r="E6" s="6"/>
      <c r="F6" s="6"/>
      <c r="G6" s="6"/>
      <c r="H6" s="6"/>
      <c r="K6" s="11"/>
      <c r="L6" s="8"/>
      <c r="M6" s="8"/>
      <c r="N6" s="12"/>
    </row>
    <row r="7" customFormat="false" ht="15.75" hidden="false" customHeight="false" outlineLevel="0" collapsed="false">
      <c r="K7" s="11"/>
      <c r="L7" s="13"/>
      <c r="M7" s="13"/>
      <c r="N7" s="12"/>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4" t="s">
        <v>29</v>
      </c>
      <c r="K8" s="11"/>
      <c r="L8" s="13" t="s">
        <v>30</v>
      </c>
      <c r="M8" s="13"/>
      <c r="N8" s="12"/>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4" t="n">
        <v>95996972430</v>
      </c>
      <c r="G9" s="14"/>
      <c r="H9" s="13" t="s">
        <v>33</v>
      </c>
      <c r="K9" s="11"/>
      <c r="L9" s="13" t="s">
        <v>34</v>
      </c>
      <c r="M9" s="13"/>
      <c r="N9" s="12"/>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4" t="s">
        <v>36</v>
      </c>
      <c r="F10" s="15"/>
      <c r="G10" s="15"/>
      <c r="K10" s="11"/>
      <c r="L10" s="13" t="s">
        <v>37</v>
      </c>
      <c r="M10" s="13"/>
      <c r="N10" s="12"/>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4" t="n">
        <v>108499248</v>
      </c>
      <c r="G11" s="14"/>
      <c r="H11" s="1" t="s">
        <v>33</v>
      </c>
      <c r="K11" s="11"/>
      <c r="L11" s="13" t="s">
        <v>40</v>
      </c>
      <c r="M11" s="13"/>
      <c r="N11" s="12"/>
      <c r="P11" s="13" t="s">
        <v>41</v>
      </c>
      <c r="Q11" s="13" t="n">
        <v>11</v>
      </c>
      <c r="R11" s="13" t="n">
        <v>5.71</v>
      </c>
      <c r="S11" s="13" t="n">
        <v>13500</v>
      </c>
      <c r="T11" s="13"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6" t="s">
        <v>42</v>
      </c>
      <c r="C12" s="17"/>
      <c r="D12" s="18" t="s">
        <v>43</v>
      </c>
      <c r="E12" s="18"/>
      <c r="F12" s="19"/>
      <c r="G12" s="20"/>
      <c r="H12" s="13" t="s">
        <v>44</v>
      </c>
      <c r="K12" s="11"/>
      <c r="L12" s="13" t="s">
        <v>45</v>
      </c>
      <c r="M12" s="13"/>
      <c r="N12" s="12"/>
      <c r="P12" s="13" t="s">
        <v>46</v>
      </c>
      <c r="Q12" s="13" t="n">
        <v>7.3</v>
      </c>
      <c r="R12" s="13" t="n">
        <v>4.06</v>
      </c>
      <c r="S12" s="13" t="n">
        <v>2690</v>
      </c>
      <c r="T12" s="13"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1" t="s">
        <v>47</v>
      </c>
      <c r="C13" s="13"/>
      <c r="D13" s="18"/>
      <c r="E13" s="18"/>
      <c r="F13" s="22"/>
      <c r="G13" s="23" t="n">
        <v>3.08213935E+028</v>
      </c>
      <c r="H13" s="1" t="s">
        <v>48</v>
      </c>
      <c r="K13" s="11"/>
      <c r="L13" s="13"/>
      <c r="M13" s="13"/>
      <c r="N13" s="12"/>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4" t="s">
        <v>50</v>
      </c>
      <c r="C14" s="25"/>
      <c r="D14" s="18"/>
      <c r="E14" s="18"/>
      <c r="F14" s="26"/>
      <c r="G14" s="27"/>
      <c r="H14" s="13" t="s">
        <v>51</v>
      </c>
      <c r="K14" s="11"/>
      <c r="L14" s="13" t="s">
        <v>52</v>
      </c>
      <c r="M14" s="28" t="s">
        <v>53</v>
      </c>
      <c r="N14" s="12"/>
      <c r="O14" s="13"/>
      <c r="P14" s="13" t="s">
        <v>54</v>
      </c>
      <c r="Q14" s="13" t="n">
        <v>5.1</v>
      </c>
      <c r="R14" s="13" t="n">
        <v>3.46</v>
      </c>
      <c r="S14" s="13" t="n">
        <v>776</v>
      </c>
      <c r="T14" s="13" t="n">
        <v>16400</v>
      </c>
      <c r="U14" s="1" t="n">
        <f aca="false">IF(P14=M$14,Q14,0)</f>
        <v>0</v>
      </c>
      <c r="V14" s="1" t="n">
        <f aca="false">IF(P14=M$14,R14,0)</f>
        <v>0</v>
      </c>
      <c r="W14" s="1" t="n">
        <f aca="false">IF(P14=M$14,S14,0)</f>
        <v>0</v>
      </c>
      <c r="X14" s="1" t="n">
        <f aca="false">IF(P14=M$14,T14,0)</f>
        <v>0</v>
      </c>
    </row>
    <row r="15" s="13" customFormat="true" ht="15.75" hidden="false" customHeight="false" outlineLevel="0" collapsed="false">
      <c r="B15" s="29"/>
      <c r="F15" s="22"/>
      <c r="G15" s="22"/>
      <c r="J15" s="1"/>
      <c r="K15" s="11"/>
      <c r="N15" s="12"/>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3" customFormat="true" ht="15.75" hidden="false" customHeight="false" outlineLevel="0" collapsed="false">
      <c r="B16" s="6" t="s">
        <v>56</v>
      </c>
      <c r="C16" s="6"/>
      <c r="D16" s="6"/>
      <c r="E16" s="6"/>
      <c r="F16" s="6"/>
      <c r="G16" s="6"/>
      <c r="H16" s="6"/>
      <c r="J16" s="1"/>
      <c r="K16" s="11"/>
      <c r="L16" s="13" t="s">
        <v>57</v>
      </c>
      <c r="N16" s="12"/>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3" customFormat="true" ht="15.75" hidden="false" customHeight="false" outlineLevel="0" collapsed="false">
      <c r="B17" s="6" t="s">
        <v>59</v>
      </c>
      <c r="C17" s="6"/>
      <c r="D17" s="6"/>
      <c r="E17" s="6"/>
      <c r="F17" s="6"/>
      <c r="G17" s="6"/>
      <c r="H17" s="6"/>
      <c r="J17" s="1"/>
      <c r="K17" s="11"/>
      <c r="L17" s="30" t="s">
        <v>60</v>
      </c>
      <c r="M17" s="13" t="n">
        <f aca="false">U91</f>
        <v>0.7</v>
      </c>
      <c r="N17" s="12"/>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3" customFormat="true" ht="15.75" hidden="false" customHeight="false" outlineLevel="0" collapsed="false">
      <c r="B18" s="29"/>
      <c r="F18" s="22"/>
      <c r="G18" s="22"/>
      <c r="J18" s="1"/>
      <c r="K18" s="11"/>
      <c r="L18" s="30" t="s">
        <v>62</v>
      </c>
      <c r="M18" s="13" t="n">
        <f aca="false">V91</f>
        <v>0.701</v>
      </c>
      <c r="N18" s="12"/>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5"/>
      <c r="G19" s="31" t="n">
        <v>7800</v>
      </c>
      <c r="H19" s="13" t="s">
        <v>65</v>
      </c>
      <c r="I19" s="32"/>
      <c r="K19" s="11"/>
      <c r="L19" s="30" t="s">
        <v>66</v>
      </c>
      <c r="M19" s="13" t="n">
        <f aca="false">W91</f>
        <v>0.174</v>
      </c>
      <c r="N19" s="12"/>
      <c r="O19" s="13"/>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3" customFormat="true" ht="15.75" hidden="false" customHeight="false" outlineLevel="0" collapsed="false">
      <c r="B20" s="29"/>
      <c r="F20" s="22"/>
      <c r="G20" s="22"/>
      <c r="J20" s="1"/>
      <c r="K20" s="11"/>
      <c r="L20" s="13" t="s">
        <v>64</v>
      </c>
      <c r="M20" s="13" t="n">
        <f aca="false">X91</f>
        <v>4440</v>
      </c>
      <c r="N20" s="12"/>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6" t="s">
        <v>69</v>
      </c>
      <c r="C21" s="6"/>
      <c r="D21" s="6"/>
      <c r="E21" s="6"/>
      <c r="F21" s="6"/>
      <c r="G21" s="6"/>
      <c r="H21" s="6"/>
      <c r="K21" s="11"/>
      <c r="L21" s="13" t="s">
        <v>70</v>
      </c>
      <c r="M21" s="13"/>
      <c r="N21" s="12"/>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6" t="s">
        <v>72</v>
      </c>
      <c r="C22" s="6"/>
      <c r="D22" s="6"/>
      <c r="E22" s="6"/>
      <c r="F22" s="6"/>
      <c r="G22" s="6"/>
      <c r="H22" s="6"/>
      <c r="K22" s="11"/>
      <c r="L22" s="30" t="s">
        <v>60</v>
      </c>
      <c r="M22" s="33" t="n">
        <f aca="false">M17*1.98847E+030</f>
        <v>1.391929E+030</v>
      </c>
      <c r="N22" s="12"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5"/>
      <c r="G23" s="15"/>
      <c r="K23" s="11"/>
      <c r="L23" s="30" t="s">
        <v>62</v>
      </c>
      <c r="M23" s="34" t="n">
        <f aca="false">ROUND(M18*695900000,-6)</f>
        <v>488000000</v>
      </c>
      <c r="N23" s="12"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 hidden="false" customHeight="false" outlineLevel="0" collapsed="false">
      <c r="B24" s="3" t="s">
        <v>75</v>
      </c>
      <c r="F24" s="35" t="n">
        <v>1084992480</v>
      </c>
      <c r="G24" s="35"/>
      <c r="H24" s="1" t="s">
        <v>33</v>
      </c>
      <c r="K24" s="11"/>
      <c r="L24" s="30" t="s">
        <v>66</v>
      </c>
      <c r="M24" s="33" t="n">
        <f aca="false">M19*3.828E+026</f>
        <v>6.66072E+025</v>
      </c>
      <c r="N24" s="12"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1"/>
      <c r="L25" s="30" t="s">
        <v>78</v>
      </c>
      <c r="M25" s="13" t="n">
        <f aca="false">ROUND(M17*1.98847E+030*0.0000000000667408/(M18*695900000)^2/9.80665,1)</f>
        <v>39.8</v>
      </c>
      <c r="N25" s="12"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6" t="s">
        <v>80</v>
      </c>
      <c r="C26" s="6"/>
      <c r="D26" s="6"/>
      <c r="E26" s="6"/>
      <c r="F26" s="6"/>
      <c r="G26" s="6"/>
      <c r="H26" s="6"/>
      <c r="K26" s="11"/>
      <c r="L26" s="30" t="s">
        <v>81</v>
      </c>
      <c r="M26" s="33" t="n">
        <f aca="false">10000000000*(1/M17)^2.5</f>
        <v>24392420598.6611</v>
      </c>
      <c r="N26" s="12"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6" t="s">
        <v>84</v>
      </c>
      <c r="C27" s="6"/>
      <c r="D27" s="6"/>
      <c r="E27" s="6"/>
      <c r="F27" s="6"/>
      <c r="G27" s="6"/>
      <c r="H27" s="6"/>
      <c r="K27" s="36"/>
      <c r="L27" s="37"/>
      <c r="M27" s="37"/>
      <c r="N27" s="38"/>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B29" s="4"/>
      <c r="F29" s="10" t="s">
        <v>87</v>
      </c>
      <c r="G29" s="10" t="s">
        <v>88</v>
      </c>
      <c r="H29" s="10"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9" t="s">
        <v>91</v>
      </c>
      <c r="C30" s="37"/>
      <c r="D30" s="37"/>
      <c r="E30" s="37" t="s">
        <v>92</v>
      </c>
      <c r="F30" s="40" t="s">
        <v>93</v>
      </c>
      <c r="G30" s="40" t="s">
        <v>94</v>
      </c>
      <c r="H30" s="40"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41" t="s">
        <v>97</v>
      </c>
      <c r="C31" s="41"/>
      <c r="D31" s="41"/>
      <c r="E31" s="1" t="s">
        <v>98</v>
      </c>
      <c r="F31" s="42" t="n">
        <v>0.91</v>
      </c>
      <c r="G31" s="43" t="n">
        <v>1.00794</v>
      </c>
      <c r="H31" s="43"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44" t="s">
        <v>100</v>
      </c>
      <c r="C32" s="44"/>
      <c r="D32" s="44"/>
      <c r="E32" s="1" t="s">
        <v>101</v>
      </c>
      <c r="F32" s="42" t="n">
        <v>0.09</v>
      </c>
      <c r="G32" s="43" t="n">
        <v>4.002602</v>
      </c>
      <c r="H32" s="43"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44" t="s">
        <v>103</v>
      </c>
      <c r="C33" s="44"/>
      <c r="D33" s="44"/>
      <c r="E33" s="1" t="s">
        <v>104</v>
      </c>
      <c r="F33" s="42" t="n">
        <v>0</v>
      </c>
      <c r="G33" s="43" t="n">
        <v>12.0107</v>
      </c>
      <c r="H33" s="43" t="n">
        <f aca="false">IF(C$79&lt;6000,21.1751-0.812428*(C$79/1000)+0.448537*(C$79/1000)^2-0.043256*(C$79/1000)^3-0.013103/(C$79/1000)^2,23.104)</f>
        <v>23.104</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44" t="s">
        <v>106</v>
      </c>
      <c r="C34" s="44"/>
      <c r="D34" s="44"/>
      <c r="E34" s="1" t="s">
        <v>107</v>
      </c>
      <c r="F34" s="42" t="n">
        <v>0</v>
      </c>
      <c r="G34" s="43" t="n">
        <v>15.9994</v>
      </c>
      <c r="H34" s="43"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22.273</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5"/>
      <c r="C35" s="45"/>
      <c r="D35" s="45"/>
      <c r="E35" s="46"/>
      <c r="F35" s="42"/>
      <c r="G35" s="47"/>
      <c r="H35" s="47"/>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5"/>
      <c r="C36" s="45"/>
      <c r="D36" s="45"/>
      <c r="E36" s="46"/>
      <c r="F36" s="42"/>
      <c r="G36" s="47"/>
      <c r="H36" s="47"/>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8"/>
      <c r="C37" s="48"/>
      <c r="D37" s="48"/>
      <c r="E37" s="49"/>
      <c r="F37" s="50"/>
      <c r="G37" s="51"/>
      <c r="H37" s="51"/>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4" t="s">
        <v>112</v>
      </c>
      <c r="F38" s="52"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B39" s="4"/>
      <c r="P39" s="13" t="s">
        <v>114</v>
      </c>
      <c r="Q39" s="13" t="n">
        <v>1.13</v>
      </c>
      <c r="R39" s="13" t="n">
        <v>1.167</v>
      </c>
      <c r="S39" s="13" t="n">
        <v>1.66</v>
      </c>
      <c r="T39" s="13"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B42" s="4"/>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6" t="s">
        <v>120</v>
      </c>
      <c r="C43" s="6"/>
      <c r="D43" s="6"/>
      <c r="E43" s="6"/>
      <c r="F43" s="6"/>
      <c r="G43" s="6"/>
      <c r="H43" s="6"/>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6" t="s">
        <v>122</v>
      </c>
      <c r="C44" s="6"/>
      <c r="D44" s="6"/>
      <c r="E44" s="6"/>
      <c r="F44" s="6"/>
      <c r="G44" s="6"/>
      <c r="H44" s="6"/>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3" customFormat="true" ht="15.75" hidden="false" customHeight="false" outlineLevel="0" collapsed="false">
      <c r="B46" s="13" t="s">
        <v>36</v>
      </c>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3" customFormat="true" ht="15.75" hidden="false" customHeight="false" outlineLevel="0" collapsed="false">
      <c r="B47" s="30" t="s">
        <v>50</v>
      </c>
      <c r="G47" s="53" t="n">
        <f aca="false">MAX(,IF(G12&gt;0,IF(F11&gt;0,G12/F11^2/9.80665,25),IF(G13&gt;0,IF(F11&gt;0,G13*0.0000000000667408/F11^2/9.80665,25),IF(G14&gt;0,G14,25))),0.1)</f>
        <v>17.8184345618128</v>
      </c>
      <c r="H47" s="13"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30" t="s">
        <v>127</v>
      </c>
      <c r="G48" s="54"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30" t="s">
        <v>130</v>
      </c>
      <c r="G49" s="54"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30" t="s">
        <v>132</v>
      </c>
      <c r="G50" s="55" t="n">
        <f aca="false">4*PI()*F11^2*0.000000056704*G19^4</f>
        <v>3.10495583345907E+025</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30" t="s">
        <v>134</v>
      </c>
      <c r="G51" s="32" t="n">
        <f aca="false">IF(F9&gt;0,G50/(4*PI()*F9^2),1000)</f>
        <v>268.120789852838</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6"/>
      <c r="G52" s="54"/>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6"/>
      <c r="B53" s="57" t="s">
        <v>138</v>
      </c>
      <c r="C53" s="57"/>
      <c r="D53" s="57"/>
      <c r="E53" s="57"/>
      <c r="F53" s="57"/>
      <c r="G53" s="57"/>
      <c r="H53" s="57"/>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6"/>
      <c r="B54" s="6" t="s">
        <v>140</v>
      </c>
      <c r="C54" s="6"/>
      <c r="D54" s="6"/>
      <c r="E54" s="6"/>
      <c r="F54" s="6"/>
      <c r="G54" s="6"/>
      <c r="H54" s="6"/>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6"/>
      <c r="G55" s="54"/>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6"/>
      <c r="B56" s="30" t="s">
        <v>142</v>
      </c>
      <c r="G56" s="54" t="n">
        <f aca="false">IF(F11&gt;0,IF(F24&gt;0,F11/F24,0.1),0.1)</f>
        <v>0.1</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6"/>
      <c r="B57" s="30" t="s">
        <v>144</v>
      </c>
      <c r="G57" s="32" t="n">
        <f aca="false">(F79-F94)/LN(H94/H79)</f>
        <v>288073.890682728</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6"/>
      <c r="B58" s="30" t="s">
        <v>146</v>
      </c>
      <c r="G58" s="54" t="n">
        <f aca="false">(G56-0.09412)/0.90588*(1-IF(G57&gt;19609.054,0.024794*LOG(G57)^4-0.61307*LOG(G57)^3+5.7765*LOG(G57)^2-24.691*LOG(G57)+40.622,1))+IF(G57&gt;19609.054,0.024794*LOG(G57)^4-0.61307*LOG(G57)^3+5.7765*LOG(G57)^2-24.691*LOG(G57)+40.622,1)</f>
        <v>0.265778110803208</v>
      </c>
      <c r="I58" s="54"/>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6"/>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6"/>
      <c r="B60" s="30" t="s">
        <v>149</v>
      </c>
      <c r="F60" s="58" t="s">
        <v>150</v>
      </c>
      <c r="G60" s="59" t="n">
        <f aca="false">G58</f>
        <v>0.265778110803208</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6"/>
      <c r="B61" s="30" t="s">
        <v>152</v>
      </c>
      <c r="G61" s="60" t="n">
        <f aca="false">'Star CFG'!B14</f>
        <v>881000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6" t="s">
        <v>155</v>
      </c>
      <c r="C63" s="6"/>
      <c r="D63" s="6"/>
      <c r="E63" s="6"/>
      <c r="F63" s="6"/>
      <c r="G63" s="6"/>
      <c r="H63" s="6"/>
      <c r="I63" s="6"/>
      <c r="J63" s="6"/>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6" t="s">
        <v>157</v>
      </c>
      <c r="C64" s="6"/>
      <c r="D64" s="6"/>
      <c r="E64" s="6"/>
      <c r="F64" s="6"/>
      <c r="G64" s="6"/>
      <c r="H64" s="6"/>
      <c r="I64" s="6"/>
      <c r="J64" s="6"/>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6" t="s">
        <v>159</v>
      </c>
      <c r="C65" s="6"/>
      <c r="D65" s="6"/>
      <c r="E65" s="6"/>
      <c r="F65" s="6"/>
      <c r="G65" s="6"/>
      <c r="H65" s="6"/>
      <c r="I65" s="6"/>
      <c r="J65" s="6"/>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6" t="s">
        <v>161</v>
      </c>
      <c r="C66" s="6"/>
      <c r="D66" s="6"/>
      <c r="E66" s="6"/>
      <c r="F66" s="6"/>
      <c r="G66" s="6"/>
      <c r="H66" s="6"/>
      <c r="I66" s="6"/>
      <c r="J66" s="6"/>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30"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30"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30"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30"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30"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30"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10"/>
      <c r="C75" s="10" t="s">
        <v>177</v>
      </c>
      <c r="F75" s="10"/>
      <c r="J75" s="10"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10" t="s">
        <v>180</v>
      </c>
      <c r="C76" s="10" t="s">
        <v>181</v>
      </c>
      <c r="D76" s="10" t="s">
        <v>182</v>
      </c>
      <c r="E76" s="10" t="s">
        <v>183</v>
      </c>
      <c r="F76" s="10" t="s">
        <v>184</v>
      </c>
      <c r="G76" s="10" t="s">
        <v>98</v>
      </c>
      <c r="H76" s="10" t="s">
        <v>185</v>
      </c>
      <c r="I76" s="10" t="s">
        <v>186</v>
      </c>
      <c r="J76" s="10"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10" t="s">
        <v>189</v>
      </c>
      <c r="C77" s="10" t="s">
        <v>65</v>
      </c>
      <c r="D77" s="10" t="s">
        <v>190</v>
      </c>
      <c r="E77" s="10" t="s">
        <v>191</v>
      </c>
      <c r="F77" s="10" t="s">
        <v>33</v>
      </c>
      <c r="G77" s="10" t="s">
        <v>33</v>
      </c>
      <c r="H77" s="10" t="s">
        <v>192</v>
      </c>
      <c r="I77" s="10" t="s">
        <v>193</v>
      </c>
      <c r="J77" s="10"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10"/>
      <c r="C78" s="10"/>
      <c r="D78" s="10"/>
      <c r="E78" s="61"/>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62" t="n">
        <f aca="false">LOG(0.1)</f>
        <v>-1</v>
      </c>
      <c r="C79" s="63" t="n">
        <f aca="false">IF(G$19&gt;0,G$19,5000)</f>
        <v>7800</v>
      </c>
      <c r="D79" s="10"/>
      <c r="E79" s="61" t="n">
        <v>0</v>
      </c>
      <c r="F79" s="61" t="n">
        <v>0</v>
      </c>
      <c r="G79" s="61" t="n">
        <f aca="false">8314.4621*C79/(G$48*G$47*9.80665)</f>
        <v>290530.258906365</v>
      </c>
      <c r="H79" s="64" t="n">
        <f aca="false">10^B79*101325</f>
        <v>10132.5</v>
      </c>
      <c r="I79" s="64" t="n">
        <f aca="false">H79/(8314.4621/G$48*C79)</f>
        <v>0.000199588272521053</v>
      </c>
      <c r="J79" s="61" t="n">
        <f aca="false">F79*IF(G$60&gt;0,G$60,1)</f>
        <v>0</v>
      </c>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2"/>
      <c r="B80" s="62" t="n">
        <f aca="false">B79-1/3</f>
        <v>-1.33333333333333</v>
      </c>
      <c r="C80" s="65" t="n">
        <f aca="false">IF(G$19&gt;0,G$19,5000)*0.867</f>
        <v>6762.6</v>
      </c>
      <c r="D80" s="64" t="n">
        <f aca="false">(C80-C79)/(E80-E79)</f>
        <v>-0.00499527520591515</v>
      </c>
      <c r="E80" s="61" t="n">
        <f aca="false">IF(D80=0,(8314.4621*C79*LN(H80/H79)/(-G$47*9.80665*G$48)),C79/D80*(1/(H80/H79)^(8314.4621*D80/(G$47*9.80665*G$48))-1))+E79</f>
        <v>207799.527959583</v>
      </c>
      <c r="F80" s="61" t="n">
        <f aca="false">F$24*E80/(F$24-E80)</f>
        <v>207839.333687483</v>
      </c>
      <c r="G80" s="61" t="n">
        <f aca="false">8314.4621*C80/(G$48*G$47*9.80665)</f>
        <v>251889.734471818</v>
      </c>
      <c r="H80" s="64" t="n">
        <f aca="false">10^B80*101325</f>
        <v>4703.08988565815</v>
      </c>
      <c r="I80" s="64" t="n">
        <f aca="false">H80/(8314.4621/G$48*C80)</f>
        <v>0.000106851983512547</v>
      </c>
      <c r="J80" s="61" t="n">
        <f aca="false">F80*IF(G$60&gt;0,G$60,1)</f>
        <v>55239.1454580567</v>
      </c>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2"/>
      <c r="B81" s="62" t="n">
        <f aca="false">B80-1/3</f>
        <v>-1.66666666666667</v>
      </c>
      <c r="C81" s="65" t="n">
        <f aca="false">IF(G$19&gt;0,G$19,5000)*0.785</f>
        <v>6123</v>
      </c>
      <c r="D81" s="64" t="n">
        <f aca="false">(C81-C80)/(E81-E80)</f>
        <v>-0.00348077787739845</v>
      </c>
      <c r="E81" s="61" t="n">
        <f aca="false">IF(D81=0,(8314.4621*C80*LN(H81/H80)/(-G$47*9.80665*G$48)),C80/D81*(1/(H81/H80)^(8314.4621*D81/(G$47*9.80665*G$48))-1))+E80</f>
        <v>391824.056760976</v>
      </c>
      <c r="F81" s="61" t="n">
        <f aca="false">F$24*E81/(F$24-E81)</f>
        <v>391965.607561831</v>
      </c>
      <c r="G81" s="61" t="n">
        <f aca="false">8314.4621*C81/(G$48*G$47*9.80665)</f>
        <v>228066.253241496</v>
      </c>
      <c r="H81" s="64" t="n">
        <f aca="false">10^B81*101325</f>
        <v>2182.98094967481</v>
      </c>
      <c r="I81" s="64" t="n">
        <f aca="false">H81/(8314.4621/G$48*C81)</f>
        <v>5.47770570755281E-005</v>
      </c>
      <c r="J81" s="61" t="n">
        <f aca="false">F81*IF(G$60&gt;0,G$60,1)</f>
        <v>104175.878677615</v>
      </c>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2"/>
      <c r="B82" s="62" t="n">
        <f aca="false">B81-1/3</f>
        <v>-2</v>
      </c>
      <c r="C82" s="65" t="n">
        <f aca="false">IF(G$19&gt;0,G$19,5000)*0.732</f>
        <v>5709.6</v>
      </c>
      <c r="D82" s="64" t="n">
        <f aca="false">(C82-C81)/(E82-E81)</f>
        <v>-0.00245129155026106</v>
      </c>
      <c r="E82" s="61" t="n">
        <f aca="false">IF(D82=0,(8314.4621*C81*LN(H82/H81)/(-G$47*9.80665*G$48)),C81/D82*(1/(H82/H81)^(8314.4621*D82/(G$47*9.80665*G$48))-1))+E81</f>
        <v>560878.630560043</v>
      </c>
      <c r="F82" s="61" t="n">
        <f aca="false">F$24*E82/(F$24-E82)</f>
        <v>561168.722473467</v>
      </c>
      <c r="G82" s="61" t="n">
        <f aca="false">8314.4621*C82/(G$48*G$47*9.80665)</f>
        <v>212668.149519459</v>
      </c>
      <c r="H82" s="64" t="n">
        <f aca="false">10^B82*101325</f>
        <v>1013.25</v>
      </c>
      <c r="I82" s="64" t="n">
        <f aca="false">H82/(8314.4621/G$48*C82)</f>
        <v>2.72661574482313E-005</v>
      </c>
      <c r="J82" s="61" t="n">
        <f aca="false">F82*IF(G$60&gt;0,G$60,1)</f>
        <v>149146.362900848</v>
      </c>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2"/>
      <c r="B83" s="62" t="n">
        <f aca="false">B82-1/3</f>
        <v>-2.33333333333333</v>
      </c>
      <c r="C83" s="65" t="n">
        <f aca="false">IF(G$19&gt;0,G$19,5000)*0.71</f>
        <v>5538</v>
      </c>
      <c r="D83" s="64" t="n">
        <f aca="false">(C83-C82)/(E83-E82)</f>
        <v>-0.00107060906571392</v>
      </c>
      <c r="E83" s="61" t="n">
        <f aca="false">IF(D83=0,(8314.4621*C82*LN(H83/H82)/(-G$47*9.80665*G$48)),C82/D83*(1/(H83/H82)^(8314.4621*D83/(G$47*9.80665*G$48))-1))+E82</f>
        <v>721634.778690614</v>
      </c>
      <c r="F83" s="61" t="n">
        <f aca="false">F$24*E83/(F$24-E83)</f>
        <v>722115.061597888</v>
      </c>
      <c r="G83" s="61" t="n">
        <f aca="false">8314.4621*C83/(G$48*G$47*9.80665)</f>
        <v>206276.483823519</v>
      </c>
      <c r="H83" s="64" t="n">
        <f aca="false">10^B83*101325</f>
        <v>470.308988565815</v>
      </c>
      <c r="I83" s="64" t="n">
        <f aca="false">H83/(8314.4621/G$48*C83)</f>
        <v>1.30479816486449E-005</v>
      </c>
      <c r="J83" s="61" t="n">
        <f aca="false">F83*IF(G$60&gt;0,G$60,1)</f>
        <v>191922.376854029</v>
      </c>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2"/>
      <c r="B84" s="62" t="n">
        <f aca="false">B83-1/3</f>
        <v>-2.66666666666667</v>
      </c>
      <c r="C84" s="65" t="n">
        <f aca="false">IF(G$19&gt;0,G$19,5000)*0.725</f>
        <v>5655</v>
      </c>
      <c r="D84" s="64" t="n">
        <f aca="false">(C84-C83)/(E84-E83)</f>
        <v>0.000733259736056865</v>
      </c>
      <c r="E84" s="61" t="n">
        <f aca="false">IF(D84=0,(8314.4621*C83*LN(H84/H83)/(-G$47*9.80665*G$48)),C83/D84*(1/(H84/H83)^(8314.4621*D84/(G$47*9.80665*G$48))-1))+E83</f>
        <v>881628.933767443</v>
      </c>
      <c r="F84" s="61" t="n">
        <f aca="false">F$24*E84/(F$24-E84)</f>
        <v>882345.89880482</v>
      </c>
      <c r="G84" s="61" t="n">
        <f aca="false">8314.4621*C84/(G$48*G$47*9.80665)</f>
        <v>210634.437707114</v>
      </c>
      <c r="H84" s="64" t="n">
        <f aca="false">10^B84*101325</f>
        <v>218.298094967481</v>
      </c>
      <c r="I84" s="64" t="n">
        <f aca="false">H84/(8314.4621/G$48*C84)</f>
        <v>5.93103307645373E-006</v>
      </c>
      <c r="J84" s="61" t="n">
        <f aca="false">F84*IF(G$60&gt;0,G$60,1)</f>
        <v>234508.226059304</v>
      </c>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2"/>
      <c r="B85" s="62" t="n">
        <f aca="false">B84-1/3</f>
        <v>-3</v>
      </c>
      <c r="C85" s="65" t="n">
        <f aca="false">IF(G$19&gt;0,G$19,5000)*0.768</f>
        <v>5990.4</v>
      </c>
      <c r="D85" s="64" t="n">
        <f aca="false">(C85-C84)/(E85-E84)</f>
        <v>0.00201944817352034</v>
      </c>
      <c r="E85" s="61" t="n">
        <f aca="false">IF(D85=0,(8314.4621*C84*LN(H85/H84)/(-G$47*9.80665*G$48)),C84/D85*(1/(H85/H84)^(8314.4621*D85/(G$47*9.80665*G$48))-1))+E84</f>
        <v>1048054.74399619</v>
      </c>
      <c r="F85" s="61" t="n">
        <f aca="false">F$24*E85/(F$24-E85)</f>
        <v>1049068.09737559</v>
      </c>
      <c r="G85" s="61" t="n">
        <f aca="false">8314.4621*C85/(G$48*G$47*9.80665)</f>
        <v>223127.238840088</v>
      </c>
      <c r="H85" s="64" t="n">
        <f aca="false">10^B85*101325</f>
        <v>101.325</v>
      </c>
      <c r="I85" s="64" t="n">
        <f aca="false">H85/(8314.4621/G$48*C85)</f>
        <v>2.59880563178455E-006</v>
      </c>
      <c r="J85" s="61" t="n">
        <f aca="false">F85*IF(G$60&gt;0,G$60,1)</f>
        <v>278819.3370244</v>
      </c>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2"/>
      <c r="B86" s="62" t="n">
        <f aca="false">B85-1/3</f>
        <v>-3.33333333333333</v>
      </c>
      <c r="C86" s="65" t="n">
        <f aca="false">IF(G$19&gt;0,G$19,5000)*0.835</f>
        <v>6513</v>
      </c>
      <c r="D86" s="64" t="n">
        <f aca="false">(C86-C85)/(E86-E85)</f>
        <v>0.00292955439580127</v>
      </c>
      <c r="E86" s="61" t="n">
        <f aca="false">IF(D86=0,(8314.4621*C85*LN(H86/H85)/(-G$47*9.80665*G$48)),C85/D86*(1/(H86/H85)^(8314.4621*D86/(G$47*9.80665*G$48))-1))+E85</f>
        <v>1226687.19636979</v>
      </c>
      <c r="F86" s="61" t="n">
        <f aca="false">F$24*E86/(F$24-E86)</f>
        <v>1228075.65270208</v>
      </c>
      <c r="G86" s="61" t="n">
        <f aca="false">8314.4621*C86/(G$48*G$47*9.80665)</f>
        <v>242592.766186814</v>
      </c>
      <c r="H86" s="64" t="n">
        <f aca="false">10^B86*101325</f>
        <v>47.0308988565815</v>
      </c>
      <c r="I86" s="64" t="n">
        <f aca="false">H86/(8314.4621/G$48*C86)</f>
        <v>1.10946909826801E-006</v>
      </c>
      <c r="J86" s="61" t="n">
        <f aca="false">F86*IF(G$60&gt;0,G$60,1)</f>
        <v>326395.626898576</v>
      </c>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2"/>
      <c r="B87" s="62" t="n">
        <f aca="false">B86-1/3</f>
        <v>-3.66666666666667</v>
      </c>
      <c r="C87" s="65" t="n">
        <f aca="false">IF(G$19&gt;0,G$19,5000)*0.92</f>
        <v>7176</v>
      </c>
      <c r="D87" s="64" t="n">
        <f aca="false">(C87-C86)/(E87-E86)</f>
        <v>0.00339366227973093</v>
      </c>
      <c r="E87" s="61" t="n">
        <f aca="false">IF(D87=0,(8314.4621*C86*LN(H87/H86)/(-G$47*9.80665*G$48)),C86/D87*(1/(H87/H86)^(8314.4621*D87/(G$47*9.80665*G$48))-1))+E86</f>
        <v>1422215.73436717</v>
      </c>
      <c r="F87" s="61" t="n">
        <f aca="false">F$24*E87/(F$24-E87)</f>
        <v>1424082.43158265</v>
      </c>
      <c r="G87" s="61" t="n">
        <f aca="false">8314.4621*C87/(G$48*G$47*9.80665)</f>
        <v>267287.838193855</v>
      </c>
      <c r="H87" s="64" t="n">
        <f aca="false">10^B87*101325</f>
        <v>21.829809496748</v>
      </c>
      <c r="I87" s="64" t="n">
        <f aca="false">H87/(8314.4621/G$48*C87)</f>
        <v>4.67391193524884E-007</v>
      </c>
      <c r="J87" s="61" t="n">
        <f aca="false">F87*IF(G$60&gt;0,G$60,1)</f>
        <v>378489.938294077</v>
      </c>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62" t="n">
        <f aca="false">B87-1/3</f>
        <v>-4</v>
      </c>
      <c r="C88" s="65" t="n">
        <f aca="false">IF(G$19&gt;0,G$19,5000)*1.01</f>
        <v>7878</v>
      </c>
      <c r="D88" s="64" t="n">
        <f aca="false">(C88-C87)/(E88-E87)</f>
        <v>0.00326613498826506</v>
      </c>
      <c r="E88" s="61" t="n">
        <f aca="false">IF(D88=0,(8314.4621*C87*LN(H88/H87)/(-G$47*9.80665*G$48)),C87/D88*(1/(H88/H87)^(8314.4621*D88/(G$47*9.80665*G$48))-1))+E87</f>
        <v>1637249.80077685</v>
      </c>
      <c r="F88" s="61" t="n">
        <f aca="false">F$24*E88/(F$24-E88)</f>
        <v>1639724.13868137</v>
      </c>
      <c r="G88" s="61" t="n">
        <f aca="false">8314.4621*C88/(G$48*G$47*9.80665)</f>
        <v>293435.561495428</v>
      </c>
      <c r="H88" s="64" t="n">
        <f aca="false">10^B88*101325</f>
        <v>10.1325</v>
      </c>
      <c r="I88" s="64" t="n">
        <f aca="false">H88/(8314.4621/G$48*C88)</f>
        <v>1.97612151010944E-007</v>
      </c>
      <c r="J88" s="61" t="n">
        <f aca="false">F88*IF(G$60&gt;0,G$60,1)</f>
        <v>435802.783817152</v>
      </c>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62" t="n">
        <f aca="false">B88-1/3</f>
        <v>-4.33333333333333</v>
      </c>
      <c r="C89" s="65" t="n">
        <f aca="false">IF(G$19&gt;0,G$19,5000)*1.08</f>
        <v>8424</v>
      </c>
      <c r="D89" s="64" t="n">
        <f aca="false">(C89-C88)/(E89-E88)</f>
        <v>0.00235862149471895</v>
      </c>
      <c r="E89" s="61" t="n">
        <f aca="false">IF(D89=0,(8314.4621*C88*LN(H89/H88)/(-G$47*9.80665*G$48)),C88/D89*(1/(H89/H88)^(8314.4621*D89/(G$47*9.80665*G$48))-1))+E88</f>
        <v>1870236.73412029</v>
      </c>
      <c r="F89" s="61" t="n">
        <f aca="false">F$24*E89/(F$24-E89)</f>
        <v>1873466.08839069</v>
      </c>
      <c r="G89" s="61" t="n">
        <f aca="false">8314.4621*C89/(G$48*G$47*9.80665)</f>
        <v>313772.679618874</v>
      </c>
      <c r="H89" s="64" t="n">
        <f aca="false">10^B89*101325</f>
        <v>4.70308988565815</v>
      </c>
      <c r="I89" s="64" t="n">
        <f aca="false">H89/(8314.4621/G$48*C89)</f>
        <v>8.57783978753505E-008</v>
      </c>
      <c r="J89" s="61" t="n">
        <f aca="false">F89*IF(G$60&gt;0,G$60,1)</f>
        <v>497926.277626354</v>
      </c>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62" t="n">
        <f aca="false">B89-1/3</f>
        <v>-4.66666666666667</v>
      </c>
      <c r="C90" s="65" t="n">
        <f aca="false">IF(G$19&gt;0,G$19,5000)*1.15</f>
        <v>8970</v>
      </c>
      <c r="D90" s="64" t="n">
        <f aca="false">(C90-C89)/(E90-E89)</f>
        <v>0.00221205940808411</v>
      </c>
      <c r="E90" s="61" t="n">
        <f aca="false">IF(D90=0,(8314.4621*C89*LN(H90/H89)/(-G$47*9.80665*G$48)),C89/D90*(1/(H90/H89)^(8314.4621*D90/(G$47*9.80665*G$48))-1))+E89</f>
        <v>2118844.21657256</v>
      </c>
      <c r="F90" s="61" t="n">
        <f aca="false">F$24*E90/(F$24-E90)</f>
        <v>2122990.13043152</v>
      </c>
      <c r="G90" s="61" t="n">
        <f aca="false">8314.4621*C90/(G$48*G$47*9.80665)</f>
        <v>334109.797742319</v>
      </c>
      <c r="H90" s="64" t="n">
        <f aca="false">10^B90*101325</f>
        <v>2.18298094967481</v>
      </c>
      <c r="I90" s="64" t="n">
        <f aca="false">H90/(8314.4621/G$48*C90)</f>
        <v>3.73912954819909E-008</v>
      </c>
      <c r="J90" s="61" t="n">
        <f aca="false">F90*IF(G$60&gt;0,G$60,1)</f>
        <v>564244.306119947</v>
      </c>
    </row>
    <row r="91" customFormat="false" ht="15.75" hidden="false" customHeight="false" outlineLevel="0" collapsed="false">
      <c r="B91" s="62" t="n">
        <f aca="false">B90-1/3</f>
        <v>-5</v>
      </c>
      <c r="C91" s="65" t="n">
        <f aca="false">IF(G$19&gt;0,G$19,5000)*1.22</f>
        <v>9516</v>
      </c>
      <c r="D91" s="64" t="n">
        <f aca="false">(C91-C90)/(E91-E90)</f>
        <v>0.00206713403444042</v>
      </c>
      <c r="E91" s="61" t="n">
        <f aca="false">IF(D91=0,(8314.4621*C90*LN(H91/H90)/(-G$47*9.80665*G$48)),C90/D91*(1/(H91/H90)^(8314.4621*D91/(G$47*9.80665*G$48))-1))+E90</f>
        <v>2383011.74033682</v>
      </c>
      <c r="F91" s="61" t="n">
        <f aca="false">F$24*E91/(F$24-E91)</f>
        <v>2388257.16365989</v>
      </c>
      <c r="G91" s="61" t="n">
        <f aca="false">8314.4621*C91/(G$48*G$47*9.80665)</f>
        <v>354446.915865765</v>
      </c>
      <c r="H91" s="64" t="n">
        <f aca="false">10^B91*101325</f>
        <v>1.01325</v>
      </c>
      <c r="I91" s="64" t="n">
        <f aca="false">H91/(8314.4621/G$48*C91)</f>
        <v>1.63596944689388E-008</v>
      </c>
      <c r="J91" s="61" t="n">
        <f aca="false">F91*IF(G$60&gt;0,G$60,1)</f>
        <v>634746.477069753</v>
      </c>
      <c r="U91" s="1" t="n">
        <f aca="false">SUM(U7:U90)</f>
        <v>0.7</v>
      </c>
      <c r="V91" s="1" t="n">
        <f aca="false">SUM(V7:V90)</f>
        <v>0.701</v>
      </c>
      <c r="W91" s="1" t="n">
        <f aca="false">SUM(W7:W90)</f>
        <v>0.174</v>
      </c>
      <c r="X91" s="1" t="n">
        <f aca="false">SUM(X7:X90)</f>
        <v>4440</v>
      </c>
    </row>
    <row r="92" customFormat="false" ht="15.75" hidden="false" customHeight="false" outlineLevel="0" collapsed="false">
      <c r="B92" s="62" t="n">
        <f aca="false">B91-1/3</f>
        <v>-5.33333333333333</v>
      </c>
      <c r="C92" s="65" t="n">
        <f aca="false">IF(G$19&gt;0,G$19,5000)*1.3</f>
        <v>10140</v>
      </c>
      <c r="D92" s="64" t="n">
        <f aca="false">(C92-C91)/(E92-E91)</f>
        <v>0.00222107383615225</v>
      </c>
      <c r="E92" s="61" t="n">
        <f aca="false">IF(D92=0,(8314.4621*C91*LN(H92/H91)/(-G$47*9.80665*G$48)),C91/D92*(1/(H92/H91)^(8314.4621*D92/(G$47*9.80665*G$48))-1))+E91</f>
        <v>2663882.68995637</v>
      </c>
      <c r="F92" s="61" t="n">
        <f aca="false">F$24*E92/(F$24-E92)</f>
        <v>2670439.17474619</v>
      </c>
      <c r="G92" s="61" t="n">
        <f aca="false">8314.4621*C92/(G$48*G$47*9.80665)</f>
        <v>377689.336578274</v>
      </c>
      <c r="H92" s="64" t="n">
        <f aca="false">10^B92*101325</f>
        <v>0.470308988565816</v>
      </c>
      <c r="I92" s="64" t="n">
        <f aca="false">H92/(8314.4621/G$48*C92)</f>
        <v>7.12620536195221E-009</v>
      </c>
      <c r="J92" s="61" t="n">
        <f aca="false">F92*IF(G$60&gt;0,G$60,1)</f>
        <v>709744.278878921</v>
      </c>
    </row>
    <row r="93" s="1" customFormat="true" ht="15.75" hidden="false" customHeight="false" outlineLevel="0" collapsed="false">
      <c r="B93" s="62" t="n">
        <f aca="false">B92-1/3</f>
        <v>-5.66666666666667</v>
      </c>
      <c r="C93" s="65" t="n">
        <f aca="false">IF(G$19&gt;0,G$19,5000)*1.42</f>
        <v>11076</v>
      </c>
      <c r="D93" s="64" t="n">
        <f aca="false">(C93-C92)/(E93-E92)</f>
        <v>0.00308506648721092</v>
      </c>
      <c r="E93" s="61" t="n">
        <f aca="false">IF(D93=0,(8314.4621*C92*LN(H93/H92)/(-G$47*9.80665*G$48)),C92/D93*(1/(H93/H92)^(8314.4621*D93/(G$47*9.80665*G$48))-1))+E92</f>
        <v>2966937.8826105</v>
      </c>
      <c r="F93" s="61" t="n">
        <f aca="false">F$24*E93/(F$24-E93)</f>
        <v>2975073.29167122</v>
      </c>
      <c r="G93" s="61" t="n">
        <f aca="false">8314.4621*C93/(G$48*G$47*9.80665)</f>
        <v>412552.967647038</v>
      </c>
      <c r="H93" s="64" t="n">
        <f aca="false">10^B93*101325</f>
        <v>0.218298094967481</v>
      </c>
      <c r="I93" s="64" t="n">
        <f aca="false">H93/(8314.4621/G$48*C93)</f>
        <v>3.02816829607673E-009</v>
      </c>
      <c r="J93" s="61" t="n">
        <f aca="false">F93*IF(G$60&gt;0,G$60,1)</f>
        <v>790709.358961458</v>
      </c>
    </row>
    <row r="94" s="1" customFormat="true" ht="15.75" hidden="false" customHeight="false" outlineLevel="0" collapsed="false">
      <c r="B94" s="62" t="n">
        <f aca="false">B93-1/3</f>
        <v>-6</v>
      </c>
      <c r="C94" s="66" t="n">
        <f aca="false">IF(G$19&gt;0,G$19,5000)*1.63</f>
        <v>12714</v>
      </c>
      <c r="D94" s="64" t="n">
        <f aca="false">(C94-C93)/(E94-E93)</f>
        <v>0.00482568094968391</v>
      </c>
      <c r="E94" s="61" t="n">
        <f aca="false">IF(D94=0,(8314.4621*C93*LN(H94/H93)/(-G$47*9.80665*G$48)),C93/D94*(1/(H94/H93)^(8314.4621*D94/(G$47*9.80665*G$48))-1))+E93</f>
        <v>3306466.12304058</v>
      </c>
      <c r="F94" s="61" t="n">
        <f aca="false">F$24*E94/(F$24-E94)</f>
        <v>3316573.23183423</v>
      </c>
      <c r="G94" s="61" t="n">
        <f aca="false">8314.4621*C94/(G$48*G$47*9.80665)</f>
        <v>473564.322017374</v>
      </c>
      <c r="H94" s="64" t="n">
        <f aca="false">10^B94*101325</f>
        <v>0.101325</v>
      </c>
      <c r="I94" s="64" t="n">
        <f aca="false">H94/(8314.4621/G$48*C94)</f>
        <v>1.22446792957701E-009</v>
      </c>
      <c r="J94" s="61" t="n">
        <f aca="false">F94*IF(G$60&gt;0,G$60,1)</f>
        <v>881472.567897391</v>
      </c>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0" activeCellId="0" sqref="D10"/>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47.25" hidden="false" customHeight="true" outlineLevel="0" collapsed="false">
      <c r="A1" s="69" t="s">
        <v>207</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208</v>
      </c>
      <c r="B3" s="70"/>
      <c r="C3" s="71"/>
      <c r="D3" s="71"/>
      <c r="E3" s="71"/>
    </row>
    <row r="4" customFormat="false" ht="15" hidden="false" customHeight="false" outlineLevel="0" collapsed="false">
      <c r="A4" s="70" t="s">
        <v>209</v>
      </c>
      <c r="B4" s="70"/>
      <c r="C4" s="71"/>
      <c r="D4" s="71"/>
      <c r="E4" s="71"/>
    </row>
    <row r="5" customFormat="false" ht="15" hidden="false" customHeight="false" outlineLevel="0" collapsed="false">
      <c r="A5" s="72" t="s">
        <v>210</v>
      </c>
      <c r="B5" s="70"/>
      <c r="C5" s="71"/>
      <c r="D5" s="71"/>
      <c r="E5" s="71"/>
    </row>
    <row r="6" customFormat="false" ht="15" hidden="false" customHeight="false" outlineLevel="0" collapsed="false">
      <c r="A6" s="72" t="s">
        <v>209</v>
      </c>
      <c r="B6" s="70"/>
      <c r="C6" s="71"/>
      <c r="D6" s="71"/>
      <c r="E6" s="71"/>
    </row>
    <row r="7" customFormat="false" ht="15" hidden="false" customHeight="false" outlineLevel="0" collapsed="false">
      <c r="A7" s="73" t="s">
        <v>211</v>
      </c>
      <c r="B7" s="74" t="n">
        <f aca="false">ROUND(Star!G51,0)</f>
        <v>268</v>
      </c>
      <c r="C7" s="71"/>
      <c r="D7" s="71"/>
      <c r="E7" s="71"/>
    </row>
    <row r="8" customFormat="false" ht="15" hidden="false" customHeight="false" outlineLevel="0" collapsed="false">
      <c r="A8" s="72" t="s">
        <v>212</v>
      </c>
      <c r="B8" s="70"/>
      <c r="C8" s="71"/>
      <c r="D8" s="71"/>
      <c r="E8" s="71"/>
    </row>
    <row r="9" customFormat="false" ht="15" hidden="false" customHeight="false" outlineLevel="0" collapsed="false">
      <c r="A9" s="70" t="s">
        <v>212</v>
      </c>
      <c r="B9" s="70"/>
      <c r="C9" s="71"/>
      <c r="D9" s="71"/>
      <c r="E9" s="71"/>
    </row>
    <row r="10" customFormat="false" ht="15" hidden="false" customHeight="false" outlineLevel="0" collapsed="false">
      <c r="A10" s="70" t="s">
        <v>213</v>
      </c>
      <c r="B10" s="71"/>
      <c r="D10" s="71"/>
      <c r="E10" s="75"/>
    </row>
    <row r="11" customFormat="false" ht="15" hidden="false" customHeight="false" outlineLevel="0" collapsed="false">
      <c r="A11" s="70" t="s">
        <v>209</v>
      </c>
      <c r="B11" s="75"/>
      <c r="D11" s="71"/>
      <c r="E11" s="75"/>
    </row>
    <row r="12" customFormat="false" ht="15" hidden="false" customHeight="false" outlineLevel="0" collapsed="false">
      <c r="A12" s="72" t="s">
        <v>214</v>
      </c>
      <c r="B12" s="75" t="s">
        <v>215</v>
      </c>
      <c r="D12" s="75"/>
      <c r="E12" s="75"/>
    </row>
    <row r="13" customFormat="false" ht="15" hidden="false" customHeight="false" outlineLevel="0" collapsed="false">
      <c r="A13" s="72" t="s">
        <v>216</v>
      </c>
      <c r="B13" s="75" t="s">
        <v>217</v>
      </c>
      <c r="D13" s="75"/>
      <c r="E13" s="75"/>
    </row>
    <row r="14" customFormat="false" ht="15" hidden="false" customHeight="false" outlineLevel="0" collapsed="false">
      <c r="A14" s="72" t="s">
        <v>218</v>
      </c>
      <c r="B14" s="75" t="n">
        <f aca="false">MAX(B21:B36)</f>
        <v>881000</v>
      </c>
      <c r="D14" s="75"/>
      <c r="E14" s="75"/>
    </row>
    <row r="15" customFormat="false" ht="15" hidden="false" customHeight="false" outlineLevel="0" collapsed="false">
      <c r="A15" s="72" t="s">
        <v>219</v>
      </c>
      <c r="B15" s="76" t="n">
        <f aca="false">ROUND(Star!G$49,3)</f>
        <v>1.667</v>
      </c>
      <c r="D15" s="75"/>
      <c r="E15" s="75"/>
    </row>
    <row r="16" customFormat="false" ht="15" hidden="false" customHeight="false" outlineLevel="0" collapsed="false">
      <c r="A16" s="72" t="s">
        <v>220</v>
      </c>
      <c r="B16" s="75" t="n">
        <f aca="false">ROUND(Star!G$48/1000,6)</f>
        <v>0.001277</v>
      </c>
      <c r="D16" s="75"/>
      <c r="E16" s="75"/>
    </row>
    <row r="17" customFormat="false" ht="15" hidden="false" customHeight="false" outlineLevel="0" collapsed="false">
      <c r="A17" s="72" t="s">
        <v>221</v>
      </c>
      <c r="B17" s="74" t="n">
        <f aca="false">ROUND(Star!C$79,0)</f>
        <v>7800</v>
      </c>
      <c r="D17" s="75"/>
      <c r="E17" s="75"/>
    </row>
    <row r="18" customFormat="false" ht="15" hidden="false" customHeight="false" outlineLevel="0" collapsed="false">
      <c r="A18" s="72" t="s">
        <v>222</v>
      </c>
      <c r="B18" s="75" t="n">
        <f aca="false">C40</f>
        <v>10.1325</v>
      </c>
      <c r="D18" s="75"/>
      <c r="E18" s="75"/>
    </row>
    <row r="19" customFormat="false" ht="15" hidden="false" customHeight="false" outlineLevel="0" collapsed="false">
      <c r="A19" s="72" t="s">
        <v>223</v>
      </c>
      <c r="B19" s="75"/>
      <c r="D19" s="75"/>
      <c r="E19" s="75"/>
    </row>
    <row r="20" customFormat="false" ht="15" hidden="false" customHeight="false" outlineLevel="0" collapsed="false">
      <c r="A20" s="72" t="s">
        <v>209</v>
      </c>
      <c r="B20" s="70"/>
      <c r="C20" s="75"/>
      <c r="D20" s="75"/>
      <c r="E20" s="75"/>
    </row>
    <row r="21" customFormat="false" ht="15" hidden="false" customHeight="false" outlineLevel="0" collapsed="false">
      <c r="A21" s="75" t="s">
        <v>224</v>
      </c>
      <c r="B21" s="75" t="n">
        <f aca="false">ROUND(Star!J79,-1)</f>
        <v>0</v>
      </c>
      <c r="C21" s="74" t="n">
        <f aca="false">ROUND(Star!C79,0)</f>
        <v>7800</v>
      </c>
      <c r="D21" s="77" t="n">
        <v>0</v>
      </c>
      <c r="E21" s="77" t="n">
        <f aca="false">(C22-C21)/(B22-B21)</f>
        <v>-0.0187726285300507</v>
      </c>
    </row>
    <row r="22" customFormat="false" ht="15" hidden="false" customHeight="false" outlineLevel="0" collapsed="false">
      <c r="A22" s="75" t="s">
        <v>224</v>
      </c>
      <c r="B22" s="75" t="n">
        <f aca="false">ROUND(Star!J80,-1)</f>
        <v>55240</v>
      </c>
      <c r="C22" s="74" t="n">
        <f aca="false">ROUND(Star!C80,0)</f>
        <v>6763</v>
      </c>
      <c r="D22" s="77" t="n">
        <f aca="false">(C22-C21)/(B22-B21)</f>
        <v>-0.0187726285300507</v>
      </c>
      <c r="E22" s="77" t="n">
        <f aca="false">(C23-C22)/(B23-B22)</f>
        <v>-0.0130772374335922</v>
      </c>
    </row>
    <row r="23" customFormat="false" ht="15" hidden="false" customHeight="false" outlineLevel="0" collapsed="false">
      <c r="A23" s="75" t="s">
        <v>224</v>
      </c>
      <c r="B23" s="75" t="n">
        <f aca="false">ROUND(Star!J81,-1)</f>
        <v>104180</v>
      </c>
      <c r="C23" s="74" t="n">
        <f aca="false">ROUND(Star!C81,0)</f>
        <v>6123</v>
      </c>
      <c r="D23" s="77" t="n">
        <f aca="false">(C23-C22)/(B23-B22)</f>
        <v>-0.0130772374335922</v>
      </c>
      <c r="E23" s="77" t="n">
        <f aca="false">(C24-C23)/(B24-B23)</f>
        <v>-0.0091839003780298</v>
      </c>
    </row>
    <row r="24" customFormat="false" ht="15" hidden="false" customHeight="false" outlineLevel="0" collapsed="false">
      <c r="A24" s="75" t="s">
        <v>224</v>
      </c>
      <c r="B24" s="75" t="n">
        <f aca="false">ROUND(Star!J82,-1)</f>
        <v>149150</v>
      </c>
      <c r="C24" s="74" t="n">
        <f aca="false">ROUND(Star!C82,0)</f>
        <v>5710</v>
      </c>
      <c r="D24" s="77" t="n">
        <f aca="false">(C24-C23)/(B24-B23)</f>
        <v>-0.0091839003780298</v>
      </c>
      <c r="E24" s="77" t="n">
        <f aca="false">(C25-C24)/(B25-B24)</f>
        <v>-0.00402151040448913</v>
      </c>
    </row>
    <row r="25" customFormat="false" ht="15" hidden="false" customHeight="false" outlineLevel="0" collapsed="false">
      <c r="A25" s="75" t="s">
        <v>224</v>
      </c>
      <c r="B25" s="75" t="n">
        <f aca="false">ROUND(Star!J83,-1)</f>
        <v>191920</v>
      </c>
      <c r="C25" s="74" t="n">
        <f aca="false">ROUND(Star!C83,0)</f>
        <v>5538</v>
      </c>
      <c r="D25" s="77" t="n">
        <f aca="false">(C25-C24)/(B25-B24)</f>
        <v>-0.00402151040448913</v>
      </c>
      <c r="E25" s="77" t="n">
        <f aca="false">(C26-C25)/(B26-B25)</f>
        <v>0.00274712373796666</v>
      </c>
    </row>
    <row r="26" customFormat="false" ht="15" hidden="false" customHeight="false" outlineLevel="0" collapsed="false">
      <c r="A26" s="75" t="s">
        <v>224</v>
      </c>
      <c r="B26" s="75" t="n">
        <f aca="false">ROUND(Star!J84,-1)</f>
        <v>234510</v>
      </c>
      <c r="C26" s="74" t="n">
        <f aca="false">ROUND(Star!C84,0)</f>
        <v>5655</v>
      </c>
      <c r="D26" s="77" t="n">
        <f aca="false">(C26-C25)/(B26-B25)</f>
        <v>0.00274712373796666</v>
      </c>
      <c r="E26" s="77" t="n">
        <f aca="false">(C27-C26)/(B27-B26)</f>
        <v>0.00756037011961183</v>
      </c>
    </row>
    <row r="27" customFormat="false" ht="15" hidden="false" customHeight="false" outlineLevel="0" collapsed="false">
      <c r="A27" s="75" t="s">
        <v>224</v>
      </c>
      <c r="B27" s="75" t="n">
        <f aca="false">ROUND(Star!J85,-1)</f>
        <v>278820</v>
      </c>
      <c r="C27" s="74" t="n">
        <f aca="false">ROUND(Star!C85,0)</f>
        <v>5990</v>
      </c>
      <c r="D27" s="77" t="n">
        <f aca="false">(C27-C26)/(B27-B26)</f>
        <v>0.00756037011961183</v>
      </c>
      <c r="E27" s="77" t="n">
        <f aca="false">(C28-C27)/(B28-B27)</f>
        <v>0.0109920134510298</v>
      </c>
    </row>
    <row r="28" customFormat="false" ht="15" hidden="false" customHeight="false" outlineLevel="0" collapsed="false">
      <c r="A28" s="75" t="s">
        <v>224</v>
      </c>
      <c r="B28" s="75" t="n">
        <f aca="false">ROUND(Star!J86,-1)</f>
        <v>326400</v>
      </c>
      <c r="C28" s="74" t="n">
        <f aca="false">ROUND(Star!C86,0)</f>
        <v>6513</v>
      </c>
      <c r="D28" s="77" t="n">
        <f aca="false">(C28-C27)/(B28-B27)</f>
        <v>0.0109920134510298</v>
      </c>
      <c r="E28" s="77" t="n">
        <f aca="false">(C29-C28)/(B29-B28)</f>
        <v>0.0127279708197351</v>
      </c>
    </row>
    <row r="29" customFormat="false" ht="15" hidden="false" customHeight="false" outlineLevel="0" collapsed="false">
      <c r="A29" s="75" t="s">
        <v>224</v>
      </c>
      <c r="B29" s="75" t="n">
        <f aca="false">ROUND(Star!J87,-1)</f>
        <v>378490</v>
      </c>
      <c r="C29" s="74" t="n">
        <f aca="false">ROUND(Star!C87,0)</f>
        <v>7176</v>
      </c>
      <c r="D29" s="77" t="n">
        <f aca="false">(C29-C28)/(B29-B28)</f>
        <v>0.0127279708197351</v>
      </c>
      <c r="E29" s="77" t="n">
        <f aca="false">(C30-C29)/(B30-B29)</f>
        <v>0.0122491711743151</v>
      </c>
    </row>
    <row r="30" customFormat="false" ht="15" hidden="false" customHeight="false" outlineLevel="0" collapsed="false">
      <c r="A30" s="75" t="s">
        <v>224</v>
      </c>
      <c r="B30" s="75" t="n">
        <f aca="false">ROUND(Star!J88,-1)</f>
        <v>435800</v>
      </c>
      <c r="C30" s="74" t="n">
        <f aca="false">ROUND(Star!C88,0)</f>
        <v>7878</v>
      </c>
      <c r="D30" s="77" t="n">
        <f aca="false">(C30-C29)/(B30-B29)</f>
        <v>0.0122491711743151</v>
      </c>
      <c r="E30" s="77" t="n">
        <f aca="false">(C31-C30)/(B31-B30)</f>
        <v>0.00878802510864317</v>
      </c>
    </row>
    <row r="31" customFormat="false" ht="15" hidden="false" customHeight="false" outlineLevel="0" collapsed="false">
      <c r="A31" s="75" t="s">
        <v>224</v>
      </c>
      <c r="B31" s="75" t="n">
        <f aca="false">ROUND(Star!J89,-1)</f>
        <v>497930</v>
      </c>
      <c r="C31" s="74" t="n">
        <f aca="false">ROUND(Star!C89,0)</f>
        <v>8424</v>
      </c>
      <c r="D31" s="77" t="n">
        <f aca="false">(C31-C30)/(B31-B30)</f>
        <v>0.00878802510864317</v>
      </c>
      <c r="E31" s="77" t="n">
        <f aca="false">(C32-C31)/(B32-B31)</f>
        <v>0.0082340521791585</v>
      </c>
    </row>
    <row r="32" customFormat="false" ht="15" hidden="false" customHeight="false" outlineLevel="0" collapsed="false">
      <c r="A32" s="75" t="s">
        <v>224</v>
      </c>
      <c r="B32" s="75" t="n">
        <f aca="false">ROUND(Star!J90,-1)</f>
        <v>564240</v>
      </c>
      <c r="C32" s="74" t="n">
        <f aca="false">ROUND(Star!C90,0)</f>
        <v>8970</v>
      </c>
      <c r="D32" s="77" t="n">
        <f aca="false">(C32-C31)/(B32-B31)</f>
        <v>0.0082340521791585</v>
      </c>
      <c r="E32" s="77" t="n">
        <f aca="false">(C33-C32)/(B33-B32)</f>
        <v>0.00774358247057155</v>
      </c>
    </row>
    <row r="33" customFormat="false" ht="15" hidden="false" customHeight="false" outlineLevel="0" collapsed="false">
      <c r="A33" s="75" t="s">
        <v>224</v>
      </c>
      <c r="B33" s="75" t="n">
        <f aca="false">ROUND(Star!J91,-1)</f>
        <v>634750</v>
      </c>
      <c r="C33" s="74" t="n">
        <f aca="false">ROUND(Star!C91,0)</f>
        <v>9516</v>
      </c>
      <c r="D33" s="77" t="n">
        <f aca="false">(C33-C32)/(B33-B32)</f>
        <v>0.00774358247057155</v>
      </c>
      <c r="E33" s="77" t="n">
        <f aca="false">(C34-C33)/(B34-B33)</f>
        <v>0.00832110948126417</v>
      </c>
    </row>
    <row r="34" customFormat="false" ht="15" hidden="false" customHeight="false" outlineLevel="0" collapsed="false">
      <c r="A34" s="75" t="s">
        <v>224</v>
      </c>
      <c r="B34" s="75" t="n">
        <f aca="false">ROUND(Star!J92,-1)</f>
        <v>709740</v>
      </c>
      <c r="C34" s="74" t="n">
        <f aca="false">ROUND(Star!C92,0)</f>
        <v>10140</v>
      </c>
      <c r="D34" s="77" t="n">
        <f aca="false">(C34-C33)/(B34-B33)</f>
        <v>0.00832110948126417</v>
      </c>
      <c r="E34" s="77" t="n">
        <f aca="false">(C35-C34)/(B35-B34)</f>
        <v>0.011559836976658</v>
      </c>
    </row>
    <row r="35" customFormat="false" ht="15" hidden="false" customHeight="false" outlineLevel="0" collapsed="false">
      <c r="A35" s="75" t="s">
        <v>224</v>
      </c>
      <c r="B35" s="75" t="n">
        <f aca="false">ROUND(Star!J93,-1)</f>
        <v>790710</v>
      </c>
      <c r="C35" s="74" t="n">
        <f aca="false">ROUND(Star!C93,0)</f>
        <v>11076</v>
      </c>
      <c r="D35" s="77" t="n">
        <f aca="false">(C35-C34)/(B35-B34)</f>
        <v>0.011559836976658</v>
      </c>
      <c r="E35" s="77" t="n">
        <f aca="false">(C36-C35)/(B36-B35)</f>
        <v>0.0181415439140547</v>
      </c>
    </row>
    <row r="36" customFormat="false" ht="15" hidden="false" customHeight="false" outlineLevel="0" collapsed="false">
      <c r="A36" s="75" t="s">
        <v>224</v>
      </c>
      <c r="B36" s="74" t="n">
        <f aca="false">ROUND(Star!J94,-3)</f>
        <v>881000</v>
      </c>
      <c r="C36" s="74" t="n">
        <f aca="false">ROUND(Star!C94,0)</f>
        <v>12714</v>
      </c>
      <c r="D36" s="77" t="n">
        <f aca="false">(C36-C35)/(B36-B35)</f>
        <v>0.0181415439140547</v>
      </c>
      <c r="E36" s="77" t="n">
        <v>0</v>
      </c>
    </row>
    <row r="37" customFormat="false" ht="15" hidden="false" customHeight="false" outlineLevel="0" collapsed="false">
      <c r="A37" s="72" t="s">
        <v>212</v>
      </c>
      <c r="B37" s="75"/>
      <c r="C37" s="75"/>
      <c r="D37" s="77"/>
      <c r="E37" s="77"/>
    </row>
    <row r="38" customFormat="false" ht="15" hidden="false" customHeight="false" outlineLevel="0" collapsed="false">
      <c r="A38" s="72" t="s">
        <v>225</v>
      </c>
      <c r="B38" s="75"/>
      <c r="C38" s="75"/>
      <c r="D38" s="75"/>
      <c r="E38" s="75"/>
    </row>
    <row r="39" customFormat="false" ht="15" hidden="false" customHeight="false" outlineLevel="0" collapsed="false">
      <c r="A39" s="72" t="s">
        <v>209</v>
      </c>
      <c r="B39" s="75"/>
      <c r="C39" s="75"/>
      <c r="D39" s="75"/>
      <c r="E39" s="75"/>
    </row>
    <row r="40" customFormat="false" ht="15" hidden="false" customHeight="false" outlineLevel="0" collapsed="false">
      <c r="A40" s="75" t="s">
        <v>224</v>
      </c>
      <c r="B40" s="74" t="n">
        <f aca="false">ROUND(Star!J79,-1)</f>
        <v>0</v>
      </c>
      <c r="C40" s="77" t="n">
        <f aca="false">Star!H79/1000</f>
        <v>10.1325</v>
      </c>
      <c r="D40" s="78" t="n">
        <v>0</v>
      </c>
      <c r="E40" s="78" t="n">
        <f aca="false">-(C40*1.001-C40*0.999)/(Star!G79*LN((C40*1.001)/(C40*0.999)))/IF(Star!G$60&gt;0,Star!G$60,0.5)</f>
        <v>-0.000131221768482685</v>
      </c>
    </row>
    <row r="41" customFormat="false" ht="15" hidden="false" customHeight="false" outlineLevel="0" collapsed="false">
      <c r="A41" s="75" t="s">
        <v>224</v>
      </c>
      <c r="B41" s="74" t="n">
        <f aca="false">ROUND(Star!J80,-1)</f>
        <v>55240</v>
      </c>
      <c r="C41" s="77" t="n">
        <f aca="false">Star!H80/1000</f>
        <v>4.70308988565815</v>
      </c>
      <c r="D41" s="78" t="n">
        <f aca="false">-(C41*1.001-C41*0.999)/(Star!G80*LN((C41*1.001)/(C41*0.999)))/IF(Star!G$60&gt;0,Star!G$60,0.5)</f>
        <v>-7.02511528623079E-005</v>
      </c>
      <c r="E41" s="78" t="n">
        <f aca="false">D41</f>
        <v>-7.02511528623079E-005</v>
      </c>
    </row>
    <row r="42" customFormat="false" ht="15" hidden="false" customHeight="false" outlineLevel="0" collapsed="false">
      <c r="A42" s="75" t="s">
        <v>224</v>
      </c>
      <c r="B42" s="74" t="n">
        <f aca="false">ROUND(Star!J81,-1)</f>
        <v>104180</v>
      </c>
      <c r="C42" s="77" t="n">
        <f aca="false">Star!H81/1000</f>
        <v>2.18298094967481</v>
      </c>
      <c r="D42" s="78" t="n">
        <f aca="false">-(C42*1.001-C42*0.999)/(Star!G81*LN((C42*1.001)/(C42*0.999)))/IF(Star!G$60&gt;0,Star!G$60,0.5)</f>
        <v>-3.60138509689734E-005</v>
      </c>
      <c r="E42" s="78" t="n">
        <f aca="false">D42</f>
        <v>-3.60138509689734E-005</v>
      </c>
    </row>
    <row r="43" customFormat="false" ht="15" hidden="false" customHeight="false" outlineLevel="0" collapsed="false">
      <c r="A43" s="75" t="s">
        <v>224</v>
      </c>
      <c r="B43" s="74" t="n">
        <f aca="false">ROUND(Star!J82,-1)</f>
        <v>149150</v>
      </c>
      <c r="C43" s="77" t="n">
        <f aca="false">Star!H82/1000</f>
        <v>1.01325</v>
      </c>
      <c r="D43" s="78" t="n">
        <f aca="false">-(C43*1.001-C43*0.999)/(Star!G82*LN((C43*1.001)/(C43*0.999)))/IF(Star!G$60&gt;0,Star!G$60,0.5)</f>
        <v>-1.79264711041927E-005</v>
      </c>
      <c r="E43" s="78" t="n">
        <f aca="false">D43</f>
        <v>-1.79264711041927E-005</v>
      </c>
    </row>
    <row r="44" customFormat="false" ht="15" hidden="false" customHeight="false" outlineLevel="0" collapsed="false">
      <c r="A44" s="75" t="s">
        <v>224</v>
      </c>
      <c r="B44" s="74" t="n">
        <f aca="false">ROUND(Star!J83,-1)</f>
        <v>191920</v>
      </c>
      <c r="C44" s="77" t="n">
        <f aca="false">Star!H83/1000</f>
        <v>0.470308988565815</v>
      </c>
      <c r="D44" s="78" t="n">
        <f aca="false">-(C44*1.001-C44*0.999)/(Star!G83*LN((C44*1.001)/(C44*0.999)))/IF(Star!G$60&gt;0,Star!G$60,0.5)</f>
        <v>-8.57855627205865E-006</v>
      </c>
      <c r="E44" s="78" t="n">
        <f aca="false">D44</f>
        <v>-8.57855627205865E-006</v>
      </c>
    </row>
    <row r="45" customFormat="false" ht="15" hidden="false" customHeight="false" outlineLevel="0" collapsed="false">
      <c r="A45" s="75" t="s">
        <v>224</v>
      </c>
      <c r="B45" s="74" t="n">
        <f aca="false">ROUND(Star!J84,-1)</f>
        <v>234510</v>
      </c>
      <c r="C45" s="77" t="n">
        <f aca="false">Star!H84/1000</f>
        <v>0.21829809496748</v>
      </c>
      <c r="D45" s="78" t="n">
        <f aca="false">-(C45*1.001-C45*0.999)/(Star!G84*LN((C45*1.001)/(C45*0.999)))/IF(Star!G$60&gt;0,Star!G$60,0.5)</f>
        <v>-3.89943076008879E-006</v>
      </c>
      <c r="E45" s="78" t="n">
        <f aca="false">D45</f>
        <v>-3.89943076008879E-006</v>
      </c>
    </row>
    <row r="46" customFormat="false" ht="15" hidden="false" customHeight="false" outlineLevel="0" collapsed="false">
      <c r="A46" s="75" t="s">
        <v>224</v>
      </c>
      <c r="B46" s="74" t="n">
        <f aca="false">ROUND(Star!J85,-1)</f>
        <v>278820</v>
      </c>
      <c r="C46" s="77" t="n">
        <f aca="false">Star!H85/1000</f>
        <v>0.101325</v>
      </c>
      <c r="D46" s="78" t="n">
        <f aca="false">-(C46*1.001-C46*0.999)/(Star!G85*LN((C46*1.001)/(C46*0.999)))/IF(Star!G$60&gt;0,Star!G$60,0.5)</f>
        <v>-1.7086167771183E-006</v>
      </c>
      <c r="E46" s="78" t="n">
        <f aca="false">D46</f>
        <v>-1.7086167771183E-006</v>
      </c>
    </row>
    <row r="47" customFormat="false" ht="15" hidden="false" customHeight="false" outlineLevel="0" collapsed="false">
      <c r="A47" s="75" t="s">
        <v>224</v>
      </c>
      <c r="B47" s="74" t="n">
        <f aca="false">ROUND(Star!J86,-1)</f>
        <v>326400</v>
      </c>
      <c r="C47" s="77" t="n">
        <f aca="false">Star!H86/1000</f>
        <v>0.0470308988565815</v>
      </c>
      <c r="D47" s="78" t="n">
        <f aca="false">-(C47*1.001-C47*0.999)/(Star!G86*LN((C47*1.001)/(C47*0.999)))/IF(Star!G$60&gt;0,Star!G$60,0.5)</f>
        <v>-7.29434126127153E-007</v>
      </c>
      <c r="E47" s="78" t="n">
        <f aca="false">D47</f>
        <v>-7.29434126127153E-007</v>
      </c>
    </row>
    <row r="48" customFormat="false" ht="15" hidden="false" customHeight="false" outlineLevel="0" collapsed="false">
      <c r="A48" s="75" t="s">
        <v>224</v>
      </c>
      <c r="B48" s="74" t="n">
        <f aca="false">ROUND(Star!J87,-1)</f>
        <v>378490</v>
      </c>
      <c r="C48" s="77" t="n">
        <f aca="false">Star!H87/1000</f>
        <v>0.021829809496748</v>
      </c>
      <c r="D48" s="78" t="n">
        <f aca="false">-(C48*1.001-C48*0.999)/(Star!G87*LN((C48*1.001)/(C48*0.999)))/IF(Star!G$60&gt;0,Star!G$60,0.5)</f>
        <v>-3.07292097941775E-007</v>
      </c>
      <c r="E48" s="78" t="n">
        <f aca="false">D48</f>
        <v>-3.07292097941775E-007</v>
      </c>
    </row>
    <row r="49" customFormat="false" ht="15" hidden="false" customHeight="false" outlineLevel="0" collapsed="false">
      <c r="A49" s="75" t="s">
        <v>224</v>
      </c>
      <c r="B49" s="74" t="n">
        <f aca="false">ROUND(Star!J88,-1)</f>
        <v>435800</v>
      </c>
      <c r="C49" s="77" t="n">
        <f aca="false">Star!H88/1000</f>
        <v>0.0101325</v>
      </c>
      <c r="D49" s="78" t="n">
        <f aca="false">-(C49*1.001-C49*0.999)/(Star!G88*LN((C49*1.001)/(C49*0.999)))/IF(Star!G$60&gt;0,Star!G$60,0.5)</f>
        <v>-1.29922543052164E-007</v>
      </c>
      <c r="E49" s="78" t="n">
        <f aca="false">D49</f>
        <v>-1.29922543052164E-007</v>
      </c>
    </row>
    <row r="50" customFormat="false" ht="15" hidden="false" customHeight="false" outlineLevel="0" collapsed="false">
      <c r="A50" s="75" t="s">
        <v>224</v>
      </c>
      <c r="B50" s="74" t="n">
        <f aca="false">ROUND(Star!J89,-1)</f>
        <v>497930</v>
      </c>
      <c r="C50" s="77" t="n">
        <f aca="false">Star!H89/1000</f>
        <v>0.00470308988565815</v>
      </c>
      <c r="D50" s="78" t="n">
        <f aca="false">-(C50*1.001-C50*0.999)/(Star!G89*LN((C50*1.001)/(C50*0.999)))/IF(Star!G$60&gt;0,Star!G$60,0.5)</f>
        <v>-5.63960643811271E-008</v>
      </c>
      <c r="E50" s="78" t="n">
        <f aca="false">D50</f>
        <v>-5.63960643811271E-008</v>
      </c>
    </row>
    <row r="51" customFormat="false" ht="15" hidden="false" customHeight="false" outlineLevel="0" collapsed="false">
      <c r="A51" s="75" t="s">
        <v>224</v>
      </c>
      <c r="B51" s="74" t="n">
        <f aca="false">ROUND(Star!J90,-1)</f>
        <v>564240</v>
      </c>
      <c r="C51" s="77" t="n">
        <f aca="false">Star!H90/1000</f>
        <v>0.00218298094967481</v>
      </c>
      <c r="D51" s="78" t="n">
        <f aca="false">-(C51*1.001-C51*0.999)/(Star!G90*LN((C51*1.001)/(C51*0.999)))/IF(Star!G$60&gt;0,Star!G$60,0.5)</f>
        <v>-2.4583367835342E-008</v>
      </c>
      <c r="E51" s="78" t="n">
        <f aca="false">D51</f>
        <v>-2.4583367835342E-008</v>
      </c>
    </row>
    <row r="52" customFormat="false" ht="15" hidden="false" customHeight="false" outlineLevel="0" collapsed="false">
      <c r="A52" s="75" t="s">
        <v>224</v>
      </c>
      <c r="B52" s="74" t="n">
        <f aca="false">ROUND(Star!J91,-1)</f>
        <v>634750</v>
      </c>
      <c r="C52" s="77" t="n">
        <f aca="false">Star!H91/1000</f>
        <v>0.00101325</v>
      </c>
      <c r="D52" s="78" t="n">
        <f aca="false">-(C52*1.001-C52*0.999)/(Star!G91*LN((C52*1.001)/(C52*0.999)))/IF(Star!G$60&gt;0,Star!G$60,0.5)</f>
        <v>-1.07558826625159E-008</v>
      </c>
      <c r="E52" s="78" t="n">
        <f aca="false">D52</f>
        <v>-1.07558826625159E-008</v>
      </c>
    </row>
    <row r="53" customFormat="false" ht="15" hidden="false" customHeight="false" outlineLevel="0" collapsed="false">
      <c r="A53" s="75" t="s">
        <v>224</v>
      </c>
      <c r="B53" s="74" t="n">
        <f aca="false">ROUND(Star!J92,-1)</f>
        <v>709740</v>
      </c>
      <c r="C53" s="77" t="n">
        <f aca="false">Star!H92/1000</f>
        <v>0.000470308988565816</v>
      </c>
      <c r="D53" s="78" t="n">
        <f aca="false">-(C53*1.001-C53*0.999)/(Star!G92*LN((C53*1.001)/(C53*0.999)))/IF(Star!G$60&gt;0,Star!G$60,0.5)</f>
        <v>-4.68521150243215E-009</v>
      </c>
      <c r="E53" s="78" t="n">
        <f aca="false">D53</f>
        <v>-4.68521150243215E-009</v>
      </c>
    </row>
    <row r="54" customFormat="false" ht="15" hidden="false" customHeight="false" outlineLevel="0" collapsed="false">
      <c r="A54" s="75" t="s">
        <v>224</v>
      </c>
      <c r="B54" s="74" t="n">
        <f aca="false">ROUND(Star!J93,-1)</f>
        <v>790710</v>
      </c>
      <c r="C54" s="77" t="n">
        <f aca="false">Star!H93/1000</f>
        <v>0.000218298094967481</v>
      </c>
      <c r="D54" s="78" t="n">
        <f aca="false">-(C54*1.001-C54*0.999)/(Star!G93*LN((C54*1.001)/(C54*0.999)))/IF(Star!G$60&gt;0,Star!G$60,0.5)</f>
        <v>-1.99090655004533E-009</v>
      </c>
      <c r="E54" s="78" t="n">
        <f aca="false">D54</f>
        <v>-1.99090655004533E-009</v>
      </c>
    </row>
    <row r="55" customFormat="false" ht="15" hidden="false" customHeight="false" outlineLevel="0" collapsed="false">
      <c r="A55" s="75" t="s">
        <v>224</v>
      </c>
      <c r="B55" s="74" t="n">
        <f aca="false">ROUND(Star!J94,-3)</f>
        <v>881000</v>
      </c>
      <c r="C55" s="77" t="n">
        <v>0</v>
      </c>
      <c r="D55" s="78" t="n">
        <v>0</v>
      </c>
      <c r="E55" s="78" t="n">
        <v>0</v>
      </c>
    </row>
    <row r="56" customFormat="false" ht="15" hidden="false" customHeight="false" outlineLevel="0" collapsed="false">
      <c r="A56" s="72" t="s">
        <v>212</v>
      </c>
      <c r="B56" s="75"/>
      <c r="C56" s="75"/>
      <c r="D56" s="75"/>
      <c r="E56" s="75"/>
    </row>
    <row r="57" customFormat="false" ht="15" hidden="false" customHeight="false" outlineLevel="0" collapsed="false">
      <c r="A57" s="72" t="s">
        <v>226</v>
      </c>
      <c r="B57" s="75"/>
      <c r="C57" s="75"/>
      <c r="D57" s="77"/>
      <c r="E57" s="77"/>
    </row>
    <row r="58" customFormat="false" ht="15" hidden="false" customHeight="false" outlineLevel="0" collapsed="false">
      <c r="A58" s="72" t="s">
        <v>209</v>
      </c>
      <c r="B58" s="75"/>
      <c r="C58" s="75"/>
      <c r="D58" s="77"/>
      <c r="E58" s="77"/>
    </row>
    <row r="59" customFormat="false" ht="15" hidden="false" customHeight="false" outlineLevel="0" collapsed="false">
      <c r="A59" s="75" t="s">
        <v>224</v>
      </c>
      <c r="B59" s="75" t="n">
        <v>0</v>
      </c>
      <c r="C59" s="75" t="n">
        <v>0</v>
      </c>
      <c r="D59" s="75" t="n">
        <v>0</v>
      </c>
      <c r="E59" s="75" t="n">
        <v>0</v>
      </c>
    </row>
    <row r="60" customFormat="false" ht="15" hidden="false" customHeight="false" outlineLevel="0" collapsed="false">
      <c r="A60" s="72" t="s">
        <v>212</v>
      </c>
      <c r="B60" s="75"/>
      <c r="C60" s="75"/>
      <c r="D60" s="75"/>
      <c r="E60" s="75"/>
    </row>
    <row r="61" customFormat="false" ht="15" hidden="false" customHeight="false" outlineLevel="0" collapsed="false">
      <c r="A61" s="72" t="s">
        <v>227</v>
      </c>
      <c r="B61" s="75"/>
      <c r="C61" s="75"/>
      <c r="D61" s="75"/>
      <c r="E61" s="75"/>
    </row>
    <row r="62" customFormat="false" ht="15" hidden="false" customHeight="false" outlineLevel="0" collapsed="false">
      <c r="A62" s="72" t="s">
        <v>209</v>
      </c>
      <c r="B62" s="75"/>
      <c r="C62" s="75"/>
      <c r="D62" s="75"/>
      <c r="E62" s="75"/>
    </row>
    <row r="63" customFormat="false" ht="15" hidden="false" customHeight="false" outlineLevel="0" collapsed="false">
      <c r="A63" s="75" t="s">
        <v>224</v>
      </c>
      <c r="B63" s="75" t="n">
        <v>0</v>
      </c>
      <c r="C63" s="75" t="n">
        <v>0</v>
      </c>
      <c r="D63" s="75" t="n">
        <v>0</v>
      </c>
      <c r="E63" s="75"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228</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v>0</v>
      </c>
      <c r="D67" s="75" t="n">
        <v>0</v>
      </c>
      <c r="E67" s="75" t="n">
        <v>0</v>
      </c>
    </row>
    <row r="68" customFormat="false" ht="15" hidden="false" customHeight="false" outlineLevel="0" collapsed="false">
      <c r="A68" s="72" t="s">
        <v>212</v>
      </c>
      <c r="B68" s="75"/>
      <c r="C68" s="75"/>
      <c r="D68" s="75"/>
      <c r="E68" s="75"/>
    </row>
    <row r="69" customFormat="false" ht="15" hidden="false" customHeight="false" outlineLevel="0" collapsed="false">
      <c r="A69" s="72" t="s">
        <v>229</v>
      </c>
      <c r="B69" s="75"/>
      <c r="C69" s="75"/>
      <c r="D69" s="75"/>
      <c r="E69" s="75"/>
    </row>
    <row r="70" customFormat="false" ht="15" hidden="false" customHeight="false" outlineLevel="0" collapsed="false">
      <c r="A70" s="72" t="s">
        <v>209</v>
      </c>
      <c r="B70" s="75"/>
      <c r="C70" s="75"/>
      <c r="D70" s="75"/>
      <c r="E70" s="75"/>
    </row>
    <row r="71" customFormat="false" ht="15" hidden="false" customHeight="false" outlineLevel="0" collapsed="false">
      <c r="A71" s="75" t="s">
        <v>224</v>
      </c>
      <c r="B71" s="75" t="n">
        <v>0</v>
      </c>
      <c r="C71" s="75" t="n">
        <v>0</v>
      </c>
      <c r="D71" s="75" t="n">
        <v>0</v>
      </c>
      <c r="E71" s="75" t="n">
        <v>0</v>
      </c>
    </row>
    <row r="72" customFormat="false" ht="15" hidden="false" customHeight="false" outlineLevel="0" collapsed="false">
      <c r="A72" s="72" t="s">
        <v>212</v>
      </c>
      <c r="B72" s="75"/>
      <c r="C72" s="75"/>
      <c r="D72" s="75"/>
      <c r="E72" s="75"/>
    </row>
    <row r="73" customFormat="false" ht="15" hidden="false" customHeight="false" outlineLevel="0" collapsed="false">
      <c r="A73" s="72" t="s">
        <v>230</v>
      </c>
      <c r="B73" s="75"/>
      <c r="C73" s="75"/>
      <c r="D73" s="75"/>
      <c r="E73" s="75"/>
    </row>
    <row r="74" customFormat="false" ht="15" hidden="false" customHeight="false" outlineLevel="0" collapsed="false">
      <c r="A74" s="72" t="s">
        <v>209</v>
      </c>
      <c r="B74" s="75"/>
      <c r="C74" s="75"/>
      <c r="D74" s="75"/>
      <c r="E74" s="75"/>
    </row>
    <row r="75" customFormat="false" ht="15" hidden="false" customHeight="false" outlineLevel="0" collapsed="false">
      <c r="A75" s="75" t="s">
        <v>224</v>
      </c>
      <c r="B75" s="75" t="n">
        <v>0</v>
      </c>
      <c r="C75" s="75" t="n">
        <v>0</v>
      </c>
      <c r="D75" s="75" t="n">
        <v>0</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231</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v>0</v>
      </c>
      <c r="D79" s="75" t="n">
        <v>0</v>
      </c>
      <c r="E79" s="75" t="n">
        <v>0</v>
      </c>
    </row>
    <row r="80" customFormat="false" ht="15" hidden="false" customHeight="false" outlineLevel="0" collapsed="false">
      <c r="A80" s="72" t="s">
        <v>212</v>
      </c>
      <c r="B80" s="75"/>
      <c r="C80" s="75"/>
      <c r="D80" s="75"/>
      <c r="E80" s="75"/>
    </row>
    <row r="81" customFormat="false" ht="15" hidden="false" customHeight="false" outlineLevel="0" collapsed="false">
      <c r="A81" s="70" t="s">
        <v>212</v>
      </c>
      <c r="B81" s="75"/>
      <c r="C81" s="75"/>
      <c r="D81" s="75"/>
      <c r="E81" s="75"/>
    </row>
    <row r="82" customFormat="false" ht="15" hidden="false" customHeight="false" outlineLevel="0" collapsed="false">
      <c r="B82" s="68"/>
    </row>
    <row r="83" customFormat="false" ht="15" hidden="false" customHeight="false" outlineLevel="0" collapsed="false">
      <c r="B83" s="68"/>
      <c r="C83" s="79"/>
      <c r="D83" s="80"/>
      <c r="E83" s="80"/>
    </row>
    <row r="84" customFormat="false" ht="15" hidden="false" customHeight="false" outlineLevel="0" collapsed="false">
      <c r="B84" s="68"/>
    </row>
    <row r="85" customFormat="false" ht="15" hidden="false" customHeight="false" outlineLevel="0" collapsed="false">
      <c r="B85" s="68"/>
      <c r="E85" s="80"/>
    </row>
    <row r="86" customFormat="false" ht="15" hidden="false" customHeight="false" outlineLevel="0" collapsed="false">
      <c r="B86" s="68"/>
      <c r="D86" s="80"/>
      <c r="E86" s="80"/>
    </row>
    <row r="87" customFormat="false" ht="15" hidden="false" customHeight="false" outlineLevel="0" collapsed="false">
      <c r="B87" s="68"/>
      <c r="D87" s="80"/>
      <c r="E87" s="80"/>
    </row>
    <row r="88" customFormat="false" ht="15" hidden="false" customHeight="false" outlineLevel="0" collapsed="false">
      <c r="B88" s="68"/>
      <c r="C88" s="79"/>
      <c r="D88" s="80"/>
      <c r="E88" s="80"/>
    </row>
    <row r="89" customFormat="false" ht="15" hidden="false" customHeight="false" outlineLevel="0" collapsed="false">
      <c r="B89" s="68"/>
    </row>
    <row r="90" customFormat="false" ht="15" hidden="false" customHeight="false" outlineLevel="0" collapsed="false">
      <c r="B90" s="68"/>
    </row>
    <row r="91" customFormat="false" ht="15" hidden="false" customHeight="false" outlineLevel="0" collapsed="false">
      <c r="B91" s="68"/>
    </row>
    <row r="92" customFormat="false" ht="15" hidden="false" customHeight="false" outlineLevel="0" collapsed="false">
      <c r="B92" s="68"/>
    </row>
    <row r="93" customFormat="false" ht="15" hidden="false" customHeight="false" outlineLevel="0" collapsed="false">
      <c r="B93" s="68"/>
    </row>
    <row r="94" customFormat="false" ht="15" hidden="false" customHeight="false" outlineLevel="0" collapsed="false">
      <c r="B94" s="68"/>
    </row>
    <row r="95" customFormat="false" ht="15" hidden="false" customHeight="false" outlineLevel="0" collapsed="false">
      <c r="B95" s="68"/>
      <c r="D95" s="80"/>
      <c r="E95" s="80"/>
    </row>
    <row r="96" customFormat="false" ht="15" hidden="false" customHeight="false" outlineLevel="0" collapsed="false">
      <c r="B96"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232</v>
      </c>
      <c r="C2" s="5"/>
      <c r="D2" s="5"/>
      <c r="E2" s="5"/>
      <c r="F2" s="5"/>
      <c r="G2" s="5"/>
      <c r="H2" s="5"/>
    </row>
    <row r="4" customFormat="false" ht="15.75" hidden="false" customHeight="false" outlineLevel="0" collapsed="false">
      <c r="B4" s="6" t="s">
        <v>20</v>
      </c>
      <c r="C4" s="6"/>
      <c r="D4" s="6"/>
      <c r="E4" s="6"/>
      <c r="F4" s="6"/>
      <c r="G4" s="6"/>
      <c r="H4" s="6"/>
    </row>
    <row r="5" customFormat="false" ht="15.75" hidden="false" customHeight="false" outlineLevel="0" collapsed="false">
      <c r="B5" s="6" t="s">
        <v>233</v>
      </c>
      <c r="C5" s="6"/>
      <c r="D5" s="6"/>
      <c r="E5" s="6"/>
      <c r="F5" s="6"/>
      <c r="G5" s="6"/>
      <c r="H5" s="6"/>
    </row>
    <row r="6" customFormat="false" ht="15.75" hidden="false" customHeight="false" outlineLevel="0" collapsed="false">
      <c r="B6" s="6" t="s">
        <v>234</v>
      </c>
      <c r="C6" s="6"/>
      <c r="D6" s="6"/>
      <c r="E6" s="6"/>
      <c r="F6" s="6"/>
      <c r="G6" s="6"/>
      <c r="H6" s="6"/>
    </row>
    <row r="7" customFormat="false" ht="15.75" hidden="false" customHeight="false" outlineLevel="0" collapsed="false">
      <c r="B7" s="6" t="s">
        <v>235</v>
      </c>
      <c r="C7" s="6"/>
      <c r="D7" s="6"/>
      <c r="E7" s="6"/>
      <c r="F7" s="6"/>
      <c r="G7" s="6"/>
      <c r="H7" s="6"/>
    </row>
    <row r="9" customFormat="false" ht="15.75" hidden="false" customHeight="false" outlineLevel="0" collapsed="false">
      <c r="B9" s="4" t="s">
        <v>29</v>
      </c>
    </row>
    <row r="10" customFormat="false" ht="15.75" hidden="false" customHeight="false" outlineLevel="0" collapsed="false">
      <c r="B10" s="3" t="s">
        <v>32</v>
      </c>
      <c r="F10" s="14" t="n">
        <v>13599840256</v>
      </c>
      <c r="G10" s="14"/>
      <c r="H10" s="13" t="s">
        <v>33</v>
      </c>
    </row>
    <row r="11" customFormat="false" ht="15.75" hidden="false" customHeight="false" outlineLevel="0" collapsed="false">
      <c r="B11" s="4" t="s">
        <v>36</v>
      </c>
      <c r="F11" s="15"/>
      <c r="G11" s="15"/>
    </row>
    <row r="12" customFormat="false" ht="15.75" hidden="false" customHeight="false" outlineLevel="0" collapsed="false">
      <c r="B12" s="3" t="s">
        <v>39</v>
      </c>
      <c r="F12" s="14" t="n">
        <v>261600000</v>
      </c>
      <c r="G12" s="14"/>
      <c r="H12" s="1" t="s">
        <v>33</v>
      </c>
    </row>
    <row r="13" customFormat="false" ht="15" hidden="false" customHeight="true" outlineLevel="0" collapsed="false">
      <c r="B13" s="16" t="s">
        <v>42</v>
      </c>
      <c r="C13" s="17"/>
      <c r="D13" s="18" t="s">
        <v>43</v>
      </c>
      <c r="E13" s="18"/>
      <c r="F13" s="19"/>
      <c r="G13" s="20"/>
      <c r="H13" s="13" t="s">
        <v>44</v>
      </c>
    </row>
    <row r="14" customFormat="false" ht="15.75" hidden="false" customHeight="false" outlineLevel="0" collapsed="false">
      <c r="B14" s="21" t="s">
        <v>47</v>
      </c>
      <c r="C14" s="13"/>
      <c r="D14" s="18"/>
      <c r="E14" s="18"/>
      <c r="F14" s="22"/>
      <c r="G14" s="23"/>
      <c r="H14" s="1" t="s">
        <v>48</v>
      </c>
    </row>
    <row r="15" customFormat="false" ht="15.75" hidden="false" customHeight="false" outlineLevel="0" collapsed="false">
      <c r="B15" s="24" t="s">
        <v>50</v>
      </c>
      <c r="C15" s="25"/>
      <c r="D15" s="18"/>
      <c r="E15" s="18"/>
      <c r="F15" s="26"/>
      <c r="G15" s="27" t="n">
        <v>1.74684656100137</v>
      </c>
      <c r="H15" s="13" t="s">
        <v>51</v>
      </c>
    </row>
    <row r="16" customFormat="false" ht="15.75" hidden="false" customHeight="false" outlineLevel="0" collapsed="false">
      <c r="B16" s="3" t="s">
        <v>236</v>
      </c>
      <c r="F16" s="15"/>
      <c r="G16" s="31" t="n">
        <v>1360</v>
      </c>
      <c r="H16" s="13" t="s">
        <v>135</v>
      </c>
    </row>
    <row r="17" s="13" customFormat="true" ht="15.75" hidden="false" customHeight="false" outlineLevel="0" collapsed="false">
      <c r="B17" s="4" t="s">
        <v>237</v>
      </c>
      <c r="F17" s="22"/>
      <c r="G17" s="22"/>
      <c r="N17" s="1"/>
      <c r="O17" s="1"/>
      <c r="P17" s="1"/>
      <c r="Q17" s="1"/>
      <c r="R17" s="1"/>
    </row>
    <row r="18" s="13" customFormat="true" ht="15.75" hidden="false" customHeight="false" outlineLevel="0" collapsed="false">
      <c r="B18" s="3" t="s">
        <v>39</v>
      </c>
      <c r="C18" s="1"/>
      <c r="D18" s="1"/>
      <c r="E18" s="1"/>
      <c r="F18" s="14" t="n">
        <v>6000000</v>
      </c>
      <c r="G18" s="14"/>
      <c r="H18" s="1" t="s">
        <v>33</v>
      </c>
      <c r="N18" s="1"/>
      <c r="O18" s="1"/>
      <c r="P18" s="1"/>
      <c r="Q18" s="1"/>
      <c r="R18" s="1"/>
    </row>
    <row r="19" customFormat="false" ht="15" hidden="false" customHeight="true" outlineLevel="0" collapsed="false">
      <c r="B19" s="16" t="s">
        <v>42</v>
      </c>
      <c r="C19" s="17"/>
      <c r="D19" s="18" t="s">
        <v>43</v>
      </c>
      <c r="E19" s="18"/>
      <c r="F19" s="19"/>
      <c r="G19" s="20"/>
      <c r="H19" s="13" t="s">
        <v>44</v>
      </c>
    </row>
    <row r="20" s="13" customFormat="true" ht="15.75" hidden="false" customHeight="false" outlineLevel="0" collapsed="false">
      <c r="B20" s="21" t="s">
        <v>47</v>
      </c>
      <c r="D20" s="18"/>
      <c r="E20" s="18"/>
      <c r="F20" s="22"/>
      <c r="G20" s="23"/>
      <c r="H20" s="1" t="s">
        <v>48</v>
      </c>
      <c r="N20" s="1"/>
      <c r="O20" s="1"/>
      <c r="P20" s="1"/>
      <c r="Q20" s="1"/>
      <c r="R20" s="1"/>
    </row>
    <row r="21" customFormat="false" ht="15.75" hidden="false" customHeight="false" outlineLevel="0" collapsed="false">
      <c r="B21" s="24" t="s">
        <v>50</v>
      </c>
      <c r="C21" s="25"/>
      <c r="D21" s="18"/>
      <c r="E21" s="18"/>
      <c r="F21" s="26"/>
      <c r="G21" s="27" t="n">
        <v>0.800273295870079</v>
      </c>
      <c r="H21" s="13" t="s">
        <v>51</v>
      </c>
    </row>
    <row r="22" s="13" customFormat="true" ht="15.75" hidden="false" customHeight="false" outlineLevel="0" collapsed="false">
      <c r="B22" s="3" t="s">
        <v>238</v>
      </c>
      <c r="F22" s="22"/>
      <c r="G22" s="31" t="n">
        <v>0.52</v>
      </c>
    </row>
    <row r="23" s="13" customFormat="true" ht="15.75" hidden="false" customHeight="false" outlineLevel="0" collapsed="false">
      <c r="B23" s="3" t="s">
        <v>32</v>
      </c>
      <c r="F23" s="14" t="n">
        <v>68773560320</v>
      </c>
      <c r="G23" s="14"/>
      <c r="H23" s="13" t="s">
        <v>33</v>
      </c>
    </row>
    <row r="24" s="13" customFormat="true" ht="15.75" hidden="false" customHeight="false" outlineLevel="0" collapsed="false">
      <c r="B24" s="3" t="s">
        <v>239</v>
      </c>
      <c r="F24" s="22"/>
      <c r="G24" s="31" t="n">
        <v>0.05</v>
      </c>
    </row>
    <row r="25" s="13" customFormat="true" ht="15.75" hidden="false" customHeight="false" outlineLevel="0" collapsed="false">
      <c r="B25" s="3" t="s">
        <v>240</v>
      </c>
      <c r="F25" s="22"/>
      <c r="G25" s="31" t="n">
        <v>1.304</v>
      </c>
      <c r="H25" s="13" t="s">
        <v>241</v>
      </c>
    </row>
    <row r="26" s="13" customFormat="true" ht="15.75" hidden="false" customHeight="false" outlineLevel="0" collapsed="false">
      <c r="B26" s="3" t="s">
        <v>242</v>
      </c>
      <c r="F26" s="22"/>
      <c r="G26" s="31" t="n">
        <v>0</v>
      </c>
      <c r="H26" s="13" t="s">
        <v>241</v>
      </c>
      <c r="Q26" s="1"/>
    </row>
    <row r="27" s="13" customFormat="true" ht="15.75" hidden="false" customHeight="false" outlineLevel="0" collapsed="false">
      <c r="B27" s="29"/>
      <c r="F27" s="22"/>
      <c r="G27" s="22"/>
      <c r="Q27" s="1"/>
    </row>
    <row r="28" customFormat="false" ht="15.75" hidden="false" customHeight="false" outlineLevel="0" collapsed="false">
      <c r="B28" s="6" t="s">
        <v>69</v>
      </c>
      <c r="C28" s="6"/>
      <c r="D28" s="6"/>
      <c r="E28" s="6"/>
      <c r="F28" s="6"/>
      <c r="G28" s="6"/>
      <c r="H28" s="6"/>
      <c r="K28" s="13"/>
      <c r="L28" s="13"/>
      <c r="M28" s="13"/>
      <c r="N28" s="13"/>
      <c r="O28" s="13"/>
      <c r="P28" s="13"/>
    </row>
    <row r="29" customFormat="false" ht="15.75" hidden="false" customHeight="false" outlineLevel="0" collapsed="false">
      <c r="B29" s="6" t="s">
        <v>243</v>
      </c>
      <c r="C29" s="6"/>
      <c r="D29" s="6"/>
      <c r="E29" s="6"/>
      <c r="F29" s="6"/>
      <c r="G29" s="6"/>
      <c r="H29" s="6"/>
      <c r="K29" s="13"/>
      <c r="L29" s="13"/>
      <c r="M29" s="13"/>
      <c r="N29" s="13"/>
      <c r="O29" s="13"/>
      <c r="P29" s="13"/>
    </row>
    <row r="30" customFormat="false" ht="15.75" hidden="false" customHeight="false" outlineLevel="0" collapsed="false">
      <c r="F30" s="15"/>
      <c r="G30" s="15"/>
    </row>
    <row r="31" customFormat="false" ht="15.75" hidden="false" customHeight="false" outlineLevel="0" collapsed="false">
      <c r="B31" s="3" t="s">
        <v>75</v>
      </c>
      <c r="F31" s="35" t="n">
        <v>63750000</v>
      </c>
      <c r="G31" s="35" t="n">
        <v>60000000</v>
      </c>
      <c r="H31" s="1" t="s">
        <v>33</v>
      </c>
    </row>
    <row r="33" customFormat="false" ht="15.75" hidden="false" customHeight="false" outlineLevel="0" collapsed="false">
      <c r="B33" s="6" t="s">
        <v>80</v>
      </c>
      <c r="C33" s="6"/>
      <c r="D33" s="6"/>
      <c r="E33" s="6"/>
      <c r="F33" s="6"/>
      <c r="G33" s="6"/>
      <c r="H33" s="6"/>
    </row>
    <row r="34" customFormat="false" ht="15.75" hidden="false" customHeight="false" outlineLevel="0" collapsed="false">
      <c r="B34" s="6" t="s">
        <v>84</v>
      </c>
      <c r="C34" s="6"/>
      <c r="D34" s="6"/>
      <c r="E34" s="6"/>
      <c r="F34" s="6"/>
      <c r="G34" s="6"/>
      <c r="H34" s="6"/>
    </row>
    <row r="36" customFormat="false" ht="15.75" hidden="false" customHeight="false" outlineLevel="0" collapsed="false">
      <c r="B36" s="4"/>
      <c r="F36" s="10" t="s">
        <v>87</v>
      </c>
      <c r="G36" s="10" t="s">
        <v>88</v>
      </c>
      <c r="H36" s="10" t="s">
        <v>89</v>
      </c>
    </row>
    <row r="37" customFormat="false" ht="15.75" hidden="false" customHeight="false" outlineLevel="0" collapsed="false">
      <c r="B37" s="39" t="s">
        <v>91</v>
      </c>
      <c r="C37" s="37"/>
      <c r="D37" s="37"/>
      <c r="E37" s="37" t="s">
        <v>92</v>
      </c>
      <c r="F37" s="40" t="s">
        <v>93</v>
      </c>
      <c r="G37" s="40" t="s">
        <v>94</v>
      </c>
      <c r="H37" s="40" t="s">
        <v>95</v>
      </c>
    </row>
    <row r="38" customFormat="false" ht="15.75" hidden="false" customHeight="false" outlineLevel="0" collapsed="false">
      <c r="B38" s="41" t="s">
        <v>244</v>
      </c>
      <c r="C38" s="41"/>
      <c r="D38" s="41"/>
      <c r="E38" s="1" t="s">
        <v>245</v>
      </c>
      <c r="F38" s="42" t="n">
        <v>0.9075</v>
      </c>
      <c r="G38" s="43" t="n">
        <v>2.01588</v>
      </c>
      <c r="H38" s="43"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44" t="s">
        <v>100</v>
      </c>
      <c r="C39" s="44"/>
      <c r="D39" s="44"/>
      <c r="E39" s="1" t="s">
        <v>101</v>
      </c>
      <c r="F39" s="42" t="n">
        <v>0.0925</v>
      </c>
      <c r="G39" s="43" t="n">
        <v>4.002602</v>
      </c>
      <c r="H39" s="43" t="n">
        <v>20.786</v>
      </c>
    </row>
    <row r="40" customFormat="false" ht="15.75" hidden="false" customHeight="false" outlineLevel="0" collapsed="false">
      <c r="B40" s="44" t="s">
        <v>246</v>
      </c>
      <c r="C40" s="44"/>
      <c r="D40" s="44"/>
      <c r="E40" s="1" t="s">
        <v>247</v>
      </c>
      <c r="F40" s="42" t="n">
        <v>0</v>
      </c>
      <c r="G40" s="43" t="n">
        <v>16.0425</v>
      </c>
      <c r="H40" s="43"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44" t="s">
        <v>248</v>
      </c>
      <c r="C41" s="44"/>
      <c r="D41" s="44"/>
      <c r="E41" s="1" t="s">
        <v>249</v>
      </c>
      <c r="F41" s="42" t="n">
        <v>0</v>
      </c>
      <c r="G41" s="43" t="n">
        <v>17.0305</v>
      </c>
      <c r="H41" s="43"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44" t="s">
        <v>250</v>
      </c>
      <c r="C42" s="44"/>
      <c r="D42" s="44"/>
      <c r="E42" s="1" t="s">
        <v>251</v>
      </c>
      <c r="F42" s="42" t="n">
        <v>0</v>
      </c>
      <c r="G42" s="43" t="n">
        <v>3.02204</v>
      </c>
      <c r="H42" s="43"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5"/>
      <c r="C43" s="45"/>
      <c r="D43" s="45"/>
      <c r="E43" s="46"/>
      <c r="F43" s="42"/>
      <c r="G43" s="47"/>
      <c r="H43" s="47"/>
    </row>
    <row r="44" customFormat="false" ht="15.75" hidden="false" customHeight="false" outlineLevel="0" collapsed="false">
      <c r="B44" s="45"/>
      <c r="C44" s="45"/>
      <c r="D44" s="45"/>
      <c r="E44" s="46"/>
      <c r="F44" s="42"/>
      <c r="G44" s="47"/>
      <c r="H44" s="47"/>
    </row>
    <row r="45" customFormat="false" ht="15.75" hidden="false" customHeight="false" outlineLevel="0" collapsed="false">
      <c r="B45" s="48"/>
      <c r="C45" s="48"/>
      <c r="D45" s="48"/>
      <c r="E45" s="49"/>
      <c r="F45" s="50"/>
      <c r="G45" s="51"/>
      <c r="H45" s="51"/>
    </row>
    <row r="46" customFormat="false" ht="15.75" hidden="false" customHeight="false" outlineLevel="0" collapsed="false">
      <c r="B46" s="4" t="s">
        <v>112</v>
      </c>
      <c r="F46" s="52" t="n">
        <f aca="false">SUM(F38:F45)</f>
        <v>1</v>
      </c>
    </row>
    <row r="47" customFormat="false" ht="15.75" hidden="false" customHeight="false" outlineLevel="0" collapsed="false">
      <c r="B47" s="4"/>
    </row>
    <row r="48" customFormat="false" ht="15.75" hidden="false" customHeight="false" outlineLevel="0" collapsed="false">
      <c r="B48" s="3" t="s">
        <v>115</v>
      </c>
    </row>
    <row r="49" customFormat="false" ht="15.75" hidden="false" customHeight="false" outlineLevel="0" collapsed="false">
      <c r="B49" s="3" t="s">
        <v>117</v>
      </c>
    </row>
    <row r="50" customFormat="false" ht="15.75" hidden="false" customHeight="false" outlineLevel="0" collapsed="false">
      <c r="B50" s="4"/>
    </row>
    <row r="51" customFormat="false" ht="15.75" hidden="false" customHeight="false" outlineLevel="0" collapsed="false">
      <c r="B51" s="6" t="s">
        <v>120</v>
      </c>
      <c r="C51" s="6"/>
      <c r="D51" s="6"/>
      <c r="E51" s="6"/>
      <c r="F51" s="6"/>
      <c r="G51" s="6"/>
      <c r="H51" s="6"/>
    </row>
    <row r="52" customFormat="false" ht="15.75" hidden="false" customHeight="false" outlineLevel="0" collapsed="false">
      <c r="B52" s="6" t="s">
        <v>252</v>
      </c>
      <c r="C52" s="6"/>
      <c r="D52" s="6"/>
      <c r="E52" s="6"/>
      <c r="F52" s="6"/>
      <c r="G52" s="6"/>
      <c r="H52" s="6"/>
    </row>
    <row r="53" customFormat="false" ht="15.75" hidden="false" customHeight="false" outlineLevel="0" collapsed="false">
      <c r="B53" s="6" t="s">
        <v>253</v>
      </c>
      <c r="C53" s="6"/>
      <c r="D53" s="6"/>
      <c r="E53" s="6"/>
      <c r="F53" s="6"/>
      <c r="G53" s="6"/>
      <c r="H53" s="6"/>
    </row>
    <row r="54" customFormat="false" ht="15.75" hidden="false" customHeight="false" outlineLevel="0" collapsed="false">
      <c r="B54" s="4"/>
    </row>
    <row r="55" customFormat="false" ht="15.75" hidden="false" customHeight="false" outlineLevel="0" collapsed="false">
      <c r="B55" s="81" t="s">
        <v>254</v>
      </c>
      <c r="C55" s="81"/>
      <c r="D55" s="81"/>
      <c r="E55" s="81"/>
      <c r="F55" s="81"/>
      <c r="G55" s="81"/>
      <c r="H55" s="81"/>
    </row>
    <row r="57" s="13" customFormat="true" ht="15.75" hidden="false" customHeight="false" outlineLevel="0" collapsed="false">
      <c r="B57" s="13" t="s">
        <v>36</v>
      </c>
      <c r="I57" s="1"/>
    </row>
    <row r="58" s="13" customFormat="true" ht="15.75" hidden="false" customHeight="false" outlineLevel="0" collapsed="false">
      <c r="B58" s="30" t="s">
        <v>42</v>
      </c>
      <c r="G58" s="82" t="n">
        <f aca="false">IF(G13&gt;0,G13,IF(G14&gt;0,G14*0.0000000000667408,IF(G15&gt;0,IF(F12&gt;0,F12^2*G15*9.80665,1E+018),1E+018)))</f>
        <v>1.17233279483249E+018</v>
      </c>
      <c r="H58" s="13" t="s">
        <v>44</v>
      </c>
      <c r="I58" s="1"/>
    </row>
    <row r="59" s="13" customFormat="true" ht="15.75" hidden="false" customHeight="false" outlineLevel="0" collapsed="false">
      <c r="B59" s="13" t="s">
        <v>237</v>
      </c>
      <c r="I59" s="1"/>
    </row>
    <row r="60" s="13" customFormat="true" ht="15.75" hidden="false" customHeight="false" outlineLevel="0" collapsed="false">
      <c r="B60" s="30" t="s">
        <v>42</v>
      </c>
      <c r="C60" s="1"/>
      <c r="G60" s="82" t="n">
        <f aca="false">IF(G19&gt;0,G19,IF(G20&gt;0,G20*0.0000000000667408,IF(G21&gt;0,IF(F18&gt;0,F18^2*G21*9.80665,100000000000000),100000000000000)))</f>
        <v>282528004209995</v>
      </c>
      <c r="H60" s="13" t="s">
        <v>44</v>
      </c>
      <c r="I60" s="1"/>
    </row>
    <row r="61" s="13" customFormat="true" ht="15.75" hidden="false" customHeight="false" outlineLevel="0" collapsed="false">
      <c r="B61" s="30" t="s">
        <v>50</v>
      </c>
      <c r="G61" s="13" t="n">
        <f aca="false">MAX(IF(G19&gt;0,IF(F18&gt;0,G19/F18^2/9.80665,1),IF(G20&gt;0,IF(F18&gt;0,G20*0.0000000000667408/F18^2/9.80665,1),IF(G21&gt;0,G21,1))),IF(F31&gt;0,F31*0.000000001,0.01))</f>
        <v>0.800273295870079</v>
      </c>
      <c r="H61" s="13" t="s">
        <v>51</v>
      </c>
      <c r="I61" s="1"/>
    </row>
    <row r="62" s="13" customFormat="true" ht="15.75" hidden="false" customHeight="false" outlineLevel="0" collapsed="false">
      <c r="B62" s="30" t="s">
        <v>255</v>
      </c>
      <c r="C62" s="1"/>
      <c r="G62" s="83" t="n">
        <f aca="false">2*PI()*SQRT(F23^3/G58)/3600</f>
        <v>29072.6200299968</v>
      </c>
      <c r="H62" s="13" t="s">
        <v>256</v>
      </c>
      <c r="I62" s="1"/>
    </row>
    <row r="63" customFormat="false" ht="15.75" hidden="false" customHeight="false" outlineLevel="0" collapsed="false">
      <c r="B63" s="30" t="s">
        <v>257</v>
      </c>
      <c r="G63" s="84" t="n">
        <f aca="false">IF(F10&gt;0,IF(G16&gt;0,IF(F23&gt;0,G16*(F10/F23)^2,10),10),10)</f>
        <v>53.1818581251409</v>
      </c>
      <c r="H63" s="1" t="s">
        <v>135</v>
      </c>
    </row>
    <row r="64" customFormat="false" ht="15.75" hidden="false" customHeight="false" outlineLevel="0" collapsed="false">
      <c r="B64" s="30" t="s">
        <v>258</v>
      </c>
      <c r="G64" s="84" t="n">
        <f aca="false">(G63*(1-G22)/(4*0.000000056704))^0.25</f>
        <v>102.998942152929</v>
      </c>
      <c r="H64" s="1" t="s">
        <v>65</v>
      </c>
    </row>
    <row r="65" customFormat="false" ht="15.75" hidden="false" customHeight="false" outlineLevel="0" collapsed="false">
      <c r="B65" s="30" t="s">
        <v>127</v>
      </c>
      <c r="G65" s="54" t="n">
        <f aca="false">IF(F46&gt;0,(F38*G38+F39*G39+F40*G40+F41*G41+F42*G42+F43*G43+F44*G44+F45*G45)/(SUM(F38:F42)+IF(G43&gt;0,F43,0)+IF(G44&gt;0,F44,0)+IF(G45&gt;0,F45,0)),2.2)</f>
        <v>2.199651785</v>
      </c>
      <c r="H65" s="1" t="s">
        <v>128</v>
      </c>
    </row>
    <row r="66" customFormat="false" ht="15.75" hidden="false" customHeight="false" outlineLevel="0" collapsed="false">
      <c r="B66" s="85" t="s">
        <v>259</v>
      </c>
      <c r="G66" s="32" t="n">
        <f aca="false">(C113*I113+C114*I114+C115*I115+C116*I116+C117*I117+C118*I118+C119*I119+C120*I120+C121*I121+C122*I122)/SUM(I113:I122)</f>
        <v>194.445484211496</v>
      </c>
      <c r="H66" s="1" t="s">
        <v>65</v>
      </c>
    </row>
    <row r="67" customFormat="false" ht="15.75" hidden="false" customHeight="false" outlineLevel="0" collapsed="false">
      <c r="B67" s="30" t="s">
        <v>130</v>
      </c>
      <c r="G67" s="86" t="n">
        <f aca="false">IF(F46&gt;0,1/(1-8.3144621/((F38*H38+F39*H39+F40*H40+F41*H41+F42*H42+F43*H43+F44*H44+F45*H45)/(SUM(F38:F42)+IF(H43&gt;0,F43,0)+IF(H44&gt;0,F44,0)+IF(H45&gt;0,F45,0)))),1.4)</f>
        <v>1.45089340308801</v>
      </c>
    </row>
    <row r="68" customFormat="false" ht="15.75" hidden="false" customHeight="false" outlineLevel="0" collapsed="false">
      <c r="B68" s="56"/>
      <c r="G68" s="84"/>
    </row>
    <row r="69" customFormat="false" ht="15.75" hidden="false" customHeight="true" outlineLevel="0" collapsed="false">
      <c r="B69" s="87" t="s">
        <v>260</v>
      </c>
      <c r="C69" s="87"/>
      <c r="D69" s="87"/>
      <c r="E69" s="87"/>
      <c r="F69" s="87"/>
      <c r="G69" s="87"/>
      <c r="H69" s="87"/>
    </row>
    <row r="70" customFormat="false" ht="15.75" hidden="false" customHeight="false" outlineLevel="0" collapsed="false">
      <c r="B70" s="4"/>
    </row>
    <row r="71" customFormat="false" ht="15.75" hidden="false" customHeight="false" outlineLevel="0" collapsed="false">
      <c r="B71" s="13" t="s">
        <v>237</v>
      </c>
    </row>
    <row r="72" customFormat="false" ht="15.75" hidden="false" customHeight="false" outlineLevel="0" collapsed="false">
      <c r="B72" s="30" t="s">
        <v>261</v>
      </c>
      <c r="G72" s="32" t="n">
        <f aca="false">ROUND(IF(250*LOG(G63)+500&gt;1.5*G64,250*LOG(G63)+500,1.5*G64),-1)</f>
        <v>930</v>
      </c>
      <c r="H72" s="1" t="s">
        <v>65</v>
      </c>
    </row>
    <row r="73" customFormat="false" ht="15.75" hidden="false" customHeight="false" outlineLevel="0" collapsed="false">
      <c r="B73" s="30" t="s">
        <v>262</v>
      </c>
      <c r="G73" s="32" t="n">
        <f aca="false">ROUND(IF(310*G61+510&gt;1.25*G64,310*G61+510,1.25*G64),-1)</f>
        <v>760</v>
      </c>
      <c r="H73" s="1" t="s">
        <v>65</v>
      </c>
    </row>
    <row r="74" customFormat="false" ht="15.75" hidden="false" customHeight="false" outlineLevel="0" collapsed="false">
      <c r="A74" s="56"/>
      <c r="B74" s="30" t="s">
        <v>263</v>
      </c>
      <c r="G74" s="1" t="n">
        <f aca="false">ROUND(G64*0.04405,0)</f>
        <v>5</v>
      </c>
      <c r="H74" s="1" t="s">
        <v>65</v>
      </c>
    </row>
    <row r="75" customFormat="false" ht="15.75" hidden="false" customHeight="false" outlineLevel="0" collapsed="false">
      <c r="A75" s="56"/>
      <c r="B75" s="30" t="s">
        <v>264</v>
      </c>
      <c r="G75" s="1" t="n">
        <f aca="false">ROUND(G64*0.01269,0)</f>
        <v>1</v>
      </c>
      <c r="H75" s="1" t="s">
        <v>65</v>
      </c>
    </row>
    <row r="76" customFormat="false" ht="15.75" hidden="false" customHeight="false" outlineLevel="0" collapsed="false">
      <c r="A76" s="56"/>
      <c r="B76" s="30" t="s">
        <v>265</v>
      </c>
      <c r="G76" s="1" t="n">
        <f aca="false">ROUND(G64*0.03928,0)</f>
        <v>4</v>
      </c>
      <c r="H76" s="1" t="s">
        <v>65</v>
      </c>
    </row>
    <row r="77" customFormat="false" ht="15.75" hidden="false" customHeight="false" outlineLevel="0" collapsed="false">
      <c r="A77" s="56"/>
      <c r="B77" s="30" t="s">
        <v>266</v>
      </c>
      <c r="G77" s="84" t="n">
        <f aca="false">(COS(RADIANS(38.2425-G25))*G63*(1-G22)/(PI()*0.000000056704))^0.25-(COS(RADIANS(38.2425+G25))*G63*(1-G22)/(PI()*0.000000056704))^0.25</f>
        <v>0.923910320797418</v>
      </c>
      <c r="H77" s="1" t="s">
        <v>65</v>
      </c>
      <c r="K77" s="32"/>
    </row>
    <row r="78" customFormat="false" ht="15.75" hidden="false" customHeight="false" outlineLevel="0" collapsed="false">
      <c r="A78" s="56"/>
      <c r="B78" s="30" t="s">
        <v>267</v>
      </c>
      <c r="G78" s="84" t="n">
        <f aca="false">IF(F23&gt;0,((F10/(F23*(1-G24)))^2*G16*(1-G22)/(4*0.000000056704))^0.25-((F10/(F23*(1+G24)))^2*G16*(1-G22)/(4*0.000000056704))^0.25,0)</f>
        <v>5.15800977591113</v>
      </c>
      <c r="H78" s="1" t="s">
        <v>65</v>
      </c>
      <c r="K78" s="32"/>
    </row>
    <row r="79" customFormat="false" ht="15.75" hidden="false" customHeight="false" outlineLevel="0" collapsed="false">
      <c r="A79" s="56"/>
      <c r="B79" s="30" t="s">
        <v>268</v>
      </c>
      <c r="G79" s="86" t="n">
        <f aca="false">IF(F18&gt;0,IF(G62&gt;0,IF((G62*(G31/F18)^0.5)^(2/3)&lt;400,0.0009*(G62*(G31/F18)^0.5)^(2/3),IF((G62*(G31/F18)^0.5)^(2/3)&lt;1600,-0.0000003333333333*((G62*(G31/F18)^0.5)^(2/3))^2+0.0012*((G62*(G31/F18)^0.5)^(2/3))-0.06666666667,1)),1),1)</f>
        <v>1</v>
      </c>
    </row>
    <row r="80" customFormat="false" ht="15.75" hidden="false" customHeight="false" outlineLevel="0" collapsed="false">
      <c r="A80" s="56"/>
      <c r="G80" s="54"/>
    </row>
    <row r="81" customFormat="false" ht="15.75" hidden="false" customHeight="false" outlineLevel="0" collapsed="false">
      <c r="A81" s="56"/>
      <c r="B81" s="57" t="s">
        <v>138</v>
      </c>
      <c r="C81" s="57"/>
      <c r="D81" s="57"/>
      <c r="E81" s="57"/>
      <c r="F81" s="57"/>
      <c r="G81" s="57"/>
      <c r="H81" s="57"/>
    </row>
    <row r="82" customFormat="false" ht="15.75" hidden="false" customHeight="false" outlineLevel="0" collapsed="false">
      <c r="A82" s="56"/>
      <c r="B82" s="6" t="s">
        <v>140</v>
      </c>
      <c r="C82" s="6"/>
      <c r="D82" s="6"/>
      <c r="E82" s="6"/>
      <c r="F82" s="6"/>
      <c r="G82" s="6"/>
      <c r="H82" s="6"/>
    </row>
    <row r="83" customFormat="false" ht="15.75" hidden="false" customHeight="false" outlineLevel="0" collapsed="false">
      <c r="A83" s="56"/>
      <c r="G83" s="54"/>
    </row>
    <row r="84" customFormat="false" ht="15.75" hidden="false" customHeight="false" outlineLevel="0" collapsed="false">
      <c r="A84" s="56"/>
      <c r="B84" s="30" t="s">
        <v>142</v>
      </c>
      <c r="G84" s="54" t="n">
        <f aca="false">IF(F18&gt;0,IF(F31&gt;0,F18/F31,0.1),0.1)</f>
        <v>0.0941176470588235</v>
      </c>
    </row>
    <row r="85" customFormat="false" ht="15.75" hidden="false" customHeight="false" outlineLevel="0" collapsed="false">
      <c r="A85" s="56"/>
      <c r="B85" s="30" t="s">
        <v>144</v>
      </c>
      <c r="G85" s="32" t="n">
        <f aca="false">(F113-F131)/LN(H131/H113)</f>
        <v>70384.4581413413</v>
      </c>
      <c r="H85" s="1" t="s">
        <v>33</v>
      </c>
    </row>
    <row r="86" customFormat="false" ht="15.75" hidden="false" customHeight="false" outlineLevel="0" collapsed="false">
      <c r="A86" s="56"/>
      <c r="B86" s="30" t="s">
        <v>146</v>
      </c>
      <c r="G86" s="54" t="n">
        <f aca="false">(G84-0.09412)/0.90588*(1-IF(G85&gt;3344.087,0.16684*LOG(G85)^2-1.8388*LOG(G85)+5.4082,1))+IF(G85&gt;3344.087,0.16684*LOG(G85)^2-1.8388*LOG(G85)+5.4082,1)</f>
        <v>0.415069693682659</v>
      </c>
    </row>
    <row r="87" customFormat="false" ht="15.75" hidden="false" customHeight="false" outlineLevel="0" collapsed="false">
      <c r="A87" s="56"/>
    </row>
    <row r="88" customFormat="false" ht="15.75" hidden="false" customHeight="false" outlineLevel="0" collapsed="false">
      <c r="A88" s="56"/>
      <c r="B88" s="30" t="s">
        <v>149</v>
      </c>
      <c r="F88" s="58" t="s">
        <v>150</v>
      </c>
      <c r="G88" s="59" t="n">
        <f aca="false">G86</f>
        <v>0.415069693682659</v>
      </c>
    </row>
    <row r="89" customFormat="false" ht="15.75" hidden="false" customHeight="false" outlineLevel="0" collapsed="false">
      <c r="A89" s="56"/>
      <c r="B89" s="30" t="s">
        <v>152</v>
      </c>
      <c r="G89" s="60" t="n">
        <f aca="false">'Gas Giant CFG'!B11</f>
        <v>424000</v>
      </c>
      <c r="H89" s="1" t="s">
        <v>33</v>
      </c>
    </row>
    <row r="91" customFormat="false" ht="15.75" hidden="false" customHeight="false" outlineLevel="0" collapsed="false">
      <c r="B91" s="6" t="s">
        <v>269</v>
      </c>
      <c r="C91" s="6"/>
      <c r="D91" s="6"/>
      <c r="E91" s="6"/>
      <c r="F91" s="6"/>
      <c r="G91" s="6"/>
      <c r="H91" s="6"/>
      <c r="I91" s="6"/>
      <c r="J91" s="6"/>
      <c r="K91" s="6"/>
      <c r="L91" s="6"/>
      <c r="M91" s="6"/>
      <c r="N91" s="6"/>
      <c r="O91" s="6"/>
      <c r="P91" s="6"/>
      <c r="Q91" s="6"/>
    </row>
    <row r="92" customFormat="false" ht="15.75" hidden="false" customHeight="false" outlineLevel="0" collapsed="false">
      <c r="B92" s="6" t="s">
        <v>270</v>
      </c>
      <c r="C92" s="6"/>
      <c r="D92" s="6"/>
      <c r="E92" s="6"/>
      <c r="F92" s="6"/>
      <c r="G92" s="6"/>
      <c r="H92" s="6"/>
      <c r="I92" s="6"/>
      <c r="J92" s="6"/>
      <c r="K92" s="6"/>
      <c r="L92" s="6"/>
      <c r="M92" s="6"/>
      <c r="N92" s="6"/>
      <c r="O92" s="6"/>
      <c r="P92" s="6"/>
      <c r="Q92" s="6"/>
    </row>
    <row r="93" customFormat="false" ht="15.75" hidden="false" customHeight="false" outlineLevel="0" collapsed="false">
      <c r="B93" s="6" t="s">
        <v>271</v>
      </c>
      <c r="C93" s="6"/>
      <c r="D93" s="6"/>
      <c r="E93" s="6"/>
      <c r="F93" s="6"/>
      <c r="G93" s="6"/>
      <c r="H93" s="6"/>
      <c r="I93" s="6"/>
      <c r="J93" s="6"/>
      <c r="K93" s="6"/>
      <c r="L93" s="6"/>
      <c r="M93" s="6"/>
      <c r="N93" s="6"/>
      <c r="O93" s="6"/>
      <c r="P93" s="6"/>
      <c r="Q93" s="6"/>
    </row>
    <row r="94" customFormat="false" ht="15.75" hidden="false" customHeight="false" outlineLevel="0" collapsed="false">
      <c r="J94" s="32"/>
    </row>
    <row r="95" customFormat="false" ht="15.75" hidden="false" customHeight="false" outlineLevel="0" collapsed="false">
      <c r="B95" s="30" t="s">
        <v>164</v>
      </c>
      <c r="J95" s="32"/>
    </row>
    <row r="96" customFormat="false" ht="15.75" hidden="false" customHeight="false" outlineLevel="0" collapsed="false">
      <c r="B96" s="30" t="s">
        <v>166</v>
      </c>
      <c r="J96" s="32"/>
    </row>
    <row r="97" customFormat="false" ht="15.75" hidden="false" customHeight="false" outlineLevel="0" collapsed="false">
      <c r="B97" s="30" t="s">
        <v>168</v>
      </c>
      <c r="J97" s="32"/>
    </row>
    <row r="98" customFormat="false" ht="15.75" hidden="false" customHeight="false" outlineLevel="0" collapsed="false">
      <c r="B98" s="30" t="s">
        <v>170</v>
      </c>
      <c r="J98" s="32"/>
    </row>
    <row r="99" customFormat="false" ht="15.75" hidden="false" customHeight="false" outlineLevel="0" collapsed="false">
      <c r="B99" s="30" t="s">
        <v>172</v>
      </c>
      <c r="J99" s="32"/>
    </row>
    <row r="100" customFormat="false" ht="15.75" hidden="false" customHeight="false" outlineLevel="0" collapsed="false">
      <c r="B100" s="30" t="s">
        <v>174</v>
      </c>
      <c r="J100" s="32"/>
    </row>
    <row r="101" customFormat="false" ht="15.75" hidden="false" customHeight="false" outlineLevel="0" collapsed="false">
      <c r="B101" s="30" t="s">
        <v>272</v>
      </c>
      <c r="J101" s="32"/>
    </row>
    <row r="102" customFormat="false" ht="15.75" hidden="false" customHeight="false" outlineLevel="0" collapsed="false">
      <c r="B102" s="30" t="s">
        <v>273</v>
      </c>
      <c r="J102" s="32"/>
    </row>
    <row r="103" customFormat="false" ht="15.75" hidden="false" customHeight="false" outlineLevel="0" collapsed="false">
      <c r="B103" s="30" t="s">
        <v>274</v>
      </c>
      <c r="J103" s="32"/>
    </row>
    <row r="104" customFormat="false" ht="15.75" hidden="false" customHeight="false" outlineLevel="0" collapsed="false">
      <c r="B104" s="30" t="s">
        <v>275</v>
      </c>
      <c r="J104" s="32"/>
      <c r="K104" s="88" t="s">
        <v>276</v>
      </c>
      <c r="L104" s="88" t="n">
        <f aca="false">854.416*LOG(G84)^2+100</f>
        <v>1000.00002530557</v>
      </c>
      <c r="M104" s="1" t="s">
        <v>277</v>
      </c>
    </row>
    <row r="106" customFormat="false" ht="15.75" hidden="false" customHeight="false" outlineLevel="0" collapsed="false">
      <c r="B106" s="10"/>
      <c r="C106" s="10" t="s">
        <v>177</v>
      </c>
      <c r="F106" s="10"/>
      <c r="N106" s="10" t="s">
        <v>178</v>
      </c>
      <c r="O106" s="10" t="s">
        <v>278</v>
      </c>
      <c r="P106" s="10" t="s">
        <v>279</v>
      </c>
      <c r="Q106" s="10" t="s">
        <v>280</v>
      </c>
    </row>
    <row r="107" customFormat="false" ht="15.75" hidden="false" customHeight="false" outlineLevel="0" collapsed="false">
      <c r="B107" s="10" t="s">
        <v>180</v>
      </c>
      <c r="C107" s="10" t="s">
        <v>181</v>
      </c>
      <c r="D107" s="10" t="s">
        <v>182</v>
      </c>
      <c r="E107" s="10" t="s">
        <v>183</v>
      </c>
      <c r="F107" s="10" t="s">
        <v>184</v>
      </c>
      <c r="G107" s="10" t="s">
        <v>98</v>
      </c>
      <c r="H107" s="10" t="s">
        <v>185</v>
      </c>
      <c r="I107" s="10" t="s">
        <v>186</v>
      </c>
      <c r="J107" s="10" t="s">
        <v>281</v>
      </c>
      <c r="K107" s="10" t="s">
        <v>282</v>
      </c>
      <c r="L107" s="10" t="s">
        <v>283</v>
      </c>
      <c r="M107" s="10" t="s">
        <v>284</v>
      </c>
      <c r="N107" s="10" t="s">
        <v>187</v>
      </c>
      <c r="O107" s="10" t="s">
        <v>181</v>
      </c>
      <c r="P107" s="10" t="s">
        <v>285</v>
      </c>
      <c r="Q107" s="10" t="s">
        <v>286</v>
      </c>
    </row>
    <row r="108" customFormat="false" ht="15.75" hidden="false" customHeight="false" outlineLevel="0" collapsed="false">
      <c r="B108" s="10" t="s">
        <v>189</v>
      </c>
      <c r="C108" s="10" t="s">
        <v>65</v>
      </c>
      <c r="D108" s="10" t="s">
        <v>190</v>
      </c>
      <c r="E108" s="10" t="s">
        <v>191</v>
      </c>
      <c r="F108" s="10" t="s">
        <v>33</v>
      </c>
      <c r="G108" s="10" t="s">
        <v>33</v>
      </c>
      <c r="H108" s="10" t="s">
        <v>192</v>
      </c>
      <c r="I108" s="10" t="s">
        <v>193</v>
      </c>
      <c r="J108" s="10" t="s">
        <v>287</v>
      </c>
      <c r="K108" s="10" t="s">
        <v>287</v>
      </c>
      <c r="L108" s="10" t="s">
        <v>192</v>
      </c>
      <c r="M108" s="10" t="s">
        <v>135</v>
      </c>
      <c r="N108" s="10" t="s">
        <v>33</v>
      </c>
      <c r="O108" s="10" t="s">
        <v>65</v>
      </c>
      <c r="P108" s="10" t="s">
        <v>288</v>
      </c>
      <c r="Q108" s="10" t="s">
        <v>288</v>
      </c>
    </row>
    <row r="109" customFormat="false" ht="15.75" hidden="false" customHeight="false" outlineLevel="0" collapsed="false">
      <c r="B109" s="10"/>
      <c r="C109" s="10"/>
      <c r="D109" s="10"/>
      <c r="E109" s="61"/>
      <c r="O109" s="10"/>
      <c r="P109" s="10"/>
    </row>
    <row r="110" s="1" customFormat="true" ht="15.75" hidden="false" customHeight="false" outlineLevel="0" collapsed="false">
      <c r="B110" s="62" t="n">
        <f aca="false">B111+1/3</f>
        <v>2</v>
      </c>
      <c r="C110" s="63" t="n">
        <f aca="false">G$73+(C$119-G$73)*0.52</f>
        <v>421.037422415499</v>
      </c>
      <c r="D110" s="10"/>
      <c r="E110" s="61" t="n">
        <v>0</v>
      </c>
      <c r="F110" s="61" t="n">
        <v>0</v>
      </c>
      <c r="G110" s="61" t="n">
        <f aca="false">8314.4621*C110/(G$65*G$61*9.80665)</f>
        <v>202787.844966488</v>
      </c>
      <c r="H110" s="64" t="n">
        <f aca="false">10^B110*101325</f>
        <v>10132500</v>
      </c>
      <c r="I110" s="64" t="n">
        <f aca="false">H110/(8314.4621/G$65*C110)</f>
        <v>6.36671913519188</v>
      </c>
      <c r="J110" s="61" t="n">
        <f aca="false">SQRT(8314.4621/G$65*G$67*C110)</f>
        <v>1519.56126143306</v>
      </c>
      <c r="K110" s="61" t="n">
        <f aca="false">IF(F$18&gt;0,SQRT(2*G$60/(F$18+N110)),10000)</f>
        <v>9704.4320494984</v>
      </c>
      <c r="L110" s="64" t="n">
        <f aca="false">I110*K110^2/2</f>
        <v>299796075.105225</v>
      </c>
      <c r="M110" s="64" t="n">
        <f aca="false">I110*K110^3/2</f>
        <v>2909350639564.97</v>
      </c>
      <c r="N110" s="10" t="n">
        <v>0</v>
      </c>
      <c r="O110" s="61" t="n">
        <f aca="false">C110-P110*(G$75+(G$74-G$75)*COS(RADIANS(38)))/2</f>
        <v>421.037422415499</v>
      </c>
      <c r="P110" s="89" t="n">
        <v>0</v>
      </c>
      <c r="Q110" s="10" t="str">
        <f aca="false">IF(M110/1000&gt;L$104,"|",IF(M109/1000&gt;L$104,"V",""))</f>
        <v>|</v>
      </c>
    </row>
    <row r="111" customFormat="false" ht="15.75" hidden="false" customHeight="false" outlineLevel="0" collapsed="false">
      <c r="A111" s="32"/>
      <c r="B111" s="62" t="n">
        <f aca="false">B112+1/3</f>
        <v>1.66666666666667</v>
      </c>
      <c r="C111" s="65" t="n">
        <f aca="false">G$73+(C$119-G$73)*0.639</f>
        <v>343.467140237508</v>
      </c>
      <c r="D111" s="64" t="n">
        <f aca="false">(C111-C110)/(E111-E110)</f>
        <v>-0.000550841546742665</v>
      </c>
      <c r="E111" s="61" t="n">
        <f aca="false">IF(D111=0,(8314.4621*C110*LN(H111/H110)/(-G$61*9.80665*G$65)),C110/D111*(1/(H111/H110)^(8314.4621*D111/(G$61*9.80665*G$65))-1))+E110</f>
        <v>140821.407965129</v>
      </c>
      <c r="F111" s="61" t="n">
        <f aca="false">G$31*E111/(G$31-E111)</f>
        <v>141152.696656483</v>
      </c>
      <c r="G111" s="61" t="n">
        <f aca="false">8314.4621*C111/(G$65*G$61*9.80665)</f>
        <v>165427.008330941</v>
      </c>
      <c r="H111" s="64" t="n">
        <f aca="false">10^B111*101325</f>
        <v>4703089.88565815</v>
      </c>
      <c r="I111" s="64" t="n">
        <f aca="false">H111/(8314.4621/G$65*C111)</f>
        <v>3.62257897693195</v>
      </c>
      <c r="J111" s="61" t="n">
        <f aca="false">SQRT(8314.4621/G$65*G$67*C111)</f>
        <v>1372.4624189886</v>
      </c>
      <c r="K111" s="61" t="n">
        <f aca="false">IF(F$18&gt;0,SQRT(2*G$60/(F$18+N111)),10000)</f>
        <v>9697.97602376456</v>
      </c>
      <c r="L111" s="64" t="n">
        <f aca="false">I111*K111^2/2</f>
        <v>170353114.856199</v>
      </c>
      <c r="M111" s="64" t="n">
        <f aca="false">I111*K111^3/2</f>
        <v>1652080423449.03</v>
      </c>
      <c r="N111" s="61" t="n">
        <f aca="false">IF(F$113&gt;0,20000*F111/F$113,20000)</f>
        <v>7991.16182654973</v>
      </c>
      <c r="O111" s="61" t="n">
        <f aca="false">C111-P111*(G$75+(G$74-G$75)*COS(RADIANS(38)))/2</f>
        <v>343.467140237508</v>
      </c>
      <c r="P111" s="89" t="n">
        <v>0</v>
      </c>
      <c r="Q111" s="10" t="str">
        <f aca="false">IF(M111/1000&gt;L$104,"|",IF(M110/1000&gt;L$104,"V",""))</f>
        <v>|</v>
      </c>
    </row>
    <row r="112" customFormat="false" ht="15.75" hidden="false" customHeight="false" outlineLevel="0" collapsed="false">
      <c r="A112" s="32"/>
      <c r="B112" s="62" t="n">
        <f aca="false">B113+1/3</f>
        <v>1.33333333333333</v>
      </c>
      <c r="C112" s="65" t="n">
        <f aca="false">G$73+(C$119-G$73)*0.732</f>
        <v>282.844986938741</v>
      </c>
      <c r="D112" s="64" t="n">
        <f aca="false">(C112-C111)/(E112-E111)</f>
        <v>-0.000525311222687719</v>
      </c>
      <c r="E112" s="61" t="n">
        <f aca="false">IF(D112=0,(8314.4621*C111*LN(H112/H111)/(-G$61*9.80665*G$65)),C111/D112*(1/(H112/H111)^(8314.4621*D112/(G$61*9.80665*G$65))-1))+E111</f>
        <v>256223.76504518</v>
      </c>
      <c r="F112" s="61" t="n">
        <f aca="false">G$31*E112/(G$31-E112)</f>
        <v>257322.634616393</v>
      </c>
      <c r="G112" s="61" t="n">
        <f aca="false">8314.4621*C112/(G$65*G$61*9.80665)</f>
        <v>136229.043565345</v>
      </c>
      <c r="H112" s="64" t="n">
        <f aca="false">10^B112*101325</f>
        <v>2182980.94967481</v>
      </c>
      <c r="I112" s="64" t="n">
        <f aca="false">H112/(8314.4621/G$65*C112)</f>
        <v>2.04183778978788</v>
      </c>
      <c r="J112" s="61" t="n">
        <f aca="false">SQRT(8314.4621/G$65*G$67*C112)</f>
        <v>1245.46666247</v>
      </c>
      <c r="K112" s="61" t="n">
        <f aca="false">IF(F$18&gt;0,SQRT(2*G$60/(F$18+N112)),10000)</f>
        <v>9692.67231157165</v>
      </c>
      <c r="L112" s="64" t="n">
        <f aca="false">I112*K112^2/2</f>
        <v>95913182.7127242</v>
      </c>
      <c r="M112" s="64" t="n">
        <f aca="false">I112*K112^3/2</f>
        <v>929655050394.334</v>
      </c>
      <c r="N112" s="61" t="n">
        <f aca="false">IF(F$113&gt;0,20000*F112/F$113,20000)</f>
        <v>14567.9598304669</v>
      </c>
      <c r="O112" s="61" t="n">
        <f aca="false">C112-P112*(G$75+(G$74-G$75)*COS(RADIANS(38)))/2</f>
        <v>282.844986938741</v>
      </c>
      <c r="P112" s="89" t="n">
        <v>0</v>
      </c>
      <c r="Q112" s="10" t="str">
        <f aca="false">IF(M112/1000&gt;L$104,"|",IF(M111/1000&gt;L$104,"V",""))</f>
        <v>|</v>
      </c>
    </row>
    <row r="113" customFormat="false" ht="15.75" hidden="false" customHeight="false" outlineLevel="0" collapsed="false">
      <c r="A113" s="32"/>
      <c r="B113" s="62" t="n">
        <f aca="false">B114+1/3</f>
        <v>1</v>
      </c>
      <c r="C113" s="65" t="n">
        <f aca="false">G$73+(C$119-G$73)*0.809</f>
        <v>232.652451411806</v>
      </c>
      <c r="D113" s="64" t="n">
        <f aca="false">(C113-C112)/(E113-E112)</f>
        <v>-0.000528451407145669</v>
      </c>
      <c r="E113" s="61" t="n">
        <f aca="false">IF(D113=0,(8314.4621*C112*LN(H113/H112)/(-G$61*9.80665*G$65)),C112/D113*(1/(H113/H112)^(8314.4621*D113/(G$61*9.80665*G$65))-1))+E112</f>
        <v>351204.183014055</v>
      </c>
      <c r="F113" s="61" t="n">
        <f aca="false">G$31*E113/(G$31-E113)</f>
        <v>353272.026571954</v>
      </c>
      <c r="G113" s="61" t="n">
        <f aca="false">8314.4621*C113/(G$65*G$61*9.80665)</f>
        <v>112054.384565874</v>
      </c>
      <c r="H113" s="64" t="n">
        <f aca="false">10^B113*101325</f>
        <v>1013250</v>
      </c>
      <c r="I113" s="64" t="n">
        <f aca="false">H113/(8314.4621/G$65*C113)</f>
        <v>1.15220235061259</v>
      </c>
      <c r="J113" s="61" t="n">
        <f aca="false">SQRT(8314.4621/G$65*G$67*C113)</f>
        <v>1129.56617991361</v>
      </c>
      <c r="K113" s="61" t="n">
        <f aca="false">IF(F$18&gt;0,SQRT(2*G$60/(F$18+N113)),10000)</f>
        <v>9688.29831922291</v>
      </c>
      <c r="L113" s="64" t="n">
        <f aca="false">I113*K113^2/2</f>
        <v>54074656.2399733</v>
      </c>
      <c r="M113" s="64" t="n">
        <f aca="false">I113*K113^3/2</f>
        <v>523891401162.29</v>
      </c>
      <c r="N113" s="61" t="n">
        <f aca="false">IF(F$113&gt;0,20000*F113/F$113,20000)</f>
        <v>20000</v>
      </c>
      <c r="O113" s="61" t="n">
        <f aca="false">C113-P113*(G$75+(G$74-G$75)*COS(RADIANS(38)))/2</f>
        <v>232.652451411806</v>
      </c>
      <c r="P113" s="89" t="n">
        <v>0</v>
      </c>
      <c r="Q113" s="10" t="str">
        <f aca="false">IF(M113/1000&gt;L$104,"|",IF(M112/1000&gt;L$104,"V",""))</f>
        <v>|</v>
      </c>
    </row>
    <row r="114" customFormat="false" ht="15.75" hidden="false" customHeight="false" outlineLevel="0" collapsed="false">
      <c r="A114" s="32"/>
      <c r="B114" s="62" t="n">
        <f aca="false">B115+1/3</f>
        <v>0.666666666666667</v>
      </c>
      <c r="C114" s="65" t="n">
        <f aca="false">G$73+(C$119-G$73)*0.874</f>
        <v>190.282129213743</v>
      </c>
      <c r="D114" s="64" t="n">
        <f aca="false">(C114-C113)/(E114-E113)</f>
        <v>-0.000543828775317813</v>
      </c>
      <c r="E114" s="61" t="n">
        <f aca="false">IF(D114=0,(8314.4621*C113*LN(H114/H113)/(-G$61*9.80665*G$65)),C113/D114*(1/(H114/H113)^(8314.4621*D114/(G$61*9.80665*G$65))-1))+E113</f>
        <v>429115.327332046</v>
      </c>
      <c r="F114" s="61" t="n">
        <f aca="false">G$31*E114/(G$31-E114)</f>
        <v>432206.434089367</v>
      </c>
      <c r="G114" s="61" t="n">
        <f aca="false">8314.4621*C114/(G$65*G$61*9.80665)</f>
        <v>91647.2048909953</v>
      </c>
      <c r="H114" s="64" t="n">
        <f aca="false">10^B114*101325</f>
        <v>470308.988565815</v>
      </c>
      <c r="I114" s="64" t="n">
        <f aca="false">H114/(8314.4621/G$65*C114)</f>
        <v>0.653890539606947</v>
      </c>
      <c r="J114" s="61" t="n">
        <f aca="false">SQRT(8314.4621/G$65*G$67*C114)</f>
        <v>1021.54350179245</v>
      </c>
      <c r="K114" s="61" t="n">
        <f aca="false">IF(F$18&gt;0,SQRT(2*G$60/(F$18+N114)),10000)</f>
        <v>9662.04162202289</v>
      </c>
      <c r="L114" s="64" t="n">
        <f aca="false">I114*K114^2/2</f>
        <v>30521991.4558243</v>
      </c>
      <c r="M114" s="64" t="n">
        <f aca="false">I114*K114^3/2</f>
        <v>294904751833.201</v>
      </c>
      <c r="N114" s="61" t="n">
        <f aca="false">20000+(F114-F$113)*IF(G$88&gt;0,G$88,0.5)</f>
        <v>52763.2803492751</v>
      </c>
      <c r="O114" s="61" t="n">
        <f aca="false">C114-P114*(G$75+(G$74-G$75)*COS(RADIANS(38)))/2</f>
        <v>190.282129213743</v>
      </c>
      <c r="P114" s="89" t="n">
        <v>0</v>
      </c>
      <c r="Q114" s="10" t="str">
        <f aca="false">IF(M114/1000&gt;L$104,"|",IF(M113/1000&gt;L$104,"V",""))</f>
        <v>|</v>
      </c>
    </row>
    <row r="115" customFormat="false" ht="15.75" hidden="false" customHeight="false" outlineLevel="0" collapsed="false">
      <c r="A115" s="32"/>
      <c r="B115" s="62" t="n">
        <f aca="false">B116+1/3</f>
        <v>0.333333333333333</v>
      </c>
      <c r="C115" s="65" t="n">
        <f aca="false">G$73+(C$119-G$73)*0.923</f>
        <v>158.341424787511</v>
      </c>
      <c r="D115" s="64" t="n">
        <f aca="false">(C115-C114)/(E115-E114)</f>
        <v>-0.000497074771222158</v>
      </c>
      <c r="E115" s="61" t="n">
        <f aca="false">IF(D115=0,(8314.4621*C114*LN(H115/H114)/(-G$61*9.80665*G$65)),C114/D115*(1/(H115/H114)^(8314.4621*D115/(G$61*9.80665*G$65))-1))+E114</f>
        <v>493372.671046553</v>
      </c>
      <c r="F115" s="61" t="n">
        <f aca="false">G$31*E115/(G$31-E115)</f>
        <v>497463.250591416</v>
      </c>
      <c r="G115" s="61" t="n">
        <f aca="false">8314.4621*C115/(G$65*G$61*9.80665)</f>
        <v>76263.3309822406</v>
      </c>
      <c r="H115" s="64" t="n">
        <f aca="false">10^B115*101325</f>
        <v>218298.094967481</v>
      </c>
      <c r="I115" s="64" t="n">
        <f aca="false">H115/(8314.4621/G$65*C115)</f>
        <v>0.364733097329771</v>
      </c>
      <c r="J115" s="61" t="n">
        <f aca="false">SQRT(8314.4621/G$65*G$67*C115)</f>
        <v>931.86958797704</v>
      </c>
      <c r="K115" s="61" t="n">
        <f aca="false">IF(F$18&gt;0,SQRT(2*G$60/(F$18+N115)),10000)</f>
        <v>9640.49508368049</v>
      </c>
      <c r="L115" s="64" t="n">
        <f aca="false">I115*K115^2/2</f>
        <v>16948991.1931245</v>
      </c>
      <c r="M115" s="64" t="n">
        <f aca="false">I115*K115^3/2</f>
        <v>163396666270.661</v>
      </c>
      <c r="N115" s="61" t="n">
        <f aca="false">20000+(F115-F$113)*IF(G$88&gt;0,G$88,0.5)</f>
        <v>79849.4071854858</v>
      </c>
      <c r="O115" s="61" t="n">
        <f aca="false">C115-P115*(G$75+(G$74-G$75)*COS(RADIANS(38)))/2</f>
        <v>158.341424787511</v>
      </c>
      <c r="P115" s="89" t="n">
        <v>0</v>
      </c>
      <c r="Q115" s="10" t="str">
        <f aca="false">IF(M115/1000&gt;L$104,"|",IF(M114/1000&gt;L$104,"V",""))</f>
        <v>|</v>
      </c>
    </row>
    <row r="116" customFormat="false" ht="15.75" hidden="false" customHeight="false" outlineLevel="0" collapsed="false">
      <c r="A116" s="32"/>
      <c r="B116" s="62" t="n">
        <v>0</v>
      </c>
      <c r="C116" s="65" t="n">
        <f aca="false">G$73+(C$119-G$73)*0.96</f>
        <v>134.222933690153</v>
      </c>
      <c r="D116" s="64" t="n">
        <f aca="false">(C116-C115)/(E116-E115)</f>
        <v>-0.000447022926189755</v>
      </c>
      <c r="E116" s="61" t="n">
        <f aca="false">IF(D116=0,(8314.4621*C115*LN(H116/H115)/(-G$61*9.80665*G$65)),C115/D116*(1/(H116/H115)^(8314.4621*D116/(G$61*9.80665*G$65))-1))+E115</f>
        <v>547326.259742629</v>
      </c>
      <c r="F116" s="61" t="n">
        <f aca="false">G$31*E116/(G$31-E116)</f>
        <v>552364.990816569</v>
      </c>
      <c r="G116" s="61" t="n">
        <f aca="false">8314.4621*C116/(G$65*G$61*9.80665)</f>
        <v>64646.9363980789</v>
      </c>
      <c r="H116" s="64" t="n">
        <f aca="false">10^B116*101325</f>
        <v>101325</v>
      </c>
      <c r="I116" s="64" t="n">
        <f aca="false">H116/(8314.4621/G$65*C116)</f>
        <v>0.199714530164624</v>
      </c>
      <c r="J116" s="61" t="n">
        <f aca="false">SQRT(8314.4621/G$65*G$67*C116)</f>
        <v>857.968271970412</v>
      </c>
      <c r="K116" s="61" t="n">
        <f aca="false">IF(F$18&gt;0,SQRT(2*G$60/(F$18+N116)),10000)</f>
        <v>9622.47881277079</v>
      </c>
      <c r="L116" s="64" t="n">
        <f aca="false">I116*K116^2/2</f>
        <v>9245993.724664</v>
      </c>
      <c r="M116" s="64" t="n">
        <f aca="false">I116*K116^3/2</f>
        <v>88969378718.5911</v>
      </c>
      <c r="N116" s="61" t="n">
        <f aca="false">20000+(F116-F$113)*IF(G$88&gt;0,G$88,0.5)</f>
        <v>102637.455683385</v>
      </c>
      <c r="O116" s="61" t="n">
        <f aca="false">C116-P116*(G$75+(G$74-G$75)*COS(RADIANS(38)))/2</f>
        <v>134.222933690153</v>
      </c>
      <c r="P116" s="89" t="n">
        <v>0</v>
      </c>
      <c r="Q116" s="10" t="str">
        <f aca="false">IF(M116/1000&gt;L$104,"|",IF(M115/1000&gt;L$104,"V",""))</f>
        <v>|</v>
      </c>
    </row>
    <row r="117" customFormat="false" ht="15.75" hidden="false" customHeight="false" outlineLevel="0" collapsed="false">
      <c r="A117" s="32"/>
      <c r="B117" s="62" t="n">
        <f aca="false">B116-1/3</f>
        <v>-0.333333333333333</v>
      </c>
      <c r="C117" s="65" t="n">
        <f aca="false">G$73+(C$119-G$73)*0.984</f>
        <v>118.578507032406</v>
      </c>
      <c r="D117" s="64" t="n">
        <f aca="false">(C117-C116)/(E117-E116)</f>
        <v>-0.000335235320035228</v>
      </c>
      <c r="E117" s="61" t="n">
        <f aca="false">IF(D117=0,(8314.4621*C116*LN(H117/H116)/(-G$61*9.80665*G$65)),C116/D117*(1/(H117/H116)^(8314.4621*D117/(G$61*9.80665*G$65))-1))+E116</f>
        <v>593993.259675996</v>
      </c>
      <c r="F117" s="61" t="n">
        <f aca="false">G$31*E117/(G$31-E117)</f>
        <v>599932.524270615</v>
      </c>
      <c r="G117" s="61" t="n">
        <f aca="false">8314.4621*C117/(G$65*G$61*9.80665)</f>
        <v>57111.9777488929</v>
      </c>
      <c r="H117" s="64" t="n">
        <f aca="false">10^B117*101325</f>
        <v>47030.8988565815</v>
      </c>
      <c r="I117" s="64" t="n">
        <f aca="false">H117/(8314.4621/G$65*C117)</f>
        <v>0.104929373174794</v>
      </c>
      <c r="J117" s="61" t="n">
        <f aca="false">SQRT(8314.4621/G$65*G$67*C117)</f>
        <v>806.419188864787</v>
      </c>
      <c r="K117" s="61" t="n">
        <f aca="false">IF(F$18&gt;0,SQRT(2*G$60/(F$18+N117)),10000)</f>
        <v>9606.95069521298</v>
      </c>
      <c r="L117" s="64" t="n">
        <f aca="false">I117*K117^2/2</f>
        <v>4842149.6386586</v>
      </c>
      <c r="M117" s="64" t="n">
        <f aca="false">I117*K117^3/2</f>
        <v>46518292837.4365</v>
      </c>
      <c r="N117" s="61" t="n">
        <f aca="false">20000+(F117-F$113)*IF(G$88&gt;0,G$88,0.5)</f>
        <v>122381.297223396</v>
      </c>
      <c r="O117" s="61" t="n">
        <f aca="false">C117-P117*(G$75+(G$74-G$75)*COS(RADIANS(38)))/2</f>
        <v>118.474705957046</v>
      </c>
      <c r="P117" s="89" t="n">
        <v>0.05</v>
      </c>
      <c r="Q117" s="10" t="str">
        <f aca="false">IF(M117/1000&gt;L$104,"|",IF(M116/1000&gt;L$104,"V",""))</f>
        <v>|</v>
      </c>
    </row>
    <row r="118" customFormat="false" ht="15.75" hidden="false" customHeight="false" outlineLevel="0" collapsed="false">
      <c r="A118" s="32"/>
      <c r="B118" s="62" t="n">
        <f aca="false">B117-1/3</f>
        <v>-0.666666666666667</v>
      </c>
      <c r="C118" s="65" t="n">
        <f aca="false">G$73+(C$119-G$73)*0.997</f>
        <v>110.104442592794</v>
      </c>
      <c r="D118" s="64" t="n">
        <f aca="false">(C118-C117)/(E118-E117)</f>
        <v>-0.000200572421710778</v>
      </c>
      <c r="E118" s="61" t="n">
        <f aca="false">IF(D118=0,(8314.4621*C117*LN(H118/H117)/(-G$61*9.80665*G$65)),C117/D118*(1/(H118/H117)^(8314.4621*D118/(G$61*9.80665*G$65))-1))+E117</f>
        <v>636242.65950541</v>
      </c>
      <c r="F118" s="61" t="n">
        <f aca="false">G$31*E118/(G$31-E118)</f>
        <v>643061.714428984</v>
      </c>
      <c r="G118" s="61" t="n">
        <f aca="false">8314.4621*C118/(G$65*G$61*9.80665)</f>
        <v>53030.5418139172</v>
      </c>
      <c r="H118" s="64" t="n">
        <f aca="false">10^B118*101325</f>
        <v>21829.8094967481</v>
      </c>
      <c r="I118" s="64" t="n">
        <f aca="false">H118/(8314.4621/G$65*C118)</f>
        <v>0.0524523415571406</v>
      </c>
      <c r="J118" s="61" t="n">
        <f aca="false">SQRT(8314.4621/G$65*G$67*C118)</f>
        <v>777.070255780835</v>
      </c>
      <c r="K118" s="61" t="n">
        <f aca="false">IF(F$18&gt;0,SQRT(2*G$60/(F$18+N118)),10000)</f>
        <v>9592.93623423888</v>
      </c>
      <c r="L118" s="64" t="n">
        <f aca="false">I118*K118^2/2</f>
        <v>2413448.30143262</v>
      </c>
      <c r="M118" s="64" t="n">
        <f aca="false">I118*K118^3/2</f>
        <v>23152055660.2753</v>
      </c>
      <c r="N118" s="61" t="n">
        <f aca="false">20000+(F118-F$113)*IF(G$88&gt;0,G$88,0.5)</f>
        <v>140282.916971211</v>
      </c>
      <c r="O118" s="61" t="n">
        <f aca="false">C118-P118*(G$75+(G$74-G$75)*COS(RADIANS(38)))/2</f>
        <v>109.689238291351</v>
      </c>
      <c r="P118" s="89" t="n">
        <v>0.2</v>
      </c>
      <c r="Q118" s="10" t="str">
        <f aca="false">IF(M118/1000&gt;L$104,"|",IF(M117/1000&gt;L$104,"V",""))</f>
        <v>|</v>
      </c>
    </row>
    <row r="119" s="1" customFormat="true" ht="15.75" hidden="false" customHeight="false" outlineLevel="0" collapsed="false">
      <c r="B119" s="62" t="n">
        <f aca="false">B118-1/3</f>
        <v>-1</v>
      </c>
      <c r="C119" s="65" t="n">
        <f aca="false">1.05*G64</f>
        <v>108.148889260576</v>
      </c>
      <c r="D119" s="64" t="n">
        <f aca="false">(C119-C118)/(E119-E118)</f>
        <v>-4.84768893771501E-005</v>
      </c>
      <c r="E119" s="61" t="n">
        <f aca="false">IF(D119=0,(8314.4621*C118*LN(H119/H118)/(-G$61*9.80665*G$65)),C118/D119*(1/(H119/H118)^(8314.4621*D119/(G$61*9.80665*G$65))-1))+E118</f>
        <v>676582.569044657</v>
      </c>
      <c r="F119" s="61" t="n">
        <f aca="false">G$31*E119/(G$31-E119)</f>
        <v>684298.981762583</v>
      </c>
      <c r="G119" s="61" t="n">
        <f aca="false">8314.4621*C119/(G$65*G$61*9.80665)</f>
        <v>52088.671982769</v>
      </c>
      <c r="H119" s="64" t="n">
        <f aca="false">10^B119*101325</f>
        <v>10132.5</v>
      </c>
      <c r="I119" s="64" t="n">
        <f aca="false">H119/(8314.4621/G$65*C119)</f>
        <v>0.0247864497939122</v>
      </c>
      <c r="J119" s="61" t="n">
        <f aca="false">SQRT(8314.4621/G$65*G$67*C119)</f>
        <v>770.138608613393</v>
      </c>
      <c r="K119" s="61" t="n">
        <f aca="false">IF(F$18&gt;0,SQRT(2*G$60/(F$18+N119)),10000)</f>
        <v>9579.59373219942</v>
      </c>
      <c r="L119" s="64" t="n">
        <f aca="false">I119*K119^2/2</f>
        <v>1137309.09748743</v>
      </c>
      <c r="M119" s="64" t="n">
        <f aca="false">I119*K119^3/2</f>
        <v>10894959101.864</v>
      </c>
      <c r="N119" s="61" t="n">
        <f aca="false">20000+(F119-F$113)*IF(G$88&gt;0,G$88,0.5)</f>
        <v>157399.256891678</v>
      </c>
      <c r="O119" s="61" t="n">
        <f aca="false">C119-P119*(G$75+(G$74-G$75)*COS(RADIANS(38)))/2</f>
        <v>107.26658012001</v>
      </c>
      <c r="P119" s="89" t="n">
        <v>0.425</v>
      </c>
      <c r="Q119" s="10" t="str">
        <f aca="false">IF(M119/1000&gt;L$104,"|",IF(M118/1000&gt;L$104,"V",""))</f>
        <v>|</v>
      </c>
    </row>
    <row r="120" customFormat="false" ht="15.75" hidden="false" customHeight="false" outlineLevel="0" collapsed="false">
      <c r="B120" s="62" t="n">
        <f aca="false">B119-1/3</f>
        <v>-1.33333333333333</v>
      </c>
      <c r="C120" s="65" t="n">
        <f aca="false">1.05*G64</f>
        <v>108.148889260576</v>
      </c>
      <c r="D120" s="64" t="n">
        <f aca="false">(C120-C119)/(E120-E119)</f>
        <v>0</v>
      </c>
      <c r="E120" s="61" t="n">
        <f aca="false">IF(D120=0,(8314.4621*C119*LN(H120/H119)/(-G$61*9.80665*G$65)),C119/D120*(1/(H120/H119)^(8314.4621*D120/(G$61*9.80665*G$65))-1))+E119</f>
        <v>716562.102251784</v>
      </c>
      <c r="F120" s="61" t="n">
        <f aca="false">G$31*E120/(G$31-E120)</f>
        <v>725223.226919842</v>
      </c>
      <c r="G120" s="61" t="n">
        <f aca="false">8314.4621*C120/(G$65*G$61*9.80665)</f>
        <v>52088.671982769</v>
      </c>
      <c r="H120" s="64" t="n">
        <f aca="false">10^B120*101325</f>
        <v>4703.08988565815</v>
      </c>
      <c r="I120" s="64" t="n">
        <f aca="false">H120/(8314.4621/G$65*C120)</f>
        <v>0.0115048508588327</v>
      </c>
      <c r="J120" s="61" t="n">
        <f aca="false">SQRT(8314.4621/G$65*G$67*C120)</f>
        <v>770.138608613393</v>
      </c>
      <c r="K120" s="61" t="n">
        <f aca="false">IF(F$18&gt;0,SQRT(2*G$60/(F$18+N120)),10000)</f>
        <v>9566.40739883623</v>
      </c>
      <c r="L120" s="64" t="n">
        <f aca="false">I120*K120^2/2</f>
        <v>526439.831456467</v>
      </c>
      <c r="M120" s="64" t="n">
        <f aca="false">I120*K120^3/2</f>
        <v>5036137898.68724</v>
      </c>
      <c r="N120" s="61" t="n">
        <f aca="false">20000+(F120-F$113)*IF(G$88&gt;0,G$88,0.5)</f>
        <v>174385.670793295</v>
      </c>
      <c r="O120" s="61" t="n">
        <f aca="false">C120-P120*(G$75+(G$74-G$75)*COS(RADIANS(38)))/2</f>
        <v>106.799475280887</v>
      </c>
      <c r="P120" s="89" t="n">
        <v>0.65</v>
      </c>
      <c r="Q120" s="10" t="str">
        <f aca="false">IF(M120/1000&gt;L$104,"|",IF(M119/1000&gt;L$104,"V",""))</f>
        <v>|</v>
      </c>
    </row>
    <row r="121" customFormat="false" ht="15.75" hidden="false" customHeight="false" outlineLevel="0" collapsed="false">
      <c r="B121" s="62" t="n">
        <f aca="false">B120-1/3</f>
        <v>-1.66666666666667</v>
      </c>
      <c r="C121" s="65" t="n">
        <f aca="false">C$120+(C$127-C$120)*0.085</f>
        <v>112.258688714926</v>
      </c>
      <c r="D121" s="64" t="n">
        <f aca="false">(C121-C120)/(E121-E120)</f>
        <v>0.000100892477896032</v>
      </c>
      <c r="E121" s="61" t="n">
        <f aca="false">IF(D121=0,(8314.4621*C120*LN(H121/H120)/(-G$61*9.80665*G$65)),C120/D121*(1/(H121/H120)^(8314.4621*D121/(G$61*9.80665*G$65))-1))+E120</f>
        <v>757296.55084552</v>
      </c>
      <c r="F121" s="61" t="n">
        <f aca="false">G$31*E121/(G$31-E121)</f>
        <v>766977.035234871</v>
      </c>
      <c r="G121" s="61" t="n">
        <f aca="false">8314.4621*C121/(G$65*G$61*9.80665)</f>
        <v>54068.1097482076</v>
      </c>
      <c r="H121" s="64" t="n">
        <f aca="false">10^B121*101325</f>
        <v>2182.98094967481</v>
      </c>
      <c r="I121" s="64" t="n">
        <f aca="false">H121/(8314.4621/G$65*C121)</f>
        <v>0.00514457802415781</v>
      </c>
      <c r="J121" s="61" t="n">
        <f aca="false">SQRT(8314.4621/G$65*G$67*C121)</f>
        <v>784.635307319695</v>
      </c>
      <c r="K121" s="61" t="n">
        <f aca="false">IF(F$18&gt;0,SQRT(2*G$60/(F$18+N121)),10000)</f>
        <v>9553.00973254112</v>
      </c>
      <c r="L121" s="64" t="n">
        <f aca="false">I121*K121^2/2</f>
        <v>234747.082252326</v>
      </c>
      <c r="M121" s="64" t="n">
        <f aca="false">I121*K121^3/2</f>
        <v>2242541161.4421</v>
      </c>
      <c r="N121" s="61" t="n">
        <f aca="false">20000+(F121-F$113)*IF(G$88&gt;0,G$88,0.5)</f>
        <v>191716.411220699</v>
      </c>
      <c r="O121" s="61" t="n">
        <f aca="false">C121-P121*(G$75+(G$74-G$75)*COS(RADIANS(38)))/2</f>
        <v>110.494070433795</v>
      </c>
      <c r="P121" s="89" t="n">
        <v>0.85</v>
      </c>
      <c r="Q121" s="10" t="str">
        <f aca="false">IF(M121/1000&gt;L$104,"|",IF(M120/1000&gt;L$104,"V",""))</f>
        <v>|</v>
      </c>
    </row>
    <row r="122" customFormat="false" ht="15.75" hidden="false" customHeight="false" outlineLevel="0" collapsed="false">
      <c r="B122" s="62" t="n">
        <f aca="false">B121-1/3</f>
        <v>-2</v>
      </c>
      <c r="C122" s="65" t="n">
        <f aca="false">C$120+(C$127-C$120)*0.253</f>
        <v>120.381586459995</v>
      </c>
      <c r="D122" s="64" t="n">
        <f aca="false">(C122-C121)/(E122-E121)</f>
        <v>0.000188980504736405</v>
      </c>
      <c r="E122" s="61" t="n">
        <f aca="false">IF(D122=0,(8314.4621*C121*LN(H122/H121)/(-G$61*9.80665*G$65)),C121/D122*(1/(H122/H121)^(8314.4621*D122/(G$61*9.80665*G$65))-1))+E121</f>
        <v>800279.279441781</v>
      </c>
      <c r="F122" s="61" t="n">
        <f aca="false">G$31*E122/(G$31-E122)</f>
        <v>811097.690699614</v>
      </c>
      <c r="G122" s="61" t="n">
        <f aca="false">8314.4621*C122/(G$65*G$61*9.80665)</f>
        <v>57980.4102728394</v>
      </c>
      <c r="H122" s="64" t="n">
        <f aca="false">10^B122*101325</f>
        <v>1013.25</v>
      </c>
      <c r="I122" s="64" t="n">
        <f aca="false">H122/(8314.4621/G$65*C122)</f>
        <v>0.00222677495184485</v>
      </c>
      <c r="J122" s="61" t="n">
        <f aca="false">SQRT(8314.4621/G$65*G$67*C122)</f>
        <v>812.52717617186</v>
      </c>
      <c r="K122" s="61" t="n">
        <f aca="false">IF(F$18&gt;0,SQRT(2*G$60/(F$18+N122)),10000)</f>
        <v>9538.91359684677</v>
      </c>
      <c r="L122" s="64" t="n">
        <f aca="false">I122*K122^2/2</f>
        <v>101308.097985121</v>
      </c>
      <c r="M122" s="64" t="n">
        <f aca="false">I122*K122^3/2</f>
        <v>966369193.340952</v>
      </c>
      <c r="N122" s="61" t="n">
        <f aca="false">20000+(F122-F$113)*IF(G$88&gt;0,G$88,0.5)</f>
        <v>210029.558169528</v>
      </c>
      <c r="O122" s="61" t="n">
        <f aca="false">C122-P122*(G$75+(G$74-G$75)*COS(RADIANS(38)))/2</f>
        <v>118.305564952782</v>
      </c>
      <c r="P122" s="89" t="n">
        <v>1</v>
      </c>
      <c r="Q122" s="10" t="str">
        <f aca="false">IF(M122/1000&gt;L$104,"|",IF(M121/1000&gt;L$104,"V",""))</f>
        <v>|</v>
      </c>
    </row>
    <row r="123" customFormat="false" ht="15.75" hidden="false" customHeight="false" outlineLevel="0" collapsed="false">
      <c r="B123" s="62" t="n">
        <f aca="false">B122-1/3</f>
        <v>-2.33333333333333</v>
      </c>
      <c r="C123" s="65" t="n">
        <f aca="false">C$120+(C$127-C$120)*0.467</f>
        <v>130.728610968596</v>
      </c>
      <c r="D123" s="64" t="n">
        <f aca="false">(C123-C122)/(E123-E122)</f>
        <v>0.000223054731428969</v>
      </c>
      <c r="E123" s="61" t="n">
        <f aca="false">IF(D123=0,(8314.4621*C122*LN(H123/H122)/(-G$61*9.80665*G$65)),C122/D123*(1/(H123/H122)^(8314.4621*D123/(G$61*9.80665*G$65))-1))+E122</f>
        <v>846667.107408099</v>
      </c>
      <c r="F123" s="61" t="n">
        <f aca="false">G$31*E123/(G$31-E123)</f>
        <v>858785.531775977</v>
      </c>
      <c r="G123" s="61" t="n">
        <f aca="false">8314.4621*C123/(G$65*G$61*9.80665)</f>
        <v>62963.9359411203</v>
      </c>
      <c r="H123" s="64" t="n">
        <f aca="false">10^B123*101325</f>
        <v>470.308988565815</v>
      </c>
      <c r="I123" s="64" t="n">
        <f aca="false">H123/(8314.4621/G$65*C123)</f>
        <v>0.00095177087270531</v>
      </c>
      <c r="J123" s="61" t="n">
        <f aca="false">SQRT(8314.4621/G$65*G$67*C123)</f>
        <v>846.726569316655</v>
      </c>
      <c r="K123" s="61" t="n">
        <f aca="false">IF(F$18&gt;0,SQRT(2*G$60/(F$18+N123)),10000)</f>
        <v>9523.74772951013</v>
      </c>
      <c r="L123" s="64" t="n">
        <f aca="false">I123*K123^2/2</f>
        <v>43163.6517824211</v>
      </c>
      <c r="M123" s="64" t="n">
        <f aca="false">I123*K123^3/2</f>
        <v>411079730.660199</v>
      </c>
      <c r="N123" s="61" t="n">
        <f aca="false">20000+(F123-F$113)*IF(G$88&gt;0,G$88,0.5)</f>
        <v>229823.335757481</v>
      </c>
      <c r="O123" s="61" t="n">
        <f aca="false">C123-P123*(G$75+(G$74-G$75)*COS(RADIANS(38)))/2</f>
        <v>128.460542804704</v>
      </c>
      <c r="P123" s="89" t="n">
        <f aca="false">IF(ROUND(N123,-3)&lt;G$89,2-(G$89-N123)/(G$89-N$122),2)</f>
        <v>1.09250706508162</v>
      </c>
      <c r="Q123" s="10" t="str">
        <f aca="false">IF(M123/1000&gt;L$104,"|",IF(M122/1000&gt;L$104,"V",""))</f>
        <v>|</v>
      </c>
    </row>
    <row r="124" s="1" customFormat="true" ht="15.75" hidden="false" customHeight="false" outlineLevel="0" collapsed="false">
      <c r="B124" s="62" t="n">
        <f aca="false">B123-1/3</f>
        <v>-2.66666666666667</v>
      </c>
      <c r="C124" s="65" t="n">
        <f aca="false">C$120+(C$127-C$120)*0.685</f>
        <v>141.26903780446</v>
      </c>
      <c r="D124" s="64" t="n">
        <f aca="false">(C124-C123)/(E124-E123)</f>
        <v>0.000209761086821817</v>
      </c>
      <c r="E124" s="61" t="n">
        <f aca="false">IF(D124=0,(8314.4621*C123*LN(H124/H123)/(-G$61*9.80665*G$65)),C123/D124*(1/(H124/H123)^(8314.4621*D124/(G$61*9.80665*G$65))-1))+E123</f>
        <v>896916.784293199</v>
      </c>
      <c r="F124" s="61" t="n">
        <f aca="false">G$31*E124/(G$31-E124)</f>
        <v>910527.91376695</v>
      </c>
      <c r="G124" s="61" t="n">
        <f aca="false">8314.4621*C124/(G$65*G$61*9.80665)</f>
        <v>68040.6116218925</v>
      </c>
      <c r="H124" s="64" t="n">
        <f aca="false">10^B124*101325</f>
        <v>218.298094967481</v>
      </c>
      <c r="I124" s="64" t="n">
        <f aca="false">H124/(8314.4621/G$65*C124)</f>
        <v>0.000408811153497748</v>
      </c>
      <c r="J124" s="61" t="n">
        <f aca="false">SQRT(8314.4621/G$65*G$67*C124)</f>
        <v>880.199987143939</v>
      </c>
      <c r="K124" s="61" t="n">
        <f aca="false">IF(F$18&gt;0,SQRT(2*G$60/(F$18+N124)),10000)</f>
        <v>9507.37396731079</v>
      </c>
      <c r="L124" s="64" t="n">
        <f aca="false">I124*K124^2/2</f>
        <v>18476.2527370003</v>
      </c>
      <c r="M124" s="64" t="n">
        <f aca="false">I124*K124^3/2</f>
        <v>175660644.285212</v>
      </c>
      <c r="N124" s="61" t="n">
        <f aca="false">20000+(F124-F$113)*IF(G$88&gt;0,G$88,0.5)</f>
        <v>251300.030400885</v>
      </c>
      <c r="O124" s="61" t="n">
        <f aca="false">C124-P124*(G$75+(G$74-G$75)*COS(RADIANS(38)))/2</f>
        <v>138.792594691195</v>
      </c>
      <c r="P124" s="89" t="n">
        <f aca="false">IF(ROUND(N124,-3)&lt;G$89,2-(G$89-N124)/(G$89-N$122),2)</f>
        <v>1.1928793149105</v>
      </c>
      <c r="Q124" s="10" t="str">
        <f aca="false">IF(M124/1000&gt;L$104,"|",IF(M123/1000&gt;L$104,"V",""))</f>
        <v>|</v>
      </c>
    </row>
    <row r="125" s="1" customFormat="true" ht="15.75" hidden="false" customHeight="false" outlineLevel="0" collapsed="false">
      <c r="B125" s="62" t="n">
        <f aca="false">B124-1/3</f>
        <v>-3</v>
      </c>
      <c r="C125" s="65" t="n">
        <f aca="false">C$120+(C$127-C$120)*0.871</f>
        <v>150.262246022215</v>
      </c>
      <c r="D125" s="64" t="n">
        <f aca="false">(C125-C124)/(E125-E124)</f>
        <v>0.000166948161184717</v>
      </c>
      <c r="E125" s="61" t="n">
        <f aca="false">IF(D125=0,(8314.4621*C124*LN(H125/H124)/(-G$61*9.80665*G$65)),C124/D125*(1/(H125/H124)^(8314.4621*D125/(G$61*9.80665*G$65))-1))+E124</f>
        <v>950785.051867617</v>
      </c>
      <c r="F125" s="61" t="n">
        <f aca="false">G$31*E125/(G$31-E125)</f>
        <v>966094.183676549</v>
      </c>
      <c r="G125" s="61" t="n">
        <f aca="false">8314.4621*C125/(G$65*G$61*9.80665)</f>
        <v>72372.0872027348</v>
      </c>
      <c r="H125" s="64" t="n">
        <f aca="false">10^B125*101325</f>
        <v>101.325</v>
      </c>
      <c r="I125" s="64" t="n">
        <f aca="false">H125/(8314.4621/G$65*C125)</f>
        <v>0.000178396575646042</v>
      </c>
      <c r="J125" s="61" t="n">
        <f aca="false">SQRT(8314.4621/G$65*G$67*C125)</f>
        <v>907.784582073083</v>
      </c>
      <c r="K125" s="61" t="n">
        <f aca="false">IF(F$18&gt;0,SQRT(2*G$60/(F$18+N125)),10000)</f>
        <v>9489.88384677936</v>
      </c>
      <c r="L125" s="64" t="n">
        <f aca="false">I125*K125^2/2</f>
        <v>8033.01007688714</v>
      </c>
      <c r="M125" s="64" t="n">
        <f aca="false">I125*K125^3/2</f>
        <v>76232332.5696671</v>
      </c>
      <c r="N125" s="61" t="n">
        <f aca="false">20000+(F125-F$113)*IF(G$88&gt;0,G$88,0.5)</f>
        <v>274363.90503135</v>
      </c>
      <c r="O125" s="61" t="n">
        <f aca="false">C125-P125*(G$75+(G$74-G$75)*COS(RADIANS(38)))/2</f>
        <v>147.562028543842</v>
      </c>
      <c r="P125" s="89" t="n">
        <f aca="false">IF(ROUND(N125,-3)&lt;G$89,2-(G$89-N125)/(G$89-N$122),2)</f>
        <v>1.30066931820795</v>
      </c>
      <c r="Q125" s="10" t="str">
        <f aca="false">IF(M125/1000&gt;L$104,"|",IF(M124/1000&gt;L$104,"V",""))</f>
        <v>|</v>
      </c>
    </row>
    <row r="126" s="1" customFormat="true" ht="15.75" hidden="false" customHeight="false" outlineLevel="0" collapsed="false">
      <c r="B126" s="62" t="n">
        <f aca="false">B125-1/3</f>
        <v>-3.33333333333333</v>
      </c>
      <c r="C126" s="65" t="n">
        <f aca="false">C$120+(C$127-C$120)*0.983</f>
        <v>155.677511185594</v>
      </c>
      <c r="D126" s="64" t="n">
        <f aca="false">(C126-C125)/(E126-E125)</f>
        <v>9.5773092536232E-005</v>
      </c>
      <c r="E126" s="61" t="n">
        <f aca="false">IF(D126=0,(8314.4621*C125*LN(H126/H125)/(-G$61*9.80665*G$65)),C125/D126*(1/(H126/H125)^(8314.4621*D126/(G$61*9.80665*G$65))-1))+E125</f>
        <v>1007327.70930902</v>
      </c>
      <c r="F126" s="61" t="n">
        <f aca="false">G$31*E126/(G$31-E126)</f>
        <v>1024528.30515491</v>
      </c>
      <c r="G126" s="61" t="n">
        <f aca="false">8314.4621*C126/(G$65*G$61*9.80665)</f>
        <v>74980.2875524893</v>
      </c>
      <c r="H126" s="64" t="n">
        <f aca="false">10^B126*101325</f>
        <v>47.0308988565815</v>
      </c>
      <c r="I126" s="64" t="n">
        <f aca="false">H126/(8314.4621/G$65*C126)</f>
        <v>7.99239936465831E-005</v>
      </c>
      <c r="J126" s="61" t="n">
        <f aca="false">SQRT(8314.4621/G$65*G$67*C126)</f>
        <v>923.997517204293</v>
      </c>
      <c r="K126" s="61" t="n">
        <f aca="false">IF(F$18&gt;0,SQRT(2*G$60/(F$18+N126)),10000)</f>
        <v>9471.5947668793</v>
      </c>
      <c r="L126" s="64" t="n">
        <f aca="false">I126*K126^2/2</f>
        <v>3585.03499005072</v>
      </c>
      <c r="M126" s="64" t="n">
        <f aca="false">I126*K126^3/2</f>
        <v>33955998.6508436</v>
      </c>
      <c r="N126" s="61" t="n">
        <f aca="false">20000+(F126-F$113)*IF(G$88&gt;0,G$88,0.5)</f>
        <v>298618.137933991</v>
      </c>
      <c r="O126" s="61" t="n">
        <f aca="false">C126-P126*(G$75+(G$74-G$75)*COS(RADIANS(38)))/2</f>
        <v>152.741970039541</v>
      </c>
      <c r="P126" s="89" t="n">
        <f aca="false">IF(ROUND(N126,-3)&lt;G$89,2-(G$89-N126)/(G$89-N$122),2)</f>
        <v>1.41402251173857</v>
      </c>
      <c r="Q126" s="10" t="str">
        <f aca="false">IF(M126/1000&gt;L$104,"|",IF(M125/1000&gt;L$104,"V",""))</f>
        <v>|</v>
      </c>
    </row>
    <row r="127" s="1" customFormat="true" ht="15.75" hidden="false" customHeight="false" outlineLevel="0" collapsed="false">
      <c r="B127" s="62" t="n">
        <f aca="false">B126-1/3</f>
        <v>-3.66666666666667</v>
      </c>
      <c r="C127" s="65" t="n">
        <f aca="false">IF(G64&gt;140,1.25*G64,IF(G64&gt;42,0.5*G64+105,3*G64))</f>
        <v>156.499471076465</v>
      </c>
      <c r="D127" s="64" t="n">
        <f aca="false">(C127-C126)/(E127-E126)</f>
        <v>1.4245086519034E-005</v>
      </c>
      <c r="E127" s="61" t="n">
        <f aca="false">IF(D127=0,(8314.4621*C126*LN(H127/H126)/(-G$61*9.80665*G$65)),C126/D127*(1/(H127/H126)^(8314.4621*D127/(G$61*9.80665*G$65))-1))+E126</f>
        <v>1065029.00089274</v>
      </c>
      <c r="F127" s="61" t="n">
        <f aca="false">G$31*E127/(G$31-E127)</f>
        <v>1084275.41356612</v>
      </c>
      <c r="G127" s="61" t="n">
        <f aca="false">8314.4621*C127/(G$65*G$61*9.80665)</f>
        <v>75376.175105577</v>
      </c>
      <c r="H127" s="64" t="n">
        <f aca="false">10^B127*101325</f>
        <v>21.829809496748</v>
      </c>
      <c r="I127" s="64" t="n">
        <f aca="false">H127/(8314.4621/G$65*C127)</f>
        <v>3.69025900861611E-005</v>
      </c>
      <c r="J127" s="61" t="n">
        <f aca="false">SQRT(8314.4621/G$65*G$67*C127)</f>
        <v>926.433607768435</v>
      </c>
      <c r="K127" s="61" t="n">
        <f aca="false">IF(F$18&gt;0,SQRT(2*G$60/(F$18+N127)),10000)</f>
        <v>9453.00364427834</v>
      </c>
      <c r="L127" s="64" t="n">
        <f aca="false">I127*K127^2/2</f>
        <v>1648.79440134627</v>
      </c>
      <c r="M127" s="64" t="n">
        <f aca="false">I127*K127^3/2</f>
        <v>15586059.484592</v>
      </c>
      <c r="N127" s="61" t="n">
        <f aca="false">20000+(F127-F$113)*IF(G$88&gt;0,G$88,0.5)</f>
        <v>323417.351920654</v>
      </c>
      <c r="O127" s="61" t="n">
        <f aca="false">C127-P127*(G$75+(G$74-G$75)*COS(RADIANS(38)))/2</f>
        <v>153.323318651779</v>
      </c>
      <c r="P127" s="89" t="n">
        <f aca="false">IF(ROUND(N127,-3)&lt;G$89,2-(G$89-N127)/(G$89-N$122),2)</f>
        <v>1.52992269764514</v>
      </c>
      <c r="Q127" s="10" t="str">
        <f aca="false">IF(M127/1000&gt;L$104,"|",IF(M126/1000&gt;L$104,"V",""))</f>
        <v>|</v>
      </c>
    </row>
    <row r="128" s="1" customFormat="true" ht="15.75" hidden="false" customHeight="false" outlineLevel="0" collapsed="false">
      <c r="B128" s="62" t="n">
        <f aca="false">B127-1/3</f>
        <v>-4</v>
      </c>
      <c r="C128" s="65" t="n">
        <f aca="false">IF(G64&gt;140,1.25*G64,IF(G64&gt;42,0.5*G64+105,3*G64))</f>
        <v>156.499471076465</v>
      </c>
      <c r="D128" s="64" t="n">
        <f aca="false">(C128-C127)/(E128-E127)</f>
        <v>0</v>
      </c>
      <c r="E128" s="61" t="n">
        <f aca="false">IF(D128=0,(8314.4621*C127*LN(H128/H127)/(-G$61*9.80665*G$65)),C127/D128*(1/(H128/H127)^(8314.4621*D128/(G$61*9.80665*G$65))-1))+E127</f>
        <v>1122882.35328107</v>
      </c>
      <c r="F128" s="61" t="n">
        <f aca="false">G$31*E128/(G$31-E128)</f>
        <v>1144297.54528955</v>
      </c>
      <c r="G128" s="61" t="n">
        <f aca="false">8314.4621*C128/(G$65*G$61*9.80665)</f>
        <v>75376.175105577</v>
      </c>
      <c r="H128" s="64" t="n">
        <f aca="false">10^B128*101325</f>
        <v>10.1325</v>
      </c>
      <c r="I128" s="64" t="n">
        <f aca="false">H128/(8314.4621/G$65*C128)</f>
        <v>1.71286650075315E-005</v>
      </c>
      <c r="J128" s="61" t="n">
        <f aca="false">SQRT(8314.4621/G$65*G$67*C128)</f>
        <v>926.433607768435</v>
      </c>
      <c r="K128" s="61" t="n">
        <f aca="false">IF(F$18&gt;0,SQRT(2*G$60/(F$18+N128)),10000)</f>
        <v>9434.43674246856</v>
      </c>
      <c r="L128" s="64" t="n">
        <f aca="false">I128*K128^2/2</f>
        <v>762.299217383965</v>
      </c>
      <c r="M128" s="64" t="n">
        <f aca="false">I128*K128^3/2</f>
        <v>7191863.74524231</v>
      </c>
      <c r="N128" s="61" t="n">
        <f aca="false">20000+(F128-F$113)*IF(G$88&gt;0,G$88,0.5)</f>
        <v>348330.719749278</v>
      </c>
      <c r="O128" s="61" t="n">
        <f aca="false">C128-P128*(G$75+(G$74-G$75)*COS(RADIANS(38)))/2</f>
        <v>153.081599809743</v>
      </c>
      <c r="P128" s="89" t="n">
        <f aca="false">IF(ROUND(N128,-3)&lt;G$89,2-(G$89-N128)/(G$89-N$122),2)</f>
        <v>1.64635638640839</v>
      </c>
      <c r="Q128" s="10" t="str">
        <f aca="false">IF(M128/1000&gt;L$104,"|",IF(M127/1000&gt;L$104,"V",""))</f>
        <v>|</v>
      </c>
    </row>
    <row r="129" s="1" customFormat="true" ht="15.75" hidden="false" customHeight="false" outlineLevel="0" collapsed="false">
      <c r="B129" s="62" t="n">
        <f aca="false">B128-1/3</f>
        <v>-4.33333333333333</v>
      </c>
      <c r="C129" s="65" t="n">
        <f aca="false">IF(G64&gt;140,1.25*G64,IF(G64&gt;42,0.5*G64+105,3*G64))</f>
        <v>156.499471076465</v>
      </c>
      <c r="D129" s="64" t="n">
        <f aca="false">(C129-C128)/(E129-E128)</f>
        <v>0</v>
      </c>
      <c r="E129" s="61" t="n">
        <f aca="false">IF(D129=0,(8314.4621*C128*LN(H129/H128)/(-G$61*9.80665*G$65)),C128/D129*(1/(H129/H128)^(8314.4621*D129/(G$61*9.80665*G$65))-1))+E128</f>
        <v>1180735.70566941</v>
      </c>
      <c r="F129" s="61" t="n">
        <f aca="false">G$31*E129/(G$31-E129)</f>
        <v>1204437.74994637</v>
      </c>
      <c r="G129" s="61" t="n">
        <f aca="false">8314.4621*C129/(G$65*G$61*9.80665)</f>
        <v>75376.175105577</v>
      </c>
      <c r="H129" s="64" t="n">
        <f aca="false">10^B129*101325</f>
        <v>4.70308988565815</v>
      </c>
      <c r="I129" s="64" t="n">
        <f aca="false">H129/(8314.4621/G$65*C129)</f>
        <v>7.95042202336523E-006</v>
      </c>
      <c r="J129" s="61" t="n">
        <f aca="false">SQRT(8314.4621/G$65*G$67*C129)</f>
        <v>926.433607768435</v>
      </c>
      <c r="K129" s="61" t="n">
        <f aca="false">IF(F$18&gt;0,SQRT(2*G$60/(F$18+N129)),10000)</f>
        <v>9415.9426129815</v>
      </c>
      <c r="L129" s="64" t="n">
        <f aca="false">I129*K129^2/2</f>
        <v>352.442110072136</v>
      </c>
      <c r="M129" s="64" t="n">
        <f aca="false">I129*K129^3/2</f>
        <v>3318574.68283735</v>
      </c>
      <c r="N129" s="61" t="n">
        <f aca="false">20000+(F129-F$113)*IF(G$88&gt;0,G$88,0.5)</f>
        <v>373293.096074199</v>
      </c>
      <c r="O129" s="61" t="n">
        <f aca="false">C129-P129*(G$75+(G$74-G$75)*COS(RADIANS(38)))/2</f>
        <v>152.839405468887</v>
      </c>
      <c r="P129" s="89" t="n">
        <f aca="false">IF(ROUND(N129,-3)&lt;G$89,2-(G$89-N129)/(G$89-N$122),2)</f>
        <v>1.76301911847256</v>
      </c>
      <c r="Q129" s="10" t="str">
        <f aca="false">IF(M129/1000&gt;L$104,"|",IF(M128/1000&gt;L$104,"V",""))</f>
        <v>|</v>
      </c>
    </row>
    <row r="130" s="1" customFormat="true" ht="15.75" hidden="false" customHeight="false" outlineLevel="0" collapsed="false">
      <c r="B130" s="62" t="n">
        <f aca="false">B129-1/3</f>
        <v>-4.66666666666667</v>
      </c>
      <c r="C130" s="65" t="n">
        <f aca="false">IF(G64&gt;140,1.25*G64,IF(G64&gt;42,0.5*G64+105,3*G64))</f>
        <v>156.499471076465</v>
      </c>
      <c r="D130" s="64" t="n">
        <f aca="false">(C130-C129)/(E130-E129)</f>
        <v>0</v>
      </c>
      <c r="E130" s="61" t="n">
        <f aca="false">IF(D130=0,(8314.4621*C129*LN(H130/H129)/(-G$61*9.80665*G$65)),C129/D130*(1/(H130/H129)^(8314.4621*D130/(G$61*9.80665*G$65))-1))+E129</f>
        <v>1238589.05805775</v>
      </c>
      <c r="F130" s="61" t="n">
        <f aca="false">G$31*E130/(G$31-E130)</f>
        <v>1264696.37628154</v>
      </c>
      <c r="G130" s="61" t="n">
        <f aca="false">8314.4621*C130/(G$65*G$61*9.80665)</f>
        <v>75376.175105577</v>
      </c>
      <c r="H130" s="64" t="n">
        <f aca="false">10^B130*101325</f>
        <v>2.18298094967481</v>
      </c>
      <c r="I130" s="64" t="n">
        <f aca="false">H130/(8314.4621/G$65*C130)</f>
        <v>3.69025900861612E-006</v>
      </c>
      <c r="J130" s="61" t="n">
        <f aca="false">SQRT(8314.4621/G$65*G$67*C130)</f>
        <v>926.433607768435</v>
      </c>
      <c r="K130" s="61" t="n">
        <f aca="false">IF(F$18&gt;0,SQRT(2*G$60/(F$18+N130)),10000)</f>
        <v>9397.52072262592</v>
      </c>
      <c r="L130" s="64" t="n">
        <f aca="false">I130*K130^2/2</f>
        <v>162.949652091086</v>
      </c>
      <c r="M130" s="64" t="n">
        <f aca="false">I130*K130^3/2</f>
        <v>1531322.73227066</v>
      </c>
      <c r="N130" s="61" t="n">
        <f aca="false">20000+(F130-F$113)*IF(G$88&gt;0,G$88,0.5)</f>
        <v>398304.625648875</v>
      </c>
      <c r="O130" s="61" t="n">
        <f aca="false">C130-P130*(G$75+(G$74-G$75)*COS(RADIANS(38)))/2</f>
        <v>152.59673422476</v>
      </c>
      <c r="P130" s="89" t="n">
        <f aca="false">IF(ROUND(N130,-3)&lt;G$89,2-(G$89-N130)/(G$89-N$122),2)</f>
        <v>1.87991157034913</v>
      </c>
      <c r="Q130" s="10" t="str">
        <f aca="false">IF(M130/1000&gt;L$104,"|",IF(M129/1000&gt;L$104,"V",""))</f>
        <v>|</v>
      </c>
    </row>
    <row r="131" s="1" customFormat="true" ht="15.75" hidden="false" customHeight="false" outlineLevel="0" collapsed="false">
      <c r="B131" s="62" t="n">
        <f aca="false">B130-1/3</f>
        <v>-5</v>
      </c>
      <c r="C131" s="65" t="n">
        <f aca="false">C$130+(G$72-C$130)*0.004</f>
        <v>159.593473192159</v>
      </c>
      <c r="D131" s="64" t="n">
        <f aca="false">(C131-C130)/(E131-E130)</f>
        <v>5.29582975110384E-005</v>
      </c>
      <c r="E131" s="61" t="n">
        <f aca="false">IF(D131=0,(8314.4621*C130*LN(H131/H130)/(-G$61*9.80665*G$65)),C130/D131*(1/(H131/H130)^(8314.4621*D131/(G$61*9.80665*G$65))-1))+E130</f>
        <v>1297012.42627591</v>
      </c>
      <c r="F131" s="61" t="n">
        <f aca="false">G$31*E131/(G$31-E131)</f>
        <v>1325669.25114025</v>
      </c>
      <c r="G131" s="61" t="n">
        <f aca="false">8314.4621*C131/(G$65*G$61*9.80665)</f>
        <v>76866.365734628</v>
      </c>
      <c r="H131" s="64" t="n">
        <f aca="false">10^B131*101325</f>
        <v>1.01325</v>
      </c>
      <c r="I131" s="64" t="n">
        <f aca="false">H131/(8314.4621/G$65*C131)</f>
        <v>1.67965955017285E-006</v>
      </c>
      <c r="J131" s="61" t="n">
        <f aca="false">SQRT(8314.4621/G$65*G$67*C131)</f>
        <v>935.546605734579</v>
      </c>
      <c r="K131" s="61" t="n">
        <f aca="false">IF(F$18&gt;0,SQRT(2*G$60/(F$18+N131)),10000)</f>
        <v>9378.99009851345</v>
      </c>
      <c r="L131" s="64" t="n">
        <f aca="false">I131*K131^2/2</f>
        <v>73.8760085131105</v>
      </c>
      <c r="M131" s="64" t="n">
        <f aca="false">I131*K131^3/2</f>
        <v>692882.352362159</v>
      </c>
      <c r="N131" s="61" t="n">
        <f aca="false">20000+(F131-F$113)*IF(G$88&gt;0,G$88,0.5)</f>
        <v>423612.618139431</v>
      </c>
      <c r="O131" s="61" t="n">
        <f aca="false">C131-P131*(G$75+(G$74-G$75)*COS(RADIANS(38)))/2</f>
        <v>155.441430177732</v>
      </c>
      <c r="P131" s="89" t="n">
        <f aca="false">IF(ROUND(N131,-3)&lt;G$89,2-(G$89-N131)/(G$89-N$122),2)</f>
        <v>2</v>
      </c>
      <c r="Q131" s="10" t="str">
        <f aca="false">IF(M131/1000&gt;L$104,"|",IF(M130/1000&gt;L$104,"V",""))</f>
        <v>V</v>
      </c>
    </row>
    <row r="132" s="1" customFormat="true" ht="15.75" hidden="false" customHeight="false" outlineLevel="0" collapsed="false">
      <c r="B132" s="62" t="n">
        <f aca="false">B131-1/3</f>
        <v>-5.33333333333333</v>
      </c>
      <c r="C132" s="65" t="n">
        <f aca="false">C$130+(G$72-C$130)*0.017</f>
        <v>169.648980068165</v>
      </c>
      <c r="D132" s="64" t="n">
        <f aca="false">(C132-C131)/(E132-E131)</f>
        <v>0.000165286569358451</v>
      </c>
      <c r="E132" s="61" t="n">
        <f aca="false">IF(D132=0,(8314.4621*C131*LN(H132/H131)/(-G$61*9.80665*G$65)),C131/D132*(1/(H132/H131)^(8314.4621*D132/(G$61*9.80665*G$65))-1))+E131</f>
        <v>1357849.23180122</v>
      </c>
      <c r="F132" s="61" t="n">
        <f aca="false">G$31*E132/(G$31-E132)</f>
        <v>1389290.00455853</v>
      </c>
      <c r="G132" s="61" t="n">
        <f aca="false">8314.4621*C132/(G$65*G$61*9.80665)</f>
        <v>81709.4852790438</v>
      </c>
      <c r="H132" s="64" t="n">
        <f aca="false">10^B132*101325</f>
        <v>0.470308988565816</v>
      </c>
      <c r="I132" s="64" t="n">
        <f aca="false">H132/(8314.4621/G$65*C132)</f>
        <v>7.33418403689432E-007</v>
      </c>
      <c r="J132" s="61" t="n">
        <f aca="false">SQRT(8314.4621/G$65*G$67*C132)</f>
        <v>964.569423459048</v>
      </c>
      <c r="K132" s="61" t="n">
        <f aca="false">IF(F$18&gt;0,SQRT(2*G$60/(F$18+N132)),10000)</f>
        <v>9359.77113018882</v>
      </c>
      <c r="L132" s="64" t="n">
        <f aca="false">I132*K132^2/2</f>
        <v>32.1256753645201</v>
      </c>
      <c r="M132" s="64" t="n">
        <f aca="false">I132*K132^3/2</f>
        <v>300688.968814653</v>
      </c>
      <c r="N132" s="61" t="n">
        <f aca="false">20000+(F132-F$113)*IF(G$88&gt;0,G$88,0.5)</f>
        <v>450019.664772617</v>
      </c>
      <c r="O132" s="61" t="n">
        <f aca="false">C132-P132*(G$75+(G$74-G$75)*COS(RADIANS(38)))/2</f>
        <v>165.496937053738</v>
      </c>
      <c r="P132" s="89" t="n">
        <f aca="false">IF(ROUND(N132,-3)&lt;G$89,2-(G$89-N132)/(G$89-N$122),2)</f>
        <v>2</v>
      </c>
      <c r="Q132" s="10" t="str">
        <f aca="false">IF(M132/1000&gt;L$104,"|",IF(M131/1000&gt;L$104,"V",""))</f>
        <v/>
      </c>
    </row>
    <row r="133" s="1" customFormat="true" ht="15.75" hidden="false" customHeight="false" outlineLevel="0" collapsed="false">
      <c r="B133" s="62" t="n">
        <f aca="false">B132-1/3</f>
        <v>-5.66666666666667</v>
      </c>
      <c r="C133" s="65" t="n">
        <f aca="false">C$130+(G$72-C$130)*0.04</f>
        <v>187.439492233406</v>
      </c>
      <c r="D133" s="64" t="n">
        <f aca="false">(C133-C132)/(E133-E132)</f>
        <v>0.000269765665234509</v>
      </c>
      <c r="E133" s="61" t="n">
        <f aca="false">IF(D133=0,(8314.4621*C132*LN(H133/H132)/(-G$61*9.80665*G$65)),C132/D133*(1/(H133/H132)^(8314.4621*D133/(G$61*9.80665*G$65))-1))+E132</f>
        <v>1423797.25431837</v>
      </c>
      <c r="F133" s="61" t="n">
        <f aca="false">G$31*E133/(G$31-E133)</f>
        <v>1458405.14158969</v>
      </c>
      <c r="G133" s="61" t="n">
        <f aca="false">8314.4621*C133/(G$65*G$61*9.80665)</f>
        <v>90278.0813960872</v>
      </c>
      <c r="H133" s="64" t="n">
        <f aca="false">10^B133*101325</f>
        <v>0.218298094967481</v>
      </c>
      <c r="I133" s="64" t="n">
        <f aca="false">H133/(8314.4621/G$65*C133)</f>
        <v>3.08112007828335E-007</v>
      </c>
      <c r="J133" s="61" t="n">
        <f aca="false">SQRT(8314.4621/G$65*G$67*C133)</f>
        <v>1013.88433688926</v>
      </c>
      <c r="K133" s="61" t="n">
        <f aca="false">IF(F$18&gt;0,SQRT(2*G$60/(F$18+N133)),10000)</f>
        <v>9339.0256908397</v>
      </c>
      <c r="L133" s="64" t="n">
        <f aca="false">I133*K133^2/2</f>
        <v>13.4363642473726</v>
      </c>
      <c r="M133" s="64" t="n">
        <f aca="false">I133*K133^3/2</f>
        <v>125482.550897693</v>
      </c>
      <c r="N133" s="61" t="n">
        <f aca="false">20000+(F133-F$113)*IF(G$88&gt;0,G$88,0.5)</f>
        <v>478707.263528976</v>
      </c>
      <c r="O133" s="61" t="n">
        <f aca="false">C133-P133*(G$75+(G$74-G$75)*COS(RADIANS(38)))/2</f>
        <v>183.287449218979</v>
      </c>
      <c r="P133" s="89" t="n">
        <f aca="false">IF(ROUND(N133,-3)&lt;G$89,2-(G$89-N133)/(G$89-N$122),2)</f>
        <v>2</v>
      </c>
      <c r="Q133" s="10" t="str">
        <f aca="false">IF(M133/1000&gt;L$104,"|",IF(M132/1000&gt;L$104,"V",""))</f>
        <v/>
      </c>
    </row>
    <row r="134" s="1" customFormat="true" ht="15.75" hidden="false" customHeight="false" outlineLevel="0" collapsed="false">
      <c r="B134" s="62" t="n">
        <f aca="false">B133-1/3</f>
        <v>-6</v>
      </c>
      <c r="C134" s="65" t="n">
        <f aca="false">C$130+(G$72-C$130)*0.079</f>
        <v>217.606012861424</v>
      </c>
      <c r="D134" s="64" t="n">
        <f aca="false">(C134-C133)/(E134-E133)</f>
        <v>0.000403683188730675</v>
      </c>
      <c r="E134" s="61" t="n">
        <f aca="false">IF(D134=0,(8314.4621*C133*LN(H134/H133)/(-G$61*9.80665*G$65)),C133/D134*(1/(H134/H133)^(8314.4621*D134/(G$61*9.80665*G$65))-1))+E133</f>
        <v>1498525.46066968</v>
      </c>
      <c r="F134" s="61" t="n">
        <f aca="false">G$31*E134/(G$31-E134)</f>
        <v>1536910.45137219</v>
      </c>
      <c r="G134" s="61" t="n">
        <f aca="false">8314.4621*C134/(G$65*G$61*9.80665)</f>
        <v>104807.440029335</v>
      </c>
      <c r="H134" s="64" t="n">
        <f aca="false">10^B134*101325</f>
        <v>0.101325</v>
      </c>
      <c r="I134" s="64" t="n">
        <f aca="false">H134/(8314.4621/G$65*C134)</f>
        <v>1.23187175697747E-007</v>
      </c>
      <c r="J134" s="61" t="n">
        <f aca="false">SQRT(8314.4621/G$65*G$67*C134)</f>
        <v>1092.42922521382</v>
      </c>
      <c r="K134" s="61" t="n">
        <f aca="false">IF(F$18&gt;0,SQRT(2*G$60/(F$18+N134)),10000)</f>
        <v>9315.62822623302</v>
      </c>
      <c r="L134" s="64" t="n">
        <f aca="false">I134*K134^2/2</f>
        <v>5.34514878932914</v>
      </c>
      <c r="M134" s="64" t="n">
        <f aca="false">I134*K134^3/2</f>
        <v>49793.4189352898</v>
      </c>
      <c r="N134" s="61" t="n">
        <f aca="false">20000+(F134-F$113)*IF(G$88&gt;0,G$88,0.5)</f>
        <v>511292.438412857</v>
      </c>
      <c r="O134" s="61" t="n">
        <f aca="false">C134-P134*(G$75+(G$74-G$75)*COS(RADIANS(38)))/2</f>
        <v>213.453969846997</v>
      </c>
      <c r="P134" s="89" t="n">
        <f aca="false">IF(ROUND(N134,-3)&lt;G$89,2-(G$89-N134)/(G$89-N$122),2)</f>
        <v>2</v>
      </c>
      <c r="Q134" s="10" t="str">
        <f aca="false">IF(M134/1000&gt;L$104,"|",IF(M133/1000&gt;L$104,"V",""))</f>
        <v/>
      </c>
    </row>
    <row r="135" s="1" customFormat="true" ht="15.75" hidden="false" customHeight="false" outlineLevel="0" collapsed="false">
      <c r="B135" s="62" t="n">
        <f aca="false">B134-1/3</f>
        <v>-6.33333333333333</v>
      </c>
      <c r="C135" s="65" t="n">
        <f aca="false">C$130+(G$72-C$130)*0.139</f>
        <v>264.016044596836</v>
      </c>
      <c r="D135" s="64" t="n">
        <f aca="false">(C135-C134)/(E135-E134)</f>
        <v>0.000522961247606553</v>
      </c>
      <c r="E135" s="61" t="n">
        <f aca="false">IF(D135=0,(8314.4621*C134*LN(H135/H134)/(-G$61*9.80665*G$65)),C134/D135*(1/(H135/H134)^(8314.4621*D135/(G$61*9.80665*G$65))-1))+E134</f>
        <v>1587270.14672016</v>
      </c>
      <c r="F135" s="61" t="n">
        <f aca="false">G$31*E135/(G$31-E135)</f>
        <v>1630401.61010147</v>
      </c>
      <c r="G135" s="61" t="n">
        <f aca="false">8314.4621*C135/(G$65*G$61*9.80665)</f>
        <v>127160.2994651</v>
      </c>
      <c r="H135" s="64" t="n">
        <f aca="false">10^B135*101325</f>
        <v>0.0470308988565817</v>
      </c>
      <c r="I135" s="64" t="n">
        <f aca="false">H135/(8314.4621/G$65*C135)</f>
        <v>4.71273192275622E-008</v>
      </c>
      <c r="J135" s="61" t="n">
        <f aca="false">SQRT(8314.4621/G$65*G$67*C135)</f>
        <v>1203.29752787126</v>
      </c>
      <c r="K135" s="61" t="n">
        <f aca="false">IF(F$18&gt;0,SQRT(2*G$60/(F$18+N135)),10000)</f>
        <v>9287.99251778231</v>
      </c>
      <c r="L135" s="64" t="n">
        <f aca="false">I135*K135^2/2</f>
        <v>2.03276162923302</v>
      </c>
      <c r="M135" s="64" t="n">
        <f aca="false">I135*K135^3/2</f>
        <v>18880.2748027513</v>
      </c>
      <c r="N135" s="61" t="n">
        <f aca="false">20000+(F135-F$113)*IF(G$88&gt;0,G$88,0.5)</f>
        <v>550097.785028657</v>
      </c>
      <c r="O135" s="61" t="n">
        <f aca="false">C135-P135*(G$75+(G$74-G$75)*COS(RADIANS(38)))/2</f>
        <v>259.864001582409</v>
      </c>
      <c r="P135" s="89" t="n">
        <f aca="false">IF(ROUND(N135,-3)&lt;G$89,2-(G$89-N135)/(G$89-N$122),2)</f>
        <v>2</v>
      </c>
      <c r="Q135" s="10" t="str">
        <f aca="false">IF(M135/1000&gt;L$104,"|",IF(M134/1000&gt;L$104,"V",""))</f>
        <v/>
      </c>
    </row>
    <row r="136" s="1" customFormat="true" ht="15.75" hidden="false" customHeight="false" outlineLevel="0" collapsed="false">
      <c r="B136" s="62" t="n">
        <f aca="false">B135-1/3</f>
        <v>-6.66666666666666</v>
      </c>
      <c r="C136" s="65" t="n">
        <f aca="false">C$130+(G$72-C$130)*0.216</f>
        <v>323.575585323948</v>
      </c>
      <c r="D136" s="64" t="n">
        <f aca="false">(C136-C135)/(E136-E135)</f>
        <v>0.000550280468097653</v>
      </c>
      <c r="E136" s="61" t="n">
        <f aca="false">IF(D136=0,(8314.4621*C135*LN(H136/H135)/(-G$61*9.80665*G$65)),C135/D136*(1/(H136/H135)^(8314.4621*D136/(G$61*9.80665*G$65))-1))+E135</f>
        <v>1695505.02725846</v>
      </c>
      <c r="F136" s="61" t="n">
        <f aca="false">G$31*E136/(G$31-E136)</f>
        <v>1744810.61336812</v>
      </c>
      <c r="G136" s="61" t="n">
        <f aca="false">8314.4621*C136/(G$65*G$61*9.80665)</f>
        <v>155846.469074332</v>
      </c>
      <c r="H136" s="64" t="n">
        <f aca="false">10^B136*101325</f>
        <v>0.0218298094967482</v>
      </c>
      <c r="I136" s="64" t="n">
        <f aca="false">H136/(8314.4621/G$65*C136)</f>
        <v>1.78481816669016E-008</v>
      </c>
      <c r="J136" s="61" t="n">
        <f aca="false">SQRT(8314.4621/G$65*G$67*C136)</f>
        <v>1332.12732579517</v>
      </c>
      <c r="K136" s="61" t="n">
        <f aca="false">IF(F$18&gt;0,SQRT(2*G$60/(F$18+N136)),10000)</f>
        <v>9254.5058708153</v>
      </c>
      <c r="L136" s="64" t="n">
        <f aca="false">I136*K136^2/2</f>
        <v>0.764311602929937</v>
      </c>
      <c r="M136" s="64" t="n">
        <f aca="false">I136*K136^3/2</f>
        <v>7073.32621644735</v>
      </c>
      <c r="N136" s="61" t="n">
        <f aca="false">20000+(F136-F$113)*IF(G$88&gt;0,G$88,0.5)</f>
        <v>597585.494969086</v>
      </c>
      <c r="O136" s="61" t="n">
        <f aca="false">C136-P136*(G$75+(G$74-G$75)*COS(RADIANS(38)))/2</f>
        <v>319.423542309521</v>
      </c>
      <c r="P136" s="89" t="n">
        <f aca="false">IF(ROUND(N136,-3)&lt;G$89,2-(G$89-N136)/(G$89-N$122),2)</f>
        <v>2</v>
      </c>
      <c r="Q136" s="10" t="str">
        <f aca="false">IF(M136/1000&gt;L$104,"|",IF(M135/1000&gt;L$104,"V",""))</f>
        <v/>
      </c>
    </row>
    <row r="137" s="1" customFormat="true" ht="15.75" hidden="false" customHeight="false" outlineLevel="0" collapsed="false">
      <c r="B137" s="62" t="n">
        <f aca="false">B136-1/3</f>
        <v>-7</v>
      </c>
      <c r="C137" s="65" t="n">
        <f aca="false">C$130+(G$72-C$130)*0.303</f>
        <v>390.870131340296</v>
      </c>
      <c r="D137" s="64" t="n">
        <f aca="false">(C137-C136)/(E137-E136)</f>
        <v>0.000511109894250583</v>
      </c>
      <c r="E137" s="61" t="n">
        <f aca="false">IF(D137=0,(8314.4621*C136*LN(H137/H136)/(-G$61*9.80665*G$65)),C136/D137*(1/(H137/H136)^(8314.4621*D137/(G$61*9.80665*G$65))-1))+E136</f>
        <v>1827168.58293081</v>
      </c>
      <c r="F137" s="61" t="n">
        <f aca="false">G$31*E137/(G$31-E137)</f>
        <v>1884558.69011871</v>
      </c>
      <c r="G137" s="61" t="n">
        <f aca="false">8314.4621*C137/(G$65*G$61*9.80665)</f>
        <v>188258.115256191</v>
      </c>
      <c r="H137" s="64" t="n">
        <f aca="false">10^B137*101325</f>
        <v>0.0101325000000001</v>
      </c>
      <c r="I137" s="64" t="n">
        <f aca="false">H137/(8314.4621/G$65*C137)</f>
        <v>6.8581014485112E-009</v>
      </c>
      <c r="J137" s="61" t="n">
        <f aca="false">SQRT(8314.4621/G$65*G$67*C137)</f>
        <v>1464.11134768703</v>
      </c>
      <c r="K137" s="61" t="n">
        <f aca="false">IF(F$18&gt;0,SQRT(2*G$60/(F$18+N137)),10000)</f>
        <v>9214.08991507682</v>
      </c>
      <c r="L137" s="64" t="n">
        <f aca="false">I137*K137^2/2</f>
        <v>0.291124530672092</v>
      </c>
      <c r="M137" s="64" t="n">
        <f aca="false">I137*K137^3/2</f>
        <v>2682.4476020972</v>
      </c>
      <c r="N137" s="61" t="n">
        <f aca="false">20000+(F137-F$113)*IF(G$88&gt;0,G$88,0.5)</f>
        <v>655590.686378693</v>
      </c>
      <c r="O137" s="61" t="n">
        <f aca="false">C137-P137*(G$75+(G$74-G$75)*COS(RADIANS(38)))/2</f>
        <v>386.718088325869</v>
      </c>
      <c r="P137" s="89" t="n">
        <f aca="false">IF(ROUND(N137,-3)&lt;G$89,2-(G$89-N137)/(G$89-N$122),2)</f>
        <v>2</v>
      </c>
      <c r="Q137" s="10" t="str">
        <f aca="false">IF(M137/1000&gt;L$104,"|",IF(M136/1000&gt;L$104,"V",""))</f>
        <v/>
      </c>
    </row>
    <row r="138" s="1" customFormat="true" ht="15.75" hidden="false" customHeight="false" outlineLevel="0" collapsed="false">
      <c r="B138" s="62" t="n">
        <f aca="false">B137-1/3</f>
        <v>-7.33333333333333</v>
      </c>
      <c r="C138" s="65" t="n">
        <f aca="false">C$130+(G$72-C$130)*0.389</f>
        <v>457.39117682772</v>
      </c>
      <c r="D138" s="64" t="n">
        <f aca="false">(C138-C137)/(E138-E137)</f>
        <v>0.000425144338433938</v>
      </c>
      <c r="E138" s="61" t="n">
        <f aca="false">IF(D138=0,(8314.4621*C137*LN(H138/H137)/(-G$61*9.80665*G$65)),C137/D138*(1/(H138/H137)^(8314.4621*D138/(G$61*9.80665*G$65))-1))+E137</f>
        <v>1983635.55067278</v>
      </c>
      <c r="F138" s="61" t="n">
        <f aca="false">G$31*E138/(G$31-E138)</f>
        <v>2051457.96655907</v>
      </c>
      <c r="G138" s="61" t="n">
        <f aca="false">8314.4621*C138/(G$65*G$61*9.80665)</f>
        <v>220297.213780788</v>
      </c>
      <c r="H138" s="64" t="n">
        <f aca="false">10^B138*101325</f>
        <v>0.00470308988565818</v>
      </c>
      <c r="I138" s="64" t="n">
        <f aca="false">H138/(8314.4621/G$65*C138)</f>
        <v>2.72029043087552E-009</v>
      </c>
      <c r="J138" s="61" t="n">
        <f aca="false">SQRT(8314.4621/G$65*G$67*C138)</f>
        <v>1583.80516770435</v>
      </c>
      <c r="K138" s="61" t="n">
        <f aca="false">IF(F$18&gt;0,SQRT(2*G$60/(F$18+N138)),10000)</f>
        <v>9166.50852569579</v>
      </c>
      <c r="L138" s="64" t="n">
        <f aca="false">I138*K138^2/2</f>
        <v>0.114286036539771</v>
      </c>
      <c r="M138" s="64" t="n">
        <f aca="false">I138*K138^3/2</f>
        <v>1047.60392830979</v>
      </c>
      <c r="N138" s="61" t="n">
        <f aca="false">20000+(F138-F$113)*IF(G$88&gt;0,G$88,0.5)</f>
        <v>724865.51792665</v>
      </c>
      <c r="O138" s="61" t="n">
        <f aca="false">C138-P138*(G$75+(G$74-G$75)*COS(RADIANS(38)))/2</f>
        <v>453.239133813293</v>
      </c>
      <c r="P138" s="89" t="n">
        <f aca="false">IF(ROUND(N138,-3)&lt;G$89,2-(G$89-N138)/(G$89-N$122),2)</f>
        <v>2</v>
      </c>
      <c r="Q138" s="10" t="str">
        <f aca="false">IF(M138/1000&gt;L$104,"|",IF(M137/1000&gt;L$104,"V",""))</f>
        <v/>
      </c>
    </row>
    <row r="139" s="1" customFormat="true" ht="15.75" hidden="false" customHeight="false" outlineLevel="0" collapsed="false">
      <c r="B139" s="62" t="n">
        <f aca="false">B138-1/3</f>
        <v>-7.66666666666666</v>
      </c>
      <c r="C139" s="65" t="n">
        <f aca="false">C$130+(G$72-C$130)*0.468</f>
        <v>518.497718612679</v>
      </c>
      <c r="D139" s="64" t="n">
        <f aca="false">(C139-C138)/(E139-E138)</f>
        <v>0.000339211236989458</v>
      </c>
      <c r="E139" s="61" t="n">
        <f aca="false">IF(D139=0,(8314.4621*C138*LN(H139/H138)/(-G$61*9.80665*G$65)),C138/D139*(1/(H139/H138)^(8314.4621*D139/(G$61*9.80665*G$65))-1))+E138</f>
        <v>2163778.58581303</v>
      </c>
      <c r="F139" s="61" t="n">
        <f aca="false">G$31*E139/(G$31-E139)</f>
        <v>2244730.23953352</v>
      </c>
      <c r="G139" s="61" t="n">
        <f aca="false">8314.4621*C139/(G$65*G$61*9.80665)</f>
        <v>249728.478704546</v>
      </c>
      <c r="H139" s="64" t="n">
        <f aca="false">10^B139*101325</f>
        <v>0.00218298094967482</v>
      </c>
      <c r="I139" s="64" t="n">
        <f aca="false">H139/(8314.4621/G$65*C139)</f>
        <v>1.11384016216858E-009</v>
      </c>
      <c r="J139" s="61" t="n">
        <f aca="false">SQRT(8314.4621/G$65*G$67*C139)</f>
        <v>1686.28621287889</v>
      </c>
      <c r="K139" s="61" t="n">
        <f aca="false">IF(F$18&gt;0,SQRT(2*G$60/(F$18+N139)),10000)</f>
        <v>9112.31886149331</v>
      </c>
      <c r="L139" s="64" t="n">
        <f aca="false">I139*K139^2/2</f>
        <v>0.0462434997380534</v>
      </c>
      <c r="M139" s="64" t="n">
        <f aca="false">I139*K139^3/2</f>
        <v>421.385514884525</v>
      </c>
      <c r="N139" s="61" t="n">
        <f aca="false">20000+(F139-F$113)*IF(G$88&gt;0,G$88,0.5)</f>
        <v>805086.981067507</v>
      </c>
      <c r="O139" s="61" t="n">
        <f aca="false">C139-P139*(G$75+(G$74-G$75)*COS(RADIANS(38)))/2</f>
        <v>514.345675598252</v>
      </c>
      <c r="P139" s="89" t="n">
        <f aca="false">IF(ROUND(N139,-3)&lt;G$89,2-(G$89-N139)/(G$89-N$122),2)</f>
        <v>2</v>
      </c>
      <c r="Q139" s="10" t="str">
        <f aca="false">IF(M139/1000&gt;L$104,"|",IF(M138/1000&gt;L$104,"V",""))</f>
        <v/>
      </c>
    </row>
    <row r="140" s="1" customFormat="true" ht="15.75" hidden="false" customHeight="false" outlineLevel="0" collapsed="false">
      <c r="B140" s="62" t="n">
        <f aca="false">B139-1/3</f>
        <v>-8</v>
      </c>
      <c r="C140" s="65" t="n">
        <f aca="false">C$130+(G$72-C$130)*0.548</f>
        <v>580.377760926562</v>
      </c>
      <c r="D140" s="64" t="n">
        <f aca="false">(C140-C139)/(E140-E139)</f>
        <v>0.000304983363098491</v>
      </c>
      <c r="E140" s="61" t="n">
        <f aca="false">IF(D140=0,(8314.4621*C139*LN(H140/H139)/(-G$61*9.80665*G$65)),C139/D140*(1/(H140/H139)^(8314.4621*D140/(G$61*9.80665*G$65))-1))+E139</f>
        <v>2366675.03788572</v>
      </c>
      <c r="F140" s="61" t="n">
        <f aca="false">G$31*E140/(G$31-E140)</f>
        <v>2463861.01038746</v>
      </c>
      <c r="G140" s="61" t="n">
        <f aca="false">8314.4621*C140/(G$65*G$61*9.80665)</f>
        <v>279532.291285566</v>
      </c>
      <c r="H140" s="64" t="n">
        <f aca="false">10^B140*101325</f>
        <v>0.00101325000000001</v>
      </c>
      <c r="I140" s="64" t="n">
        <f aca="false">H140/(8314.4621/G$65*C140)</f>
        <v>4.61876245851509E-010</v>
      </c>
      <c r="J140" s="61" t="n">
        <f aca="false">SQRT(8314.4621/G$65*G$67*C140)</f>
        <v>1784.07556726684</v>
      </c>
      <c r="K140" s="61" t="n">
        <f aca="false">IF(F$18&gt;0,SQRT(2*G$60/(F$18+N140)),10000)</f>
        <v>9052.02645893236</v>
      </c>
      <c r="L140" s="64" t="n">
        <f aca="false">I140*K140^2/2</f>
        <v>0.0189228811191409</v>
      </c>
      <c r="M140" s="64" t="n">
        <f aca="false">I140*K140^3/2</f>
        <v>171.290420569695</v>
      </c>
      <c r="N140" s="61" t="n">
        <f aca="false">20000+(F140-F$113)*IF(G$88&gt;0,G$88,0.5)</f>
        <v>896041.523002294</v>
      </c>
      <c r="O140" s="61" t="n">
        <f aca="false">C140-P140*(G$75+(G$74-G$75)*COS(RADIANS(38)))/2</f>
        <v>576.225717912135</v>
      </c>
      <c r="P140" s="89" t="n">
        <f aca="false">IF(ROUND(N140,-3)&lt;G$89,2-(G$89-N140)/(G$89-N$122),2)</f>
        <v>2</v>
      </c>
      <c r="Q140" s="10" t="str">
        <f aca="false">IF(M140/1000&gt;L$104,"|",IF(M139/1000&gt;L$104,"V",""))</f>
        <v/>
      </c>
    </row>
    <row r="141" s="1" customFormat="true" ht="15.75" hidden="false" customHeight="false" outlineLevel="0" collapsed="false">
      <c r="B141" s="62" t="n">
        <f aca="false">B140-1/3</f>
        <v>-8.33333333333333</v>
      </c>
      <c r="C141" s="65" t="n">
        <f aca="false">C$130+(G$72-C$130)*0.627</f>
        <v>641.484302711521</v>
      </c>
      <c r="D141" s="64" t="n">
        <f aca="false">(C141-C140)/(E141-E140)</f>
        <v>0.000270796052735438</v>
      </c>
      <c r="E141" s="61" t="n">
        <f aca="false">IF(D141=0,(8314.4621*C140*LN(H141/H140)/(-G$61*9.80665*G$65)),C140/D141*(1/(H141/H140)^(8314.4621*D141/(G$61*9.80665*G$65))-1))+E140</f>
        <v>2592330.25393372</v>
      </c>
      <c r="F141" s="61" t="n">
        <f aca="false">G$31*E141/(G$31-E141)</f>
        <v>2709390.85185009</v>
      </c>
      <c r="G141" s="61" t="n">
        <f aca="false">8314.4621*C141/(G$65*G$61*9.80665)</f>
        <v>308963.556209323</v>
      </c>
      <c r="H141" s="64" t="n">
        <f aca="false">10^B141*101325</f>
        <v>0.000470308988565818</v>
      </c>
      <c r="I141" s="64" t="n">
        <f aca="false">H141/(8314.4621/G$65*C141)</f>
        <v>1.9396216497146E-010</v>
      </c>
      <c r="J141" s="61" t="n">
        <f aca="false">SQRT(8314.4621/G$65*G$67*C141)</f>
        <v>1875.6460252982</v>
      </c>
      <c r="K141" s="61" t="n">
        <f aca="false">IF(F$18&gt;0,SQRT(2*G$60/(F$18+N141)),10000)</f>
        <v>8985.87187398253</v>
      </c>
      <c r="L141" s="64" t="n">
        <f aca="false">I141*K141^2/2</f>
        <v>0.00783082414196673</v>
      </c>
      <c r="M141" s="64" t="n">
        <f aca="false">I141*K141^3/2</f>
        <v>70.3667824074022</v>
      </c>
      <c r="N141" s="61" t="n">
        <f aca="false">20000+(F141-F$113)*IF(G$88&gt;0,G$88,0.5)</f>
        <v>997953.519088141</v>
      </c>
      <c r="O141" s="61" t="n">
        <f aca="false">C141-P141*(G$75+(G$74-G$75)*COS(RADIANS(38)))/2</f>
        <v>637.332259697094</v>
      </c>
      <c r="P141" s="89" t="n">
        <f aca="false">IF(ROUND(N141,-3)&lt;G$89,2-(G$89-N141)/(G$89-N$122),2)</f>
        <v>2</v>
      </c>
      <c r="Q141" s="10" t="str">
        <f aca="false">IF(M141/1000&gt;L$104,"|",IF(M140/1000&gt;L$104,"V",""))</f>
        <v/>
      </c>
    </row>
    <row r="142" s="1" customFormat="true" ht="15.75" hidden="false" customHeight="false" outlineLevel="0" collapsed="false">
      <c r="B142" s="62" t="n">
        <f aca="false">B141-1/3</f>
        <v>-8.66666666666666</v>
      </c>
      <c r="C142" s="65" t="n">
        <f aca="false">C$130+(G$72-C$130)*0.696</f>
        <v>694.855839207245</v>
      </c>
      <c r="D142" s="64" t="n">
        <f aca="false">(C142-C141)/(E142-E141)</f>
        <v>0.000216191245860349</v>
      </c>
      <c r="E142" s="61" t="n">
        <f aca="false">IF(D142=0,(8314.4621*C141*LN(H142/H141)/(-G$61*9.80665*G$65)),C141/D142*(1/(H142/H141)^(8314.4621*D142/(G$61*9.80665*G$65))-1))+E141</f>
        <v>2839202.12093891</v>
      </c>
      <c r="F142" s="61" t="n">
        <f aca="false">G$31*E142/(G$31-E142)</f>
        <v>2980226.54646564</v>
      </c>
      <c r="G142" s="61" t="n">
        <f aca="false">8314.4621*C142/(G$65*G$61*9.80665)</f>
        <v>334669.344560453</v>
      </c>
      <c r="H142" s="64" t="n">
        <f aca="false">10^B142*101325</f>
        <v>0.000218298094967482</v>
      </c>
      <c r="I142" s="64" t="n">
        <f aca="false">H142/(8314.4621/G$65*C142)</f>
        <v>8.3114158419173E-011</v>
      </c>
      <c r="J142" s="61" t="n">
        <f aca="false">SQRT(8314.4621/G$65*G$67*C142)</f>
        <v>1952.11419747123</v>
      </c>
      <c r="K142" s="61" t="n">
        <f aca="false">IF(F$18&gt;0,SQRT(2*G$60/(F$18+N142)),10000)</f>
        <v>8914.55507731462</v>
      </c>
      <c r="L142" s="64" t="n">
        <f aca="false">I142*K142^2/2</f>
        <v>0.00330251167178543</v>
      </c>
      <c r="M142" s="64" t="n">
        <f aca="false">I142*K142^3/2</f>
        <v>29.4404221916056</v>
      </c>
      <c r="N142" s="61" t="n">
        <f aca="false">20000+(F142-F$113)*IF(G$88&gt;0,G$88,0.5)</f>
        <v>1110369.20789055</v>
      </c>
      <c r="O142" s="61" t="n">
        <f aca="false">C142-P142*(G$75+(G$74-G$75)*COS(RADIANS(38)))/2</f>
        <v>690.703796192818</v>
      </c>
      <c r="P142" s="89" t="n">
        <f aca="false">IF(ROUND(N142,-3)&lt;G$89,2-(G$89-N142)/(G$89-N$122),2)</f>
        <v>2</v>
      </c>
      <c r="Q142" s="10" t="str">
        <f aca="false">IF(M142/1000&gt;L$104,"|",IF(M141/1000&gt;L$104,"V",""))</f>
        <v/>
      </c>
    </row>
    <row r="143" s="1" customFormat="true" ht="15.75" hidden="false" customHeight="false" outlineLevel="0" collapsed="false">
      <c r="B143" s="62" t="n">
        <f aca="false">B142-1/3</f>
        <v>-9</v>
      </c>
      <c r="C143" s="66" t="n">
        <f aca="false">C$130+(G$72-C$130)*0.749</f>
        <v>735.851367240193</v>
      </c>
      <c r="D143" s="64" t="n">
        <f aca="false">(C143-C142)/(E143-E142)</f>
        <v>0.000155066848953979</v>
      </c>
      <c r="E143" s="61" t="n">
        <f aca="false">IF(D143=0,(8314.4621*C142*LN(H143/H142)/(-G$61*9.80665*G$65)),C142/D143*(1/(H143/H142)^(8314.4621*D143/(G$61*9.80665*G$65))-1))+E142</f>
        <v>3103575.37872733</v>
      </c>
      <c r="F143" s="61" t="n">
        <f aca="false">G$31*E143/(G$31-E143)</f>
        <v>3272868.6198327</v>
      </c>
      <c r="G143" s="61" t="n">
        <f aca="false">8314.4621*C143/(G$65*G$61*9.80665)</f>
        <v>354414.370395379</v>
      </c>
      <c r="H143" s="64" t="n">
        <f aca="false">10^B143*101325</f>
        <v>0.000101325</v>
      </c>
      <c r="I143" s="64" t="n">
        <f aca="false">H143/(8314.4621/G$65*C143)</f>
        <v>3.64289193886847E-011</v>
      </c>
      <c r="J143" s="61" t="n">
        <f aca="false">SQRT(8314.4621/G$65*G$67*C143)</f>
        <v>2008.87500360921</v>
      </c>
      <c r="K143" s="61" t="n">
        <f aca="false">IF(F$18&gt;0,SQRT(2*G$60/(F$18+N143)),10000)</f>
        <v>8839.3730374522</v>
      </c>
      <c r="L143" s="64" t="n">
        <f aca="false">I143*K143^2/2</f>
        <v>0.00142317798686785</v>
      </c>
      <c r="M143" s="64" t="n">
        <f aca="false">I143*K143^3/2</f>
        <v>12.5800011246152</v>
      </c>
      <c r="N143" s="61" t="n">
        <f aca="false">20000+(F143-F$113)*IF(G$88&gt;0,G$88,0.5)</f>
        <v>1231836.06364167</v>
      </c>
      <c r="O143" s="61" t="n">
        <f aca="false">C143-P143*(G$75+(G$74-G$75)*COS(RADIANS(38)))/2</f>
        <v>731.699324225766</v>
      </c>
      <c r="P143" s="89" t="n">
        <f aca="false">IF(ROUND(N143,-3)&lt;G$89,2-(G$89-N143)/(G$89-N$122),2)</f>
        <v>2</v>
      </c>
      <c r="Q143" s="10"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'Gas Giant'!G22</f>
        <v>0.52</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
        <v>217</v>
      </c>
      <c r="D10" s="75"/>
      <c r="E10" s="75"/>
    </row>
    <row r="11" customFormat="false" ht="15" hidden="false" customHeight="false" outlineLevel="0" collapsed="false">
      <c r="A11" s="72" t="s">
        <v>218</v>
      </c>
      <c r="B11" s="75" t="n">
        <f aca="false">MAX(B18:B51)</f>
        <v>424000</v>
      </c>
      <c r="D11" s="75"/>
      <c r="E11" s="75"/>
    </row>
    <row r="12" customFormat="false" ht="15" hidden="false" customHeight="false" outlineLevel="0" collapsed="false">
      <c r="A12" s="72" t="s">
        <v>219</v>
      </c>
      <c r="B12" s="90" t="n">
        <f aca="false">ROUND('Gas Giant'!G$67,2)</f>
        <v>1.45</v>
      </c>
      <c r="D12" s="75"/>
      <c r="E12" s="75"/>
    </row>
    <row r="13" customFormat="false" ht="15" hidden="false" customHeight="false" outlineLevel="0" collapsed="false">
      <c r="A13" s="72" t="s">
        <v>220</v>
      </c>
      <c r="B13" s="75" t="n">
        <f aca="false">ROUND('Gas Giant'!G$65/1000,6)</f>
        <v>0.0022</v>
      </c>
      <c r="D13" s="75"/>
      <c r="E13" s="75"/>
    </row>
    <row r="14" customFormat="false" ht="15" hidden="false" customHeight="false" outlineLevel="0" collapsed="false">
      <c r="A14" s="72" t="s">
        <v>221</v>
      </c>
      <c r="B14" s="74" t="n">
        <f aca="false">ROUND('Gas Giant'!C$110,0)</f>
        <v>421</v>
      </c>
      <c r="D14" s="75"/>
      <c r="E14" s="75"/>
    </row>
    <row r="15" customFormat="false" ht="15" hidden="false" customHeight="false" outlineLevel="0" collapsed="false">
      <c r="A15" s="72" t="s">
        <v>222</v>
      </c>
      <c r="B15" s="75" t="n">
        <f aca="false">C99</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IF('Gas Giant'!Q110="|",ROUND('Gas Giant'!N110,0),IF('Gas Giant'!Q110="V",ROUND('Gas Giant'!N110,-3),""))</f>
        <v>0</v>
      </c>
      <c r="C18" s="75" t="n">
        <f aca="false">IF(B18="","",ROUND('Gas Giant'!O110,0))</f>
        <v>421</v>
      </c>
      <c r="D18" s="77" t="n">
        <v>0</v>
      </c>
      <c r="E18" s="77" t="n">
        <f aca="false">(C19-C18)/(B19-B18)</f>
        <v>-0.00976098110374171</v>
      </c>
    </row>
    <row r="19" customFormat="false" ht="15" hidden="false" customHeight="false" outlineLevel="0" collapsed="false">
      <c r="A19" s="75" t="str">
        <f aca="false">IF(B19="","Unused","key =")</f>
        <v>key =</v>
      </c>
      <c r="B19" s="75" t="n">
        <f aca="false">IF('Gas Giant'!Q111="|",ROUND('Gas Giant'!N111,0),IF('Gas Giant'!Q111="V",ROUND('Gas Giant'!N111,-3),""))</f>
        <v>7991</v>
      </c>
      <c r="C19" s="75" t="n">
        <f aca="false">IF(B19="","",ROUND('Gas Giant'!O111,0))</f>
        <v>343</v>
      </c>
      <c r="D19" s="77" t="n">
        <f aca="false">IF(C19="","",(C19-C18)/(B19-B18))</f>
        <v>-0.00976098110374171</v>
      </c>
      <c r="E19" s="77" t="n">
        <f aca="false">IF(C19="","",IF(C20="",0,(C20-C19)/(B20-B19)))</f>
        <v>-0.00912270031929451</v>
      </c>
    </row>
    <row r="20" customFormat="false" ht="15" hidden="false" customHeight="false" outlineLevel="0" collapsed="false">
      <c r="A20" s="75" t="str">
        <f aca="false">IF(B20="","Unused","key =")</f>
        <v>key =</v>
      </c>
      <c r="B20" s="75" t="n">
        <f aca="false">IF('Gas Giant'!Q112="|",ROUND('Gas Giant'!N112,0),IF('Gas Giant'!Q112="V",ROUND('Gas Giant'!N112,-3),""))</f>
        <v>14568</v>
      </c>
      <c r="C20" s="75" t="n">
        <f aca="false">IF(B20="","",ROUND('Gas Giant'!O112,0))</f>
        <v>283</v>
      </c>
      <c r="D20" s="77" t="n">
        <f aca="false">IF(C20="","",(C20-C19)/(B20-B19))</f>
        <v>-0.00912270031929451</v>
      </c>
      <c r="E20" s="77" t="n">
        <f aca="false">IF(C20="","",IF(C21="",0,(C21-C20)/(B21-B20)))</f>
        <v>-0.00920471281296024</v>
      </c>
    </row>
    <row r="21" customFormat="false" ht="15" hidden="false" customHeight="false" outlineLevel="0" collapsed="false">
      <c r="A21" s="75" t="str">
        <f aca="false">IF(B21="","Unused","key =")</f>
        <v>key =</v>
      </c>
      <c r="B21" s="75" t="n">
        <f aca="false">IF('Gas Giant'!Q113="|",ROUND('Gas Giant'!N113,0),IF('Gas Giant'!Q113="V",ROUND('Gas Giant'!N113,-3),""))</f>
        <v>20000</v>
      </c>
      <c r="C21" s="75" t="n">
        <f aca="false">IF(B21="","",ROUND('Gas Giant'!O113,0))</f>
        <v>233</v>
      </c>
      <c r="D21" s="77" t="n">
        <f aca="false">IF(C21="","",(C21-C20)/(B21-B20))</f>
        <v>-0.00920471281296024</v>
      </c>
      <c r="E21" s="77" t="n">
        <f aca="false">IF(C21="","",IF(C22="",0,(C22-C21)/(B22-B21)))</f>
        <v>-0.00131245612428654</v>
      </c>
    </row>
    <row r="22" customFormat="false" ht="15" hidden="false" customHeight="false" outlineLevel="0" collapsed="false">
      <c r="A22" s="75" t="str">
        <f aca="false">IF(B22="","Unused","key =")</f>
        <v>key =</v>
      </c>
      <c r="B22" s="75" t="n">
        <f aca="false">IF('Gas Giant'!Q114="|",ROUND('Gas Giant'!N114,0),IF('Gas Giant'!Q114="V",ROUND('Gas Giant'!N114,-3),""))</f>
        <v>52763</v>
      </c>
      <c r="C22" s="75" t="n">
        <f aca="false">IF(B22="","",ROUND('Gas Giant'!O114,0))</f>
        <v>190</v>
      </c>
      <c r="D22" s="77" t="n">
        <f aca="false">IF(C22="","",(C22-C21)/(B22-B21))</f>
        <v>-0.00131245612428654</v>
      </c>
      <c r="E22" s="77" t="n">
        <f aca="false">IF(C22="","",IF(C23="",0,(C23-C22)/(B23-B22)))</f>
        <v>-0.00118142213689729</v>
      </c>
    </row>
    <row r="23" customFormat="false" ht="15" hidden="false" customHeight="false" outlineLevel="0" collapsed="false">
      <c r="A23" s="75" t="str">
        <f aca="false">IF(B23="","Unused","key =")</f>
        <v>key =</v>
      </c>
      <c r="B23" s="75" t="n">
        <f aca="false">IF('Gas Giant'!Q115="|",ROUND('Gas Giant'!N115,0),IF('Gas Giant'!Q115="V",ROUND('Gas Giant'!N115,-3),""))</f>
        <v>79849</v>
      </c>
      <c r="C23" s="75" t="n">
        <f aca="false">IF(B23="","",ROUND('Gas Giant'!O115,0))</f>
        <v>158</v>
      </c>
      <c r="D23" s="77" t="n">
        <f aca="false">IF(C23="","",(C23-C22)/(B23-B22))</f>
        <v>-0.00118142213689729</v>
      </c>
      <c r="E23" s="77" t="n">
        <f aca="false">IF(C23="","",IF(C24="",0,(C24-C23)/(B24-B23)))</f>
        <v>-0.00105318588730911</v>
      </c>
    </row>
    <row r="24" customFormat="false" ht="15" hidden="false" customHeight="false" outlineLevel="0" collapsed="false">
      <c r="A24" s="75" t="str">
        <f aca="false">IF(B24="","Unused","key =")</f>
        <v>key =</v>
      </c>
      <c r="B24" s="75" t="n">
        <f aca="false">IF('Gas Giant'!Q116="|",ROUND('Gas Giant'!N116,0),IF('Gas Giant'!Q116="V",ROUND('Gas Giant'!N116,-3),""))</f>
        <v>102637</v>
      </c>
      <c r="C24" s="75" t="n">
        <f aca="false">IF(B24="","",ROUND('Gas Giant'!O116,0))</f>
        <v>134</v>
      </c>
      <c r="D24" s="77" t="n">
        <f aca="false">IF(C24="","",(C24-C23)/(B24-B23))</f>
        <v>-0.00105318588730911</v>
      </c>
      <c r="E24" s="77" t="n">
        <f aca="false">IF(C24="","",IF(C25="",0,(C25-C24)/(B25-B24)))</f>
        <v>-0.000810372771474878</v>
      </c>
    </row>
    <row r="25" customFormat="false" ht="15" hidden="false" customHeight="false" outlineLevel="0" collapsed="false">
      <c r="A25" s="75" t="str">
        <f aca="false">IF(B25="","Unused","key =")</f>
        <v>key =</v>
      </c>
      <c r="B25" s="75" t="n">
        <f aca="false">IF('Gas Giant'!Q117="|",ROUND('Gas Giant'!N117,0),IF('Gas Giant'!Q117="V",ROUND('Gas Giant'!N117,-3),""))</f>
        <v>122381</v>
      </c>
      <c r="C25" s="75" t="n">
        <f aca="false">IF(B25="","",ROUND('Gas Giant'!O117,0))</f>
        <v>118</v>
      </c>
      <c r="D25" s="77" t="n">
        <f aca="false">IF(C25="","",(C25-C24)/(B25-B24))</f>
        <v>-0.000810372771474878</v>
      </c>
      <c r="E25" s="77" t="n">
        <f aca="false">IF(C25="","",IF(C26="",0,(C26-C25)/(B26-B25)))</f>
        <v>-0.000446877443861021</v>
      </c>
    </row>
    <row r="26" customFormat="false" ht="15" hidden="false" customHeight="false" outlineLevel="0" collapsed="false">
      <c r="A26" s="75" t="str">
        <f aca="false">IF(B26="","Unused","key =")</f>
        <v>key =</v>
      </c>
      <c r="B26" s="75" t="n">
        <f aca="false">IF('Gas Giant'!Q118="|",ROUND('Gas Giant'!N118,0),IF('Gas Giant'!Q118="V",ROUND('Gas Giant'!N118,-3),""))</f>
        <v>140283</v>
      </c>
      <c r="C26" s="75" t="n">
        <f aca="false">IF(B26="","",ROUND('Gas Giant'!O118,0))</f>
        <v>110</v>
      </c>
      <c r="D26" s="77" t="n">
        <f aca="false">IF(C26="","",(C26-C25)/(B26-B25))</f>
        <v>-0.000446877443861021</v>
      </c>
      <c r="E26" s="77" t="n">
        <f aca="false">IF(C26="","",IF(C27="",0,(C27-C26)/(B27-B26)))</f>
        <v>-0.000175274596868427</v>
      </c>
    </row>
    <row r="27" customFormat="false" ht="15" hidden="false" customHeight="false" outlineLevel="0" collapsed="false">
      <c r="A27" s="75" t="str">
        <f aca="false">IF(B27="","Unused","key =")</f>
        <v>key =</v>
      </c>
      <c r="B27" s="75" t="n">
        <f aca="false">IF('Gas Giant'!Q119="|",ROUND('Gas Giant'!N119,0),IF('Gas Giant'!Q119="V",ROUND('Gas Giant'!N119,-3),""))</f>
        <v>157399</v>
      </c>
      <c r="C27" s="75" t="n">
        <f aca="false">IF(B27="","",ROUND('Gas Giant'!O119,0))</f>
        <v>107</v>
      </c>
      <c r="D27" s="77" t="n">
        <f aca="false">IF(C27="","",(C27-C26)/(B27-B26))</f>
        <v>-0.000175274596868427</v>
      </c>
      <c r="E27" s="77" t="n">
        <f aca="false">IF(C27="","",IF(C28="",0,(C28-C27)/(B28-B27)))</f>
        <v>0</v>
      </c>
    </row>
    <row r="28" customFormat="false" ht="15" hidden="false" customHeight="false" outlineLevel="0" collapsed="false">
      <c r="A28" s="75" t="str">
        <f aca="false">IF(B28="","Unused","key =")</f>
        <v>key =</v>
      </c>
      <c r="B28" s="75" t="n">
        <f aca="false">IF('Gas Giant'!Q120="|",ROUND('Gas Giant'!N120,0),IF('Gas Giant'!Q120="V",ROUND('Gas Giant'!N120,-3),""))</f>
        <v>174386</v>
      </c>
      <c r="C28" s="75" t="n">
        <f aca="false">IF(B28="","",ROUND('Gas Giant'!O120,0))</f>
        <v>107</v>
      </c>
      <c r="D28" s="77" t="n">
        <f aca="false">IF(C28="","",(C28-C27)/(B28-B27))</f>
        <v>0</v>
      </c>
      <c r="E28" s="77" t="n">
        <f aca="false">IF(C28="","",IF(C29="",0,(C29-C28)/(B29-B28)))</f>
        <v>0.000173110213502597</v>
      </c>
    </row>
    <row r="29" customFormat="false" ht="15" hidden="false" customHeight="false" outlineLevel="0" collapsed="false">
      <c r="A29" s="75" t="str">
        <f aca="false">IF(B29="","Unused","key =")</f>
        <v>key =</v>
      </c>
      <c r="B29" s="75" t="n">
        <f aca="false">IF('Gas Giant'!Q121="|",ROUND('Gas Giant'!N121,0),IF('Gas Giant'!Q121="V",ROUND('Gas Giant'!N121,-3),""))</f>
        <v>191716</v>
      </c>
      <c r="C29" s="75" t="n">
        <f aca="false">IF(B29="","",ROUND('Gas Giant'!O121,0))</f>
        <v>110</v>
      </c>
      <c r="D29" s="77" t="n">
        <f aca="false">IF(C29="","",(C29-C28)/(B29-B28))</f>
        <v>0.000173110213502597</v>
      </c>
      <c r="E29" s="77" t="n">
        <f aca="false">IF(C29="","",IF(C30="",0,(C30-C29)/(B30-B29)))</f>
        <v>0.000436824287430381</v>
      </c>
    </row>
    <row r="30" customFormat="false" ht="15" hidden="false" customHeight="false" outlineLevel="0" collapsed="false">
      <c r="A30" s="75" t="str">
        <f aca="false">IF(B30="","Unused","key =")</f>
        <v>key =</v>
      </c>
      <c r="B30" s="75" t="n">
        <f aca="false">IF('Gas Giant'!Q122="|",ROUND('Gas Giant'!N122,0),IF('Gas Giant'!Q122="V",ROUND('Gas Giant'!N122,-3),""))</f>
        <v>210030</v>
      </c>
      <c r="C30" s="75" t="n">
        <f aca="false">IF(B30="","",ROUND('Gas Giant'!O122,0))</f>
        <v>118</v>
      </c>
      <c r="D30" s="77" t="n">
        <f aca="false">IF(C30="","",(C30-C29)/(B30-B29))</f>
        <v>0.000436824287430381</v>
      </c>
      <c r="E30" s="77" t="n">
        <f aca="false">IF(C30="","",IF(C31="",0,(C31-C30)/(B31-B30)))</f>
        <v>0.000505229121406558</v>
      </c>
    </row>
    <row r="31" customFormat="false" ht="15" hidden="false" customHeight="false" outlineLevel="0" collapsed="false">
      <c r="A31" s="75" t="str">
        <f aca="false">IF(B31="","Unused","key =")</f>
        <v>key =</v>
      </c>
      <c r="B31" s="75" t="n">
        <f aca="false">IF('Gas Giant'!Q123="|",ROUND('Gas Giant'!N123,0),IF('Gas Giant'!Q123="V",ROUND('Gas Giant'!N123,-3),""))</f>
        <v>229823</v>
      </c>
      <c r="C31" s="75" t="n">
        <f aca="false">IF(B31="","",ROUND('Gas Giant'!O123,0))</f>
        <v>128</v>
      </c>
      <c r="D31" s="77" t="n">
        <f aca="false">IF(C31="","",(C31-C30)/(B31-B30))</f>
        <v>0.000505229121406558</v>
      </c>
      <c r="E31" s="77" t="n">
        <f aca="false">IF(C31="","",IF(C32="",0,(C32-C31)/(B32-B31)))</f>
        <v>0.000512175815989198</v>
      </c>
    </row>
    <row r="32" customFormat="false" ht="15" hidden="false" customHeight="false" outlineLevel="0" collapsed="false">
      <c r="A32" s="75" t="str">
        <f aca="false">IF(B32="","Unused","key =")</f>
        <v>key =</v>
      </c>
      <c r="B32" s="75" t="n">
        <f aca="false">IF('Gas Giant'!Q124="|",ROUND('Gas Giant'!N124,0),IF('Gas Giant'!Q124="V",ROUND('Gas Giant'!N124,-3),""))</f>
        <v>251300</v>
      </c>
      <c r="C32" s="75" t="n">
        <f aca="false">IF(B32="","",ROUND('Gas Giant'!O124,0))</f>
        <v>139</v>
      </c>
      <c r="D32" s="77" t="n">
        <f aca="false">IF(C32="","",(C32-C31)/(B32-B31))</f>
        <v>0.000512175815989198</v>
      </c>
      <c r="E32" s="77" t="n">
        <f aca="false">IF(C32="","",IF(C33="",0,(C33-C32)/(B33-B32)))</f>
        <v>0.000390218522372529</v>
      </c>
    </row>
    <row r="33" customFormat="false" ht="15" hidden="false" customHeight="false" outlineLevel="0" collapsed="false">
      <c r="A33" s="75" t="str">
        <f aca="false">IF(B33="","Unused","key =")</f>
        <v>key =</v>
      </c>
      <c r="B33" s="75" t="n">
        <f aca="false">IF('Gas Giant'!Q125="|",ROUND('Gas Giant'!N125,0),IF('Gas Giant'!Q125="V",ROUND('Gas Giant'!N125,-3),""))</f>
        <v>274364</v>
      </c>
      <c r="C33" s="75" t="n">
        <f aca="false">IF(B33="","",ROUND('Gas Giant'!O125,0))</f>
        <v>148</v>
      </c>
      <c r="D33" s="77" t="n">
        <f aca="false">IF(C33="","",(C33-C32)/(B33-B32))</f>
        <v>0.000390218522372529</v>
      </c>
      <c r="E33" s="77" t="n">
        <f aca="false">IF(C33="","",IF(C34="",0,(C34-C33)/(B34-B33)))</f>
        <v>0.000206151562628845</v>
      </c>
    </row>
    <row r="34" customFormat="false" ht="15" hidden="false" customHeight="false" outlineLevel="0" collapsed="false">
      <c r="A34" s="75" t="str">
        <f aca="false">IF(B34="","Unused","key =")</f>
        <v>key =</v>
      </c>
      <c r="B34" s="75" t="n">
        <f aca="false">IF('Gas Giant'!Q126="|",ROUND('Gas Giant'!N126,0),IF('Gas Giant'!Q126="V",ROUND('Gas Giant'!N126,-3),""))</f>
        <v>298618</v>
      </c>
      <c r="C34" s="75" t="n">
        <f aca="false">IF(B34="","",ROUND('Gas Giant'!O126,0))</f>
        <v>153</v>
      </c>
      <c r="D34" s="77" t="n">
        <f aca="false">IF(C34="","",(C34-C33)/(B34-B33))</f>
        <v>0.000206151562628845</v>
      </c>
      <c r="E34" s="77" t="n">
        <f aca="false">IF(C34="","",IF(C35="",0,(C35-C34)/(B35-B34)))</f>
        <v>0</v>
      </c>
    </row>
    <row r="35" customFormat="false" ht="15" hidden="false" customHeight="false" outlineLevel="0" collapsed="false">
      <c r="A35" s="75" t="str">
        <f aca="false">IF(B35="","Unused","key =")</f>
        <v>key =</v>
      </c>
      <c r="B35" s="75" t="n">
        <f aca="false">IF('Gas Giant'!Q127="|",ROUND('Gas Giant'!N127,0),IF('Gas Giant'!Q127="V",ROUND('Gas Giant'!N127,-3),""))</f>
        <v>323417</v>
      </c>
      <c r="C35" s="75" t="n">
        <f aca="false">IF(B35="","",ROUND('Gas Giant'!O127,0))</f>
        <v>153</v>
      </c>
      <c r="D35" s="77" t="n">
        <f aca="false">IF(C35="","",(C35-C34)/(B35-B34))</f>
        <v>0</v>
      </c>
      <c r="E35" s="77" t="n">
        <f aca="false">IF(C35="","",IF(C36="",0,(C36-C35)/(B36-B35)))</f>
        <v>0</v>
      </c>
    </row>
    <row r="36" customFormat="false" ht="15" hidden="false" customHeight="false" outlineLevel="0" collapsed="false">
      <c r="A36" s="75" t="str">
        <f aca="false">IF(B36="","Unused","key =")</f>
        <v>key =</v>
      </c>
      <c r="B36" s="75" t="n">
        <f aca="false">IF('Gas Giant'!Q128="|",ROUND('Gas Giant'!N128,0),IF('Gas Giant'!Q128="V",ROUND('Gas Giant'!N128,-3),""))</f>
        <v>348331</v>
      </c>
      <c r="C36" s="75" t="n">
        <f aca="false">IF(B36="","",ROUND('Gas Giant'!O128,0))</f>
        <v>153</v>
      </c>
      <c r="D36" s="77" t="n">
        <f aca="false">IF(C36="","",(C36-C35)/(B36-B35))</f>
        <v>0</v>
      </c>
      <c r="E36" s="77" t="n">
        <f aca="false">IF(C36="","",IF(C37="",0,(C37-C36)/(B37-B36)))</f>
        <v>0</v>
      </c>
    </row>
    <row r="37" customFormat="false" ht="15" hidden="false" customHeight="false" outlineLevel="0" collapsed="false">
      <c r="A37" s="75" t="str">
        <f aca="false">IF(B37="","Unused","key =")</f>
        <v>key =</v>
      </c>
      <c r="B37" s="75" t="n">
        <f aca="false">IF('Gas Giant'!Q129="|",ROUND('Gas Giant'!N129,0),IF('Gas Giant'!Q129="V",ROUND('Gas Giant'!N129,-3),""))</f>
        <v>373293</v>
      </c>
      <c r="C37" s="75" t="n">
        <f aca="false">IF(B37="","",ROUND('Gas Giant'!O129,0))</f>
        <v>153</v>
      </c>
      <c r="D37" s="77" t="n">
        <f aca="false">IF(C37="","",(C37-C36)/(B37-B36))</f>
        <v>0</v>
      </c>
      <c r="E37" s="77" t="n">
        <f aca="false">IF(C37="","",IF(C38="",0,(C38-C37)/(B38-B37)))</f>
        <v>0</v>
      </c>
    </row>
    <row r="38" customFormat="false" ht="15" hidden="false" customHeight="false" outlineLevel="0" collapsed="false">
      <c r="A38" s="75" t="str">
        <f aca="false">IF(B38="","Unused","key =")</f>
        <v>key =</v>
      </c>
      <c r="B38" s="75" t="n">
        <f aca="false">IF('Gas Giant'!Q130="|",ROUND('Gas Giant'!N130,0),IF('Gas Giant'!Q130="V",ROUND('Gas Giant'!N130,-3),""))</f>
        <v>398305</v>
      </c>
      <c r="C38" s="75" t="n">
        <f aca="false">IF(B38="","",ROUND('Gas Giant'!O130,0))</f>
        <v>153</v>
      </c>
      <c r="D38" s="77" t="n">
        <f aca="false">IF(C38="","",(C38-C37)/(B38-B37))</f>
        <v>0</v>
      </c>
      <c r="E38" s="77" t="n">
        <f aca="false">IF(C38="","",IF(C39="",0,(C39-C38)/(B39-B38)))</f>
        <v>7.78361548939482E-005</v>
      </c>
    </row>
    <row r="39" customFormat="false" ht="15" hidden="false" customHeight="false" outlineLevel="0" collapsed="false">
      <c r="A39" s="75" t="str">
        <f aca="false">IF(B39="","Unused","key =")</f>
        <v>key =</v>
      </c>
      <c r="B39" s="75" t="n">
        <f aca="false">IF('Gas Giant'!Q131="|",ROUND('Gas Giant'!N131,0),IF('Gas Giant'!Q131="V",ROUND('Gas Giant'!N131,-3),""))</f>
        <v>424000</v>
      </c>
      <c r="C39" s="75" t="n">
        <f aca="false">IF(B39="","",ROUND('Gas Giant'!O131,0))</f>
        <v>155</v>
      </c>
      <c r="D39" s="77" t="n">
        <f aca="false">IF(C39="","",(C39-C38)/(B39-B38))</f>
        <v>7.78361548939482E-005</v>
      </c>
      <c r="E39" s="77" t="n">
        <f aca="false">IF(C39="","",IF(C40="",0,(C40-C39)/(B40-B39)))</f>
        <v>0</v>
      </c>
    </row>
    <row r="40" customFormat="false" ht="15" hidden="false" customHeight="false" outlineLevel="0" collapsed="false">
      <c r="A40" s="75" t="str">
        <f aca="false">IF(B40="","Unused","key =")</f>
        <v>Unused</v>
      </c>
      <c r="B40" s="75" t="str">
        <f aca="false">IF('Gas Giant'!Q132="|",ROUND('Gas Giant'!N132,0),IF('Gas Giant'!Q132="V",ROUND('Gas Giant'!N132,-3),""))</f>
        <v/>
      </c>
      <c r="C40" s="75" t="str">
        <f aca="false">IF(B40="","",ROUND('Gas Giant'!O132,0))</f>
        <v/>
      </c>
      <c r="D40" s="77" t="str">
        <f aca="false">IF(C40="","",(C40-C39)/(B40-B39))</f>
        <v/>
      </c>
      <c r="E40" s="77" t="str">
        <f aca="false">IF(C40="","",IF(C41="",0,(C41-C40)/(B41-B40)))</f>
        <v/>
      </c>
    </row>
    <row r="41" customFormat="false" ht="15" hidden="false" customHeight="false" outlineLevel="0" collapsed="false">
      <c r="A41" s="75" t="str">
        <f aca="false">IF(B41="","Unused","key =")</f>
        <v>Unused</v>
      </c>
      <c r="B41" s="75" t="str">
        <f aca="false">IF('Gas Giant'!Q133="|",ROUND('Gas Giant'!N133,0),IF('Gas Giant'!Q133="V",ROUND('Gas Giant'!N133,-3),""))</f>
        <v/>
      </c>
      <c r="C41" s="75" t="str">
        <f aca="false">IF(B41="","",ROUND('Gas Giant'!O133,0))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IF('Gas Giant'!Q134="|",ROUND('Gas Giant'!N134,0),IF('Gas Giant'!Q134="V",ROUND('Gas Giant'!N134,-3),""))</f>
        <v/>
      </c>
      <c r="C42" s="75" t="str">
        <f aca="false">IF(B42="","",ROUND('Gas Giant'!O134,0))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IF('Gas Giant'!Q135="|",ROUND('Gas Giant'!N135,0),IF('Gas Giant'!Q135="V",ROUND('Gas Giant'!N135,-3),""))</f>
        <v/>
      </c>
      <c r="C43" s="75" t="str">
        <f aca="false">IF(B43="","",ROUND('Gas Giant'!O135,0))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IF('Gas Giant'!Q136="|",ROUND('Gas Giant'!N136,0),IF('Gas Giant'!Q136="V",ROUND('Gas Giant'!N136,-3),""))</f>
        <v/>
      </c>
      <c r="C44" s="75" t="str">
        <f aca="false">IF(B44="","",ROUND('Gas Giant'!O136,0))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IF('Gas Giant'!Q137="|",ROUND('Gas Giant'!N137,0),IF('Gas Giant'!Q137="V",ROUND('Gas Giant'!N137,-3),""))</f>
        <v/>
      </c>
      <c r="C45" s="75" t="str">
        <f aca="false">IF(B45="","",ROUND('Gas Giant'!O137,0))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IF('Gas Giant'!Q138="|",ROUND('Gas Giant'!N138,0),IF('Gas Giant'!Q138="V",ROUND('Gas Giant'!N138,-3),""))</f>
        <v/>
      </c>
      <c r="C46" s="75" t="str">
        <f aca="false">IF(B46="","",ROUND('Gas Giant'!O138,0))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IF('Gas Giant'!Q139="|",ROUND('Gas Giant'!N139,0),IF('Gas Giant'!Q139="V",ROUND('Gas Giant'!N139,-3),""))</f>
        <v/>
      </c>
      <c r="C47" s="75" t="str">
        <f aca="false">IF(B47="","",ROUND('Gas Giant'!O139,0))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IF('Gas Giant'!Q140="|",ROUND('Gas Giant'!N140,0),IF('Gas Giant'!Q140="V",ROUND('Gas Giant'!N140,-3),""))</f>
        <v/>
      </c>
      <c r="C48" s="75" t="str">
        <f aca="false">IF(B48="","",ROUND('Gas Giant'!O140,0))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IF('Gas Giant'!Q141="|",ROUND('Gas Giant'!N141,0),IF('Gas Giant'!Q141="V",ROUND('Gas Giant'!N141,-3),""))</f>
        <v/>
      </c>
      <c r="C49" s="75" t="str">
        <f aca="false">IF(B49="","",ROUND('Gas Giant'!O141,0))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IF('Gas Giant'!Q142="|",ROUND('Gas Giant'!N142,0),IF('Gas Giant'!Q142="V",ROUND('Gas Giant'!N142,-3),""))</f>
        <v/>
      </c>
      <c r="C50" s="75" t="str">
        <f aca="false">IF(B50="","",ROUND('Gas Giant'!O142,0))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IF('Gas Giant'!Q143="|",ROUND('Gas Giant'!N143,0),IF('Gas Giant'!Q143="V",ROUND('Gas Giant'!N143,-3),""))</f>
        <v/>
      </c>
      <c r="C51" s="75" t="str">
        <f aca="false">IF(B51="","",ROUND('Gas Giant'!O143,0))</f>
        <v/>
      </c>
      <c r="D51" s="77" t="str">
        <f aca="false">IF(C51="","",(C51-C50)/(B51-B50))</f>
        <v/>
      </c>
      <c r="E51" s="77" t="str">
        <f aca="false">IF(C51="","",IF(C52="",0,(C52-C51)/(B52-B51)))</f>
        <v/>
      </c>
    </row>
    <row r="52" customFormat="false" ht="15" hidden="false" customHeight="false" outlineLevel="0" collapsed="false">
      <c r="A52" s="72" t="s">
        <v>212</v>
      </c>
      <c r="B52" s="75"/>
      <c r="C52" s="75"/>
      <c r="D52" s="77"/>
      <c r="E52" s="77"/>
    </row>
    <row r="53" customFormat="false" ht="15" hidden="false" customHeight="false" outlineLevel="0" collapsed="false">
      <c r="A53" s="72" t="s">
        <v>226</v>
      </c>
      <c r="B53" s="75"/>
      <c r="C53" s="75"/>
      <c r="D53" s="77"/>
      <c r="E53" s="77"/>
    </row>
    <row r="54" customFormat="false" ht="15" hidden="false" customHeight="false" outlineLevel="0" collapsed="false">
      <c r="A54" s="72" t="s">
        <v>209</v>
      </c>
      <c r="B54" s="75"/>
      <c r="C54" s="75"/>
      <c r="D54" s="77"/>
      <c r="E54" s="77"/>
    </row>
    <row r="55" customFormat="false" ht="15" hidden="false" customHeight="false" outlineLevel="0" collapsed="false">
      <c r="A55" s="75" t="str">
        <f aca="false">IF(B55="","Unused","key =")</f>
        <v>key =</v>
      </c>
      <c r="B55" s="75" t="n">
        <v>0</v>
      </c>
      <c r="C55" s="76" t="n">
        <v>0</v>
      </c>
      <c r="D55" s="77" t="n">
        <v>0</v>
      </c>
      <c r="E55" s="77" t="n">
        <f aca="false">(C56-C55)/(B56-B55)</f>
        <v>0</v>
      </c>
    </row>
    <row r="56" customFormat="false" ht="15" hidden="false" customHeight="false" outlineLevel="0" collapsed="false">
      <c r="A56" s="75" t="str">
        <f aca="false">IF(B56="","Unused","key =")</f>
        <v>key =</v>
      </c>
      <c r="B56" s="74" t="n">
        <f aca="false">ROUND('Gas Giant'!N116,0)</f>
        <v>102637</v>
      </c>
      <c r="C56" s="76" t="n">
        <f aca="false">ROUND('Gas Giant'!P116,3)</f>
        <v>0</v>
      </c>
      <c r="D56" s="77" t="n">
        <f aca="false">(C56-C55)/(B56-B55)</f>
        <v>0</v>
      </c>
      <c r="E56" s="77" t="n">
        <f aca="false">(C57-C56)/(B57-B56)</f>
        <v>2.532414910859E-006</v>
      </c>
    </row>
    <row r="57" customFormat="false" ht="15" hidden="false" customHeight="false" outlineLevel="0" collapsed="false">
      <c r="A57" s="75" t="str">
        <f aca="false">IF(B57="","Unused","key =")</f>
        <v>key =</v>
      </c>
      <c r="B57" s="74" t="n">
        <f aca="false">ROUND('Gas Giant'!N117,0)</f>
        <v>122381</v>
      </c>
      <c r="C57" s="76" t="n">
        <f aca="false">ROUND('Gas Giant'!P117,3)</f>
        <v>0.05</v>
      </c>
      <c r="D57" s="77" t="n">
        <f aca="false">(C57-C56)/(B57-B56)</f>
        <v>2.532414910859E-006</v>
      </c>
      <c r="E57" s="77" t="n">
        <f aca="false">(C58-C57)/(B58-B57)</f>
        <v>8.37895207239415E-006</v>
      </c>
    </row>
    <row r="58" customFormat="false" ht="15" hidden="false" customHeight="false" outlineLevel="0" collapsed="false">
      <c r="A58" s="75" t="str">
        <f aca="false">IF(B58="","Unused","key =")</f>
        <v>key =</v>
      </c>
      <c r="B58" s="74" t="n">
        <f aca="false">ROUND('Gas Giant'!N118,0)</f>
        <v>140283</v>
      </c>
      <c r="C58" s="76" t="n">
        <f aca="false">ROUND('Gas Giant'!P118,3)</f>
        <v>0.2</v>
      </c>
      <c r="D58" s="77" t="n">
        <f aca="false">(C58-C57)/(B58-B57)</f>
        <v>8.37895207239415E-006</v>
      </c>
      <c r="E58" s="77" t="n">
        <f aca="false">(C59-C58)/(B59-B58)</f>
        <v>1.3145594765132E-005</v>
      </c>
    </row>
    <row r="59" customFormat="false" ht="15" hidden="false" customHeight="false" outlineLevel="0" collapsed="false">
      <c r="A59" s="75" t="str">
        <f aca="false">IF(B59="","Unused","key =")</f>
        <v>key =</v>
      </c>
      <c r="B59" s="74" t="n">
        <f aca="false">ROUND('Gas Giant'!N119,0)</f>
        <v>157399</v>
      </c>
      <c r="C59" s="76" t="n">
        <f aca="false">ROUND('Gas Giant'!P119,3)</f>
        <v>0.425</v>
      </c>
      <c r="D59" s="77" t="n">
        <f aca="false">(C59-C58)/(B59-B58)</f>
        <v>1.3145594765132E-005</v>
      </c>
      <c r="E59" s="77" t="n">
        <f aca="false">(C60-C59)/(B60-B59)</f>
        <v>1.32454229705069E-005</v>
      </c>
    </row>
    <row r="60" customFormat="false" ht="15" hidden="false" customHeight="false" outlineLevel="0" collapsed="false">
      <c r="A60" s="75" t="str">
        <f aca="false">IF(B60="","Unused","key =")</f>
        <v>key =</v>
      </c>
      <c r="B60" s="74" t="n">
        <f aca="false">ROUND('Gas Giant'!N120,0)</f>
        <v>174386</v>
      </c>
      <c r="C60" s="76" t="n">
        <f aca="false">ROUND('Gas Giant'!P120,3)</f>
        <v>0.65</v>
      </c>
      <c r="D60" s="77" t="n">
        <f aca="false">(C60-C59)/(B60-B59)</f>
        <v>1.32454229705069E-005</v>
      </c>
      <c r="E60" s="77" t="n">
        <f aca="false">(C61-C60)/(B61-B60)</f>
        <v>1.15406809001731E-005</v>
      </c>
    </row>
    <row r="61" customFormat="false" ht="15" hidden="false" customHeight="false" outlineLevel="0" collapsed="false">
      <c r="A61" s="75" t="str">
        <f aca="false">IF(B61="","Unused","key =")</f>
        <v>key =</v>
      </c>
      <c r="B61" s="74" t="n">
        <f aca="false">ROUND('Gas Giant'!N121,0)</f>
        <v>191716</v>
      </c>
      <c r="C61" s="76" t="n">
        <f aca="false">ROUND('Gas Giant'!P121,3)</f>
        <v>0.85</v>
      </c>
      <c r="D61" s="77" t="n">
        <f aca="false">(C61-C60)/(B61-B60)</f>
        <v>1.15406809001731E-005</v>
      </c>
      <c r="E61" s="77" t="n">
        <f aca="false">(C62-C61)/(B62-B61)</f>
        <v>8.19045538931965E-006</v>
      </c>
    </row>
    <row r="62" customFormat="false" ht="15" hidden="false" customHeight="false" outlineLevel="0" collapsed="false">
      <c r="A62" s="75" t="str">
        <f aca="false">IF(B62="","Unused","key =")</f>
        <v>key =</v>
      </c>
      <c r="B62" s="74" t="n">
        <f aca="false">ROUND('Gas Giant'!N122,0)</f>
        <v>210030</v>
      </c>
      <c r="C62" s="76" t="n">
        <f aca="false">ROUND('Gas Giant'!P122,3)</f>
        <v>1</v>
      </c>
      <c r="D62" s="77" t="n">
        <f aca="false">(C62-C61)/(B62-B61)</f>
        <v>8.19045538931965E-006</v>
      </c>
      <c r="E62" s="77" t="n">
        <f aca="false">(C63-C62)/(B63-B62)</f>
        <v>4.67355236715427E-006</v>
      </c>
    </row>
    <row r="63" customFormat="false" ht="15" hidden="false" customHeight="false" outlineLevel="0" collapsed="false">
      <c r="A63" s="75" t="str">
        <f aca="false">IF(B63="","Unused","key =")</f>
        <v>key =</v>
      </c>
      <c r="B63" s="74" t="n">
        <f aca="false">'Gas Giant'!G89</f>
        <v>424000</v>
      </c>
      <c r="C63" s="76" t="n">
        <v>2</v>
      </c>
      <c r="D63" s="77" t="n">
        <f aca="false">(C63-C62)/(B63-B62)</f>
        <v>4.67355236715427E-006</v>
      </c>
      <c r="E63" s="77" t="n">
        <v>0</v>
      </c>
    </row>
    <row r="64" customFormat="false" ht="15" hidden="false" customHeight="false" outlineLevel="0" collapsed="false">
      <c r="A64" s="72" t="s">
        <v>212</v>
      </c>
      <c r="B64" s="75"/>
      <c r="C64" s="75"/>
      <c r="D64" s="75"/>
      <c r="E64" s="75"/>
    </row>
    <row r="65" customFormat="false" ht="15" hidden="false" customHeight="false" outlineLevel="0" collapsed="false">
      <c r="A65" s="72" t="s">
        <v>227</v>
      </c>
      <c r="B65" s="75"/>
      <c r="C65" s="75"/>
      <c r="D65" s="75"/>
      <c r="E65" s="75"/>
    </row>
    <row r="66" customFormat="false" ht="15" hidden="false" customHeight="false" outlineLevel="0" collapsed="false">
      <c r="A66" s="72" t="s">
        <v>209</v>
      </c>
      <c r="B66" s="75"/>
      <c r="C66" s="75"/>
      <c r="D66" s="75"/>
      <c r="E66" s="75"/>
    </row>
    <row r="67" customFormat="false" ht="15" hidden="false" customHeight="false" outlineLevel="0" collapsed="false">
      <c r="A67" s="75" t="s">
        <v>224</v>
      </c>
      <c r="B67" s="75" t="n">
        <v>0</v>
      </c>
      <c r="C67" s="75" t="n">
        <f aca="false">ROUND('Gas Giant'!G$76*(COS(RADIANS(B67))-COS(RADIANS(38))),2)</f>
        <v>0.85</v>
      </c>
      <c r="D67" s="75" t="n">
        <v>0</v>
      </c>
      <c r="E67" s="75" t="n">
        <f aca="false">ROUND(-'Gas Giant'!G$76*SIN(RADIANS(B67))*PI()/180,4)</f>
        <v>0</v>
      </c>
    </row>
    <row r="68" customFormat="false" ht="15" hidden="false" customHeight="false" outlineLevel="0" collapsed="false">
      <c r="A68" s="75" t="s">
        <v>224</v>
      </c>
      <c r="B68" s="75" t="n">
        <v>38</v>
      </c>
      <c r="C68" s="75" t="n">
        <f aca="false">ROUND('Gas Giant'!G$76*(COS(RADIANS(B68))-COS(RADIANS(38))),2)</f>
        <v>0</v>
      </c>
      <c r="D68" s="75" t="n">
        <f aca="false">ROUND(-'Gas Giant'!G$76*SIN(RADIANS(B68))*PI()/180,4)</f>
        <v>-0.043</v>
      </c>
      <c r="E68" s="75" t="n">
        <f aca="false">ROUND(-'Gas Giant'!G$76*SIN(RADIANS(B68))*PI()/180,4)</f>
        <v>-0.043</v>
      </c>
    </row>
    <row r="69" customFormat="false" ht="15" hidden="false" customHeight="false" outlineLevel="0" collapsed="false">
      <c r="A69" s="75" t="s">
        <v>224</v>
      </c>
      <c r="B69" s="75" t="n">
        <v>90</v>
      </c>
      <c r="C69" s="75" t="n">
        <f aca="false">ROUND('Gas Giant'!G$76*(COS(RADIANS(B69))-COS(RADIANS(38))),2)</f>
        <v>-3.15</v>
      </c>
      <c r="D69" s="75" t="n">
        <f aca="false">ROUND(-'Gas Giant'!G$76*SIN(RADIANS(B69))*PI()/180,4)</f>
        <v>-0.0698</v>
      </c>
      <c r="E69" s="75" t="n">
        <v>0</v>
      </c>
    </row>
    <row r="70" customFormat="false" ht="15" hidden="false" customHeight="false" outlineLevel="0" collapsed="false">
      <c r="A70" s="72" t="s">
        <v>212</v>
      </c>
      <c r="B70" s="75"/>
      <c r="C70" s="75"/>
      <c r="D70" s="75"/>
      <c r="E70" s="75"/>
    </row>
    <row r="71" customFormat="false" ht="15" hidden="false" customHeight="false" outlineLevel="0" collapsed="false">
      <c r="A71" s="72" t="s">
        <v>228</v>
      </c>
      <c r="B71" s="75"/>
      <c r="C71" s="75"/>
      <c r="D71" s="75"/>
      <c r="E71" s="75"/>
    </row>
    <row r="72" customFormat="false" ht="15" hidden="false" customHeight="false" outlineLevel="0" collapsed="false">
      <c r="A72" s="72" t="s">
        <v>209</v>
      </c>
      <c r="B72" s="75"/>
      <c r="C72" s="75"/>
      <c r="D72" s="75"/>
      <c r="E72" s="75"/>
    </row>
    <row r="73" customFormat="false" ht="15" hidden="false" customHeight="false" outlineLevel="0" collapsed="false">
      <c r="A73" s="75" t="s">
        <v>224</v>
      </c>
      <c r="B73" s="75" t="n">
        <v>0</v>
      </c>
      <c r="C73" s="75" t="n">
        <f aca="false">ROUND(('Gas Giant'!G$74-'Gas Giant'!G$75)*COS(RADIANS(B73))+'Gas Giant'!G$75,2)</f>
        <v>5</v>
      </c>
      <c r="D73" s="75" t="n">
        <v>0</v>
      </c>
      <c r="E73" s="75" t="n">
        <f aca="false">ROUND(('Gas Giant'!G$75-'Gas Giant'!G$74)*SIN(RADIANS(B73))*PI()/180,4)</f>
        <v>0</v>
      </c>
    </row>
    <row r="74" customFormat="false" ht="15" hidden="false" customHeight="false" outlineLevel="0" collapsed="false">
      <c r="A74" s="75" t="s">
        <v>224</v>
      </c>
      <c r="B74" s="75" t="n">
        <v>38</v>
      </c>
      <c r="C74" s="75" t="n">
        <f aca="false">ROUND(('Gas Giant'!G$74-'Gas Giant'!G$75)*COS(RADIANS(B74))+'Gas Giant'!G$75,2)</f>
        <v>4.15</v>
      </c>
      <c r="D74" s="75" t="n">
        <f aca="false">ROUND(('Gas Giant'!G$75-'Gas Giant'!G$74)*SIN(RADIANS(B74))*PI()/180,4)</f>
        <v>-0.043</v>
      </c>
      <c r="E74" s="75" t="n">
        <f aca="false">ROUND(('Gas Giant'!G$75-'Gas Giant'!G$74)*SIN(RADIANS(B74))*PI()/180,4)</f>
        <v>-0.043</v>
      </c>
    </row>
    <row r="75" customFormat="false" ht="15" hidden="false" customHeight="false" outlineLevel="0" collapsed="false">
      <c r="A75" s="75" t="s">
        <v>224</v>
      </c>
      <c r="B75" s="75" t="n">
        <v>90</v>
      </c>
      <c r="C75" s="75" t="n">
        <f aca="false">ROUND(('Gas Giant'!G$74-'Gas Giant'!G$75)*COS(RADIANS(B75))+'Gas Giant'!G$75,2)</f>
        <v>1</v>
      </c>
      <c r="D75" s="75" t="n">
        <f aca="false">ROUND(('Gas Giant'!G$75-'Gas Giant'!G$74)*SIN(RADIANS(B75))*PI()/180,4)</f>
        <v>-0.0698</v>
      </c>
      <c r="E75" s="75" t="n">
        <v>0</v>
      </c>
    </row>
    <row r="76" customFormat="false" ht="15" hidden="false" customHeight="false" outlineLevel="0" collapsed="false">
      <c r="A76" s="72" t="s">
        <v>212</v>
      </c>
      <c r="B76" s="75"/>
      <c r="C76" s="75"/>
      <c r="D76" s="75"/>
      <c r="E76" s="75"/>
    </row>
    <row r="77" customFormat="false" ht="15" hidden="false" customHeight="false" outlineLevel="0" collapsed="false">
      <c r="A77" s="72" t="s">
        <v>229</v>
      </c>
      <c r="B77" s="75"/>
      <c r="C77" s="75"/>
      <c r="D77" s="75"/>
      <c r="E77" s="75"/>
    </row>
    <row r="78" customFormat="false" ht="15" hidden="false" customHeight="false" outlineLevel="0" collapsed="false">
      <c r="A78" s="72" t="s">
        <v>209</v>
      </c>
      <c r="B78" s="75"/>
      <c r="C78" s="75"/>
      <c r="D78" s="75"/>
      <c r="E78" s="75"/>
    </row>
    <row r="79" customFormat="false" ht="15" hidden="false" customHeight="false" outlineLevel="0" collapsed="false">
      <c r="A79" s="75" t="s">
        <v>224</v>
      </c>
      <c r="B79" s="75" t="n">
        <v>0</v>
      </c>
      <c r="C79" s="75" t="n">
        <f aca="false">ROUND(-'Gas Giant'!G$77*'Gas Giant'!G$79*SIN(RADIANS(B79-36+'Gas Giant'!G$26)),2)</f>
        <v>0.54</v>
      </c>
      <c r="D79" s="75" t="n">
        <v>0</v>
      </c>
      <c r="E79" s="75" t="n">
        <f aca="false">IF('Gas Giant'!G$25,D84,0)</f>
        <v>-0.013</v>
      </c>
    </row>
    <row r="80" customFormat="false" ht="15" hidden="false" customHeight="false" outlineLevel="0" collapsed="false">
      <c r="A80" s="75" t="str">
        <f aca="false">IF(B80="","Unused","key =")</f>
        <v>key =</v>
      </c>
      <c r="B80" s="75" t="n">
        <f aca="false">IF('Gas Giant'!G$25&gt;0,MIN(IF(36-'Gas Giant'!G$26&lt;0,36-'Gas Giant'!G$26+360,36-'Gas Giant'!G$26),IF(126-'Gas Giant'!G$26&lt;0,126-'Gas Giant'!G$26+360,126-'Gas Giant'!G$26),IF(216-'Gas Giant'!G$26&lt;0,216-'Gas Giant'!G$26+360,216-'Gas Giant'!G$26),IF(306-'Gas Giant'!G$26&lt;0,306-'Gas Giant'!G$26+360,306-'Gas Giant'!G$26)),"")</f>
        <v>36</v>
      </c>
      <c r="C80" s="75" t="n">
        <f aca="false">IF('Gas Giant'!G$25&gt;0,ROUND(-'Gas Giant'!G$77*'Gas Giant'!G$79*SIN(RADIANS(B80-36+'Gas Giant'!G$26)),2),"")</f>
        <v>0</v>
      </c>
      <c r="D80" s="75" t="n">
        <f aca="false">IF('Gas Giant'!G$25&gt;0,ROUND('Gas Giant'!G$77*'Gas Giant'!G$79*SIN(RADIANS(270))*COS(RADIANS(B80-36+'Gas Giant'!G$26))*PI()/180,4),"")</f>
        <v>-0.0161</v>
      </c>
      <c r="E80" s="75" t="n">
        <f aca="false">IF('Gas Giant'!G$25,D80,"")</f>
        <v>-0.0161</v>
      </c>
    </row>
    <row r="81" customFormat="false" ht="15" hidden="false" customHeight="false" outlineLevel="0" collapsed="false">
      <c r="A81" s="75" t="str">
        <f aca="false">IF(B81="","Unused","key =")</f>
        <v>key =</v>
      </c>
      <c r="B81" s="75" t="n">
        <f aca="false">IF('Gas Giant'!G$25&gt;0,B80+90,"")</f>
        <v>126</v>
      </c>
      <c r="C81" s="75" t="n">
        <f aca="false">IF('Gas Giant'!G$25&gt;0,ROUND(-'Gas Giant'!G$77*'Gas Giant'!G$79*SIN(RADIANS(B81-36+'Gas Giant'!G$26)),2),"")</f>
        <v>-0.92</v>
      </c>
      <c r="D81" s="75" t="n">
        <f aca="false">IF('Gas Giant'!G$25&gt;0,ROUND('Gas Giant'!G$77*'Gas Giant'!G$79*SIN(RADIANS(270))*COS(RADIANS(B81-36+'Gas Giant'!G$26))*PI()/180,4),"")</f>
        <v>0</v>
      </c>
      <c r="E81" s="75" t="n">
        <f aca="false">IF('Gas Giant'!G$25&gt;0,D81,"")</f>
        <v>0</v>
      </c>
    </row>
    <row r="82" customFormat="false" ht="15" hidden="false" customHeight="false" outlineLevel="0" collapsed="false">
      <c r="A82" s="75" t="str">
        <f aca="false">IF(B82="","Unused","key =")</f>
        <v>key =</v>
      </c>
      <c r="B82" s="75" t="n">
        <f aca="false">IF('Gas Giant'!G$25&gt;0,B81+90,"")</f>
        <v>216</v>
      </c>
      <c r="C82" s="75" t="n">
        <f aca="false">IF('Gas Giant'!G$25&gt;0,ROUND(-'Gas Giant'!G$77*'Gas Giant'!G$79*SIN(RADIANS(B82-36+'Gas Giant'!G$26)),2),"")</f>
        <v>0</v>
      </c>
      <c r="D82" s="75" t="n">
        <f aca="false">IF('Gas Giant'!G$25&gt;0,ROUND('Gas Giant'!G$77*'Gas Giant'!G$79*SIN(RADIANS(270))*COS(RADIANS(B82-36+'Gas Giant'!G$26))*PI()/180,4),"")</f>
        <v>0.0161</v>
      </c>
      <c r="E82" s="75" t="n">
        <f aca="false">IF('Gas Giant'!G$25&gt;0,D82,"")</f>
        <v>0.0161</v>
      </c>
    </row>
    <row r="83" customFormat="false" ht="15" hidden="false" customHeight="false" outlineLevel="0" collapsed="false">
      <c r="A83" s="75" t="str">
        <f aca="false">IF(B83="","Unused","key =")</f>
        <v>key =</v>
      </c>
      <c r="B83" s="75" t="n">
        <f aca="false">IF('Gas Giant'!G$25&gt;0,B82+90,"")</f>
        <v>306</v>
      </c>
      <c r="C83" s="75" t="n">
        <f aca="false">IF('Gas Giant'!G$25&gt;0,ROUND(-'Gas Giant'!G$77*'Gas Giant'!G$79*SIN(RADIANS(B83-36+'Gas Giant'!G$26)),2),"")</f>
        <v>0.92</v>
      </c>
      <c r="D83" s="75" t="n">
        <f aca="false">IF('Gas Giant'!G$25&gt;0,ROUND('Gas Giant'!G$77*'Gas Giant'!G$79*SIN(RADIANS(270))*COS(RADIANS(B83-36+'Gas Giant'!G$26))*PI()/180,4),"")</f>
        <v>0</v>
      </c>
      <c r="E83" s="75" t="n">
        <f aca="false">IF('Gas Giant'!G$25&gt;0,D83,"")</f>
        <v>0</v>
      </c>
    </row>
    <row r="84" customFormat="false" ht="15" hidden="false" customHeight="false" outlineLevel="0" collapsed="false">
      <c r="A84" s="75" t="str">
        <f aca="false">IF(B84="","Unused","key =")</f>
        <v>key =</v>
      </c>
      <c r="B84" s="75" t="n">
        <f aca="false">IF('Gas Giant'!G$25&gt;0,360,"")</f>
        <v>360</v>
      </c>
      <c r="C84" s="75" t="n">
        <f aca="false">IF('Gas Giant'!G$25&gt;0,ROUND(-'Gas Giant'!G$77*'Gas Giant'!G$79*SIN(RADIANS(B84-36+'Gas Giant'!G$26)),2),"")</f>
        <v>0.54</v>
      </c>
      <c r="D84" s="75" t="n">
        <f aca="false">IF('Gas Giant'!G$25&gt;0,ROUND('Gas Giant'!G$77*'Gas Giant'!G$79*SIN(RADIANS(270))*COS(RADIANS(B84-36+'Gas Giant'!G$26))*PI()/180,4),"")</f>
        <v>-0.013</v>
      </c>
      <c r="E84" s="75" t="n">
        <f aca="false">IF('Gas Giant'!G$25&gt;0,0,"")</f>
        <v>0</v>
      </c>
    </row>
    <row r="85" customFormat="false" ht="15" hidden="false" customHeight="false" outlineLevel="0" collapsed="false">
      <c r="A85" s="72" t="s">
        <v>212</v>
      </c>
      <c r="B85" s="75"/>
      <c r="C85" s="75"/>
      <c r="D85" s="75"/>
      <c r="E85" s="75"/>
    </row>
    <row r="86" customFormat="false" ht="15" hidden="false" customHeight="false" outlineLevel="0" collapsed="false">
      <c r="A86" s="72" t="s">
        <v>230</v>
      </c>
      <c r="B86" s="75"/>
      <c r="C86" s="75"/>
      <c r="D86" s="75"/>
      <c r="E86" s="75"/>
    </row>
    <row r="87" customFormat="false" ht="15" hidden="false" customHeight="false" outlineLevel="0" collapsed="false">
      <c r="A87" s="72" t="s">
        <v>209</v>
      </c>
      <c r="B87" s="75"/>
      <c r="C87" s="75"/>
      <c r="D87" s="75"/>
      <c r="E87" s="75"/>
    </row>
    <row r="88" customFormat="false" ht="15" hidden="false" customHeight="false" outlineLevel="0" collapsed="false">
      <c r="A88" s="75" t="s">
        <v>224</v>
      </c>
      <c r="B88" s="75" t="n">
        <v>0</v>
      </c>
      <c r="C88" s="75" t="n">
        <v>0</v>
      </c>
      <c r="D88" s="75" t="n">
        <v>0</v>
      </c>
      <c r="E88" s="75" t="n">
        <v>0</v>
      </c>
    </row>
    <row r="89" customFormat="false" ht="15" hidden="false" customHeight="false" outlineLevel="0" collapsed="false">
      <c r="A89" s="75" t="str">
        <f aca="false">IF(B89="","Unused","key =")</f>
        <v>key =</v>
      </c>
      <c r="B89" s="75" t="n">
        <f aca="false">IF('Gas Giant'!G$25&gt;0,38,"")</f>
        <v>38</v>
      </c>
      <c r="C89" s="75" t="n">
        <f aca="false">IF('Gas Giant'!G$25&gt;0,0.5,"")</f>
        <v>0.5</v>
      </c>
      <c r="D89" s="75" t="n">
        <f aca="false">IF('Gas Giant'!G$25&gt;0,0.02,"")</f>
        <v>0.02</v>
      </c>
      <c r="E89" s="75" t="n">
        <f aca="false">IF('Gas Giant'!G$25&gt;0,0.02,"")</f>
        <v>0.02</v>
      </c>
    </row>
    <row r="90" customFormat="false" ht="15" hidden="false" customHeight="false" outlineLevel="0" collapsed="false">
      <c r="A90" s="75" t="str">
        <f aca="false">IF(B90="","Unused","key =")</f>
        <v>key =</v>
      </c>
      <c r="B90" s="75" t="n">
        <f aca="false">IF('Gas Giant'!G$25&gt;0,90,"")</f>
        <v>90</v>
      </c>
      <c r="C90" s="75" t="n">
        <f aca="false">IF('Gas Giant'!G$25&gt;0,1,"")</f>
        <v>1</v>
      </c>
      <c r="D90" s="75" t="n">
        <f aca="false">IF('Gas Giant'!G$25&gt;0,0,"")</f>
        <v>0</v>
      </c>
      <c r="E90" s="75" t="n">
        <f aca="false">IF('Gas Giant'!G$25&gt;0,0,"")</f>
        <v>0</v>
      </c>
    </row>
    <row r="91" customFormat="false" ht="15" hidden="false" customHeight="false" outlineLevel="0" collapsed="false">
      <c r="A91" s="72" t="s">
        <v>212</v>
      </c>
      <c r="B91" s="75"/>
      <c r="C91" s="75"/>
      <c r="D91" s="75"/>
      <c r="E91" s="75"/>
    </row>
    <row r="92" customFormat="false" ht="15" hidden="false" customHeight="false" outlineLevel="0" collapsed="false">
      <c r="A92" s="72" t="s">
        <v>231</v>
      </c>
      <c r="B92" s="75"/>
      <c r="C92" s="75"/>
      <c r="D92" s="75"/>
      <c r="E92" s="75"/>
    </row>
    <row r="93" customFormat="false" ht="15" hidden="false" customHeight="false" outlineLevel="0" collapsed="false">
      <c r="A93" s="72" t="s">
        <v>209</v>
      </c>
      <c r="B93" s="75"/>
      <c r="C93" s="75"/>
      <c r="D93" s="75"/>
      <c r="E93" s="75"/>
    </row>
    <row r="94" customFormat="false" ht="15" hidden="false" customHeight="false" outlineLevel="0" collapsed="false">
      <c r="A94" s="75" t="s">
        <v>224</v>
      </c>
      <c r="B94" s="75" t="n">
        <v>0</v>
      </c>
      <c r="C94" s="75" t="n">
        <f aca="false">ROUND('Gas Giant'!G$78*'Gas Giant'!G$79,1)/2</f>
        <v>2.6</v>
      </c>
      <c r="D94" s="75" t="n">
        <v>0</v>
      </c>
      <c r="E94" s="75" t="n">
        <f aca="false">-2*C94</f>
        <v>-5.2</v>
      </c>
    </row>
    <row r="95" customFormat="false" ht="15" hidden="false" customHeight="false" outlineLevel="0" collapsed="false">
      <c r="A95" s="75" t="str">
        <f aca="false">IF(B95="","Unused","key =")</f>
        <v>key =</v>
      </c>
      <c r="B95" s="75" t="n">
        <f aca="false">IF('Gas Giant'!G$24&gt;0,1,"")</f>
        <v>1</v>
      </c>
      <c r="C95" s="75" t="n">
        <f aca="false">IF('Gas Giant'!G$24&gt;0,-C94,"")</f>
        <v>-2.6</v>
      </c>
      <c r="D95" s="75" t="n">
        <f aca="false">IF('Gas Giant'!G$24&gt;0,E94,"")</f>
        <v>-5.2</v>
      </c>
      <c r="E95" s="75" t="n">
        <f aca="false">IF('Gas Giant'!G$24&gt;0,0,"")</f>
        <v>0</v>
      </c>
    </row>
    <row r="96" customFormat="false" ht="15" hidden="false" customHeight="false" outlineLevel="0" collapsed="false">
      <c r="A96" s="72" t="s">
        <v>212</v>
      </c>
      <c r="B96" s="75"/>
      <c r="C96" s="75"/>
      <c r="D96" s="75"/>
      <c r="E96" s="75"/>
    </row>
    <row r="97" customFormat="false" ht="15" hidden="false" customHeight="false" outlineLevel="0" collapsed="false">
      <c r="A97" s="72" t="s">
        <v>225</v>
      </c>
      <c r="B97" s="75"/>
      <c r="C97" s="75"/>
      <c r="D97" s="75"/>
      <c r="E97" s="75"/>
    </row>
    <row r="98" customFormat="false" ht="15" hidden="false" customHeight="false" outlineLevel="0" collapsed="false">
      <c r="A98" s="72" t="s">
        <v>209</v>
      </c>
      <c r="B98" s="75"/>
      <c r="C98" s="75"/>
      <c r="D98" s="75"/>
      <c r="E98" s="75"/>
    </row>
    <row r="99" customFormat="false" ht="15" hidden="false" customHeight="false" outlineLevel="0" collapsed="false">
      <c r="A99" s="75" t="str">
        <f aca="false">IF(B99="","Unused","key =")</f>
        <v>key =</v>
      </c>
      <c r="B99" s="75" t="n">
        <f aca="false">IF('Gas Giant'!Q110="|",ROUND('Gas Giant'!N110,0),IF('Gas Giant'!Q110="V",ROUND('Gas Giant'!N110,-3),""))</f>
        <v>0</v>
      </c>
      <c r="C99" s="77" t="n">
        <f aca="false">IF(B99="","",IF(B100="",0,'Gas Giant'!H110/1000))</f>
        <v>10132.5</v>
      </c>
      <c r="D99" s="78" t="n">
        <v>0</v>
      </c>
      <c r="E99" s="78" t="n">
        <f aca="false">-(C99*1.001-C99*0.999)/('Gas Giant'!G110*LN((C99*1.001)/(C99*0.999)))*('Gas Giant'!F$113/20000)</f>
        <v>-0.882579430896178</v>
      </c>
    </row>
    <row r="100" customFormat="false" ht="15" hidden="false" customHeight="false" outlineLevel="0" collapsed="false">
      <c r="A100" s="75" t="str">
        <f aca="false">IF(B100="","Unused","key =")</f>
        <v>key =</v>
      </c>
      <c r="B100" s="75" t="n">
        <f aca="false">IF('Gas Giant'!Q111="|",ROUND('Gas Giant'!N111,0),IF('Gas Giant'!Q111="V",ROUND('Gas Giant'!N111,-3),""))</f>
        <v>7991</v>
      </c>
      <c r="C100" s="77" t="n">
        <f aca="false">IF(B100="","",IF(B101="",0,'Gas Giant'!H111/1000))</f>
        <v>4703.08988565815</v>
      </c>
      <c r="D100" s="78" t="n">
        <f aca="false">-(C100*1.001-C100*0.999)/('Gas Giant'!G111*LN((C100*1.001)/(C100*0.999)))*('Gas Giant'!F$113/20000)</f>
        <v>-0.502176022523818</v>
      </c>
      <c r="E100" s="78" t="n">
        <f aca="false">D100</f>
        <v>-0.502176022523818</v>
      </c>
    </row>
    <row r="101" customFormat="false" ht="15" hidden="false" customHeight="false" outlineLevel="0" collapsed="false">
      <c r="A101" s="75" t="str">
        <f aca="false">IF(B101="","Unused","key =")</f>
        <v>key =</v>
      </c>
      <c r="B101" s="75" t="n">
        <f aca="false">IF('Gas Giant'!Q112="|",ROUND('Gas Giant'!N112,0),IF('Gas Giant'!Q112="V",ROUND('Gas Giant'!N112,-3),""))</f>
        <v>14568</v>
      </c>
      <c r="C101" s="77" t="n">
        <f aca="false">IF(B101="","",IF(B102="",0,'Gas Giant'!H112/1000))</f>
        <v>2182.98094967481</v>
      </c>
      <c r="D101" s="78" t="n">
        <f aca="false">-(C101*1.001-C101*0.999)/('Gas Giant'!G112*LN((C101*1.001)/(C101*0.999)))*('Gas Giant'!F$113/20000)</f>
        <v>-0.283047515718484</v>
      </c>
      <c r="E101" s="78" t="n">
        <f aca="false">D101</f>
        <v>-0.283047515718484</v>
      </c>
    </row>
    <row r="102" customFormat="false" ht="15" hidden="false" customHeight="false" outlineLevel="0" collapsed="false">
      <c r="A102" s="75" t="str">
        <f aca="false">IF(B102="","Unused","key =")</f>
        <v>key =</v>
      </c>
      <c r="B102" s="75" t="n">
        <f aca="false">IF('Gas Giant'!Q113="|",ROUND('Gas Giant'!N113,0),IF('Gas Giant'!Q113="V",ROUND('Gas Giant'!N113,-3),""))</f>
        <v>20000</v>
      </c>
      <c r="C102" s="77" t="n">
        <f aca="false">IF(B102="","",IF(B103="",0,'Gas Giant'!H113/1000))</f>
        <v>1013.25</v>
      </c>
      <c r="D102" s="78" t="n">
        <f aca="false">-(C102*1.001-C102*0.999)/('Gas Giant'!G113*LN((C102*1.001)/(C102*0.999)))*(IF('Gas Giant'!G$88&gt;0,'Gas Giant'!G$88,0.5)/20000)</f>
        <v>-1.87662994430578E-007</v>
      </c>
      <c r="E102" s="78" t="n">
        <f aca="false">-(C102*1.001-C102*0.999)/('Gas Giant'!G$113*LN((C102*1.001)/(C102*0.999)))/IF('Gas Giant'!G$88&gt;0,'Gas Giant'!G$88,0.5)</f>
        <v>-0.0217854526741303</v>
      </c>
    </row>
    <row r="103" customFormat="false" ht="15" hidden="false" customHeight="false" outlineLevel="0" collapsed="false">
      <c r="A103" s="75" t="str">
        <f aca="false">IF(B103="","Unused","key =")</f>
        <v>key =</v>
      </c>
      <c r="B103" s="75" t="n">
        <f aca="false">IF('Gas Giant'!Q114="|",ROUND('Gas Giant'!N114,0),IF('Gas Giant'!Q114="V",ROUND('Gas Giant'!N114,-3),""))</f>
        <v>52763</v>
      </c>
      <c r="C103" s="77" t="n">
        <f aca="false">IF(B103="","",IF(B104="",0,'Gas Giant'!H114/1000))</f>
        <v>470.308988565815</v>
      </c>
      <c r="D103" s="78" t="n">
        <f aca="false">IF(C103="","",IF(C103=0,0,-(C103*1.001-C103*0.999)/('Gas Giant'!G114*LN((C103*1.001)/(C103*0.999)))/IF('Gas Giant'!G$88&gt;0,'Gas Giant'!G$88,0.5)))</f>
        <v>-0.0123635413493939</v>
      </c>
      <c r="E103" s="78" t="n">
        <f aca="false">D103</f>
        <v>-0.0123635413493939</v>
      </c>
    </row>
    <row r="104" customFormat="false" ht="15" hidden="false" customHeight="false" outlineLevel="0" collapsed="false">
      <c r="A104" s="75" t="str">
        <f aca="false">IF(B104="","Unused","key =")</f>
        <v>key =</v>
      </c>
      <c r="B104" s="75" t="n">
        <f aca="false">IF('Gas Giant'!Q115="|",ROUND('Gas Giant'!N115,0),IF('Gas Giant'!Q115="V",ROUND('Gas Giant'!N115,-3),""))</f>
        <v>79849</v>
      </c>
      <c r="C104" s="77" t="n">
        <f aca="false">IF(B104="","",IF(B105="",0,'Gas Giant'!H115/1000))</f>
        <v>218.298094967481</v>
      </c>
      <c r="D104" s="78" t="n">
        <f aca="false">IF(C104="","",IF(C104=0,0,-(C104*1.001-C104*0.999)/('Gas Giant'!G115*LN((C104*1.001)/(C104*0.999)))/IF('Gas Giant'!G$88&gt;0,'Gas Giant'!G$88,0.5)))</f>
        <v>-0.00689625014767711</v>
      </c>
      <c r="E104" s="78" t="n">
        <f aca="false">D104</f>
        <v>-0.00689625014767711</v>
      </c>
    </row>
    <row r="105" customFormat="false" ht="15" hidden="false" customHeight="false" outlineLevel="0" collapsed="false">
      <c r="A105" s="75" t="str">
        <f aca="false">IF(B105="","Unused","key =")</f>
        <v>key =</v>
      </c>
      <c r="B105" s="75" t="n">
        <f aca="false">IF('Gas Giant'!Q116="|",ROUND('Gas Giant'!N116,0),IF('Gas Giant'!Q116="V",ROUND('Gas Giant'!N116,-3),""))</f>
        <v>102637</v>
      </c>
      <c r="C105" s="77" t="n">
        <f aca="false">IF(B105="","",IF(B106="",0,'Gas Giant'!H116/1000))</f>
        <v>101.325</v>
      </c>
      <c r="D105" s="78" t="n">
        <f aca="false">IF(C105="","",IF(C105=0,0,-(C105*1.001-C105*0.999)/('Gas Giant'!G116*LN((C105*1.001)/(C105*0.999)))/IF('Gas Giant'!G$88&gt;0,'Gas Giant'!G$88,0.5)))</f>
        <v>-0.00377613484551917</v>
      </c>
      <c r="E105" s="78" t="n">
        <f aca="false">D105</f>
        <v>-0.00377613484551917</v>
      </c>
    </row>
    <row r="106" customFormat="false" ht="15" hidden="false" customHeight="false" outlineLevel="0" collapsed="false">
      <c r="A106" s="75" t="str">
        <f aca="false">IF(B106="","Unused","key =")</f>
        <v>key =</v>
      </c>
      <c r="B106" s="75" t="n">
        <f aca="false">IF('Gas Giant'!Q117="|",ROUND('Gas Giant'!N117,0),IF('Gas Giant'!Q117="V",ROUND('Gas Giant'!N117,-3),""))</f>
        <v>122381</v>
      </c>
      <c r="C106" s="77" t="n">
        <f aca="false">IF(B106="","",IF(B107="",0,'Gas Giant'!H117/1000))</f>
        <v>47.0308988565815</v>
      </c>
      <c r="D106" s="78" t="n">
        <f aca="false">IF(C106="","",IF(C106=0,0,-(C106*1.001-C106*0.999)/('Gas Giant'!G117*LN((C106*1.001)/(C106*0.999)))/IF('Gas Giant'!G$88&gt;0,'Gas Giant'!G$88,0.5)))</f>
        <v>-0.00198396912852169</v>
      </c>
      <c r="E106" s="78" t="n">
        <f aca="false">D106</f>
        <v>-0.00198396912852169</v>
      </c>
    </row>
    <row r="107" customFormat="false" ht="15" hidden="false" customHeight="false" outlineLevel="0" collapsed="false">
      <c r="A107" s="75" t="str">
        <f aca="false">IF(B107="","Unused","key =")</f>
        <v>key =</v>
      </c>
      <c r="B107" s="75" t="n">
        <f aca="false">IF('Gas Giant'!Q118="|",ROUND('Gas Giant'!N118,0),IF('Gas Giant'!Q118="V",ROUND('Gas Giant'!N118,-3),""))</f>
        <v>140283</v>
      </c>
      <c r="C107" s="77" t="n">
        <f aca="false">IF(B107="","",IF(B108="",0,'Gas Giant'!H118/1000))</f>
        <v>21.8298094967481</v>
      </c>
      <c r="D107" s="78" t="n">
        <f aca="false">IF(C107="","",IF(C107=0,0,-(C107*1.001-C107*0.999)/('Gas Giant'!G118*LN((C107*1.001)/(C107*0.999)))/IF('Gas Giant'!G$88&gt;0,'Gas Giant'!G$88,0.5)))</f>
        <v>-0.000991751148600593</v>
      </c>
      <c r="E107" s="78" t="n">
        <f aca="false">D107</f>
        <v>-0.000991751148600593</v>
      </c>
    </row>
    <row r="108" customFormat="false" ht="15" hidden="false" customHeight="false" outlineLevel="0" collapsed="false">
      <c r="A108" s="75" t="str">
        <f aca="false">IF(B108="","Unused","key =")</f>
        <v>key =</v>
      </c>
      <c r="B108" s="75" t="n">
        <f aca="false">IF('Gas Giant'!Q119="|",ROUND('Gas Giant'!N119,0),IF('Gas Giant'!Q119="V",ROUND('Gas Giant'!N119,-3),""))</f>
        <v>157399</v>
      </c>
      <c r="C108" s="77" t="n">
        <f aca="false">IF(B108="","",IF(B109="",0,'Gas Giant'!H119/1000))</f>
        <v>10.1325</v>
      </c>
      <c r="D108" s="78" t="n">
        <f aca="false">IF(C108="","",IF(C108=0,0,-(C108*1.001-C108*0.999)/('Gas Giant'!G119*LN((C108*1.001)/(C108*0.999)))/IF('Gas Giant'!G$88&gt;0,'Gas Giant'!G$88,0.5)))</f>
        <v>-0.000468653816456662</v>
      </c>
      <c r="E108" s="78" t="n">
        <f aca="false">D108</f>
        <v>-0.000468653816456662</v>
      </c>
    </row>
    <row r="109" customFormat="false" ht="15" hidden="false" customHeight="false" outlineLevel="0" collapsed="false">
      <c r="A109" s="75" t="str">
        <f aca="false">IF(B109="","Unused","key =")</f>
        <v>key =</v>
      </c>
      <c r="B109" s="75" t="n">
        <f aca="false">IF('Gas Giant'!Q120="|",ROUND('Gas Giant'!N120,0),IF('Gas Giant'!Q120="V",ROUND('Gas Giant'!N120,-3),""))</f>
        <v>174386</v>
      </c>
      <c r="C109" s="77" t="n">
        <f aca="false">IF(B109="","",IF(B110="",0,'Gas Giant'!H120/1000))</f>
        <v>4.70308988565815</v>
      </c>
      <c r="D109" s="78" t="n">
        <f aca="false">IF(C109="","",IF(C109=0,0,-(C109*1.001-C109*0.999)/('Gas Giant'!G120*LN((C109*1.001)/(C109*0.999)))/IF('Gas Giant'!G$88&gt;0,'Gas Giant'!G$88,0.5)))</f>
        <v>-0.000217529832129546</v>
      </c>
      <c r="E109" s="78" t="n">
        <f aca="false">D109</f>
        <v>-0.000217529832129546</v>
      </c>
    </row>
    <row r="110" customFormat="false" ht="15" hidden="false" customHeight="false" outlineLevel="0" collapsed="false">
      <c r="A110" s="75" t="str">
        <f aca="false">IF(B110="","Unused","key =")</f>
        <v>key =</v>
      </c>
      <c r="B110" s="75" t="n">
        <f aca="false">IF('Gas Giant'!Q121="|",ROUND('Gas Giant'!N121,0),IF('Gas Giant'!Q121="V",ROUND('Gas Giant'!N121,-3),""))</f>
        <v>191716</v>
      </c>
      <c r="C110" s="77" t="n">
        <f aca="false">IF(B110="","",IF(B111="",0,'Gas Giant'!H121/1000))</f>
        <v>2.18298094967481</v>
      </c>
      <c r="D110" s="78" t="n">
        <f aca="false">IF(C110="","",IF(C110=0,0,-(C110*1.001-C110*0.999)/('Gas Giant'!G121*LN((C110*1.001)/(C110*0.999)))/IF('Gas Giant'!G$88&gt;0,'Gas Giant'!G$88,0.5)))</f>
        <v>-9.72719427399765E-005</v>
      </c>
      <c r="E110" s="78" t="n">
        <f aca="false">D110</f>
        <v>-9.72719427399765E-005</v>
      </c>
    </row>
    <row r="111" customFormat="false" ht="15" hidden="false" customHeight="false" outlineLevel="0" collapsed="false">
      <c r="A111" s="75" t="str">
        <f aca="false">IF(B111="","Unused","key =")</f>
        <v>key =</v>
      </c>
      <c r="B111" s="75" t="n">
        <f aca="false">IF('Gas Giant'!Q122="|",ROUND('Gas Giant'!N122,0),IF('Gas Giant'!Q122="V",ROUND('Gas Giant'!N122,-3),""))</f>
        <v>210030</v>
      </c>
      <c r="C111" s="77" t="n">
        <f aca="false">IF(B111="","",IF(B112="",0,'Gas Giant'!H122/1000))</f>
        <v>1.01325</v>
      </c>
      <c r="D111" s="78" t="n">
        <f aca="false">IF(C111="","",IF(C111=0,0,-(C111*1.001-C111*0.999)/('Gas Giant'!G122*LN((C111*1.001)/(C111*0.999)))/IF('Gas Giant'!G$88&gt;0,'Gas Giant'!G$88,0.5)))</f>
        <v>-4.21031082809023E-005</v>
      </c>
      <c r="E111" s="78" t="n">
        <f aca="false">D111</f>
        <v>-4.21031082809023E-005</v>
      </c>
    </row>
    <row r="112" customFormat="false" ht="15" hidden="false" customHeight="false" outlineLevel="0" collapsed="false">
      <c r="A112" s="75" t="str">
        <f aca="false">IF(B112="","Unused","key =")</f>
        <v>key =</v>
      </c>
      <c r="B112" s="75" t="n">
        <f aca="false">IF('Gas Giant'!Q123="|",ROUND('Gas Giant'!N123,0),IF('Gas Giant'!Q123="V",ROUND('Gas Giant'!N123,-3),""))</f>
        <v>229823</v>
      </c>
      <c r="C112" s="77" t="n">
        <f aca="false">IF(B112="","",IF(B113="",0,'Gas Giant'!H123/1000))</f>
        <v>0.470308988565815</v>
      </c>
      <c r="D112" s="78" t="n">
        <f aca="false">IF(C112="","",IF(C112=0,0,-(C112*1.001-C112*0.999)/('Gas Giant'!G123*LN((C112*1.001)/(C112*0.999)))/IF('Gas Giant'!G$88&gt;0,'Gas Giant'!G$88,0.5)))</f>
        <v>-1.79957620229741E-005</v>
      </c>
      <c r="E112" s="78" t="n">
        <f aca="false">D112</f>
        <v>-1.79957620229741E-005</v>
      </c>
    </row>
    <row r="113" customFormat="false" ht="15" hidden="false" customHeight="false" outlineLevel="0" collapsed="false">
      <c r="A113" s="75" t="str">
        <f aca="false">IF(B113="","Unused","key =")</f>
        <v>key =</v>
      </c>
      <c r="B113" s="75" t="n">
        <f aca="false">IF('Gas Giant'!Q124="|",ROUND('Gas Giant'!N124,0),IF('Gas Giant'!Q124="V",ROUND('Gas Giant'!N124,-3),""))</f>
        <v>251300</v>
      </c>
      <c r="C113" s="77" t="n">
        <f aca="false">IF(B113="","",IF(B114="",0,'Gas Giant'!H124/1000))</f>
        <v>0.21829809496748</v>
      </c>
      <c r="D113" s="78" t="n">
        <f aca="false">IF(C113="","",IF(C113=0,0,-(C113*1.001-C113*0.999)/('Gas Giant'!G124*LN((C113*1.001)/(C113*0.999)))/IF('Gas Giant'!G$88&gt;0,'Gas Giant'!G$88,0.5)))</f>
        <v>-7.72966313811638E-006</v>
      </c>
      <c r="E113" s="78" t="n">
        <f aca="false">D113</f>
        <v>-7.72966313811638E-006</v>
      </c>
    </row>
    <row r="114" customFormat="false" ht="15" hidden="false" customHeight="false" outlineLevel="0" collapsed="false">
      <c r="A114" s="75" t="str">
        <f aca="false">IF(B114="","Unused","key =")</f>
        <v>key =</v>
      </c>
      <c r="B114" s="75" t="n">
        <f aca="false">IF('Gas Giant'!Q125="|",ROUND('Gas Giant'!N125,0),IF('Gas Giant'!Q125="V",ROUND('Gas Giant'!N125,-3),""))</f>
        <v>274364</v>
      </c>
      <c r="C114" s="77" t="n">
        <f aca="false">IF(B114="","",IF(B115="",0,'Gas Giant'!H125/1000))</f>
        <v>0.101325</v>
      </c>
      <c r="D114" s="78" t="n">
        <f aca="false">IF(C114="","",IF(C114=0,0,-(C114*1.001-C114*0.999)/('Gas Giant'!G125*LN((C114*1.001)/(C114*0.999)))/IF('Gas Giant'!G$88&gt;0,'Gas Giant'!G$88,0.5)))</f>
        <v>-3.37306216559711E-006</v>
      </c>
      <c r="E114" s="78" t="n">
        <f aca="false">D114</f>
        <v>-3.37306216559711E-006</v>
      </c>
    </row>
    <row r="115" customFormat="false" ht="15" hidden="false" customHeight="false" outlineLevel="0" collapsed="false">
      <c r="A115" s="75" t="str">
        <f aca="false">IF(B115="","Unused","key =")</f>
        <v>key =</v>
      </c>
      <c r="B115" s="75" t="n">
        <f aca="false">IF('Gas Giant'!Q126="|",ROUND('Gas Giant'!N126,0),IF('Gas Giant'!Q126="V",ROUND('Gas Giant'!N126,-3),""))</f>
        <v>298618</v>
      </c>
      <c r="C115" s="77" t="n">
        <f aca="false">IF(B115="","",IF(B116="",0,'Gas Giant'!H126/1000))</f>
        <v>0.0470308988565815</v>
      </c>
      <c r="D115" s="78" t="n">
        <f aca="false">IF(C115="","",IF(C115=0,0,-(C115*1.001-C115*0.999)/('Gas Giant'!G126*LN((C115*1.001)/(C115*0.999)))/IF('Gas Giant'!G$88&gt;0,'Gas Giant'!G$88,0.5)))</f>
        <v>-1.51117586263323E-006</v>
      </c>
      <c r="E115" s="78" t="n">
        <f aca="false">D115</f>
        <v>-1.51117586263323E-006</v>
      </c>
    </row>
    <row r="116" customFormat="false" ht="15" hidden="false" customHeight="false" outlineLevel="0" collapsed="false">
      <c r="A116" s="75" t="str">
        <f aca="false">IF(B116="","Unused","key =")</f>
        <v>key =</v>
      </c>
      <c r="B116" s="75" t="n">
        <f aca="false">IF('Gas Giant'!Q127="|",ROUND('Gas Giant'!N127,0),IF('Gas Giant'!Q127="V",ROUND('Gas Giant'!N127,-3),""))</f>
        <v>323417</v>
      </c>
      <c r="C116" s="77" t="n">
        <f aca="false">IF(B116="","",IF(B117="",0,'Gas Giant'!H127/1000))</f>
        <v>0.021829809496748</v>
      </c>
      <c r="D116" s="78" t="n">
        <f aca="false">IF(C116="","",IF(C116=0,0,-(C116*1.001-C116*0.999)/('Gas Giant'!G127*LN((C116*1.001)/(C116*0.999)))/IF('Gas Giant'!G$88&gt;0,'Gas Giant'!G$88,0.5)))</f>
        <v>-6.97741702616207E-007</v>
      </c>
      <c r="E116" s="78" t="n">
        <f aca="false">D116</f>
        <v>-6.97741702616207E-007</v>
      </c>
    </row>
    <row r="117" customFormat="false" ht="15" hidden="false" customHeight="false" outlineLevel="0" collapsed="false">
      <c r="A117" s="75" t="str">
        <f aca="false">IF(B117="","Unused","key =")</f>
        <v>key =</v>
      </c>
      <c r="B117" s="75" t="n">
        <f aca="false">IF('Gas Giant'!Q128="|",ROUND('Gas Giant'!N128,0),IF('Gas Giant'!Q128="V",ROUND('Gas Giant'!N128,-3),""))</f>
        <v>348331</v>
      </c>
      <c r="C117" s="77" t="n">
        <f aca="false">IF(B117="","",IF(B118="",0,'Gas Giant'!H128/1000))</f>
        <v>0.0101325</v>
      </c>
      <c r="D117" s="78" t="n">
        <f aca="false">IF(C117="","",IF(C117=0,0,-(C117*1.001-C117*0.999)/('Gas Giant'!G128*LN((C117*1.001)/(C117*0.999)))/IF('Gas Giant'!G$88&gt;0,'Gas Giant'!G$88,0.5)))</f>
        <v>-3.23863009560932E-007</v>
      </c>
      <c r="E117" s="78" t="n">
        <f aca="false">D117</f>
        <v>-3.23863009560932E-007</v>
      </c>
    </row>
    <row r="118" customFormat="false" ht="15" hidden="false" customHeight="false" outlineLevel="0" collapsed="false">
      <c r="A118" s="75" t="str">
        <f aca="false">IF(B118="","Unused","key =")</f>
        <v>key =</v>
      </c>
      <c r="B118" s="75" t="n">
        <f aca="false">IF('Gas Giant'!Q129="|",ROUND('Gas Giant'!N129,0),IF('Gas Giant'!Q129="V",ROUND('Gas Giant'!N129,-3),""))</f>
        <v>373293</v>
      </c>
      <c r="C118" s="77" t="n">
        <f aca="false">IF(B118="","",IF(B119="",0,'Gas Giant'!H129/1000))</f>
        <v>0.00470308988565815</v>
      </c>
      <c r="D118" s="78" t="n">
        <f aca="false">IF(C118="","",IF(C118=0,0,-(C118*1.001-C118*0.999)/('Gas Giant'!G129*LN((C118*1.001)/(C118*0.999)))/IF('Gas Giant'!G$88&gt;0,'Gas Giant'!G$88,0.5)))</f>
        <v>-1.5032389287983E-007</v>
      </c>
      <c r="E118" s="78" t="n">
        <f aca="false">D118</f>
        <v>-1.5032389287983E-007</v>
      </c>
    </row>
    <row r="119" customFormat="false" ht="15" hidden="false" customHeight="false" outlineLevel="0" collapsed="false">
      <c r="A119" s="75" t="str">
        <f aca="false">IF(B119="","Unused","key =")</f>
        <v>key =</v>
      </c>
      <c r="B119" s="75" t="n">
        <f aca="false">IF('Gas Giant'!Q130="|",ROUND('Gas Giant'!N130,0),IF('Gas Giant'!Q130="V",ROUND('Gas Giant'!N130,-3),""))</f>
        <v>398305</v>
      </c>
      <c r="C119" s="77" t="n">
        <f aca="false">IF(B119="","",IF(B120="",0,'Gas Giant'!H130/1000))</f>
        <v>0.00218298094967481</v>
      </c>
      <c r="D119" s="78" t="n">
        <f aca="false">IF(C119="","",IF(C119=0,0,-(C119*1.001-C119*0.999)/('Gas Giant'!G130*LN((C119*1.001)/(C119*0.999)))/IF('Gas Giant'!G$88&gt;0,'Gas Giant'!G$88,0.5)))</f>
        <v>-6.97741702616207E-008</v>
      </c>
      <c r="E119" s="78" t="n">
        <f aca="false">D119</f>
        <v>-6.97741702616207E-008</v>
      </c>
    </row>
    <row r="120" customFormat="false" ht="15" hidden="false" customHeight="false" outlineLevel="0" collapsed="false">
      <c r="A120" s="75" t="str">
        <f aca="false">IF(B120="","Unused","key =")</f>
        <v>key =</v>
      </c>
      <c r="B120" s="75" t="n">
        <f aca="false">IF('Gas Giant'!Q131="|",ROUND('Gas Giant'!N131,0),IF('Gas Giant'!Q131="V",ROUND('Gas Giant'!N131,-3),""))</f>
        <v>424000</v>
      </c>
      <c r="C120" s="77" t="n">
        <f aca="false">IF(B120="","",IF(B121="",0,'Gas Giant'!H131/1000))</f>
        <v>0</v>
      </c>
      <c r="D120" s="78" t="n">
        <f aca="false">IF(C120="","",IF(C120=0,0,-(C120*1.001-C120*0.999)/('Gas Giant'!G131*LN((C120*1.001)/(C120*0.999)))/IF('Gas Giant'!G$88&gt;0,'Gas Giant'!G$88,0.5)))</f>
        <v>0</v>
      </c>
      <c r="E120" s="78" t="n">
        <f aca="false">D120</f>
        <v>0</v>
      </c>
    </row>
    <row r="121" customFormat="false" ht="15" hidden="false" customHeight="false" outlineLevel="0" collapsed="false">
      <c r="A121" s="75" t="str">
        <f aca="false">IF(B121="","Unused","key =")</f>
        <v>Unused</v>
      </c>
      <c r="B121" s="75" t="str">
        <f aca="false">IF('Gas Giant'!Q132="|",ROUND('Gas Giant'!N132,0),IF('Gas Giant'!Q132="V",ROUND('Gas Giant'!N132,-3),""))</f>
        <v/>
      </c>
      <c r="C121" s="77" t="str">
        <f aca="false">IF(B121="","",IF(B122="",0,'Gas Giant'!H132/1000))</f>
        <v/>
      </c>
      <c r="D121" s="78" t="str">
        <f aca="false">IF(C121="","",IF(C121=0,0,-(C121*1.001-C121*0.999)/('Gas Giant'!G132*LN((C121*1.001)/(C121*0.999)))/IF('Gas Giant'!G$88&gt;0,'Gas Giant'!G$88,0.5)))</f>
        <v/>
      </c>
      <c r="E121" s="78" t="str">
        <f aca="false">D121</f>
        <v/>
      </c>
    </row>
    <row r="122" customFormat="false" ht="15" hidden="false" customHeight="false" outlineLevel="0" collapsed="false">
      <c r="A122" s="75" t="str">
        <f aca="false">IF(B122="","Unused","key =")</f>
        <v>Unused</v>
      </c>
      <c r="B122" s="75" t="str">
        <f aca="false">IF('Gas Giant'!Q133="|",ROUND('Gas Giant'!N133,0),IF('Gas Giant'!Q133="V",ROUND('Gas Giant'!N133,-3),""))</f>
        <v/>
      </c>
      <c r="C122" s="77" t="str">
        <f aca="false">IF(B122="","",IF(B123="",0,'Gas Giant'!H133/1000))</f>
        <v/>
      </c>
      <c r="D122" s="78" t="str">
        <f aca="false">IF(C122="","",IF(C122=0,0,-(C122*1.001-C122*0.999)/('Gas Giant'!G133*LN((C122*1.001)/(C122*0.999)))/IF('Gas Giant'!G$88&gt;0,'Gas Giant'!G$88,0.5)))</f>
        <v/>
      </c>
      <c r="E122" s="78" t="str">
        <f aca="false">D122</f>
        <v/>
      </c>
    </row>
    <row r="123" customFormat="false" ht="15" hidden="false" customHeight="false" outlineLevel="0" collapsed="false">
      <c r="A123" s="75" t="str">
        <f aca="false">IF(B123="","Unused","key =")</f>
        <v>Unused</v>
      </c>
      <c r="B123" s="75" t="str">
        <f aca="false">IF('Gas Giant'!Q134="|",ROUND('Gas Giant'!N134,0),IF('Gas Giant'!Q134="V",ROUND('Gas Giant'!N134,-3),""))</f>
        <v/>
      </c>
      <c r="C123" s="77" t="str">
        <f aca="false">IF(B123="","",IF(B124="",0,'Gas Giant'!H134/1000))</f>
        <v/>
      </c>
      <c r="D123" s="78" t="str">
        <f aca="false">IF(C123="","",IF(C123=0,0,-(C123*1.001-C123*0.999)/('Gas Giant'!G134*LN((C123*1.001)/(C123*0.999)))/IF('Gas Giant'!G$88&gt;0,'Gas Giant'!G$88,0.5)))</f>
        <v/>
      </c>
      <c r="E123" s="78" t="str">
        <f aca="false">D123</f>
        <v/>
      </c>
    </row>
    <row r="124" customFormat="false" ht="15" hidden="false" customHeight="false" outlineLevel="0" collapsed="false">
      <c r="A124" s="75" t="str">
        <f aca="false">IF(B124="","Unused","key =")</f>
        <v>Unused</v>
      </c>
      <c r="B124" s="75" t="str">
        <f aca="false">IF('Gas Giant'!Q135="|",ROUND('Gas Giant'!N135,0),IF('Gas Giant'!Q135="V",ROUND('Gas Giant'!N135,-3),""))</f>
        <v/>
      </c>
      <c r="C124" s="77" t="str">
        <f aca="false">IF(B124="","",IF(B125="",0,'Gas Giant'!H135/1000))</f>
        <v/>
      </c>
      <c r="D124" s="78" t="str">
        <f aca="false">IF(C124="","",IF(C124=0,0,-(C124*1.001-C124*0.999)/('Gas Giant'!G135*LN((C124*1.001)/(C124*0.999)))/IF('Gas Giant'!G$88&gt;0,'Gas Giant'!G$88,0.5)))</f>
        <v/>
      </c>
      <c r="E124" s="78" t="str">
        <f aca="false">D124</f>
        <v/>
      </c>
    </row>
    <row r="125" customFormat="false" ht="15" hidden="false" customHeight="false" outlineLevel="0" collapsed="false">
      <c r="A125" s="75" t="str">
        <f aca="false">IF(B125="","Unused","key =")</f>
        <v>Unused</v>
      </c>
      <c r="B125" s="75" t="str">
        <f aca="false">IF('Gas Giant'!Q136="|",ROUND('Gas Giant'!N136,0),IF('Gas Giant'!Q136="V",ROUND('Gas Giant'!N136,-3),""))</f>
        <v/>
      </c>
      <c r="C125" s="77" t="str">
        <f aca="false">IF(B125="","",IF(B126="",0,'Gas Giant'!H136/1000))</f>
        <v/>
      </c>
      <c r="D125" s="78" t="str">
        <f aca="false">IF(C125="","",IF(C125=0,0,-(C125*1.001-C125*0.999)/('Gas Giant'!G136*LN((C125*1.001)/(C125*0.999)))/IF('Gas Giant'!G$88&gt;0,'Gas Giant'!G$88,0.5)))</f>
        <v/>
      </c>
      <c r="E125" s="78" t="str">
        <f aca="false">D125</f>
        <v/>
      </c>
    </row>
    <row r="126" customFormat="false" ht="15" hidden="false" customHeight="false" outlineLevel="0" collapsed="false">
      <c r="A126" s="75" t="str">
        <f aca="false">IF(B126="","Unused","key =")</f>
        <v>Unused</v>
      </c>
      <c r="B126" s="75" t="str">
        <f aca="false">IF('Gas Giant'!Q137="|",ROUND('Gas Giant'!N137,0),IF('Gas Giant'!Q137="V",ROUND('Gas Giant'!N137,-3),""))</f>
        <v/>
      </c>
      <c r="C126" s="77" t="str">
        <f aca="false">IF(B126="","",IF(B127="",0,'Gas Giant'!H137/1000))</f>
        <v/>
      </c>
      <c r="D126" s="78" t="str">
        <f aca="false">IF(C126="","",IF(C126=0,0,-(C126*1.001-C126*0.999)/('Gas Giant'!G137*LN((C126*1.001)/(C126*0.999)))/IF('Gas Giant'!G$88&gt;0,'Gas Giant'!G$88,0.5)))</f>
        <v/>
      </c>
      <c r="E126" s="78" t="str">
        <f aca="false">D126</f>
        <v/>
      </c>
    </row>
    <row r="127" customFormat="false" ht="15" hidden="false" customHeight="false" outlineLevel="0" collapsed="false">
      <c r="A127" s="75" t="str">
        <f aca="false">IF(B127="","Unused","key =")</f>
        <v>Unused</v>
      </c>
      <c r="B127" s="75" t="str">
        <f aca="false">IF('Gas Giant'!Q138="|",ROUND('Gas Giant'!N138,0),IF('Gas Giant'!Q138="V",ROUND('Gas Giant'!N138,-3),""))</f>
        <v/>
      </c>
      <c r="C127" s="77" t="str">
        <f aca="false">IF(B127="","",IF(B128="",0,'Gas Giant'!H138/1000))</f>
        <v/>
      </c>
      <c r="D127" s="78" t="str">
        <f aca="false">IF(C127="","",IF(C127=0,0,-(C127*1.001-C127*0.999)/('Gas Giant'!G138*LN((C127*1.001)/(C127*0.999)))/IF('Gas Giant'!G$88&gt;0,'Gas Giant'!G$88,0.5)))</f>
        <v/>
      </c>
      <c r="E127" s="78" t="str">
        <f aca="false">D127</f>
        <v/>
      </c>
    </row>
    <row r="128" customFormat="false" ht="15" hidden="false" customHeight="false" outlineLevel="0" collapsed="false">
      <c r="A128" s="75" t="str">
        <f aca="false">IF(B128="","Unused","key =")</f>
        <v>Unused</v>
      </c>
      <c r="B128" s="75" t="str">
        <f aca="false">IF('Gas Giant'!Q139="|",ROUND('Gas Giant'!N139,0),IF('Gas Giant'!Q139="V",ROUND('Gas Giant'!N139,-3),""))</f>
        <v/>
      </c>
      <c r="C128" s="77" t="str">
        <f aca="false">IF(B128="","",IF(B129="",0,'Gas Giant'!H139/1000))</f>
        <v/>
      </c>
      <c r="D128" s="78" t="str">
        <f aca="false">IF(C128="","",IF(C128=0,0,-(C128*1.001-C128*0.999)/('Gas Giant'!G139*LN((C128*1.001)/(C128*0.999)))/IF('Gas Giant'!G$88&gt;0,'Gas Giant'!G$88,0.5)))</f>
        <v/>
      </c>
      <c r="E128" s="78" t="str">
        <f aca="false">D128</f>
        <v/>
      </c>
    </row>
    <row r="129" customFormat="false" ht="15" hidden="false" customHeight="false" outlineLevel="0" collapsed="false">
      <c r="A129" s="75" t="str">
        <f aca="false">IF(B129="","Unused","key =")</f>
        <v>Unused</v>
      </c>
      <c r="B129" s="75" t="str">
        <f aca="false">IF('Gas Giant'!Q140="|",ROUND('Gas Giant'!N140,0),IF('Gas Giant'!Q140="V",ROUND('Gas Giant'!N140,-3),""))</f>
        <v/>
      </c>
      <c r="C129" s="77" t="str">
        <f aca="false">IF(B129="","",IF(B130="",0,'Gas Giant'!H140/1000))</f>
        <v/>
      </c>
      <c r="D129" s="78" t="str">
        <f aca="false">IF(C129="","",IF(C129=0,0,-(C129*1.001-C129*0.999)/('Gas Giant'!G140*LN((C129*1.001)/(C129*0.999)))/IF('Gas Giant'!G$88&gt;0,'Gas Giant'!G$88,0.5)))</f>
        <v/>
      </c>
      <c r="E129" s="78" t="str">
        <f aca="false">D129</f>
        <v/>
      </c>
    </row>
    <row r="130" customFormat="false" ht="15" hidden="false" customHeight="false" outlineLevel="0" collapsed="false">
      <c r="A130" s="75" t="str">
        <f aca="false">IF(B130="","Unused","key =")</f>
        <v>Unused</v>
      </c>
      <c r="B130" s="75" t="str">
        <f aca="false">IF('Gas Giant'!Q141="|",ROUND('Gas Giant'!N141,0),IF('Gas Giant'!Q141="V",ROUND('Gas Giant'!N141,-3),""))</f>
        <v/>
      </c>
      <c r="C130" s="77" t="str">
        <f aca="false">IF(B130="","",IF(B131="",0,'Gas Giant'!H141/1000))</f>
        <v/>
      </c>
      <c r="D130" s="78" t="str">
        <f aca="false">IF(C130="","",IF(C130=0,0,-(C130*1.001-C130*0.999)/('Gas Giant'!G141*LN((C130*1.001)/(C130*0.999)))/IF('Gas Giant'!G$88&gt;0,'Gas Giant'!G$88,0.5)))</f>
        <v/>
      </c>
      <c r="E130" s="78" t="str">
        <f aca="false">D130</f>
        <v/>
      </c>
    </row>
    <row r="131" customFormat="false" ht="15" hidden="false" customHeight="false" outlineLevel="0" collapsed="false">
      <c r="A131" s="75" t="str">
        <f aca="false">IF(B131="","Unused","key =")</f>
        <v>Unused</v>
      </c>
      <c r="B131" s="75" t="str">
        <f aca="false">IF('Gas Giant'!Q142="|",ROUND('Gas Giant'!N142,0),IF('Gas Giant'!Q142="V",ROUND('Gas Giant'!N142,-3),""))</f>
        <v/>
      </c>
      <c r="C131" s="77" t="str">
        <f aca="false">IF(B131="","",IF(B132="",0,'Gas Giant'!H142/1000))</f>
        <v/>
      </c>
      <c r="D131" s="78" t="str">
        <f aca="false">IF(C131="","",IF(C131=0,0,-(C131*1.001-C131*0.999)/('Gas Giant'!G142*LN((C131*1.001)/(C131*0.999)))/IF('Gas Giant'!G$88&gt;0,'Gas Giant'!G$88,0.5)))</f>
        <v/>
      </c>
      <c r="E131" s="78" t="str">
        <f aca="false">D131</f>
        <v/>
      </c>
    </row>
    <row r="132" customFormat="false" ht="15" hidden="false" customHeight="false" outlineLevel="0" collapsed="false">
      <c r="A132" s="75" t="str">
        <f aca="false">IF(B132="","Unused","key =")</f>
        <v>Unused</v>
      </c>
      <c r="B132" s="75" t="str">
        <f aca="false">IF('Gas Giant'!Q143="|",ROUND('Gas Giant'!N143,0),IF('Gas Giant'!Q143="V",ROUND('Gas Giant'!N143,-3),""))</f>
        <v/>
      </c>
      <c r="C132" s="77" t="str">
        <f aca="false">IF(B132="","",IF(B133="",0,'Gas Giant'!H143/1000))</f>
        <v/>
      </c>
      <c r="D132" s="78" t="str">
        <f aca="false">IF(C132="","",IF(C132=0,0,-(C132*1.001-C132*0.999)/('Gas Giant'!G143*LN((C132*1.001)/(C132*0.999)))/IF('Gas Giant'!G$88&gt;0,'Gas Giant'!G$88,0.5)))</f>
        <v/>
      </c>
      <c r="E132" s="78" t="str">
        <f aca="false">D132</f>
        <v/>
      </c>
    </row>
    <row r="133" customFormat="false" ht="15" hidden="false" customHeight="false" outlineLevel="0" collapsed="false">
      <c r="A133" s="72" t="s">
        <v>212</v>
      </c>
      <c r="B133" s="75"/>
      <c r="C133" s="75"/>
      <c r="D133" s="75"/>
      <c r="E133" s="75"/>
    </row>
    <row r="134" customFormat="false" ht="15" hidden="false" customHeight="false" outlineLevel="0" collapsed="false">
      <c r="A134" s="70" t="s">
        <v>212</v>
      </c>
      <c r="B134" s="75"/>
      <c r="C134" s="75"/>
      <c r="D134" s="75"/>
      <c r="E134" s="75"/>
    </row>
    <row r="135" customFormat="false" ht="15" hidden="false" customHeight="false" outlineLevel="0" collapsed="false">
      <c r="B135" s="68"/>
    </row>
    <row r="136" customFormat="false" ht="15" hidden="false" customHeight="false" outlineLevel="0" collapsed="false">
      <c r="B136" s="68"/>
      <c r="C136" s="79"/>
      <c r="D136" s="80"/>
      <c r="E136" s="80"/>
    </row>
    <row r="137" customFormat="false" ht="15" hidden="false" customHeight="false" outlineLevel="0" collapsed="false">
      <c r="B137" s="68"/>
    </row>
    <row r="138" customFormat="false" ht="15" hidden="false" customHeight="false" outlineLevel="0" collapsed="false">
      <c r="B138" s="68"/>
      <c r="E138" s="80"/>
    </row>
    <row r="139" customFormat="false" ht="15" hidden="false" customHeight="false" outlineLevel="0" collapsed="false">
      <c r="B139" s="68"/>
      <c r="D139" s="80"/>
      <c r="E139" s="80"/>
    </row>
    <row r="140" customFormat="false" ht="15" hidden="false" customHeight="false" outlineLevel="0" collapsed="false">
      <c r="B140" s="68"/>
      <c r="D140" s="80"/>
      <c r="E140" s="80"/>
    </row>
    <row r="141" customFormat="false" ht="15" hidden="false" customHeight="false" outlineLevel="0" collapsed="false">
      <c r="B141" s="68"/>
      <c r="C141" s="79"/>
      <c r="D141" s="80"/>
      <c r="E141" s="80"/>
    </row>
    <row r="142" customFormat="false" ht="15" hidden="false" customHeight="false" outlineLevel="0" collapsed="false">
      <c r="B142" s="68"/>
    </row>
    <row r="143" customFormat="false" ht="15" hidden="false" customHeight="false" outlineLevel="0" collapsed="false">
      <c r="B143" s="68"/>
    </row>
    <row r="144" customFormat="false" ht="15" hidden="false" customHeight="false" outlineLevel="0" collapsed="false">
      <c r="B144" s="68"/>
    </row>
    <row r="145" customFormat="false" ht="15" hidden="false" customHeight="false" outlineLevel="0" collapsed="false">
      <c r="B145" s="68"/>
    </row>
    <row r="146" customFormat="false" ht="15" hidden="false" customHeight="false" outlineLevel="0" collapsed="false">
      <c r="B146" s="68"/>
    </row>
    <row r="147" customFormat="false" ht="15" hidden="false" customHeight="false" outlineLevel="0" collapsed="false">
      <c r="B147" s="68"/>
    </row>
    <row r="148" customFormat="false" ht="15" hidden="false" customHeight="false" outlineLevel="0" collapsed="false">
      <c r="B148" s="68"/>
      <c r="D148" s="80"/>
      <c r="E148" s="80"/>
    </row>
    <row r="149" customFormat="false" ht="15" hidden="false" customHeight="false" outlineLevel="0" collapsed="false">
      <c r="B149"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91" width="3.71"/>
    <col collapsed="false" customWidth="true" hidden="false" outlineLevel="0" max="16" min="2" style="92" width="12.71"/>
    <col collapsed="false" customWidth="false" hidden="false" outlineLevel="0" max="17" min="17" style="92" width="9.13"/>
    <col collapsed="false" customWidth="true" hidden="true" outlineLevel="0" max="18" min="18" style="92" width="11.52"/>
    <col collapsed="false" customWidth="false" hidden="false" outlineLevel="0" max="1024" min="19" style="92" width="9.13"/>
  </cols>
  <sheetData>
    <row r="2" customFormat="false" ht="31.5" hidden="false" customHeight="false" outlineLevel="0" collapsed="false">
      <c r="B2" s="93" t="s">
        <v>292</v>
      </c>
      <c r="C2" s="93"/>
      <c r="D2" s="93"/>
      <c r="E2" s="93"/>
      <c r="F2" s="93"/>
      <c r="G2" s="93"/>
      <c r="H2" s="93"/>
    </row>
    <row r="4" customFormat="false" ht="15.75" hidden="false" customHeight="false" outlineLevel="0" collapsed="false">
      <c r="B4" s="94" t="s">
        <v>20</v>
      </c>
      <c r="C4" s="94"/>
      <c r="D4" s="94"/>
      <c r="E4" s="94"/>
      <c r="F4" s="94"/>
      <c r="G4" s="94"/>
      <c r="H4" s="94"/>
    </row>
    <row r="5" customFormat="false" ht="15.75" hidden="false" customHeight="false" outlineLevel="0" collapsed="false">
      <c r="B5" s="94" t="s">
        <v>293</v>
      </c>
      <c r="C5" s="94"/>
      <c r="D5" s="94"/>
      <c r="E5" s="94"/>
      <c r="F5" s="94"/>
      <c r="G5" s="94"/>
      <c r="H5" s="94"/>
    </row>
    <row r="6" customFormat="false" ht="15.75" hidden="false" customHeight="false" outlineLevel="0" collapsed="false">
      <c r="B6" s="94" t="s">
        <v>294</v>
      </c>
      <c r="C6" s="94"/>
      <c r="D6" s="94"/>
      <c r="E6" s="94"/>
      <c r="F6" s="94"/>
      <c r="G6" s="94"/>
      <c r="H6" s="94"/>
    </row>
    <row r="7" customFormat="false" ht="15.75" hidden="false" customHeight="false" outlineLevel="0" collapsed="false">
      <c r="B7" s="94" t="s">
        <v>295</v>
      </c>
      <c r="C7" s="94"/>
      <c r="D7" s="94"/>
      <c r="E7" s="94"/>
      <c r="F7" s="94"/>
      <c r="G7" s="94"/>
      <c r="H7" s="94"/>
    </row>
    <row r="8" customFormat="false" ht="15.75" hidden="false" customHeight="false" outlineLevel="0" collapsed="false">
      <c r="B8" s="94" t="s">
        <v>296</v>
      </c>
      <c r="C8" s="94"/>
      <c r="D8" s="94"/>
      <c r="E8" s="94"/>
      <c r="F8" s="94"/>
      <c r="G8" s="94"/>
      <c r="H8" s="94"/>
    </row>
    <row r="10" customFormat="false" ht="15.75" hidden="false" customHeight="false" outlineLevel="0" collapsed="false">
      <c r="B10" s="91" t="s">
        <v>29</v>
      </c>
    </row>
    <row r="11" customFormat="false" ht="15.75" hidden="false" customHeight="false" outlineLevel="0" collapsed="false">
      <c r="B11" s="95" t="s">
        <v>32</v>
      </c>
      <c r="F11" s="96" t="n">
        <v>13599840256</v>
      </c>
      <c r="G11" s="96"/>
      <c r="H11" s="97" t="s">
        <v>33</v>
      </c>
    </row>
    <row r="12" customFormat="false" ht="15.75" hidden="false" customHeight="false" outlineLevel="0" collapsed="false">
      <c r="B12" s="91" t="s">
        <v>36</v>
      </c>
      <c r="F12" s="98"/>
      <c r="G12" s="98"/>
    </row>
    <row r="13" customFormat="false" ht="15.75" hidden="false" customHeight="false" outlineLevel="0" collapsed="false">
      <c r="B13" s="95" t="s">
        <v>39</v>
      </c>
      <c r="F13" s="96" t="n">
        <v>261600000</v>
      </c>
      <c r="G13" s="96"/>
      <c r="H13" s="92" t="s">
        <v>33</v>
      </c>
    </row>
    <row r="14" customFormat="false" ht="15" hidden="false" customHeight="true" outlineLevel="0" collapsed="false">
      <c r="B14" s="99" t="s">
        <v>42</v>
      </c>
      <c r="C14" s="100"/>
      <c r="D14" s="101" t="s">
        <v>43</v>
      </c>
      <c r="E14" s="101"/>
      <c r="F14" s="102"/>
      <c r="G14" s="20"/>
      <c r="H14" s="97" t="s">
        <v>44</v>
      </c>
    </row>
    <row r="15" customFormat="false" ht="15.75" hidden="false" customHeight="false" outlineLevel="0" collapsed="false">
      <c r="B15" s="103" t="s">
        <v>47</v>
      </c>
      <c r="C15" s="97"/>
      <c r="D15" s="101"/>
      <c r="E15" s="101"/>
      <c r="F15" s="104"/>
      <c r="G15" s="23"/>
      <c r="H15" s="92" t="s">
        <v>48</v>
      </c>
    </row>
    <row r="16" customFormat="false" ht="15.75" hidden="false" customHeight="false" outlineLevel="0" collapsed="false">
      <c r="B16" s="105" t="s">
        <v>50</v>
      </c>
      <c r="C16" s="106"/>
      <c r="D16" s="101"/>
      <c r="E16" s="101"/>
      <c r="F16" s="107"/>
      <c r="G16" s="108" t="n">
        <v>1.74684656100137</v>
      </c>
      <c r="H16" s="97" t="s">
        <v>51</v>
      </c>
    </row>
    <row r="17" customFormat="false" ht="15.75" hidden="false" customHeight="false" outlineLevel="0" collapsed="false">
      <c r="B17" s="95" t="s">
        <v>236</v>
      </c>
      <c r="F17" s="98"/>
      <c r="G17" s="109" t="n">
        <v>1360</v>
      </c>
      <c r="H17" s="97" t="s">
        <v>135</v>
      </c>
    </row>
    <row r="18" s="97" customFormat="true" ht="15.75" hidden="false" customHeight="false" outlineLevel="0" collapsed="false">
      <c r="B18" s="91" t="s">
        <v>237</v>
      </c>
      <c r="F18" s="104"/>
      <c r="G18" s="104"/>
      <c r="M18" s="92"/>
      <c r="N18" s="92"/>
      <c r="O18" s="92"/>
      <c r="P18" s="92"/>
      <c r="Q18" s="92"/>
      <c r="R18" s="92"/>
      <c r="S18" s="92"/>
    </row>
    <row r="19" s="97" customFormat="true" ht="15.75" hidden="false" customHeight="false" outlineLevel="0" collapsed="false">
      <c r="B19" s="95" t="s">
        <v>297</v>
      </c>
      <c r="F19" s="104"/>
      <c r="G19" s="110" t="s">
        <v>298</v>
      </c>
      <c r="N19" s="92"/>
      <c r="O19" s="92"/>
      <c r="P19" s="92"/>
      <c r="Q19" s="92"/>
    </row>
    <row r="20" s="97" customFormat="true" ht="15.75" hidden="false" customHeight="false" outlineLevel="0" collapsed="false">
      <c r="B20" s="95" t="s">
        <v>39</v>
      </c>
      <c r="C20" s="92"/>
      <c r="D20" s="92"/>
      <c r="E20" s="92"/>
      <c r="F20" s="96" t="n">
        <v>600000</v>
      </c>
      <c r="G20" s="96"/>
      <c r="H20" s="92" t="s">
        <v>33</v>
      </c>
      <c r="N20" s="92"/>
      <c r="O20" s="92"/>
      <c r="P20" s="92"/>
      <c r="Q20" s="92"/>
    </row>
    <row r="21" customFormat="false" ht="15" hidden="false" customHeight="true" outlineLevel="0" collapsed="false">
      <c r="B21" s="99" t="s">
        <v>42</v>
      </c>
      <c r="C21" s="100"/>
      <c r="D21" s="101" t="s">
        <v>43</v>
      </c>
      <c r="E21" s="101"/>
      <c r="F21" s="102"/>
      <c r="G21" s="20"/>
      <c r="H21" s="97" t="s">
        <v>44</v>
      </c>
    </row>
    <row r="22" s="97" customFormat="true" ht="15.75" hidden="false" customHeight="false" outlineLevel="0" collapsed="false">
      <c r="B22" s="103" t="s">
        <v>47</v>
      </c>
      <c r="D22" s="101"/>
      <c r="E22" s="101"/>
      <c r="F22" s="104"/>
      <c r="G22" s="23"/>
      <c r="H22" s="92" t="s">
        <v>48</v>
      </c>
      <c r="N22" s="92"/>
      <c r="O22" s="92"/>
      <c r="P22" s="92"/>
      <c r="Q22" s="92"/>
    </row>
    <row r="23" customFormat="false" ht="15.75" hidden="false" customHeight="false" outlineLevel="0" collapsed="false">
      <c r="B23" s="105" t="s">
        <v>50</v>
      </c>
      <c r="C23" s="106"/>
      <c r="D23" s="101"/>
      <c r="E23" s="101"/>
      <c r="F23" s="107"/>
      <c r="G23" s="108" t="n">
        <v>1.00034160493135</v>
      </c>
      <c r="H23" s="97" t="s">
        <v>51</v>
      </c>
      <c r="I23" s="97"/>
    </row>
    <row r="24" s="97" customFormat="true" ht="15.75" hidden="false" customHeight="false" outlineLevel="0" collapsed="false">
      <c r="B24" s="95" t="s">
        <v>238</v>
      </c>
      <c r="F24" s="104"/>
      <c r="G24" s="109" t="n">
        <v>0.3</v>
      </c>
      <c r="O24" s="92"/>
      <c r="P24" s="92"/>
      <c r="Q24" s="92"/>
    </row>
    <row r="25" s="97" customFormat="true" ht="15.75" hidden="false" customHeight="false" outlineLevel="0" collapsed="false">
      <c r="B25" s="95" t="s">
        <v>32</v>
      </c>
      <c r="F25" s="96" t="n">
        <v>13599840256</v>
      </c>
      <c r="G25" s="96"/>
      <c r="H25" s="97" t="s">
        <v>33</v>
      </c>
      <c r="O25" s="92"/>
      <c r="P25" s="92"/>
      <c r="Q25" s="92"/>
    </row>
    <row r="26" s="97" customFormat="true" ht="15.75" hidden="false" customHeight="false" outlineLevel="0" collapsed="false">
      <c r="B26" s="95" t="s">
        <v>239</v>
      </c>
      <c r="F26" s="104"/>
      <c r="G26" s="109" t="n">
        <v>0</v>
      </c>
      <c r="O26" s="92"/>
      <c r="P26" s="92"/>
      <c r="Q26" s="92"/>
    </row>
    <row r="27" s="97" customFormat="true" ht="15.75" hidden="false" customHeight="false" outlineLevel="0" collapsed="false">
      <c r="B27" s="95" t="s">
        <v>240</v>
      </c>
      <c r="F27" s="104"/>
      <c r="G27" s="109" t="n">
        <v>0</v>
      </c>
      <c r="H27" s="97" t="s">
        <v>241</v>
      </c>
      <c r="O27" s="92"/>
      <c r="P27" s="92"/>
      <c r="Q27" s="92"/>
    </row>
    <row r="28" s="97" customFormat="true" ht="15.75" hidden="false" customHeight="false" outlineLevel="0" collapsed="false">
      <c r="B28" s="95" t="s">
        <v>242</v>
      </c>
      <c r="F28" s="104"/>
      <c r="G28" s="109" t="n">
        <v>0</v>
      </c>
      <c r="H28" s="97" t="s">
        <v>241</v>
      </c>
      <c r="O28" s="92"/>
      <c r="P28" s="92"/>
      <c r="Q28" s="92"/>
    </row>
    <row r="29" s="97" customFormat="true" ht="15.75" hidden="false" customHeight="false" outlineLevel="0" collapsed="false">
      <c r="B29" s="91" t="s">
        <v>299</v>
      </c>
      <c r="F29" s="104"/>
      <c r="G29" s="104"/>
      <c r="O29" s="92"/>
      <c r="P29" s="92"/>
      <c r="Q29" s="92"/>
    </row>
    <row r="30" s="97" customFormat="true" ht="15.75" hidden="false" customHeight="false" outlineLevel="0" collapsed="false">
      <c r="B30" s="95" t="str">
        <f aca="false">IF(G19="Moon","semiMajorAxis","")</f>
        <v/>
      </c>
      <c r="D30" s="111" t="str">
        <f aca="false">IF(G19="Planet","not applicable","")</f>
        <v>not applicable</v>
      </c>
      <c r="F30" s="96"/>
      <c r="G30" s="96"/>
      <c r="H30" s="97" t="str">
        <f aca="false">IF(G19="Moon","m","")</f>
        <v/>
      </c>
      <c r="O30" s="92"/>
      <c r="P30" s="92"/>
      <c r="Q30" s="92"/>
    </row>
    <row r="31" s="97" customFormat="true" ht="15.75" hidden="false" customHeight="false" outlineLevel="0" collapsed="false">
      <c r="B31" s="95" t="str">
        <f aca="false">IF(G19="Moon","eccentricity","")</f>
        <v/>
      </c>
      <c r="D31" s="111" t="str">
        <f aca="false">IF(G19="Planet","|","")</f>
        <v>|</v>
      </c>
      <c r="F31" s="104"/>
      <c r="G31" s="109"/>
      <c r="O31" s="92"/>
      <c r="P31" s="92"/>
      <c r="Q31" s="92"/>
    </row>
    <row r="32" s="97" customFormat="true" ht="15.75" hidden="false" customHeight="false" outlineLevel="0" collapsed="false">
      <c r="B32" s="95" t="str">
        <f aca="false">IF(G19="Moon","inclination","")</f>
        <v/>
      </c>
      <c r="D32" s="111" t="str">
        <f aca="false">IF(G19="Planet","|","")</f>
        <v>|</v>
      </c>
      <c r="F32" s="104"/>
      <c r="G32" s="109"/>
      <c r="H32" s="97" t="str">
        <f aca="false">IF(G19="Moon","°","")</f>
        <v/>
      </c>
      <c r="O32" s="92"/>
      <c r="P32" s="92"/>
      <c r="Q32" s="92"/>
    </row>
    <row r="33" s="97" customFormat="true" ht="15.75" hidden="false" customHeight="false" outlineLevel="0" collapsed="false">
      <c r="B33" s="95" t="str">
        <f aca="false">IF(G19="Moon","argumentOfPeriapsis","")</f>
        <v/>
      </c>
      <c r="D33" s="111" t="str">
        <f aca="false">IF(G19="Planet","V","")</f>
        <v>V</v>
      </c>
      <c r="F33" s="104"/>
      <c r="G33" s="109"/>
      <c r="H33" s="97" t="str">
        <f aca="false">IF(G19="Moon","°","")</f>
        <v/>
      </c>
      <c r="O33" s="92"/>
      <c r="P33" s="92"/>
      <c r="Q33" s="92"/>
    </row>
    <row r="34" s="97" customFormat="true" ht="15.75" hidden="false" customHeight="false" outlineLevel="0" collapsed="false">
      <c r="B34" s="112"/>
      <c r="F34" s="104"/>
      <c r="G34" s="104"/>
      <c r="O34" s="92"/>
      <c r="P34" s="92"/>
      <c r="Q34" s="92"/>
    </row>
    <row r="35" customFormat="false" ht="15.75" hidden="false" customHeight="false" outlineLevel="0" collapsed="false">
      <c r="B35" s="94" t="s">
        <v>69</v>
      </c>
      <c r="C35" s="94"/>
      <c r="D35" s="94"/>
      <c r="E35" s="94"/>
      <c r="F35" s="94"/>
      <c r="G35" s="94"/>
      <c r="H35" s="94"/>
      <c r="K35" s="97"/>
      <c r="L35" s="97"/>
      <c r="M35" s="97"/>
      <c r="N35" s="97"/>
    </row>
    <row r="36" customFormat="false" ht="15.75" hidden="false" customHeight="false" outlineLevel="0" collapsed="false">
      <c r="B36" s="94" t="s">
        <v>243</v>
      </c>
      <c r="C36" s="94"/>
      <c r="D36" s="94"/>
      <c r="E36" s="94"/>
      <c r="F36" s="94"/>
      <c r="G36" s="94"/>
      <c r="H36" s="94"/>
      <c r="K36" s="97"/>
      <c r="L36" s="97"/>
      <c r="M36" s="97"/>
      <c r="N36" s="97"/>
    </row>
    <row r="37" customFormat="false" ht="15.75" hidden="false" customHeight="false" outlineLevel="0" collapsed="false">
      <c r="F37" s="98"/>
      <c r="G37" s="98"/>
    </row>
    <row r="38" customFormat="false" ht="15.75" hidden="false" customHeight="false" outlineLevel="0" collapsed="false">
      <c r="B38" s="95" t="s">
        <v>75</v>
      </c>
      <c r="F38" s="113" t="n">
        <v>6371000</v>
      </c>
      <c r="G38" s="113"/>
      <c r="H38" s="92" t="s">
        <v>33</v>
      </c>
    </row>
    <row r="40" customFormat="false" ht="15.75" hidden="false" customHeight="false" outlineLevel="0" collapsed="false">
      <c r="B40" s="94" t="s">
        <v>300</v>
      </c>
      <c r="C40" s="94"/>
      <c r="D40" s="94"/>
      <c r="E40" s="94"/>
      <c r="F40" s="94"/>
      <c r="G40" s="94"/>
      <c r="H40" s="94"/>
    </row>
    <row r="41" customFormat="false" ht="15.75" hidden="false" customHeight="false" outlineLevel="0" collapsed="false">
      <c r="B41" s="94" t="s">
        <v>301</v>
      </c>
      <c r="C41" s="94"/>
      <c r="D41" s="94"/>
      <c r="E41" s="94"/>
      <c r="F41" s="94"/>
      <c r="G41" s="94"/>
      <c r="H41" s="94"/>
    </row>
    <row r="43" customFormat="false" ht="15.75" hidden="false" customHeight="false" outlineLevel="0" collapsed="false">
      <c r="B43" s="95" t="s">
        <v>302</v>
      </c>
      <c r="G43" s="114" t="n">
        <v>1</v>
      </c>
      <c r="H43" s="92" t="s">
        <v>189</v>
      </c>
    </row>
    <row r="45" customFormat="false" ht="15.75" hidden="false" customHeight="false" outlineLevel="0" collapsed="false">
      <c r="B45" s="91"/>
      <c r="F45" s="115" t="s">
        <v>87</v>
      </c>
      <c r="G45" s="115" t="s">
        <v>88</v>
      </c>
      <c r="H45" s="115" t="s">
        <v>89</v>
      </c>
    </row>
    <row r="46" customFormat="false" ht="15.75" hidden="false" customHeight="false" outlineLevel="0" collapsed="false">
      <c r="B46" s="116" t="s">
        <v>91</v>
      </c>
      <c r="C46" s="117"/>
      <c r="D46" s="117"/>
      <c r="E46" s="117" t="s">
        <v>92</v>
      </c>
      <c r="F46" s="118" t="s">
        <v>93</v>
      </c>
      <c r="G46" s="118" t="s">
        <v>94</v>
      </c>
      <c r="H46" s="118" t="s">
        <v>95</v>
      </c>
    </row>
    <row r="47" customFormat="false" ht="15.75" hidden="false" customHeight="false" outlineLevel="0" collapsed="false">
      <c r="B47" s="119" t="s">
        <v>303</v>
      </c>
      <c r="C47" s="119"/>
      <c r="D47" s="119"/>
      <c r="E47" s="92" t="s">
        <v>304</v>
      </c>
      <c r="F47" s="42" t="n">
        <v>0.78</v>
      </c>
      <c r="G47" s="120" t="n">
        <v>28.0134</v>
      </c>
      <c r="H47" s="120" t="n">
        <f aca="false">IF(G$75&lt;100,29.104,IF(G$75&lt;500,28.98641+1.853978*(G$75/1000)-9.647459*(G$75/1000)^2+16.63537*(G$75/1000)^3+0.000117/(G$75/1000)^2,IF(G$75&lt;2000,19.50583+19.88705*(G$75/1000)-8.598535*(G$75/1000)^2+1.369784*(G$75/1000)^3+0.527601/(G$75/1000)^2,IF(G$75&lt;6000,35.51872+1.128728*(G$75/1000)-0.196103*(G$75/1000)^2+0.014662*(G$75/1000)^3-4.55376/(G$75/1000)^2,38.276))))</f>
        <v>29.1102325122054</v>
      </c>
    </row>
    <row r="48" customFormat="false" ht="15.75" hidden="false" customHeight="false" outlineLevel="0" collapsed="false">
      <c r="B48" s="121" t="s">
        <v>305</v>
      </c>
      <c r="C48" s="121"/>
      <c r="D48" s="121"/>
      <c r="E48" s="92" t="s">
        <v>306</v>
      </c>
      <c r="F48" s="42" t="n">
        <v>0.21</v>
      </c>
      <c r="G48" s="120" t="n">
        <v>31.9988</v>
      </c>
      <c r="H48" s="120" t="n">
        <f aca="false">IF(G$75&lt;100,29.106,IF(G$75&lt;700,31.32234-20.23531*(G$75/1000)+57.86644*(G$75/1000)^2-36.50624*(G$75/1000)^3-0.007374/(G$75/1000)^2,IF(G$75&lt;2000,30.03235+8.772972*(G$75/1000)-3.988133*(G$75/1000)^2+0.788313*(G$75/1000)^3-0.741599/(G$75/1000)^2,IF(G$75&lt;6000,20.91111+10.72071*(G$75/1000)-2.020498*(G$75/1000)^2+0.146449*(G$75/1000)^3+9.245722/(G$75/1000)^2,44.387))))</f>
        <v>29.2195696482923</v>
      </c>
    </row>
    <row r="49" customFormat="false" ht="15.75" hidden="false" customHeight="false" outlineLevel="0" collapsed="false">
      <c r="B49" s="121" t="s">
        <v>307</v>
      </c>
      <c r="C49" s="121"/>
      <c r="D49" s="121"/>
      <c r="E49" s="92" t="s">
        <v>308</v>
      </c>
      <c r="F49" s="42" t="n">
        <v>0.01</v>
      </c>
      <c r="G49" s="120" t="n">
        <v>39.948</v>
      </c>
      <c r="H49" s="120" t="n">
        <v>20.786</v>
      </c>
    </row>
    <row r="50" customFormat="false" ht="15.75" hidden="false" customHeight="false" outlineLevel="0" collapsed="false">
      <c r="B50" s="121" t="s">
        <v>309</v>
      </c>
      <c r="C50" s="121"/>
      <c r="D50" s="121"/>
      <c r="E50" s="92" t="s">
        <v>310</v>
      </c>
      <c r="F50" s="42" t="n">
        <v>0</v>
      </c>
      <c r="G50" s="120" t="n">
        <v>18.0153</v>
      </c>
      <c r="H50" s="120"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v>
      </c>
      <c r="I50" s="92" t="str">
        <f aca="false">IF(G78&gt;1,"Too much water, oversaturated","")</f>
        <v/>
      </c>
    </row>
    <row r="51" customFormat="false" ht="15.75" hidden="false" customHeight="false" outlineLevel="0" collapsed="false">
      <c r="B51" s="121" t="s">
        <v>311</v>
      </c>
      <c r="C51" s="121"/>
      <c r="D51" s="121"/>
      <c r="E51" s="92" t="s">
        <v>312</v>
      </c>
      <c r="F51" s="42" t="n">
        <v>0</v>
      </c>
      <c r="G51" s="120" t="n">
        <v>44.0095</v>
      </c>
      <c r="H51" s="120" t="n">
        <f aca="false">IF(G$75&lt;100,29.208,IF(G$75&lt;298.15,0.0000862432*G$75^2+0.00563705*G$75+27.7819,IF(G$75&lt;1200,24.99735+55.18696*(G$75/1000)-33.69137*(G$75/1000)^2+7.948387*(G$75/1000)^3-0.136638/(G$75/1000)^2,IF(G$75&lt;6000,58.16639+2.720074*(G$75/1000)-0.492289*(G$75/1000)^2+0.038844*(G$75/1000)^3-6.447293/(G$75/1000)^2,64.957))))</f>
        <v>35.0368143107541</v>
      </c>
    </row>
    <row r="52" customFormat="false" ht="15.75" hidden="false" customHeight="false" outlineLevel="0" collapsed="false">
      <c r="B52" s="122"/>
      <c r="C52" s="122"/>
      <c r="D52" s="122"/>
      <c r="E52" s="114"/>
      <c r="F52" s="42"/>
      <c r="G52" s="123"/>
      <c r="H52" s="123"/>
      <c r="I52" s="124" t="s">
        <v>313</v>
      </c>
      <c r="J52" s="124"/>
    </row>
    <row r="53" customFormat="false" ht="15.75" hidden="false" customHeight="false" outlineLevel="0" collapsed="false">
      <c r="B53" s="122"/>
      <c r="C53" s="122"/>
      <c r="D53" s="122"/>
      <c r="E53" s="114"/>
      <c r="F53" s="42"/>
      <c r="G53" s="123"/>
      <c r="H53" s="123"/>
      <c r="I53" s="124" t="s">
        <v>313</v>
      </c>
      <c r="J53" s="124"/>
    </row>
    <row r="54" customFormat="false" ht="15.75" hidden="false" customHeight="false" outlineLevel="0" collapsed="false">
      <c r="B54" s="125"/>
      <c r="C54" s="125"/>
      <c r="D54" s="125"/>
      <c r="E54" s="126"/>
      <c r="F54" s="127"/>
      <c r="G54" s="128"/>
      <c r="H54" s="128"/>
      <c r="I54" s="129" t="s">
        <v>313</v>
      </c>
      <c r="J54" s="129"/>
    </row>
    <row r="55" customFormat="false" ht="15.75" hidden="false" customHeight="false" outlineLevel="0" collapsed="false">
      <c r="B55" s="91" t="s">
        <v>112</v>
      </c>
      <c r="F55" s="130" t="n">
        <f aca="false">SUM(F47:F54)</f>
        <v>1</v>
      </c>
    </row>
    <row r="56" customFormat="false" ht="15.75" hidden="false" customHeight="false" outlineLevel="0" collapsed="false">
      <c r="B56" s="91"/>
    </row>
    <row r="57" customFormat="false" ht="15.75" hidden="false" customHeight="false" outlineLevel="0" collapsed="false">
      <c r="B57" s="95" t="s">
        <v>115</v>
      </c>
    </row>
    <row r="58" customFormat="false" ht="15.75" hidden="false" customHeight="false" outlineLevel="0" collapsed="false">
      <c r="B58" s="95" t="s">
        <v>117</v>
      </c>
    </row>
    <row r="59" customFormat="false" ht="15.75" hidden="false" customHeight="false" outlineLevel="0" collapsed="false">
      <c r="B59" s="91"/>
    </row>
    <row r="60" customFormat="false" ht="15.75" hidden="false" customHeight="false" outlineLevel="0" collapsed="false">
      <c r="B60" s="94" t="s">
        <v>120</v>
      </c>
      <c r="C60" s="94"/>
      <c r="D60" s="94"/>
      <c r="E60" s="94"/>
      <c r="F60" s="94"/>
      <c r="G60" s="94"/>
      <c r="H60" s="94"/>
    </row>
    <row r="61" customFormat="false" ht="15.75" hidden="false" customHeight="false" outlineLevel="0" collapsed="false">
      <c r="B61" s="94" t="s">
        <v>252</v>
      </c>
      <c r="C61" s="94"/>
      <c r="D61" s="94"/>
      <c r="E61" s="94"/>
      <c r="F61" s="94"/>
      <c r="G61" s="94"/>
      <c r="H61" s="94"/>
    </row>
    <row r="62" customFormat="false" ht="15.75" hidden="false" customHeight="false" outlineLevel="0" collapsed="false">
      <c r="B62" s="94" t="s">
        <v>253</v>
      </c>
      <c r="C62" s="94"/>
      <c r="D62" s="94"/>
      <c r="E62" s="94"/>
      <c r="F62" s="94"/>
      <c r="G62" s="94"/>
      <c r="H62" s="94"/>
    </row>
    <row r="63" customFormat="false" ht="15.75" hidden="false" customHeight="false" outlineLevel="0" collapsed="false">
      <c r="B63" s="91"/>
    </row>
    <row r="64" customFormat="false" ht="15.75" hidden="false" customHeight="false" outlineLevel="0" collapsed="false">
      <c r="B64" s="131" t="s">
        <v>254</v>
      </c>
      <c r="C64" s="131"/>
      <c r="D64" s="131"/>
      <c r="E64" s="131"/>
      <c r="F64" s="131"/>
      <c r="G64" s="131"/>
      <c r="H64" s="131"/>
    </row>
    <row r="66" s="97" customFormat="true" ht="15.75" hidden="false" customHeight="false" outlineLevel="0" collapsed="false">
      <c r="B66" s="97" t="s">
        <v>36</v>
      </c>
      <c r="I66" s="92"/>
      <c r="J66" s="92"/>
      <c r="K66" s="92"/>
      <c r="L66" s="92"/>
      <c r="M66" s="92"/>
      <c r="O66" s="92"/>
      <c r="P66" s="92"/>
      <c r="Q66" s="92"/>
    </row>
    <row r="67" s="97" customFormat="true" ht="15.75" hidden="false" customHeight="false" outlineLevel="0" collapsed="false">
      <c r="B67" s="132" t="s">
        <v>42</v>
      </c>
      <c r="G67" s="133" t="n">
        <f aca="false">IF(G14&gt;0,G14,IF(G15&gt;0,G15*0.0000000000667408,IF(G16&gt;0,IF(F13&gt;0,F13^2*G16*9.80665,1E+018),1E+018)))</f>
        <v>1.17233279483249E+018</v>
      </c>
      <c r="H67" s="97" t="s">
        <v>44</v>
      </c>
      <c r="I67" s="92"/>
      <c r="J67" s="92"/>
      <c r="K67" s="92"/>
      <c r="L67" s="92"/>
      <c r="M67" s="92"/>
      <c r="O67" s="92"/>
      <c r="P67" s="92"/>
      <c r="Q67" s="92"/>
    </row>
    <row r="68" s="97" customFormat="true" ht="15.75" hidden="false" customHeight="false" outlineLevel="0" collapsed="false">
      <c r="B68" s="97" t="s">
        <v>237</v>
      </c>
      <c r="I68" s="92"/>
      <c r="J68" s="92"/>
      <c r="K68" s="92"/>
      <c r="L68" s="92"/>
      <c r="M68" s="92"/>
      <c r="O68" s="92"/>
      <c r="P68" s="92"/>
      <c r="Q68" s="92"/>
    </row>
    <row r="69" s="97" customFormat="true" ht="15.75" hidden="false" customHeight="false" outlineLevel="0" collapsed="false">
      <c r="B69" s="132" t="s">
        <v>42</v>
      </c>
      <c r="C69" s="92"/>
      <c r="G69" s="133" t="n">
        <f aca="false">IF(G21&gt;0,G21,IF(G22&gt;0,G22*0.0000000000667408,IF(G23&gt;0,IF(F20&gt;0,F20^2*G23*9.80665,1000000000000),1000000000000)))</f>
        <v>3531600000000.01</v>
      </c>
      <c r="H69" s="97" t="s">
        <v>44</v>
      </c>
      <c r="I69" s="92"/>
      <c r="J69" s="92"/>
      <c r="K69" s="92"/>
      <c r="L69" s="92"/>
      <c r="M69" s="92"/>
      <c r="O69" s="92"/>
      <c r="P69" s="92"/>
      <c r="Q69" s="92"/>
    </row>
    <row r="70" s="97" customFormat="true" ht="15.75" hidden="false" customHeight="false" outlineLevel="0" collapsed="false">
      <c r="B70" s="132" t="s">
        <v>50</v>
      </c>
      <c r="G70" s="97" t="n">
        <f aca="false">MAX(IF(G21&gt;0,IF(F20&gt;0,G21/F20^2/9.80665,1),IF(G22&gt;0,IF(F20&gt;0,G22*0.0000000000667408/F20^2/9.80665,1),IF(G23&gt;0,G23,1))),IF(F38&gt;0,F38*0.00000001,0.01))</f>
        <v>1.00034160493135</v>
      </c>
      <c r="H70" s="97" t="s">
        <v>51</v>
      </c>
      <c r="I70" s="92"/>
      <c r="J70" s="92"/>
      <c r="K70" s="92"/>
      <c r="L70" s="92"/>
      <c r="O70" s="92"/>
      <c r="P70" s="92"/>
      <c r="Q70" s="92"/>
    </row>
    <row r="71" s="97" customFormat="true" ht="15.75" hidden="false" customHeight="false" outlineLevel="0" collapsed="false">
      <c r="B71" s="132" t="str">
        <f aca="false">IF(G19="Planet","Orbital period","Solar orbital period (parent planet)")</f>
        <v>Orbital period</v>
      </c>
      <c r="C71" s="92"/>
      <c r="G71" s="134" t="n">
        <f aca="false">IF(G19="Planet",2*PI()*SQRT(F25^3/G67)/3600,2*PI()*SQRT(F30^3/G67)/3600)</f>
        <v>2556.54017152817</v>
      </c>
      <c r="H71" s="97" t="s">
        <v>256</v>
      </c>
      <c r="I71" s="92"/>
      <c r="J71" s="92"/>
      <c r="K71" s="92"/>
      <c r="L71" s="92"/>
      <c r="O71" s="92"/>
      <c r="P71" s="92"/>
      <c r="Q71" s="92"/>
    </row>
    <row r="72" customFormat="false" ht="15.75" hidden="false" customHeight="false" outlineLevel="0" collapsed="false">
      <c r="B72" s="132" t="s">
        <v>257</v>
      </c>
      <c r="G72" s="135" t="n">
        <f aca="false">IF(F11&gt;0,IF(G17&gt;0,IF(G19="Planet",IF(F25&gt;0,G17*(F11/F25)^2,1000),IF(F30&gt;0,G17*(F11/F30)^2,1000)),1000),1000)</f>
        <v>1360</v>
      </c>
      <c r="H72" s="92" t="s">
        <v>135</v>
      </c>
    </row>
    <row r="73" customFormat="false" ht="15.75" hidden="false" customHeight="false" outlineLevel="0" collapsed="false">
      <c r="B73" s="132" t="s">
        <v>258</v>
      </c>
      <c r="G73" s="135" t="n">
        <f aca="false">(G72*(1-G24)/(4*0.000000056704))^0.25</f>
        <v>254.531077089955</v>
      </c>
      <c r="H73" s="92" t="s">
        <v>65</v>
      </c>
    </row>
    <row r="74" customFormat="false" ht="15.75" hidden="false" customHeight="false" outlineLevel="0" collapsed="false">
      <c r="B74" s="132" t="s">
        <v>127</v>
      </c>
      <c r="F74" s="136"/>
      <c r="G74" s="136" t="n">
        <f aca="false">IF(F55&gt;0,(F47*G47+F48*G48+F49*G49+F50*G50+F51*G51+F52*G52+F53*G53+F54*G54)/(SUM(F47:F51)+IF(G52&gt;0,F52,0)+IF(G53&gt;0,F53,0)+IF(G54&gt;0,F54,0)),29)</f>
        <v>28.96968</v>
      </c>
      <c r="H74" s="92" t="s">
        <v>128</v>
      </c>
    </row>
    <row r="75" customFormat="false" ht="15.75" hidden="false" customHeight="false" outlineLevel="0" collapsed="false">
      <c r="B75" s="137" t="s">
        <v>259</v>
      </c>
      <c r="G75" s="138" t="n">
        <f aca="false">(C122*I122+C123*I123+C124*I124+C125*I125+C126*I126+C127*I127+C128*I128+C129*I129+C130*I130+C131*I131+C132*I132+C133*I133+C134*I134)/SUM(I122:I134)</f>
        <v>259.191510667327</v>
      </c>
      <c r="H75" s="92" t="s">
        <v>65</v>
      </c>
    </row>
    <row r="76" customFormat="false" ht="15.75" hidden="false" customHeight="false" outlineLevel="0" collapsed="false">
      <c r="B76" s="132" t="s">
        <v>130</v>
      </c>
      <c r="G76" s="136" t="n">
        <f aca="false">IF(F55&gt;0,1/(1-8.3144621/((F47*H47+F48*H48+F49*H49+F50*H50+F51*H51+F52*H52+F53*H53+F54*H54)/(SUM(F47:F51)+IF(H52&gt;0,F52,0)+IF(H53&gt;0,F53,0)+IF(H54&gt;0,F54,0)))),1.4)</f>
        <v>1.4009773845144</v>
      </c>
    </row>
    <row r="77" customFormat="false" ht="15.75" hidden="false" customHeight="false" outlineLevel="0" collapsed="false">
      <c r="B77" s="132" t="s">
        <v>314</v>
      </c>
      <c r="G77" s="139" t="n">
        <f aca="false">G43*F48*1013.25</f>
        <v>212.7825</v>
      </c>
      <c r="H77" s="92" t="s">
        <v>315</v>
      </c>
    </row>
    <row r="78" customFormat="false" ht="15.75" hidden="false" customHeight="false" outlineLevel="0" collapsed="false">
      <c r="B78" s="132" t="s">
        <v>316</v>
      </c>
      <c r="G78" s="140" t="n">
        <f aca="false">(G43*F50*101325*4)/MAX(10^(0.00000000003015194*C122^5-0.00000004034334*C122^4+0.00002174343*C122^3-0.006075586*C122^2+0.9360141*C122-63.99428),0.000001)</f>
        <v>0</v>
      </c>
    </row>
    <row r="79" customFormat="false" ht="15.75" hidden="false" customHeight="false" outlineLevel="0" collapsed="false">
      <c r="B79" s="141" t="s">
        <v>317</v>
      </c>
    </row>
    <row r="80" customFormat="false" ht="15.75" hidden="false" customHeight="false" outlineLevel="0" collapsed="false">
      <c r="B80" s="142"/>
    </row>
    <row r="81" customFormat="false" ht="15.75" hidden="false" customHeight="true" outlineLevel="0" collapsed="false">
      <c r="B81" s="143" t="s">
        <v>260</v>
      </c>
      <c r="C81" s="143"/>
      <c r="D81" s="143"/>
      <c r="E81" s="143"/>
      <c r="F81" s="143"/>
      <c r="G81" s="143"/>
      <c r="H81" s="143"/>
    </row>
    <row r="82" customFormat="false" ht="15.75" hidden="false" customHeight="false" outlineLevel="0" collapsed="false">
      <c r="B82" s="91"/>
    </row>
    <row r="83" customFormat="false" ht="15.75" hidden="false" customHeight="false" outlineLevel="0" collapsed="false">
      <c r="B83" s="97" t="s">
        <v>237</v>
      </c>
    </row>
    <row r="84" customFormat="false" ht="15.75" hidden="false" customHeight="false" outlineLevel="0" collapsed="false">
      <c r="B84" s="132" t="s">
        <v>261</v>
      </c>
      <c r="G84" s="139" t="n">
        <f aca="false">ROUND(165*G72^0.25,-1)</f>
        <v>1000</v>
      </c>
      <c r="H84" s="92" t="s">
        <v>65</v>
      </c>
    </row>
    <row r="85" customFormat="false" ht="15.75" hidden="false" customHeight="false" outlineLevel="0" collapsed="false">
      <c r="B85" s="132" t="s">
        <v>318</v>
      </c>
      <c r="F85" s="144"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-0.000148331802680837</v>
      </c>
      <c r="G85" s="139" t="n">
        <f aca="false">(G72*(1-G24)/4/IF(F85&lt;3.00607947,MIN(-0.0276*F85^3+0.08774*F85^2-0.2178*F85+0.6126,0.9),0.001)/0.000000056704)^0.25-G73</f>
        <v>33.1695716210479</v>
      </c>
      <c r="H85" s="92" t="s">
        <v>65</v>
      </c>
    </row>
    <row r="86" customFormat="false" ht="15.75" hidden="false" customHeight="false" outlineLevel="0" collapsed="false">
      <c r="A86" s="142"/>
      <c r="B86" s="132" t="s">
        <v>263</v>
      </c>
      <c r="G86" s="145" t="n">
        <f aca="false">ROUND(G73*(-0.035*LOG(IF(G43&gt;0,G43,1)*101325*G74/(8314.46*(G73+G85)))+0.07),0)</f>
        <v>17</v>
      </c>
      <c r="H86" s="92" t="s">
        <v>65</v>
      </c>
    </row>
    <row r="87" customFormat="false" ht="15.75" hidden="false" customHeight="false" outlineLevel="0" collapsed="false">
      <c r="A87" s="142"/>
      <c r="B87" s="132" t="s">
        <v>264</v>
      </c>
      <c r="G87" s="145" t="n">
        <f aca="false">ROUND(G73*(-0.01*LOG(IF(G43&gt;0,G43,1)*101325*G74/(8314.46*(G73+G85)))+0.02),0)</f>
        <v>5</v>
      </c>
      <c r="H87" s="92" t="s">
        <v>65</v>
      </c>
    </row>
    <row r="88" customFormat="false" ht="15.75" hidden="false" customHeight="false" outlineLevel="0" collapsed="false">
      <c r="A88" s="142"/>
      <c r="B88" s="132" t="s">
        <v>265</v>
      </c>
      <c r="G88" s="145" t="n">
        <f aca="false">ROUND(G73*(-0.084*LOG(IF(G43&gt;0,G43,1)*101325*G74/(8314.46*(G73+G85)))+0.168),0)</f>
        <v>41</v>
      </c>
      <c r="H88" s="92" t="s">
        <v>65</v>
      </c>
    </row>
    <row r="89" customFormat="false" ht="15.75" hidden="false" customHeight="false" outlineLevel="0" collapsed="false">
      <c r="A89" s="142"/>
      <c r="B89" s="132" t="s">
        <v>266</v>
      </c>
      <c r="G89" s="146" t="n">
        <f aca="false">IF(G19="Planet",(COS(RADIANS(38.2425-G27))*G72*(1-G24)/(PI()*0.000000056704))^0.25-(COS(RADIANS(38.2425+G27))*G72*(1-G24)/(PI()*0.000000056704))^0.25,(COS(RADIANS(38.2425-G32))*G72*(1-G24)/(PI()*0.000000056704))^0.25-(COS(RADIANS(38.2425+G32))*G72*(1-G24)/(PI()*0.000000056704))^0.25)</f>
        <v>0</v>
      </c>
      <c r="H89" s="92" t="s">
        <v>65</v>
      </c>
    </row>
    <row r="90" customFormat="false" ht="15.75" hidden="false" customHeight="false" outlineLevel="0" collapsed="false">
      <c r="A90" s="142"/>
      <c r="B90" s="132" t="s">
        <v>267</v>
      </c>
      <c r="G90" s="146" t="n">
        <f aca="false">IF(G19="Planet",IF(F25&gt;0,((F11/(F25*(1-G26)))^2*G17*(1-G24)/(4*0.000000056704))^0.25-((F11/(F25*(1+G26)))^2*G17*(1-G24)/(4*0.000000056704))^0.25,0),IF(F30&gt;0,((F11/(F30*(1-G31)))^2*G17*(1-G24)/(4*0.000000056704))^0.25-((F11/(F30*(1+G31)))^2*G17*(1-G24)/(4*0.000000056704))^0.25,0))</f>
        <v>0</v>
      </c>
      <c r="H90" s="92" t="s">
        <v>65</v>
      </c>
    </row>
    <row r="91" customFormat="false" ht="15.75" hidden="false" customHeight="false" outlineLevel="0" collapsed="false">
      <c r="A91" s="142"/>
      <c r="B91" s="132" t="s">
        <v>268</v>
      </c>
      <c r="G91" s="136" t="n">
        <f aca="false">IF(F20&gt;0,IF(G71&gt;0,IF((G71*(F38/F20)^0.5)^(2/3)&lt;400,0.0009*(G71*(F38/F20)^0.5)^(2/3),IF((G71*(F38/F20)^0.5)^(2/3)&lt;1600,-0.0000003333333333*((G71*(F38/F20)^0.5)^(2/3))^2+0.0012*((G71*(F38/F20)^0.5)^(2/3))-0.06666666667,1)),0.5),0.5)</f>
        <v>0.370178467780991</v>
      </c>
    </row>
    <row r="92" customFormat="false" ht="15.75" hidden="false" customHeight="false" outlineLevel="0" collapsed="false">
      <c r="A92" s="142"/>
      <c r="G92" s="147"/>
    </row>
    <row r="93" customFormat="false" ht="15.75" hidden="false" customHeight="false" outlineLevel="0" collapsed="false">
      <c r="A93" s="142"/>
      <c r="B93" s="148" t="s">
        <v>138</v>
      </c>
      <c r="C93" s="148"/>
      <c r="D93" s="148"/>
      <c r="E93" s="148"/>
      <c r="F93" s="148"/>
      <c r="G93" s="148"/>
      <c r="H93" s="148"/>
    </row>
    <row r="94" customFormat="false" ht="15.75" hidden="false" customHeight="false" outlineLevel="0" collapsed="false">
      <c r="A94" s="142"/>
      <c r="B94" s="94" t="s">
        <v>140</v>
      </c>
      <c r="C94" s="94"/>
      <c r="D94" s="94"/>
      <c r="E94" s="94"/>
      <c r="F94" s="94"/>
      <c r="G94" s="94"/>
      <c r="H94" s="94"/>
    </row>
    <row r="95" customFormat="false" ht="15.75" hidden="false" customHeight="false" outlineLevel="0" collapsed="false">
      <c r="A95" s="142"/>
      <c r="G95" s="147"/>
    </row>
    <row r="96" customFormat="false" ht="15.75" hidden="false" customHeight="false" outlineLevel="0" collapsed="false">
      <c r="A96" s="142"/>
      <c r="B96" s="132" t="s">
        <v>142</v>
      </c>
      <c r="G96" s="147" t="n">
        <f aca="false">IF(F20&gt;0,IF(F38&gt;0,F20/F38,0.1),0.1)</f>
        <v>0.0941767383456286</v>
      </c>
    </row>
    <row r="97" customFormat="false" ht="15.75" hidden="false" customHeight="false" outlineLevel="0" collapsed="false">
      <c r="A97" s="142"/>
      <c r="B97" s="132" t="s">
        <v>144</v>
      </c>
      <c r="G97" s="139" t="n">
        <f aca="false">(F122-F138)/LN(H138/H122)</f>
        <v>7129.36691862112</v>
      </c>
      <c r="H97" s="92" t="s">
        <v>33</v>
      </c>
    </row>
    <row r="98" customFormat="false" ht="15.75" hidden="false" customHeight="false" outlineLevel="0" collapsed="false">
      <c r="A98" s="142"/>
      <c r="B98" s="132" t="s">
        <v>146</v>
      </c>
      <c r="G98" s="147" t="n">
        <f aca="false">(G96-0.09412)/0.90588*(1-IF(G97&gt;3344.087,0.16684*LOG(G97)^2-1.8388*LOG(G97)+5.4082,1))+IF(G97&gt;3344.087,0.16684*LOG(G97)^2-1.8388*LOG(G97)+5.4082,1)</f>
        <v>0.800129334150486</v>
      </c>
    </row>
    <row r="99" customFormat="false" ht="15.75" hidden="false" customHeight="false" outlineLevel="0" collapsed="false">
      <c r="A99" s="142"/>
    </row>
    <row r="100" customFormat="false" ht="15.75" hidden="false" customHeight="false" outlineLevel="0" collapsed="false">
      <c r="A100" s="142"/>
      <c r="B100" s="132" t="s">
        <v>149</v>
      </c>
      <c r="F100" s="149" t="s">
        <v>150</v>
      </c>
      <c r="G100" s="150" t="n">
        <f aca="false">G98</f>
        <v>0.800129334150486</v>
      </c>
    </row>
    <row r="101" customFormat="false" ht="15.75" hidden="false" customHeight="false" outlineLevel="0" collapsed="false">
      <c r="A101" s="142"/>
      <c r="B101" s="132" t="s">
        <v>152</v>
      </c>
      <c r="G101" s="151" t="n">
        <f aca="false">'Earthlike CFG'!B11</f>
        <v>70000</v>
      </c>
      <c r="H101" s="92" t="s">
        <v>33</v>
      </c>
    </row>
    <row r="103" customFormat="false" ht="15.75" hidden="false" customHeight="false" outlineLevel="0" collapsed="false">
      <c r="B103" s="94" t="s">
        <v>319</v>
      </c>
      <c r="C103" s="94"/>
      <c r="D103" s="94"/>
      <c r="E103" s="94"/>
      <c r="F103" s="94"/>
      <c r="G103" s="94"/>
      <c r="H103" s="94"/>
      <c r="I103" s="94"/>
      <c r="J103" s="94"/>
      <c r="K103" s="94"/>
      <c r="L103" s="94"/>
      <c r="M103" s="94"/>
      <c r="N103" s="94"/>
      <c r="O103" s="94"/>
      <c r="P103" s="94"/>
      <c r="Q103" s="94"/>
    </row>
    <row r="104" customFormat="false" ht="15.75" hidden="false" customHeight="false" outlineLevel="0" collapsed="false">
      <c r="B104" s="94" t="s">
        <v>320</v>
      </c>
      <c r="C104" s="94"/>
      <c r="D104" s="94"/>
      <c r="E104" s="94"/>
      <c r="F104" s="94"/>
      <c r="G104" s="94"/>
      <c r="H104" s="94"/>
      <c r="I104" s="94"/>
      <c r="J104" s="94"/>
      <c r="K104" s="94"/>
      <c r="L104" s="94"/>
      <c r="M104" s="94"/>
      <c r="N104" s="94"/>
      <c r="O104" s="94"/>
      <c r="P104" s="94"/>
      <c r="Q104" s="94"/>
    </row>
    <row r="105" customFormat="false" ht="15.75" hidden="false" customHeight="false" outlineLevel="0" collapsed="false">
      <c r="B105" s="94" t="s">
        <v>321</v>
      </c>
      <c r="C105" s="94"/>
      <c r="D105" s="94"/>
      <c r="E105" s="94"/>
      <c r="F105" s="94"/>
      <c r="G105" s="94"/>
      <c r="H105" s="94"/>
      <c r="I105" s="94"/>
      <c r="J105" s="94"/>
      <c r="K105" s="94"/>
      <c r="L105" s="94"/>
      <c r="M105" s="94"/>
      <c r="N105" s="94"/>
      <c r="O105" s="94"/>
      <c r="P105" s="94"/>
      <c r="Q105" s="94"/>
    </row>
    <row r="106" customFormat="false" ht="15.75" hidden="false" customHeight="false" outlineLevel="0" collapsed="false">
      <c r="J106" s="139"/>
    </row>
    <row r="107" customFormat="false" ht="15.75" hidden="false" customHeight="false" outlineLevel="0" collapsed="false">
      <c r="B107" s="132" t="s">
        <v>164</v>
      </c>
      <c r="J107" s="139"/>
    </row>
    <row r="108" customFormat="false" ht="15.75" hidden="false" customHeight="false" outlineLevel="0" collapsed="false">
      <c r="B108" s="132" t="s">
        <v>166</v>
      </c>
      <c r="J108" s="139"/>
    </row>
    <row r="109" customFormat="false" ht="15.75" hidden="false" customHeight="false" outlineLevel="0" collapsed="false">
      <c r="B109" s="132" t="s">
        <v>168</v>
      </c>
      <c r="J109" s="139"/>
    </row>
    <row r="110" customFormat="false" ht="15.75" hidden="false" customHeight="false" outlineLevel="0" collapsed="false">
      <c r="B110" s="132" t="s">
        <v>170</v>
      </c>
      <c r="J110" s="139"/>
    </row>
    <row r="111" customFormat="false" ht="15.75" hidden="false" customHeight="false" outlineLevel="0" collapsed="false">
      <c r="B111" s="132" t="s">
        <v>172</v>
      </c>
    </row>
    <row r="112" customFormat="false" ht="15.75" hidden="false" customHeight="false" outlineLevel="0" collapsed="false">
      <c r="B112" s="132" t="s">
        <v>174</v>
      </c>
      <c r="J112" s="139"/>
    </row>
    <row r="113" customFormat="false" ht="15.75" hidden="false" customHeight="false" outlineLevel="0" collapsed="false">
      <c r="B113" s="132" t="s">
        <v>272</v>
      </c>
      <c r="J113" s="139"/>
    </row>
    <row r="114" customFormat="false" ht="15.75" hidden="false" customHeight="false" outlineLevel="0" collapsed="false">
      <c r="B114" s="132" t="s">
        <v>273</v>
      </c>
      <c r="J114" s="139"/>
    </row>
    <row r="115" customFormat="false" ht="15.75" hidden="false" customHeight="false" outlineLevel="0" collapsed="false">
      <c r="B115" s="132" t="s">
        <v>274</v>
      </c>
      <c r="J115" s="139"/>
    </row>
    <row r="116" customFormat="false" ht="15.75" hidden="false" customHeight="false" outlineLevel="0" collapsed="false">
      <c r="B116" s="132" t="s">
        <v>275</v>
      </c>
      <c r="K116" s="152" t="s">
        <v>322</v>
      </c>
      <c r="L116" s="153" t="n">
        <f aca="false">IF(G96&lt;1,46.5182*LOG(G96)^2+1,1)</f>
        <v>49.9739722081918</v>
      </c>
      <c r="M116" s="92" t="s">
        <v>323</v>
      </c>
    </row>
    <row r="118" customFormat="false" ht="15.75" hidden="false" customHeight="false" outlineLevel="0" collapsed="false">
      <c r="B118" s="115"/>
      <c r="C118" s="115" t="s">
        <v>177</v>
      </c>
      <c r="F118" s="115"/>
      <c r="N118" s="115" t="s">
        <v>178</v>
      </c>
      <c r="O118" s="115" t="s">
        <v>278</v>
      </c>
      <c r="P118" s="115" t="s">
        <v>279</v>
      </c>
      <c r="Q118" s="115" t="s">
        <v>280</v>
      </c>
    </row>
    <row r="119" customFormat="false" ht="15.75" hidden="false" customHeight="false" outlineLevel="0" collapsed="false">
      <c r="B119" s="115" t="s">
        <v>180</v>
      </c>
      <c r="C119" s="115" t="s">
        <v>181</v>
      </c>
      <c r="D119" s="115" t="s">
        <v>182</v>
      </c>
      <c r="E119" s="115" t="s">
        <v>183</v>
      </c>
      <c r="F119" s="115" t="s">
        <v>184</v>
      </c>
      <c r="G119" s="115" t="s">
        <v>98</v>
      </c>
      <c r="H119" s="115" t="s">
        <v>185</v>
      </c>
      <c r="I119" s="115" t="s">
        <v>186</v>
      </c>
      <c r="J119" s="115" t="s">
        <v>281</v>
      </c>
      <c r="K119" s="115" t="s">
        <v>282</v>
      </c>
      <c r="L119" s="115" t="s">
        <v>283</v>
      </c>
      <c r="M119" s="115" t="s">
        <v>284</v>
      </c>
      <c r="N119" s="115" t="s">
        <v>187</v>
      </c>
      <c r="O119" s="115" t="s">
        <v>181</v>
      </c>
      <c r="P119" s="115" t="s">
        <v>285</v>
      </c>
      <c r="Q119" s="115" t="s">
        <v>286</v>
      </c>
    </row>
    <row r="120" customFormat="false" ht="15.75" hidden="false" customHeight="false" outlineLevel="0" collapsed="false">
      <c r="B120" s="115" t="s">
        <v>189</v>
      </c>
      <c r="C120" s="115" t="s">
        <v>65</v>
      </c>
      <c r="D120" s="115" t="s">
        <v>190</v>
      </c>
      <c r="E120" s="115" t="s">
        <v>191</v>
      </c>
      <c r="F120" s="115" t="s">
        <v>33</v>
      </c>
      <c r="G120" s="115" t="s">
        <v>33</v>
      </c>
      <c r="H120" s="115" t="s">
        <v>192</v>
      </c>
      <c r="I120" s="115" t="s">
        <v>193</v>
      </c>
      <c r="J120" s="115" t="s">
        <v>287</v>
      </c>
      <c r="K120" s="115" t="s">
        <v>287</v>
      </c>
      <c r="L120" s="115" t="s">
        <v>192</v>
      </c>
      <c r="M120" s="115" t="s">
        <v>135</v>
      </c>
      <c r="N120" s="115" t="s">
        <v>33</v>
      </c>
      <c r="O120" s="115" t="s">
        <v>65</v>
      </c>
      <c r="P120" s="115" t="s">
        <v>288</v>
      </c>
      <c r="Q120" s="115" t="s">
        <v>288</v>
      </c>
    </row>
    <row r="121" customFormat="false" ht="15.75" hidden="false" customHeight="false" outlineLevel="0" collapsed="false">
      <c r="B121" s="115"/>
      <c r="C121" s="115"/>
      <c r="D121" s="115"/>
      <c r="E121" s="154"/>
      <c r="O121" s="115"/>
      <c r="P121" s="115"/>
    </row>
    <row r="122" s="92" customFormat="true" ht="15.75" hidden="false" customHeight="false" outlineLevel="0" collapsed="false">
      <c r="B122" s="155" t="n">
        <f aca="false">LOG(IF(G43&gt;=0.2,G43,0.2))</f>
        <v>0</v>
      </c>
      <c r="C122" s="156"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v>
      </c>
      <c r="D122" s="115"/>
      <c r="E122" s="154" t="n">
        <v>0</v>
      </c>
      <c r="F122" s="154" t="n">
        <v>0</v>
      </c>
      <c r="G122" s="154" t="n">
        <f aca="false">8314.4621*C122/(G$74*G$70*9.80665)</f>
        <v>8417.09625726784</v>
      </c>
      <c r="H122" s="157" t="n">
        <f aca="false">10^B122*101325</f>
        <v>101325</v>
      </c>
      <c r="I122" s="157" t="n">
        <f aca="false">H122/(8314.4621/G$74*C122)</f>
        <v>1.22711513111799</v>
      </c>
      <c r="J122" s="154" t="n">
        <f aca="false">SQRT(8314.4621/G$74*G$76*C122)</f>
        <v>340.119250134692</v>
      </c>
      <c r="K122" s="154" t="n">
        <f aca="false">IF(F$20&gt;0,SQRT(2*G$69/(F$20+N122)),10000)</f>
        <v>3431.034829319</v>
      </c>
      <c r="L122" s="157" t="n">
        <f aca="false">I122*K122^2/2</f>
        <v>7222799.66176053</v>
      </c>
      <c r="M122" s="157" t="n">
        <f aca="false">I122*K122^3/2</f>
        <v>24781677204.6938</v>
      </c>
      <c r="N122" s="154" t="n">
        <f aca="false">F122*IF(G$100&gt;0,G$100,0.5)</f>
        <v>0</v>
      </c>
      <c r="O122" s="154" t="n">
        <f aca="false">C122-P122*(G$87+(G$86-G$87)*COS(RADIANS(38)))/2</f>
        <v>280.472584189363</v>
      </c>
      <c r="P122" s="158"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115" t="str">
        <f aca="false">IF(L122&gt;L$116,"|",IF(L121&gt;L$116,"V",""))</f>
        <v>|</v>
      </c>
      <c r="R122" s="92" t="n">
        <f aca="false">IF(Q122="V",B122,0)</f>
        <v>0</v>
      </c>
    </row>
    <row r="123" customFormat="false" ht="15.75" hidden="false" customHeight="false" outlineLevel="0" collapsed="false">
      <c r="A123" s="139"/>
      <c r="B123" s="155" t="n">
        <f aca="false">B122-0.25</f>
        <v>-0.25</v>
      </c>
      <c r="C123" s="159"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264.424574205724</v>
      </c>
      <c r="D123" s="157" t="n">
        <f aca="false">(C123-C122)/(E123-E122)</f>
        <v>-0.00500936267941276</v>
      </c>
      <c r="E123" s="154" t="n">
        <f aca="false">IF(D123=0,(8314.4621*C122*LN(H123/H122)/(-G$70*9.80665*G$74)),C122/D123*(1/(H123/H122)^(8314.4621*D123/(G$70*9.80665*G$74))-1))+E122</f>
        <v>4646.51413660614</v>
      </c>
      <c r="F123" s="154" t="n">
        <f aca="false">F$38*E123/(F$38-E123)</f>
        <v>4649.90541760705</v>
      </c>
      <c r="G123" s="154" t="n">
        <f aca="false">8314.4621*C123/(G$74*G$70*9.80665)</f>
        <v>7736.12122130583</v>
      </c>
      <c r="H123" s="157" t="n">
        <f aca="false">10^B123*101325</f>
        <v>56979.2347749121</v>
      </c>
      <c r="I123" s="157" t="n">
        <f aca="false">H123/(8314.4621/G$74*C123)</f>
        <v>0.750800129261235</v>
      </c>
      <c r="J123" s="154" t="n">
        <f aca="false">SQRT(8314.4621/G$74*G$76*C123)</f>
        <v>326.070642473193</v>
      </c>
      <c r="K123" s="154" t="n">
        <f aca="false">IF(F$20&gt;0,SQRT(2*G$69/(F$20+N123)),10000)</f>
        <v>3420.44633627907</v>
      </c>
      <c r="L123" s="157" t="n">
        <f aca="false">I123*K123^2/2</f>
        <v>4391975.46466046</v>
      </c>
      <c r="M123" s="157" t="n">
        <f aca="false">I123*K123^3/2</f>
        <v>15022516387.1254</v>
      </c>
      <c r="N123" s="154" t="n">
        <f aca="false">F123*IF(G$100&gt;0,G$100,0.5)</f>
        <v>3720.52572565266</v>
      </c>
      <c r="O123" s="154" t="n">
        <f aca="false">C123-P123*(G$87+(G$86-G$87)*COS(RADIANS(38)))/2</f>
        <v>259.681156863398</v>
      </c>
      <c r="P123" s="158" t="n">
        <f aca="false">IF(B123&lt;R$160,0.2,IF(B123&lt;-4,-0.8*((B123+4)/(R$160+4))^3+1.2*((B123+4)/(R$160+4))^2-0.2,IF(B123&lt;-2.5,-0.3555555556*B123^3-3.466666667*B123^2-10.66666667*B123-10.15555556,IF(B123&lt;-1,0.4148148148*B123^3+2.177777778*B123^2+3.111111111*B123+1.048148148,0))))+IF(B123&lt;-1,0,-1.6*(B123/(B$122+1)-B$122/(B$122+1))^3-1.9*(B123/(B$122+1)-B$122/(B$122+1))^2+1*(B123/(B$122+1)-B$122/(B$122+1))+1)</f>
        <v>0.65625</v>
      </c>
      <c r="Q123" s="115" t="str">
        <f aca="false">IF(L123&gt;L$116,"|",IF(L122&gt;L$116,"V",""))</f>
        <v>|</v>
      </c>
      <c r="R123" s="92" t="n">
        <f aca="false">IF(Q123="V",B123,0)</f>
        <v>0</v>
      </c>
    </row>
    <row r="124" customFormat="false" ht="15.75" hidden="false" customHeight="false" outlineLevel="0" collapsed="false">
      <c r="A124" s="139"/>
      <c r="B124" s="155" t="n">
        <f aca="false">B123-0.25</f>
        <v>-0.5</v>
      </c>
      <c r="C124" s="159"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236.53512392819</v>
      </c>
      <c r="D124" s="157" t="n">
        <f aca="false">(C124-C123)/(E124-E123)</f>
        <v>-0.00661819098389716</v>
      </c>
      <c r="E124" s="154" t="n">
        <f aca="false">IF(D124=0,(8314.4621*C123*LN(H124/H123)/(-G$70*9.80665*G$74)),C123/D124*(1/(H124/H123)^(8314.4621*D124/(G$70*9.80665*G$74))-1))+E123</f>
        <v>8860.57358961865</v>
      </c>
      <c r="F124" s="154" t="n">
        <f aca="false">F$38*E124/(F$38-E124)</f>
        <v>8872.91374111095</v>
      </c>
      <c r="G124" s="154" t="n">
        <f aca="false">8314.4621*C124/(G$74*G$70*9.80665)</f>
        <v>6920.1752420387</v>
      </c>
      <c r="H124" s="157" t="n">
        <f aca="false">10^B124*101325</f>
        <v>32041.7783916561</v>
      </c>
      <c r="I124" s="157" t="n">
        <f aca="false">H124/(8314.4621/G$74*C124)</f>
        <v>0.471987516960977</v>
      </c>
      <c r="J124" s="154" t="n">
        <f aca="false">SQRT(8314.4621/G$74*G$76*C124)</f>
        <v>308.395911771934</v>
      </c>
      <c r="K124" s="154" t="n">
        <f aca="false">IF(F$20&gt;0,SQRT(2*G$69/(F$20+N124)),10000)</f>
        <v>3410.91441136695</v>
      </c>
      <c r="L124" s="157" t="n">
        <f aca="false">I124*K124^2/2</f>
        <v>2745630.94477214</v>
      </c>
      <c r="M124" s="157" t="n">
        <f aca="false">I124*K124^3/2</f>
        <v>9365112157.81835</v>
      </c>
      <c r="N124" s="154" t="n">
        <f aca="false">F124*IF(G$100&gt;0,G$100,0.5)</f>
        <v>7099.4785636498</v>
      </c>
      <c r="O124" s="154" t="n">
        <f aca="false">C124-P124*(G$87+(G$86-G$87)*COS(RADIANS(38)))/2</f>
        <v>234.908809410821</v>
      </c>
      <c r="P124" s="158" t="n">
        <f aca="false">IF(B124&lt;R$160,0.2,IF(B124&lt;-4,-0.8*((B124+4)/(R$160+4))^3+1.2*((B124+4)/(R$160+4))^2-0.2,IF(B124&lt;-2.5,-0.3555555556*B124^3-3.466666667*B124^2-10.66666667*B124-10.15555556,IF(B124&lt;-1,0.4148148148*B124^3+2.177777778*B124^2+3.111111111*B124+1.048148148,0))))+IF(B124&lt;-1,0,-1.6*(B124/(B$122+1)-B$122/(B$122+1))^3-1.9*(B124/(B$122+1)-B$122/(B$122+1))^2+1*(B124/(B$122+1)-B$122/(B$122+1))+1)</f>
        <v>0.225</v>
      </c>
      <c r="Q124" s="115" t="str">
        <f aca="false">IF(L124&gt;L$116,"|",IF(L123&gt;L$116,"V",""))</f>
        <v>|</v>
      </c>
      <c r="R124" s="92" t="n">
        <f aca="false">IF(Q124="V",B124,0)</f>
        <v>0</v>
      </c>
    </row>
    <row r="125" customFormat="false" ht="15.75" hidden="false" customHeight="false" outlineLevel="0" collapsed="false">
      <c r="A125" s="139"/>
      <c r="B125" s="155" t="n">
        <f aca="false">B124-0.25</f>
        <v>-0.75</v>
      </c>
      <c r="C125" s="159"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217.315638464033</v>
      </c>
      <c r="D125" s="157" t="n">
        <f aca="false">(C125-C124)/(E125-E124)</f>
        <v>-0.00503200825004349</v>
      </c>
      <c r="E125" s="154" t="n">
        <f aca="false">IF(D125=0,(8314.4621*C124*LN(H125/H124)/(-G$70*9.80665*G$74)),C124/D125*(1/(H125/H124)^(8314.4621*D125/(G$70*9.80665*G$74))-1))+E124</f>
        <v>12680.0199237917</v>
      </c>
      <c r="F125" s="154" t="n">
        <f aca="false">F$38*E125/(F$38-E125)</f>
        <v>12705.3069344756</v>
      </c>
      <c r="G125" s="154" t="n">
        <f aca="false">8314.4621*C125/(G$74*G$70*9.80665)</f>
        <v>6357.88155277603</v>
      </c>
      <c r="H125" s="157" t="n">
        <f aca="false">10^B125*101325</f>
        <v>18018.4161222194</v>
      </c>
      <c r="I125" s="157" t="n">
        <f aca="false">H125/(8314.4621/G$74*C125)</f>
        <v>0.288891771673783</v>
      </c>
      <c r="J125" s="154" t="n">
        <f aca="false">SQRT(8314.4621/G$74*G$76*C125)</f>
        <v>295.601261021535</v>
      </c>
      <c r="K125" s="154" t="n">
        <f aca="false">IF(F$20&gt;0,SQRT(2*G$69/(F$20+N125)),10000)</f>
        <v>3402.33278057169</v>
      </c>
      <c r="L125" s="157" t="n">
        <f aca="false">I125*K125^2/2</f>
        <v>1672086.55811126</v>
      </c>
      <c r="M125" s="157" t="n">
        <f aca="false">I125*K125^3/2</f>
        <v>5688994908.61523</v>
      </c>
      <c r="N125" s="154" t="n">
        <f aca="false">F125*IF(G$100&gt;0,G$100,0.5)</f>
        <v>10165.8887776595</v>
      </c>
      <c r="O125" s="154" t="n">
        <f aca="false">C125-P125*(G$87+(G$86-G$87)*COS(RADIANS(38)))/2</f>
        <v>218.354672739019</v>
      </c>
      <c r="P125" s="158" t="n">
        <f aca="false">IF(B125&lt;R$160,0.2,IF(B125&lt;-4,-0.8*((B125+4)/(R$160+4))^3+1.2*((B125+4)/(R$160+4))^2-0.2,IF(B125&lt;-2.5,-0.3555555556*B125^3-3.466666667*B125^2-10.66666667*B125-10.15555556,IF(B125&lt;-1,0.4148148148*B125^3+2.177777778*B125^2+3.111111111*B125+1.048148148,0))))+IF(B125&lt;-1,0,-1.6*(B125/(B$122+1)-B$122/(B$122+1))^3-1.9*(B125/(B$122+1)-B$122/(B$122+1))^2+1*(B125/(B$122+1)-B$122/(B$122+1))+1)</f>
        <v>-0.14375</v>
      </c>
      <c r="Q125" s="115" t="str">
        <f aca="false">IF(L125&gt;L$116,"|",IF(L124&gt;L$116,"V",""))</f>
        <v>|</v>
      </c>
      <c r="R125" s="92" t="n">
        <f aca="false">IF(Q125="V",B125,0)</f>
        <v>0</v>
      </c>
    </row>
    <row r="126" customFormat="false" ht="15.75" hidden="false" customHeight="false" outlineLevel="0" collapsed="false">
      <c r="A126" s="139"/>
      <c r="B126" s="155" t="n">
        <f aca="false">B125-0.25</f>
        <v>-1</v>
      </c>
      <c r="C126" s="159"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210.822706854373</v>
      </c>
      <c r="D126" s="157" t="n">
        <f aca="false">(C126-C125)/(E126-E125)</f>
        <v>-0.00180112081803674</v>
      </c>
      <c r="E126" s="154" t="n">
        <f aca="false">IF(D126=0,(8314.4621*C125*LN(H126/H125)/(-G$70*9.80665*G$74)),C125/D126*(1/(H126/H125)^(8314.4621*D126/(G$70*9.80665*G$74))-1))+E125</f>
        <v>16284.9594395856</v>
      </c>
      <c r="F126" s="154" t="n">
        <f aca="false">F$38*E126/(F$38-E126)</f>
        <v>16326.6922163122</v>
      </c>
      <c r="G126" s="154" t="n">
        <f aca="false">8314.4621*C126/(G$74*G$70*9.80665)</f>
        <v>6167.92150021717</v>
      </c>
      <c r="H126" s="157" t="n">
        <f aca="false">10^B126*101325</f>
        <v>10132.5</v>
      </c>
      <c r="I126" s="157" t="n">
        <f aca="false">H126/(8314.4621/G$74*C126)</f>
        <v>0.167459105583726</v>
      </c>
      <c r="J126" s="154" t="n">
        <f aca="false">SQRT(8314.4621/G$74*G$76*C126)</f>
        <v>291.151803689594</v>
      </c>
      <c r="K126" s="154" t="n">
        <f aca="false">IF(F$20&gt;0,SQRT(2*G$69/(F$20+N126)),10000)</f>
        <v>3394.28288296812</v>
      </c>
      <c r="L126" s="157" t="n">
        <f aca="false">I126*K126^2/2</f>
        <v>964661.263774239</v>
      </c>
      <c r="M126" s="157" t="n">
        <f aca="false">I126*K126^3/2</f>
        <v>3274333215.4913</v>
      </c>
      <c r="N126" s="154" t="n">
        <f aca="false">F126*IF(G$100&gt;0,G$100,0.5)</f>
        <v>13063.4653719178</v>
      </c>
      <c r="O126" s="154" t="n">
        <f aca="false">C126-P126*(G$87+(G$86-G$87)*COS(RADIANS(38)))/2</f>
        <v>212.991126210866</v>
      </c>
      <c r="P126" s="158" t="n">
        <f aca="false">IF(B126&lt;R$160,0.2,IF(B126&lt;-4,-0.8*((B126+4)/(R$160+4))^3+1.2*((B126+4)/(R$160+4))^2-0.2,IF(B126&lt;-2.5,-0.3555555556*B126^3-3.466666667*B126^2-10.66666667*B126-10.15555556,IF(B126&lt;-1,0.4148148148*B126^3+2.177777778*B126^2+3.111111111*B126+1.048148148,0))))+IF(B126&lt;-1,0,-1.6*(B126/(B$122+1)-B$122/(B$122+1))^3-1.9*(B126/(B$122+1)-B$122/(B$122+1))^2+1*(B126/(B$122+1)-B$122/(B$122+1))+1)</f>
        <v>-0.3</v>
      </c>
      <c r="Q126" s="115" t="str">
        <f aca="false">IF(L126&gt;L$116,"|",IF(L125&gt;L$116,"V",""))</f>
        <v>|</v>
      </c>
      <c r="R126" s="92" t="n">
        <f aca="false">IF(Q126="V",B126,0)</f>
        <v>0</v>
      </c>
    </row>
    <row r="127" customFormat="false" ht="15.75" hidden="false" customHeight="false" outlineLevel="0" collapsed="false">
      <c r="A127" s="139"/>
      <c r="B127" s="155" t="n">
        <f aca="false">B126-0.25</f>
        <v>-1.25</v>
      </c>
      <c r="C127" s="159"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212.363412365366</v>
      </c>
      <c r="D127" s="157" t="n">
        <f aca="false">(C127-C126)/(E127-E126)</f>
        <v>0.000432357489489221</v>
      </c>
      <c r="E127" s="154" t="n">
        <f aca="false">IF(D127=0,(8314.4621*C126*LN(H127/H126)/(-G$70*9.80665*G$74)),C126/D127*(1/(H127/H126)^(8314.4621*D127/(G$70*9.80665*G$74))-1))+E126</f>
        <v>19848.4585079431</v>
      </c>
      <c r="F127" s="154" t="n">
        <f aca="false">F$38*E127/(F$38-E127)</f>
        <v>19910.4884095393</v>
      </c>
      <c r="G127" s="154" t="n">
        <f aca="false">8314.4621*C127/(G$74*G$70*9.80665)</f>
        <v>6212.99705582758</v>
      </c>
      <c r="H127" s="157" t="n">
        <f aca="false">10^B127*101325</f>
        <v>5697.92347749121</v>
      </c>
      <c r="I127" s="157" t="n">
        <f aca="false">H127/(8314.4621/G$74*C127)</f>
        <v>0.0934859740113515</v>
      </c>
      <c r="J127" s="154" t="n">
        <f aca="false">SQRT(8314.4621/G$74*G$76*C127)</f>
        <v>292.213744822671</v>
      </c>
      <c r="K127" s="154" t="n">
        <f aca="false">IF(F$20&gt;0,SQRT(2*G$69/(F$20+N127)),10000)</f>
        <v>3386.37253020449</v>
      </c>
      <c r="L127" s="157" t="n">
        <f aca="false">I127*K127^2/2</f>
        <v>536026.087552824</v>
      </c>
      <c r="M127" s="157" t="n">
        <f aca="false">I127*K127^3/2</f>
        <v>1815184018.36187</v>
      </c>
      <c r="N127" s="154" t="n">
        <f aca="false">F127*IF(G$100&gt;0,G$100,0.5)</f>
        <v>15930.9658337357</v>
      </c>
      <c r="O127" s="154" t="n">
        <f aca="false">C127-P127*(G$87+(G$86-G$87)*COS(RADIANS(38)))/2</f>
        <v>214.157043188454</v>
      </c>
      <c r="P127" s="158" t="n">
        <f aca="false">IF(B127&lt;R$160,0.2,IF(B127&lt;-4,-0.8*((B127+4)/(R$160+4))^3+1.2*((B127+4)/(R$160+4))^2-0.2,IF(B127&lt;-2.5,-0.3555555556*B127^3-3.466666667*B127^2-10.66666667*B127-10.15555556,IF(B127&lt;-1,0.4148148148*B127^3+2.177777778*B127^2+3.111111111*B127+1.048148148,0))))+IF(B127&lt;-1,0,-1.6*(B127/(B$122+1)-B$122/(B$122+1))^3-1.9*(B127/(B$122+1)-B$122/(B$122+1))^2+1*(B127/(B$122+1)-B$122/(B$122+1))+1)</f>
        <v>-0.24814814778125</v>
      </c>
      <c r="Q127" s="115" t="str">
        <f aca="false">IF(L127&gt;L$116,"|",IF(L126&gt;L$116,"V",""))</f>
        <v>|</v>
      </c>
      <c r="R127" s="92" t="n">
        <f aca="false">IF(Q127="V",B127,0)</f>
        <v>0</v>
      </c>
    </row>
    <row r="128" customFormat="false" ht="15.75" hidden="false" customHeight="false" outlineLevel="0" collapsed="false">
      <c r="A128" s="139"/>
      <c r="B128" s="155" t="n">
        <f aca="false">B127-0.25</f>
        <v>-1.5</v>
      </c>
      <c r="C128" s="159"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218.199329802251</v>
      </c>
      <c r="D128" s="157" t="n">
        <f aca="false">(C128-C127)/(E128-E127)</f>
        <v>0.00160972665721721</v>
      </c>
      <c r="E128" s="154" t="n">
        <f aca="false">IF(D128=0,(8314.4621*C127*LN(H128/H127)/(-G$70*9.80665*G$74)),C127/D128*(1/(H128/H127)^(8314.4621*D128/(G$70*9.80665*G$74))-1))+E127</f>
        <v>23473.8674621401</v>
      </c>
      <c r="F128" s="154" t="n">
        <f aca="false">F$38*E128/(F$38-E128)</f>
        <v>23560.6764712131</v>
      </c>
      <c r="G128" s="154" t="n">
        <f aca="false">8314.4621*C128/(G$74*G$70*9.80665)</f>
        <v>6383.73521382552</v>
      </c>
      <c r="H128" s="157" t="n">
        <f aca="false">10^B128*101325</f>
        <v>3204.17783916561</v>
      </c>
      <c r="I128" s="157" t="n">
        <f aca="false">H128/(8314.4621/G$74*C128)</f>
        <v>0.0511649719172382</v>
      </c>
      <c r="J128" s="154" t="n">
        <f aca="false">SQRT(8314.4621/G$74*G$76*C128)</f>
        <v>296.201667090094</v>
      </c>
      <c r="K128" s="154" t="n">
        <f aca="false">IF(F$20&gt;0,SQRT(2*G$69/(F$20+N128)),10000)</f>
        <v>3378.37221728481</v>
      </c>
      <c r="L128" s="157" t="n">
        <f aca="false">I128*K128^2/2</f>
        <v>291983.115526606</v>
      </c>
      <c r="M128" s="157" t="n">
        <f aca="false">I128*K128^3/2</f>
        <v>986427645.411347</v>
      </c>
      <c r="N128" s="154" t="n">
        <f aca="false">F128*IF(G$100&gt;0,G$100,0.5)</f>
        <v>18851.5883770467</v>
      </c>
      <c r="O128" s="154" t="n">
        <f aca="false">C128-P128*(G$87+(G$86-G$87)*COS(RADIANS(38)))/2</f>
        <v>219.055989297002</v>
      </c>
      <c r="P128" s="158" t="n">
        <f aca="false">IF(B128&lt;R$160,0.2,IF(B128&lt;-4,-0.8*((B128+4)/(R$160+4))^3+1.2*((B128+4)/(R$160+4))^2-0.2,IF(B128&lt;-2.5,-0.3555555556*B128^3-3.466666667*B128^2-10.66666667*B128-10.15555556,IF(B128&lt;-1,0.4148148148*B128^3+2.177777778*B128^2+3.111111111*B128+1.048148148,0))))+IF(B128&lt;-1,0,-1.6*(B128/(B$122+1)-B$122/(B$122+1))^3-1.9*(B128/(B$122+1)-B$122/(B$122+1))^2+1*(B128/(B$122+1)-B$122/(B$122+1))+1)</f>
        <v>-0.118518517950001</v>
      </c>
      <c r="Q128" s="115" t="str">
        <f aca="false">IF(L128&gt;L$116,"|",IF(L127&gt;L$116,"V",""))</f>
        <v>|</v>
      </c>
      <c r="R128" s="92" t="n">
        <f aca="false">IF(Q128="V",B128,0)</f>
        <v>0</v>
      </c>
    </row>
    <row r="129" customFormat="false" ht="15.75" hidden="false" customHeight="false" outlineLevel="0" collapsed="false">
      <c r="A129" s="139"/>
      <c r="B129" s="155" t="n">
        <f aca="false">B128-0.25</f>
        <v>-1.75</v>
      </c>
      <c r="C129" s="159"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224.611919210668</v>
      </c>
      <c r="D129" s="157" t="n">
        <f aca="false">(C129-C128)/(E129-E128)</f>
        <v>0.00171987940569442</v>
      </c>
      <c r="E129" s="154" t="n">
        <f aca="false">IF(D129=0,(8314.4621*C128*LN(H129/H128)/(-G$70*9.80665*G$74)),C128/D129*(1/(H129/H128)^(8314.4621*D129/(G$70*9.80665*G$74))-1))+E128</f>
        <v>27202.3785351754</v>
      </c>
      <c r="F129" s="154" t="n">
        <f aca="false">F$38*E129/(F$38-E129)</f>
        <v>27319.0230818847</v>
      </c>
      <c r="G129" s="154" t="n">
        <f aca="false">8314.4621*C129/(G$74*G$70*9.80665)</f>
        <v>6571.3447397366</v>
      </c>
      <c r="H129" s="157" t="n">
        <f aca="false">10^B129*101325</f>
        <v>1801.84161222194</v>
      </c>
      <c r="I129" s="157" t="n">
        <f aca="false">H129/(8314.4621/G$74*C129)</f>
        <v>0.0279507427873454</v>
      </c>
      <c r="J129" s="154" t="n">
        <f aca="false">SQRT(8314.4621/G$74*G$76*C129)</f>
        <v>300.522637487769</v>
      </c>
      <c r="K129" s="154" t="n">
        <f aca="false">IF(F$20&gt;0,SQRT(2*G$69/(F$20+N129)),10000)</f>
        <v>3370.19380943598</v>
      </c>
      <c r="L129" s="157" t="n">
        <f aca="false">I129*K129^2/2</f>
        <v>158735.151592378</v>
      </c>
      <c r="M129" s="157" t="n">
        <f aca="false">I129*K129^3/2</f>
        <v>534968225.236514</v>
      </c>
      <c r="N129" s="154" t="n">
        <f aca="false">F129*IF(G$100&gt;0,G$100,0.5)</f>
        <v>21858.7517481501</v>
      </c>
      <c r="O129" s="154" t="n">
        <f aca="false">C129-P129*(G$87+(G$86-G$87)*COS(RADIANS(38)))/2</f>
        <v>224.250515978758</v>
      </c>
      <c r="P129" s="158" t="n">
        <f aca="false">IF(B129&lt;R$160,0.2,IF(B129&lt;-4,-0.8*((B129+4)/(R$160+4))^3+1.2*((B129+4)/(R$160+4))^2-0.2,IF(B129&lt;-2.5,-0.3555555556*B129^3-3.466666667*B129^2-10.66666667*B129-10.15555556,IF(B129&lt;-1,0.4148148148*B129^3+2.177777778*B129^2+3.111111111*B129+1.048148148,0))))+IF(B129&lt;-1,0,-1.6*(B129/(B$122+1)-B$122/(B$122+1))^3-1.9*(B129/(B$122+1)-B$122/(B$122+1))^2+1*(B129/(B$122+1)-B$122/(B$122+1))+1)</f>
        <v>0.0500000008062498</v>
      </c>
      <c r="Q129" s="115" t="str">
        <f aca="false">IF(L129&gt;L$116,"|",IF(L128&gt;L$116,"V",""))</f>
        <v>|</v>
      </c>
      <c r="R129" s="92" t="n">
        <f aca="false">IF(Q129="V",B129,0)</f>
        <v>0</v>
      </c>
    </row>
    <row r="130" customFormat="false" ht="15.75" hidden="false" customHeight="false" outlineLevel="0" collapsed="false">
      <c r="A130" s="139"/>
      <c r="B130" s="155" t="n">
        <f aca="false">B129-0.25</f>
        <v>-2</v>
      </c>
      <c r="C130" s="159"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232.098311600558</v>
      </c>
      <c r="D130" s="157" t="n">
        <f aca="false">(C130-C129)/(E130-E129)</f>
        <v>0.00194681011550159</v>
      </c>
      <c r="E130" s="154" t="n">
        <f aca="false">IF(D130=0,(8314.4621*C129*LN(H130/H129)/(-G$70*9.80665*G$74)),C129/D130*(1/(H130/H129)^(8314.4621*D130/(G$70*9.80665*G$74))-1))+E129</f>
        <v>31047.8446801679</v>
      </c>
      <c r="F130" s="154" t="n">
        <f aca="false">F$38*E130/(F$38-E130)</f>
        <v>31199.8913574406</v>
      </c>
      <c r="G130" s="154" t="n">
        <f aca="false">8314.4621*C130/(G$74*G$70*9.80665)</f>
        <v>6790.36991624457</v>
      </c>
      <c r="H130" s="157" t="n">
        <f aca="false">10^B130*101325</f>
        <v>1013.25</v>
      </c>
      <c r="I130" s="157" t="n">
        <f aca="false">H130/(8314.4621/G$74*C130)</f>
        <v>0.015210874083105</v>
      </c>
      <c r="J130" s="154" t="n">
        <f aca="false">SQRT(8314.4621/G$74*G$76*C130)</f>
        <v>305.489848376797</v>
      </c>
      <c r="K130" s="154" t="n">
        <f aca="false">IF(F$20&gt;0,SQRT(2*G$69/(F$20+N130)),10000)</f>
        <v>3361.81080922055</v>
      </c>
      <c r="L130" s="157" t="n">
        <f aca="false">I130*K130^2/2</f>
        <v>85954.9147726693</v>
      </c>
      <c r="M130" s="157" t="n">
        <f aca="false">I130*K130^3/2</f>
        <v>288964161.58839</v>
      </c>
      <c r="N130" s="154" t="n">
        <f aca="false">F130*IF(G$100&gt;0,G$100,0.5)</f>
        <v>24963.9482973964</v>
      </c>
      <c r="O130" s="154" t="n">
        <f aca="false">C130-P130*(G$87+(G$86-G$87)*COS(RADIANS(38)))/2</f>
        <v>230.518845641716</v>
      </c>
      <c r="P130" s="158" t="n">
        <f aca="false">IF(B130&lt;R$160,0.2,IF(B130&lt;-4,-0.8*((B130+4)/(R$160+4))^3+1.2*((B130+4)/(R$160+4))^2-0.2,IF(B130&lt;-2.5,-0.3555555556*B130^3-3.466666667*B130^2-10.66666667*B130-10.15555556,IF(B130&lt;-1,0.4148148148*B130^3+2.177777778*B130^2+3.111111111*B130+1.048148148,0))))+IF(B130&lt;-1,0,-1.6*(B130/(B$122+1)-B$122/(B$122+1))^3-1.9*(B130/(B$122+1)-B$122/(B$122+1))^2+1*(B130/(B$122+1)-B$122/(B$122+1))+1)</f>
        <v>0.2185185196</v>
      </c>
      <c r="Q130" s="115" t="str">
        <f aca="false">IF(L130&gt;L$116,"|",IF(L129&gt;L$116,"V",""))</f>
        <v>|</v>
      </c>
      <c r="R130" s="92" t="n">
        <f aca="false">IF(Q130="V",B130,0)</f>
        <v>0</v>
      </c>
    </row>
    <row r="131" s="92" customFormat="true" ht="15.75" hidden="false" customHeight="false" outlineLevel="0" collapsed="false">
      <c r="B131" s="155" t="n">
        <f aca="false">B130-0.25</f>
        <v>-2.25</v>
      </c>
      <c r="C131" s="159"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240.777818414307</v>
      </c>
      <c r="D131" s="157" t="n">
        <f aca="false">(C131-C130)/(E131-E130)</f>
        <v>0.00217996378931318</v>
      </c>
      <c r="E131" s="154" t="n">
        <f aca="false">IF(D131=0,(8314.4621*C130*LN(H131/H130)/(-G$70*9.80665*G$74)),C130/D131*(1/(H131/H130)^(8314.4621*D131/(G$70*9.80665*G$74))-1))+E130</f>
        <v>35029.3359582794</v>
      </c>
      <c r="F131" s="154" t="n">
        <f aca="false">F$38*E131/(F$38-E131)</f>
        <v>35223.0007403217</v>
      </c>
      <c r="G131" s="154" t="n">
        <f aca="false">8314.4621*C131/(G$74*G$70*9.80665)</f>
        <v>7044.30137119351</v>
      </c>
      <c r="H131" s="157" t="n">
        <f aca="false">10^B131*101325</f>
        <v>569.792347749121</v>
      </c>
      <c r="I131" s="157" t="n">
        <f aca="false">H131/(8314.4621/G$74*C131)</f>
        <v>0.00824536104700034</v>
      </c>
      <c r="J131" s="154" t="n">
        <f aca="false">SQRT(8314.4621/G$74*G$76*C131)</f>
        <v>311.149444470687</v>
      </c>
      <c r="K131" s="154" t="n">
        <f aca="false">IF(F$20&gt;0,SQRT(2*G$69/(F$20+N131)),10000)</f>
        <v>3353.18625621532</v>
      </c>
      <c r="L131" s="157" t="n">
        <f aca="false">I131*K131^2/2</f>
        <v>46354.834669536</v>
      </c>
      <c r="M131" s="157" t="n">
        <f aca="false">I131*K131^3/2</f>
        <v>155436394.523021</v>
      </c>
      <c r="N131" s="154" t="n">
        <f aca="false">F131*IF(G$100&gt;0,G$100,0.5)</f>
        <v>28182.9561291357</v>
      </c>
      <c r="O131" s="154" t="n">
        <f aca="false">C131-P131*(G$87+(G$86-G$87)*COS(RADIANS(38)))/2</f>
        <v>238.261381126315</v>
      </c>
      <c r="P131" s="158" t="n">
        <f aca="false">IF(B131&lt;R$160,0.2,IF(B131&lt;-4,-0.8*((B131+4)/(R$160+4))^3+1.2*((B131+4)/(R$160+4))^2-0.2,IF(B131&lt;-2.5,-0.3555555556*B131^3-3.466666667*B131^2-10.66666667*B131-10.15555556,IF(B131&lt;-1,0.4148148148*B131^3+2.177777778*B131^2+3.111111111*B131+1.048148148,0))))+IF(B131&lt;-1,0,-1.6*(B131/(B$122+1)-B$122/(B$122+1))^3-1.9*(B131/(B$122+1)-B$122/(B$122+1))^2+1*(B131/(B$122+1)-B$122/(B$122+1))+1)</f>
        <v>0.348148149543749</v>
      </c>
      <c r="Q131" s="115" t="str">
        <f aca="false">IF(L131&gt;L$116,"|",IF(L130&gt;L$116,"V",""))</f>
        <v>|</v>
      </c>
      <c r="R131" s="92" t="n">
        <f aca="false">IF(Q131="V",B131,0)</f>
        <v>0</v>
      </c>
    </row>
    <row r="132" customFormat="false" ht="15.75" hidden="false" customHeight="false" outlineLevel="0" collapsed="false">
      <c r="B132" s="155" t="n">
        <f aca="false">B131-0.25</f>
        <v>-2.5</v>
      </c>
      <c r="C132" s="159"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250.769751094302</v>
      </c>
      <c r="D132" s="157" t="n">
        <f aca="false">(C132-C131)/(E132-E131)</f>
        <v>0.0024143299426509</v>
      </c>
      <c r="E132" s="154" t="n">
        <f aca="false">IF(D132=0,(8314.4621*C131*LN(H132/H131)/(-G$70*9.80665*G$74)),C131/D132*(1/(H132/H131)^(8314.4621*D132/(G$70*9.80665*G$74))-1))+E131</f>
        <v>39167.9304823665</v>
      </c>
      <c r="F132" s="154" t="n">
        <f aca="false">F$38*E132/(F$38-E132)</f>
        <v>39410.218458647</v>
      </c>
      <c r="G132" s="154" t="n">
        <f aca="false">8314.4621*C132/(G$74*G$70*9.80665)</f>
        <v>7336.62973242754</v>
      </c>
      <c r="H132" s="157" t="n">
        <f aca="false">10^B132*101325</f>
        <v>320.417783916561</v>
      </c>
      <c r="I132" s="157" t="n">
        <f aca="false">H132/(8314.4621/G$74*C132)</f>
        <v>0.00445195743624361</v>
      </c>
      <c r="J132" s="154" t="n">
        <f aca="false">SQRT(8314.4621/G$74*G$76*C132)</f>
        <v>317.539946138228</v>
      </c>
      <c r="K132" s="154" t="n">
        <f aca="false">IF(F$20&gt;0,SQRT(2*G$69/(F$20+N132)),10000)</f>
        <v>3344.28001774846</v>
      </c>
      <c r="L132" s="157" t="n">
        <f aca="false">I132*K132^2/2</f>
        <v>24895.8108504403</v>
      </c>
      <c r="M132" s="157" t="n">
        <f aca="false">I132*K132^3/2</f>
        <v>83258562.752773</v>
      </c>
      <c r="N132" s="154" t="n">
        <f aca="false">F132*IF(G$100&gt;0,G$100,0.5)</f>
        <v>31533.2718540424</v>
      </c>
      <c r="O132" s="154" t="n">
        <f aca="false">C132-P132*(G$87+(G$86-G$87)*COS(RADIANS(38)))/2</f>
        <v>247.878525272996</v>
      </c>
      <c r="P132" s="158" t="n">
        <f aca="false">IF(B132&lt;R$160,0.2,IF(B132&lt;-4,-0.8*((B132+4)/(R$160+4))^3+1.2*((B132+4)/(R$160+4))^2-0.2,IF(B132&lt;-2.5,-0.3555555556*B132^3-3.466666667*B132^2-10.66666667*B132-10.15555556,IF(B132&lt;-1,0.4148148148*B132^3+2.177777778*B132^2+3.111111111*B132+1.048148148,0))))+IF(B132&lt;-1,0,-1.6*(B132/(B$122+1)-B$122/(B$122+1))^3-1.9*(B132/(B$122+1)-B$122/(B$122+1))^2+1*(B132/(B$122+1)-B$122/(B$122+1))+1)</f>
        <v>0.40000000175</v>
      </c>
      <c r="Q132" s="115" t="str">
        <f aca="false">IF(L132&gt;L$116,"|",IF(L131&gt;L$116,"V",""))</f>
        <v>|</v>
      </c>
      <c r="R132" s="92" t="n">
        <f aca="false">IF(Q132="V",B132,0)</f>
        <v>0</v>
      </c>
    </row>
    <row r="133" customFormat="false" ht="15.75" hidden="false" customHeight="false" outlineLevel="0" collapsed="false">
      <c r="B133" s="155" t="n">
        <f aca="false">B132-0.25</f>
        <v>-2.75</v>
      </c>
      <c r="C133" s="159"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262.216252621559</v>
      </c>
      <c r="D133" s="157" t="n">
        <f aca="false">(C133-C132)/(E133-E132)</f>
        <v>0.00265028264660781</v>
      </c>
      <c r="E133" s="154" t="n">
        <f aca="false">IF(D133=0,(8314.4621*C132*LN(H133/H132)/(-G$70*9.80665*G$74)),C132/D133*(1/(H133/H132)^(8314.4621*D133/(G$70*9.80665*G$74))-1))+E132</f>
        <v>43486.9043630988</v>
      </c>
      <c r="F133" s="154" t="n">
        <f aca="false">F$38*E133/(F$38-E133)</f>
        <v>43785.7754713055</v>
      </c>
      <c r="G133" s="154" t="n">
        <f aca="false">8314.4621*C133/(G$74*G$70*9.80665)</f>
        <v>7671.51359729038</v>
      </c>
      <c r="H133" s="157" t="n">
        <f aca="false">10^B133*101325</f>
        <v>180.184161222194</v>
      </c>
      <c r="I133" s="157" t="n">
        <f aca="false">H133/(8314.4621/G$74*C133)</f>
        <v>0.00239423373572886</v>
      </c>
      <c r="J133" s="154" t="n">
        <f aca="false">SQRT(8314.4621/G$74*G$76*C133)</f>
        <v>324.706210762242</v>
      </c>
      <c r="K133" s="154" t="n">
        <f aca="false">IF(F$20&gt;0,SQRT(2*G$69/(F$20+N133)),10000)</f>
        <v>3335.04859105874</v>
      </c>
      <c r="L133" s="157" t="n">
        <f aca="false">I133*K133^2/2</f>
        <v>13314.9911469142</v>
      </c>
      <c r="M133" s="157" t="n">
        <f aca="false">I133*K133^3/2</f>
        <v>44406142.4644758</v>
      </c>
      <c r="N133" s="154" t="n">
        <f aca="false">F133*IF(G$100&gt;0,G$100,0.5)</f>
        <v>35034.2833731183</v>
      </c>
      <c r="O133" s="154" t="n">
        <f aca="false">C133-P133*(G$87+(G$86-G$87)*COS(RADIANS(38)))/2</f>
        <v>259.646274102383</v>
      </c>
      <c r="P133" s="158" t="n">
        <f aca="false">IF(B133&lt;R$160,0.2,IF(B133&lt;-4,-0.8*((B133+4)/(R$160+4))^3+1.2*((B133+4)/(R$160+4))^2-0.2,IF(B133&lt;-2.5,-0.3555555556*B133^3-3.466666667*B133^2-10.66666667*B133-10.15555556,IF(B133&lt;-1,0.4148148148*B133^3+2.177777778*B133^2+3.111111111*B133+1.048148148,0))))+IF(B133&lt;-1,0,-1.6*(B133/(B$122+1)-B$122/(B$122+1))^3-1.9*(B133/(B$122+1)-B$122/(B$122+1))^2+1*(B133/(B$122+1)-B$122/(B$122+1))+1)</f>
        <v>0.35555555868125</v>
      </c>
      <c r="Q133" s="115" t="str">
        <f aca="false">IF(L133&gt;L$116,"|",IF(L132&gt;L$116,"V",""))</f>
        <v>|</v>
      </c>
      <c r="R133" s="92" t="n">
        <f aca="false">IF(Q133="V",B133,0)</f>
        <v>0</v>
      </c>
    </row>
    <row r="134" customFormat="false" ht="15.75" hidden="false" customHeight="false" outlineLevel="0" collapsed="false">
      <c r="B134" s="155" t="n">
        <f aca="false">B133-0.25</f>
        <v>-3</v>
      </c>
      <c r="C134" s="159"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269.729895211171</v>
      </c>
      <c r="D134" s="157" t="n">
        <f aca="false">(C134-C133)/(E134-E133)</f>
        <v>0.00167750797941778</v>
      </c>
      <c r="E134" s="154" t="n">
        <f aca="false">IF(D134=0,(8314.4621*C133*LN(H134/H133)/(-G$70*9.80665*G$74)),C133/D134*(1/(H134/H133)^(8314.4621*D134/(G$70*9.80665*G$74))-1))+E133</f>
        <v>47965.9546458999</v>
      </c>
      <c r="F134" s="154" t="n">
        <f aca="false">F$38*E134/(F$38-E134)</f>
        <v>48329.8199657116</v>
      </c>
      <c r="G134" s="154" t="n">
        <f aca="false">8314.4621*C134/(G$74*G$70*9.80665)</f>
        <v>7891.33601758322</v>
      </c>
      <c r="H134" s="157" t="n">
        <f aca="false">10^B134*101325</f>
        <v>101.325</v>
      </c>
      <c r="I134" s="157" t="n">
        <f aca="false">H134/(8314.4621/G$74*C134)</f>
        <v>0.00130887167323199</v>
      </c>
      <c r="J134" s="154" t="n">
        <f aca="false">SQRT(8314.4621/G$74*G$76*C134)</f>
        <v>329.32548051506</v>
      </c>
      <c r="K134" s="154" t="n">
        <f aca="false">IF(F$20&gt;0,SQRT(2*G$69/(F$20+N134)),10000)</f>
        <v>3325.5421543549</v>
      </c>
      <c r="L134" s="157" t="n">
        <f aca="false">I134*K134^2/2</f>
        <v>7237.5568433851</v>
      </c>
      <c r="M134" s="157" t="n">
        <f aca="false">I134*K134^3/2</f>
        <v>24068800.3772169</v>
      </c>
      <c r="N134" s="154" t="n">
        <f aca="false">F134*IF(G$100&gt;0,G$100,0.5)</f>
        <v>38670.1066687776</v>
      </c>
      <c r="O134" s="154" t="n">
        <f aca="false">C134-P134*(G$87+(G$86-G$87)*COS(RADIANS(38)))/2</f>
        <v>267.963034967625</v>
      </c>
      <c r="P134" s="158" t="n">
        <f aca="false">IF(B134&lt;R$160,0.2,IF(B134&lt;-4,-0.8*((B134+4)/(R$160+4))^3+1.2*((B134+4)/(R$160+4))^2-0.2,IF(B134&lt;-2.5,-0.3555555556*B134^3-3.466666667*B134^2-10.66666667*B134-10.15555556,IF(B134&lt;-1,0.4148148148*B134^3+2.177777778*B134^2+3.111111111*B134+1.048148148,0))))+IF(B134&lt;-1,0,-1.6*(B134/(B$122+1)-B$122/(B$122+1))^3-1.9*(B134/(B$122+1)-B$122/(B$122+1))^2+1*(B134/(B$122+1)-B$122/(B$122+1))+1)</f>
        <v>0.244444448200003</v>
      </c>
      <c r="Q134" s="115" t="str">
        <f aca="false">IF(L134&gt;L$116,"|",IF(L133&gt;L$116,"V",""))</f>
        <v>|</v>
      </c>
      <c r="R134" s="92" t="n">
        <f aca="false">IF(Q134="V",B134,0)</f>
        <v>0</v>
      </c>
    </row>
    <row r="135" customFormat="false" ht="15.75" hidden="false" customHeight="false" outlineLevel="0" collapsed="false">
      <c r="B135" s="155" t="n">
        <f aca="false">B134-0.25</f>
        <v>-3.25</v>
      </c>
      <c r="C135" s="159"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266.268340234672</v>
      </c>
      <c r="D135" s="157" t="n">
        <f aca="false">(C135-C134)/(E135-E134)</f>
        <v>-0.000766949479605966</v>
      </c>
      <c r="E135" s="154" t="n">
        <f aca="false">IF(D135=0,(8314.4621*C134*LN(H135/H134)/(-G$70*9.80665*G$74)),C134/D135*(1/(H135/H134)^(8314.4621*D135/(G$70*9.80665*G$74))-1))+E134</f>
        <v>52479.3614198088</v>
      </c>
      <c r="F135" s="154" t="n">
        <f aca="false">F$38*E135/(F$38-E135)</f>
        <v>52915.2361336167</v>
      </c>
      <c r="G135" s="154" t="n">
        <f aca="false">8314.4621*C135/(G$74*G$70*9.80665)</f>
        <v>7790.06324823925</v>
      </c>
      <c r="H135" s="157" t="n">
        <f aca="false">10^B135*101325</f>
        <v>56.9792347749121</v>
      </c>
      <c r="I135" s="157" t="n">
        <f aca="false">H135/(8314.4621/G$74*C135)</f>
        <v>0.000745601239405831</v>
      </c>
      <c r="J135" s="154" t="n">
        <f aca="false">SQRT(8314.4621/G$74*G$76*C135)</f>
        <v>327.205471966169</v>
      </c>
      <c r="K135" s="154" t="n">
        <f aca="false">IF(F$20&gt;0,SQRT(2*G$69/(F$20+N135)),10000)</f>
        <v>3316.03110173011</v>
      </c>
      <c r="L135" s="157" t="n">
        <f aca="false">I135*K135^2/2</f>
        <v>4099.33882766857</v>
      </c>
      <c r="M135" s="157" t="n">
        <f aca="false">I135*K135^3/2</f>
        <v>13593535.0490789</v>
      </c>
      <c r="N135" s="154" t="n">
        <f aca="false">F135*IF(G$100&gt;0,G$100,0.5)</f>
        <v>42339.0326540065</v>
      </c>
      <c r="O135" s="154" t="n">
        <f aca="false">C135-P135*(G$87+(G$86-G$87)*COS(RADIANS(38)))/2</f>
        <v>265.545533750749</v>
      </c>
      <c r="P135" s="158" t="n">
        <f aca="false">IF(B135&lt;R$160,0.2,IF(B135&lt;-4,-0.8*((B135+4)/(R$160+4))^3+1.2*((B135+4)/(R$160+4))^2-0.2,IF(B135&lt;-2.5,-0.3555555556*B135^3-3.466666667*B135^2-10.66666667*B135-10.15555556,IF(B135&lt;-1,0.4148148148*B135^3+2.177777778*B135^2+3.111111111*B135+1.048148148,0))))+IF(B135&lt;-1,0,-1.6*(B135/(B$122+1)-B$122/(B$122+1))^3-1.9*(B135/(B$122+1)-B$122/(B$122+1))^2+1*(B135/(B$122+1)-B$122/(B$122+1))+1)</f>
        <v>0.100000004393749</v>
      </c>
      <c r="Q135" s="115" t="str">
        <f aca="false">IF(L135&gt;L$116,"|",IF(L134&gt;L$116,"V",""))</f>
        <v>|</v>
      </c>
      <c r="R135" s="92" t="n">
        <f aca="false">IF(Q135="V",B135,0)</f>
        <v>0</v>
      </c>
    </row>
    <row r="136" s="92" customFormat="true" ht="15.75" hidden="false" customHeight="false" outlineLevel="0" collapsed="false">
      <c r="B136" s="155" t="n">
        <f aca="false">B135-0.25</f>
        <v>-3.5</v>
      </c>
      <c r="C136" s="159"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253.258421704508</v>
      </c>
      <c r="D136" s="157" t="n">
        <f aca="false">(C136-C135)/(E136-E135)</f>
        <v>-0.00297447487395052</v>
      </c>
      <c r="E136" s="154" t="n">
        <f aca="false">IF(D136=0,(8314.4621*C135*LN(H136/H135)/(-G$70*9.80665*G$74)),C135/D136*(1/(H136/H135)^(8314.4621*D136/(G$70*9.80665*G$74))-1))+E135</f>
        <v>56853.2153205763</v>
      </c>
      <c r="F136" s="154" t="n">
        <f aca="false">F$38*E136/(F$38-E136)</f>
        <v>57365.1274129797</v>
      </c>
      <c r="G136" s="154" t="n">
        <f aca="false">8314.4621*C136/(G$74*G$70*9.80665)</f>
        <v>7409.43937040574</v>
      </c>
      <c r="H136" s="157" t="n">
        <f aca="false">10^B136*101325</f>
        <v>32.0417783916561</v>
      </c>
      <c r="I136" s="157" t="n">
        <f aca="false">H136/(8314.4621/G$74*C136)</f>
        <v>0.000440820980662915</v>
      </c>
      <c r="J136" s="154" t="n">
        <f aca="false">SQRT(8314.4621/G$74*G$76*C136)</f>
        <v>319.111709391266</v>
      </c>
      <c r="K136" s="154" t="n">
        <f aca="false">IF(F$20&gt;0,SQRT(2*G$69/(F$20+N136)),10000)</f>
        <v>3306.87874419034</v>
      </c>
      <c r="L136" s="157" t="n">
        <f aca="false">I136*K136^2/2</f>
        <v>2410.28724160661</v>
      </c>
      <c r="M136" s="157" t="n">
        <f aca="false">I136*K136^3/2</f>
        <v>7970527.64666206</v>
      </c>
      <c r="N136" s="154" t="n">
        <f aca="false">F136*IF(G$100&gt;0,G$100,0.5)</f>
        <v>45899.5212004052</v>
      </c>
      <c r="O136" s="154" t="n">
        <f aca="false">C136-P136*(G$87+(G$86-G$87)*COS(RADIANS(38)))/2</f>
        <v>253.57966898012</v>
      </c>
      <c r="P136" s="158" t="n">
        <f aca="false">IF(B136&lt;R$160,0.2,IF(B136&lt;-4,-0.8*((B136+4)/(R$160+4))^3+1.2*((B136+4)/(R$160+4))^2-0.2,IF(B136&lt;-2.5,-0.3555555556*B136^3-3.466666667*B136^2-10.66666667*B136-10.15555556,IF(B136&lt;-1,0.4148148148*B136^3+2.177777778*B136^2+3.111111111*B136+1.048148148,0))))+IF(B136&lt;-1,0,-1.6*(B136/(B$122+1)-B$122/(B$122+1))^3-1.9*(B136/(B$122+1)-B$122/(B$122+1))^2+1*(B136/(B$122+1)-B$122/(B$122+1))+1)</f>
        <v>-0.0444444393999994</v>
      </c>
      <c r="Q136" s="115" t="str">
        <f aca="false">IF(L136&gt;L$116,"|",IF(L135&gt;L$116,"V",""))</f>
        <v>|</v>
      </c>
      <c r="R136" s="92" t="n">
        <f aca="false">IF(Q136="V",B136,0)</f>
        <v>0</v>
      </c>
    </row>
    <row r="137" s="92" customFormat="true" ht="15.75" hidden="false" customHeight="false" outlineLevel="0" collapsed="false">
      <c r="B137" s="155" t="n">
        <f aca="false">B136-0.25</f>
        <v>-3.75</v>
      </c>
      <c r="C137" s="159"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241.506244629493</v>
      </c>
      <c r="D137" s="157" t="n">
        <f aca="false">(C137-C136)/(E137-E136)</f>
        <v>-0.00282133198735833</v>
      </c>
      <c r="E137" s="154" t="n">
        <f aca="false">IF(D137=0,(8314.4621*C136*LN(H137/H136)/(-G$70*9.80665*G$74)),C136/D137*(1/(H137/H136)^(8314.4621*D137/(G$70*9.80665*G$74))-1))+E136</f>
        <v>61018.6864979047</v>
      </c>
      <c r="F137" s="154" t="n">
        <f aca="false">F$38*E137/(F$38-E137)</f>
        <v>61608.7484833439</v>
      </c>
      <c r="G137" s="154" t="n">
        <f aca="false">8314.4621*C137/(G$74*G$70*9.80665)</f>
        <v>7065.61252776199</v>
      </c>
      <c r="H137" s="157" t="n">
        <f aca="false">10^B137*101325</f>
        <v>18.0184161222194</v>
      </c>
      <c r="I137" s="157" t="n">
        <f aca="false">H137/(8314.4621/G$74*C137)</f>
        <v>0.000259954768062453</v>
      </c>
      <c r="J137" s="154" t="n">
        <f aca="false">SQRT(8314.4621/G$74*G$76*C137)</f>
        <v>311.619749940735</v>
      </c>
      <c r="K137" s="154" t="n">
        <f aca="false">IF(F$20&gt;0,SQRT(2*G$69/(F$20+N137)),10000)</f>
        <v>3298.22085698189</v>
      </c>
      <c r="L137" s="157" t="n">
        <f aca="false">I137*K137^2/2</f>
        <v>1413.9278843789</v>
      </c>
      <c r="M137" s="157" t="n">
        <f aca="false">I137*K137^3/2</f>
        <v>4663446.43852677</v>
      </c>
      <c r="N137" s="154" t="n">
        <f aca="false">F137*IF(G$100&gt;0,G$100,0.5)</f>
        <v>49294.9669018227</v>
      </c>
      <c r="O137" s="154" t="n">
        <f aca="false">C137-P137*(G$87+(G$86-G$87)*COS(RADIANS(38)))/2</f>
        <v>242.630610180462</v>
      </c>
      <c r="P137" s="158" t="n">
        <f aca="false">IF(B137&lt;R$160,0.2,IF(B137&lt;-4,-0.8*((B137+4)/(R$160+4))^3+1.2*((B137+4)/(R$160+4))^2-0.2,IF(B137&lt;-2.5,-0.3555555556*B137^3-3.466666667*B137^2-10.66666667*B137-10.15555556,IF(B137&lt;-1,0.4148148148*B137^3+2.177777778*B137^2+3.111111111*B137+1.048148148,0))))+IF(B137&lt;-1,0,-1.6*(B137/(B$122+1)-B$122/(B$122+1))^3-1.9*(B137/(B$122+1)-B$122/(B$122+1))^2+1*(B137/(B$122+1)-B$122/(B$122+1))+1)</f>
        <v>-0.155555549843754</v>
      </c>
      <c r="Q137" s="115" t="str">
        <f aca="false">IF(L137&gt;L$116,"|",IF(L136&gt;L$116,"V",""))</f>
        <v>|</v>
      </c>
      <c r="R137" s="92" t="n">
        <f aca="false">IF(Q137="V",B137,0)</f>
        <v>0</v>
      </c>
    </row>
    <row r="138" s="92" customFormat="true" ht="15.75" hidden="false" customHeight="false" outlineLevel="0" collapsed="false">
      <c r="B138" s="155" t="n">
        <f aca="false">B137-0.25</f>
        <v>-4</v>
      </c>
      <c r="C138" s="159"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230.668788612772</v>
      </c>
      <c r="D138" s="157" t="n">
        <f aca="false">(C138-C137)/(E138-E137)</f>
        <v>-0.00272617326259675</v>
      </c>
      <c r="E138" s="154" t="n">
        <f aca="false">IF(D138=0,(8314.4621*C137*LN(H138/H137)/(-G$70*9.80665*G$74)),C137/D138*(1/(H138/H137)^(8314.4621*D138/(G$70*9.80665*G$74))-1))+E137</f>
        <v>64994.0229761144</v>
      </c>
      <c r="F138" s="154" t="n">
        <f aca="false">F$38*E138/(F$38-E138)</f>
        <v>65663.8959572074</v>
      </c>
      <c r="G138" s="154" t="n">
        <f aca="false">8314.4621*C138/(G$74*G$70*9.80665)</f>
        <v>6748.5471652564</v>
      </c>
      <c r="H138" s="157" t="n">
        <f aca="false">10^B138*101325</f>
        <v>10.1325</v>
      </c>
      <c r="I138" s="157" t="n">
        <f aca="false">H138/(8314.4621/G$74*C138)</f>
        <v>0.000153051403871719</v>
      </c>
      <c r="J138" s="154" t="n">
        <f aca="false">SQRT(8314.4621/G$74*G$76*C138)</f>
        <v>304.547619916374</v>
      </c>
      <c r="K138" s="154" t="n">
        <f aca="false">IF(F$20&gt;0,SQRT(2*G$69/(F$20+N138)),10000)</f>
        <v>3290.01071668868</v>
      </c>
      <c r="L138" s="157" t="n">
        <f aca="false">I138*K138^2/2</f>
        <v>828.327246604698</v>
      </c>
      <c r="M138" s="157" t="n">
        <f aca="false">I138*K138^3/2</f>
        <v>2725205.51825468</v>
      </c>
      <c r="N138" s="154" t="n">
        <f aca="false">F138*IF(G$100&gt;0,G$100,0.5)</f>
        <v>52539.6093499671</v>
      </c>
      <c r="O138" s="154" t="n">
        <f aca="false">C138-P138*(G$87+(G$86-G$87)*COS(RADIANS(38)))/2</f>
        <v>232.11440147084</v>
      </c>
      <c r="P138" s="158" t="n">
        <f aca="false">IF(B138&lt;R$160,0.2,IF(B138&lt;-4,-0.8*((B138+4)/(R$160+4))^3+1.2*((B138+4)/(R$160+4))^2-0.2,IF(B138&lt;-2.5,-0.3555555556*B138^3-3.466666667*B138^2-10.66666667*B138-10.15555556,IF(B138&lt;-1,0.4148148148*B138^3+2.177777778*B138^2+3.111111111*B138+1.048148148,0))))+IF(B138&lt;-1,0,-1.6*(B138/(B$122+1)-B$122/(B$122+1))^3-1.9*(B138/(B$122+1)-B$122/(B$122+1))^2+1*(B138/(B$122+1)-B$122/(B$122+1))+1)</f>
        <v>-0.199999993599999</v>
      </c>
      <c r="Q138" s="115" t="str">
        <f aca="false">IF(L138&gt;L$116,"|",IF(L137&gt;L$116,"V",""))</f>
        <v>|</v>
      </c>
      <c r="R138" s="92" t="n">
        <f aca="false">IF(Q138="V",B138,0)</f>
        <v>0</v>
      </c>
    </row>
    <row r="139" s="92" customFormat="true" ht="15.75" hidden="false" customHeight="false" outlineLevel="0" collapsed="false">
      <c r="B139" s="155" t="n">
        <f aca="false">B138-0.25</f>
        <v>-4.25</v>
      </c>
      <c r="C139" s="159"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221.103987981501</v>
      </c>
      <c r="D139" s="157" t="n">
        <f aca="false">(C139-C138)/(E139-E138)</f>
        <v>-0.00251462722190324</v>
      </c>
      <c r="E139" s="154" t="n">
        <f aca="false">IF(D139=0,(8314.4621*C138*LN(H139/H138)/(-G$70*9.80665*G$74)),C138/D139*(1/(H139/H138)^(8314.4621*D139/(G$70*9.80665*G$74))-1))+E138</f>
        <v>68797.6884053113</v>
      </c>
      <c r="F139" s="154" t="n">
        <f aca="false">F$38*E139/(F$38-E139)</f>
        <v>69548.7150616925</v>
      </c>
      <c r="G139" s="154" t="n">
        <f aca="false">8314.4621*C139/(G$74*G$70*9.80665)</f>
        <v>6468.7151664212</v>
      </c>
      <c r="H139" s="157" t="n">
        <f aca="false">10^B139*101325</f>
        <v>5.69792347749121</v>
      </c>
      <c r="I139" s="157" t="n">
        <f aca="false">H139/(8314.4621/G$74*C139)</f>
        <v>8.97903318279883E-005</v>
      </c>
      <c r="J139" s="154" t="n">
        <f aca="false">SQRT(8314.4621/G$74*G$76*C139)</f>
        <v>298.16665986619</v>
      </c>
      <c r="K139" s="154" t="n">
        <f aca="false">IF(F$20&gt;0,SQRT(2*G$69/(F$20+N139)),10000)</f>
        <v>3282.20265483454</v>
      </c>
      <c r="L139" s="157" t="n">
        <f aca="false">I139*K139^2/2</f>
        <v>483.649079702334</v>
      </c>
      <c r="M139" s="157" t="n">
        <f aca="false">I139*K139^3/2</f>
        <v>1587434.29340728</v>
      </c>
      <c r="N139" s="154" t="n">
        <f aca="false">F139*IF(G$100&gt;0,G$100,0.5)</f>
        <v>55647.9670733338</v>
      </c>
      <c r="O139" s="154" t="n">
        <f aca="false">C139-P139*(G$87+(G$86-G$87)*COS(RADIANS(38)))/2</f>
        <v>222.335436011114</v>
      </c>
      <c r="P139" s="158" t="n">
        <f aca="false">IF(B139&lt;R$160,0.2,IF(B139&lt;-4,-0.8*((B139+4)/(R$160+4))^3+1.2*((B139+4)/(R$160+4))^2-0.2,IF(B139&lt;-2.5,-0.3555555556*B139^3-3.466666667*B139^2-10.66666667*B139-10.15555556,IF(B139&lt;-1,0.4148148148*B139^3+2.177777778*B139^2+3.111111111*B139+1.048148148,0))))+IF(B139&lt;-1,0,-1.6*(B139/(B$122+1)-B$122/(B$122+1))^3-1.9*(B139/(B$122+1)-B$122/(B$122+1))^2+1*(B139/(B$122+1)-B$122/(B$122+1))+1)</f>
        <v>-0.17037037037037</v>
      </c>
      <c r="Q139" s="115" t="str">
        <f aca="false">IF(L139&gt;L$116,"|",IF(L138&gt;L$116,"V",""))</f>
        <v>|</v>
      </c>
      <c r="R139" s="92" t="n">
        <f aca="false">IF(Q139="V",B139,0)</f>
        <v>0</v>
      </c>
    </row>
    <row r="140" s="92" customFormat="true" ht="15.75" hidden="false" customHeight="false" outlineLevel="0" collapsed="false">
      <c r="B140" s="155" t="n">
        <f aca="false">B139-0.25</f>
        <v>-4.5</v>
      </c>
      <c r="C140" s="159"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213.169777062837</v>
      </c>
      <c r="D140" s="157" t="n">
        <f aca="false">(C140-C139)/(E140-E139)</f>
        <v>-0.0021699080045309</v>
      </c>
      <c r="E140" s="154" t="n">
        <f aca="false">IF(D140=0,(8314.4621*C139*LN(H140/H139)/(-G$70*9.80665*G$74)),C139/D140*(1/(H140/H139)^(8314.4621*D140/(G$70*9.80665*G$74))-1))+E139</f>
        <v>72454.1618143667</v>
      </c>
      <c r="F140" s="154" t="n">
        <f aca="false">F$38*E140/(F$38-E140)</f>
        <v>73287.6249182463</v>
      </c>
      <c r="G140" s="154" t="n">
        <f aca="false">8314.4621*C140/(G$74*G$70*9.80665)</f>
        <v>6236.58841478867</v>
      </c>
      <c r="H140" s="157" t="n">
        <f aca="false">10^B140*101325</f>
        <v>3.20417783916561</v>
      </c>
      <c r="I140" s="157" t="n">
        <f aca="false">H140/(8314.4621/G$74*C140)</f>
        <v>5.23721642698037E-005</v>
      </c>
      <c r="J140" s="154" t="n">
        <f aca="false">SQRT(8314.4621/G$74*G$76*C140)</f>
        <v>292.768001298916</v>
      </c>
      <c r="K140" s="154" t="n">
        <f aca="false">IF(F$20&gt;0,SQRT(2*G$69/(F$20+N140)),10000)</f>
        <v>3274.7401134133</v>
      </c>
      <c r="L140" s="157" t="n">
        <f aca="false">I140*K140^2/2</f>
        <v>280.817523521434</v>
      </c>
      <c r="M140" s="157" t="n">
        <f aca="false">I140*K140^3/2</f>
        <v>919604.408825022</v>
      </c>
      <c r="N140" s="154" t="n">
        <f aca="false">F140*IF(G$100&gt;0,G$100,0.5)</f>
        <v>58639.578527307</v>
      </c>
      <c r="O140" s="154" t="n">
        <f aca="false">C140-P140*(G$87+(G$86-G$87)*COS(RADIANS(38)))/2</f>
        <v>213.865812905662</v>
      </c>
      <c r="P140" s="158" t="n">
        <f aca="false">IF(B140&lt;R$160,0.2,IF(B140&lt;-4,-0.8*((B140+4)/(R$160+4))^3+1.2*((B140+4)/(R$160+4))^2-0.2,IF(B140&lt;-2.5,-0.3555555556*B140^3-3.466666667*B140^2-10.66666667*B140-10.15555556,IF(B140&lt;-1,0.4148148148*B140^3+2.177777778*B140^2+3.111111111*B140+1.048148148,0))))+IF(B140&lt;-1,0,-1.6*(B140/(B$122+1)-B$122/(B$122+1))^3-1.9*(B140/(B$122+1)-B$122/(B$122+1))^2+1*(B140/(B$122+1)-B$122/(B$122+1))+1)</f>
        <v>-0.0962962962962963</v>
      </c>
      <c r="Q140" s="115" t="str">
        <f aca="false">IF(L140&gt;L$116,"|",IF(L139&gt;L$116,"V",""))</f>
        <v>|</v>
      </c>
      <c r="R140" s="92" t="n">
        <f aca="false">IF(Q140="V",B140,0)</f>
        <v>0</v>
      </c>
    </row>
    <row r="141" s="92" customFormat="true" ht="15.75" hidden="false" customHeight="false" outlineLevel="0" collapsed="false">
      <c r="B141" s="155" t="n">
        <f aca="false">B140-0.25</f>
        <v>-4.75</v>
      </c>
      <c r="C141" s="159"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206.470660714443</v>
      </c>
      <c r="D141" s="157" t="n">
        <f aca="false">(C141-C140)/(E141-E140)</f>
        <v>-0.00189596332340755</v>
      </c>
      <c r="E141" s="154" t="n">
        <f aca="false">IF(D141=0,(8314.4621*C140*LN(H141/H140)/(-G$70*9.80665*G$74)),C140/D141*(1/(H141/H140)^(8314.4621*D141/(G$70*9.80665*G$74))-1))+E140</f>
        <v>75987.51937761</v>
      </c>
      <c r="F141" s="154" t="n">
        <f aca="false">F$38*E141/(F$38-E141)</f>
        <v>76904.7698388182</v>
      </c>
      <c r="G141" s="154" t="n">
        <f aca="false">8314.4621*C141/(G$74*G$70*9.80665)</f>
        <v>6040.5961311574</v>
      </c>
      <c r="H141" s="157" t="n">
        <f aca="false">10^B141*101325</f>
        <v>1.80184161222194</v>
      </c>
      <c r="I141" s="157" t="n">
        <f aca="false">H141/(8314.4621/G$74*C141)</f>
        <v>3.04065960708684E-005</v>
      </c>
      <c r="J141" s="154" t="n">
        <f aca="false">SQRT(8314.4621/G$74*G$76*C141)</f>
        <v>288.130986461552</v>
      </c>
      <c r="K141" s="154" t="n">
        <f aca="false">IF(F$20&gt;0,SQRT(2*G$69/(F$20+N141)),10000)</f>
        <v>3267.56883277567</v>
      </c>
      <c r="L141" s="157" t="n">
        <f aca="false">I141*K141^2/2</f>
        <v>162.325705513663</v>
      </c>
      <c r="M141" s="157" t="n">
        <f aca="false">I141*K141^3/2</f>
        <v>530410.416094766</v>
      </c>
      <c r="N141" s="154" t="n">
        <f aca="false">F141*IF(G$100&gt;0,G$100,0.5)</f>
        <v>61533.76228413</v>
      </c>
      <c r="O141" s="154" t="n">
        <f aca="false">C141-P141*(G$87+(G$86-G$87)*COS(RADIANS(38)))/2</f>
        <v>206.470660714443</v>
      </c>
      <c r="P141" s="158" t="n">
        <f aca="false">IF(B141&lt;R$160,0.2,IF(B141&lt;-4,-0.8*((B141+4)/(R$160+4))^3+1.2*((B141+4)/(R$160+4))^2-0.2,IF(B141&lt;-2.5,-0.3555555556*B141^3-3.466666667*B141^2-10.66666667*B141-10.15555556,IF(B141&lt;-1,0.4148148148*B141^3+2.177777778*B141^2+3.111111111*B141+1.048148148,0))))+IF(B141&lt;-1,0,-1.6*(B141/(B$122+1)-B$122/(B$122+1))^3-1.9*(B141/(B$122+1)-B$122/(B$122+1))^2+1*(B141/(B$122+1)-B$122/(B$122+1))+1)</f>
        <v>0</v>
      </c>
      <c r="Q141" s="115" t="str">
        <f aca="false">IF(L141&gt;L$116,"|",IF(L140&gt;L$116,"V",""))</f>
        <v>|</v>
      </c>
      <c r="R141" s="92" t="n">
        <f aca="false">IF(Q141="V",B141,0)</f>
        <v>0</v>
      </c>
    </row>
    <row r="142" s="92" customFormat="true" ht="15.75" hidden="false" customHeight="false" outlineLevel="0" collapsed="false">
      <c r="B142" s="155" t="n">
        <f aca="false">B141-0.25</f>
        <v>-5</v>
      </c>
      <c r="C142" s="159"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200.513926500953</v>
      </c>
      <c r="D142" s="157" t="n">
        <f aca="false">(C142-C141)/(E142-E141)</f>
        <v>-0.00173825753295403</v>
      </c>
      <c r="E142" s="154" t="n">
        <f aca="false">IF(D142=0,(8314.4621*C141*LN(H142/H141)/(-G$70*9.80665*G$74)),C141/D142*(1/(H142/H141)^(8314.4621*D142/(G$70*9.80665*G$74))-1))+E141</f>
        <v>79414.3615460238</v>
      </c>
      <c r="F142" s="154" t="n">
        <f aca="false">F$38*E142/(F$38-E142)</f>
        <v>80416.7544533406</v>
      </c>
      <c r="G142" s="154" t="n">
        <f aca="false">8314.4621*C142/(G$74*G$70*9.80665)</f>
        <v>5866.32330459778</v>
      </c>
      <c r="H142" s="157" t="n">
        <f aca="false">10^B142*101325</f>
        <v>1.01325</v>
      </c>
      <c r="I142" s="157" t="n">
        <f aca="false">H142/(8314.4621/G$74*C142)</f>
        <v>1.7606847834784E-005</v>
      </c>
      <c r="J142" s="154" t="n">
        <f aca="false">SQRT(8314.4621/G$74*G$76*C142)</f>
        <v>283.944239960444</v>
      </c>
      <c r="K142" s="154" t="n">
        <f aca="false">IF(F$20&gt;0,SQRT(2*G$69/(F$20+N142)),10000)</f>
        <v>3260.6509271581</v>
      </c>
      <c r="L142" s="157" t="n">
        <f aca="false">I142*K142^2/2</f>
        <v>93.5966338824232</v>
      </c>
      <c r="M142" s="157" t="n">
        <f aca="false">I142*K142^3/2</f>
        <v>305185.951047601</v>
      </c>
      <c r="N142" s="154" t="n">
        <f aca="false">F142*IF(G$100&gt;0,G$100,0.5)</f>
        <v>64343.8041952945</v>
      </c>
      <c r="O142" s="154" t="n">
        <f aca="false">C142-P142*(G$87+(G$86-G$87)*COS(RADIANS(38)))/2</f>
        <v>199.817890658129</v>
      </c>
      <c r="P142" s="158" t="n">
        <f aca="false">IF(B142&lt;R$160,0.2,IF(B142&lt;-4,-0.8*((B142+4)/(R$160+4))^3+1.2*((B142+4)/(R$160+4))^2-0.2,IF(B142&lt;-2.5,-0.3555555556*B142^3-3.466666667*B142^2-10.66666667*B142-10.15555556,IF(B142&lt;-1,0.4148148148*B142^3+2.177777778*B142^2+3.111111111*B142+1.048148148,0))))+IF(B142&lt;-1,0,-1.6*(B142/(B$122+1)-B$122/(B$122+1))^3-1.9*(B142/(B$122+1)-B$122/(B$122+1))^2+1*(B142/(B$122+1)-B$122/(B$122+1))+1)</f>
        <v>0.0962962962962963</v>
      </c>
      <c r="Q142" s="115" t="str">
        <f aca="false">IF(L142&gt;L$116,"|",IF(L141&gt;L$116,"V",""))</f>
        <v>|</v>
      </c>
      <c r="R142" s="92" t="n">
        <f aca="false">IF(Q142="V",B142,0)</f>
        <v>0</v>
      </c>
    </row>
    <row r="143" s="92" customFormat="true" ht="15.75" hidden="false" customHeight="false" outlineLevel="0" collapsed="false">
      <c r="B143" s="155" t="n">
        <f aca="false">B142-0.25</f>
        <v>-5.25</v>
      </c>
      <c r="C143" s="159"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195.511683827665</v>
      </c>
      <c r="D143" s="157" t="n">
        <f aca="false">(C143-C142)/(E143-E142)</f>
        <v>-0.00150009038914392</v>
      </c>
      <c r="E143" s="154" t="n">
        <f aca="false">IF(D143=0,(8314.4621*C142*LN(H143/H142)/(-G$70*9.80665*G$74)),C142/D143*(1/(H143/H142)^(8314.4621*D143/(G$70*9.80665*G$74))-1))+E142</f>
        <v>82748.9890521326</v>
      </c>
      <c r="F143" s="154" t="n">
        <f aca="false">F$38*E143/(F$38-E143)</f>
        <v>83837.9079227738</v>
      </c>
      <c r="G143" s="154" t="n">
        <f aca="false">8314.4621*C143/(G$74*G$70*9.80665)</f>
        <v>5719.97550082351</v>
      </c>
      <c r="H143" s="157" t="n">
        <f aca="false">10^B143*101325</f>
        <v>0.569792347749121</v>
      </c>
      <c r="I143" s="157" t="n">
        <f aca="false">H143/(8314.4621/G$74*C143)</f>
        <v>1.01543805775056E-005</v>
      </c>
      <c r="J143" s="154" t="n">
        <f aca="false">SQRT(8314.4621/G$74*G$76*C143)</f>
        <v>280.380076799587</v>
      </c>
      <c r="K143" s="154" t="n">
        <f aca="false">IF(F$20&gt;0,SQRT(2*G$69/(F$20+N143)),10000)</f>
        <v>3253.9540150646</v>
      </c>
      <c r="L143" s="157" t="n">
        <f aca="false">I143*K143^2/2</f>
        <v>53.7583911677075</v>
      </c>
      <c r="M143" s="157" t="n">
        <f aca="false">I143*K143^3/2</f>
        <v>174927.332783575</v>
      </c>
      <c r="N143" s="154" t="n">
        <f aca="false">F143*IF(G$100&gt;0,G$100,0.5)</f>
        <v>67081.1694428187</v>
      </c>
      <c r="O143" s="154" t="n">
        <f aca="false">C143-P143*(G$87+(G$86-G$87)*COS(RADIANS(38)))/2</f>
        <v>194.280235798052</v>
      </c>
      <c r="P143" s="158" t="n">
        <f aca="false">IF(B143&lt;R$160,0.2,IF(B143&lt;-4,-0.8*((B143+4)/(R$160+4))^3+1.2*((B143+4)/(R$160+4))^2-0.2,IF(B143&lt;-2.5,-0.3555555556*B143^3-3.466666667*B143^2-10.66666667*B143-10.15555556,IF(B143&lt;-1,0.4148148148*B143^3+2.177777778*B143^2+3.111111111*B143+1.048148148,0))))+IF(B143&lt;-1,0,-1.6*(B143/(B$122+1)-B$122/(B$122+1))^3-1.9*(B143/(B$122+1)-B$122/(B$122+1))^2+1*(B143/(B$122+1)-B$122/(B$122+1))+1)</f>
        <v>0.17037037037037</v>
      </c>
      <c r="Q143" s="115" t="str">
        <f aca="false">IF(L143&gt;L$116,"|",IF(L142&gt;L$116,"V",""))</f>
        <v>|</v>
      </c>
      <c r="R143" s="92" t="n">
        <f aca="false">IF(Q143="V",B143,0)</f>
        <v>0</v>
      </c>
    </row>
    <row r="144" s="92" customFormat="true" ht="15.75" hidden="false" customHeight="false" outlineLevel="0" collapsed="false">
      <c r="B144" s="155" t="n">
        <f aca="false">B143-0.25</f>
        <v>-5.5</v>
      </c>
      <c r="C144" s="159"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191.676041925488</v>
      </c>
      <c r="D144" s="157" t="n">
        <f aca="false">(C144-C143)/(E144-E143)</f>
        <v>-0.00117647723028234</v>
      </c>
      <c r="E144" s="154" t="n">
        <f aca="false">IF(D144=0,(8314.4621*C143*LN(H144/H143)/(-G$70*9.80665*G$74)),C143/D144*(1/(H144/H143)^(8314.4621*D144/(G$70*9.80665*G$74))-1))+E143</f>
        <v>86009.2662623057</v>
      </c>
      <c r="F144" s="154" t="n">
        <f aca="false">F$38*E144/(F$38-E144)</f>
        <v>87186.2916862686</v>
      </c>
      <c r="G144" s="154" t="n">
        <f aca="false">8314.4621*C144/(G$74*G$70*9.80665)</f>
        <v>5607.75828044643</v>
      </c>
      <c r="H144" s="157" t="n">
        <f aca="false">10^B144*101325</f>
        <v>0.320417783916561</v>
      </c>
      <c r="I144" s="157" t="n">
        <f aca="false">H144/(8314.4621/G$74*C144)</f>
        <v>5.82449557573415E-006</v>
      </c>
      <c r="J144" s="154" t="n">
        <f aca="false">SQRT(8314.4621/G$74*G$76*C144)</f>
        <v>277.616138231965</v>
      </c>
      <c r="K144" s="154" t="n">
        <f aca="false">IF(F$20&gt;0,SQRT(2*G$69/(F$20+N144)),10000)</f>
        <v>3247.43934551168</v>
      </c>
      <c r="L144" s="157" t="n">
        <f aca="false">I144*K144^2/2</f>
        <v>30.7121641624141</v>
      </c>
      <c r="M144" s="157" t="n">
        <f aca="false">I144*K144^3/2</f>
        <v>99735.8902868374</v>
      </c>
      <c r="N144" s="154" t="n">
        <f aca="false">F144*IF(G$100&gt;0,G$100,0.5)</f>
        <v>69760.3095139841</v>
      </c>
      <c r="O144" s="154" t="n">
        <f aca="false">C144-P144*(G$87+(G$86-G$87)*COS(RADIANS(38)))/2</f>
        <v>190.230429021159</v>
      </c>
      <c r="P144" s="158" t="n">
        <f aca="false">IF(B144&lt;R$160,0.2,IF(B144&lt;-4,-0.8*((B144+4)/(R$160+4))^3+1.2*((B144+4)/(R$160+4))^2-0.2,IF(B144&lt;-2.5,-0.3555555556*B144^3-3.466666667*B144^2-10.66666667*B144-10.15555556,IF(B144&lt;-1,0.4148148148*B144^3+2.177777778*B144^2+3.111111111*B144+1.048148148,0))))+IF(B144&lt;-1,0,-1.6*(B144/(B$122+1)-B$122/(B$122+1))^3-1.9*(B144/(B$122+1)-B$122/(B$122+1))^2+1*(B144/(B$122+1)-B$122/(B$122+1))+1)</f>
        <v>0.2</v>
      </c>
      <c r="Q144" s="115" t="str">
        <f aca="false">IF(L144&gt;L$116,"|",IF(L143&gt;L$116,"V",""))</f>
        <v>V</v>
      </c>
      <c r="R144" s="92" t="n">
        <f aca="false">IF(Q144="V",B144,0)</f>
        <v>-5.5</v>
      </c>
    </row>
    <row r="145" s="92" customFormat="true" ht="15.75" hidden="false" customHeight="false" outlineLevel="0" collapsed="false">
      <c r="B145" s="155" t="n">
        <f aca="false">B144-0.25</f>
        <v>-5.75</v>
      </c>
      <c r="C145" s="159"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189.219110025333</v>
      </c>
      <c r="D145" s="157" t="n">
        <f aca="false">(C145-C144)/(E145-E144)</f>
        <v>-0.000766031349443545</v>
      </c>
      <c r="E145" s="154" t="n">
        <f aca="false">IF(D145=0,(8314.4621*C144*LN(H145/H144)/(-G$70*9.80665*G$74)),C144/D145*(1/(H145/H144)^(8314.4621*D145/(G$70*9.80665*G$74))-1))+E144</f>
        <v>89216.6178960724</v>
      </c>
      <c r="F145" s="154" t="n">
        <f aca="false">F$38*E145/(F$38-E145)</f>
        <v>90483.7110803884</v>
      </c>
      <c r="G145" s="154" t="n">
        <f aca="false">8314.4621*C145/(G$74*G$70*9.80665)</f>
        <v>5535.87720407832</v>
      </c>
      <c r="H145" s="157" t="n">
        <f aca="false">10^B145*101325</f>
        <v>0.180184161222194</v>
      </c>
      <c r="I145" s="157" t="n">
        <f aca="false">H145/(8314.4621/G$74*C145)</f>
        <v>3.31788368520962E-006</v>
      </c>
      <c r="J145" s="154" t="n">
        <f aca="false">SQRT(8314.4621/G$74*G$76*C145)</f>
        <v>275.831137288771</v>
      </c>
      <c r="K145" s="154" t="n">
        <f aca="false">IF(F$20&gt;0,SQRT(2*G$69/(F$20+N145)),10000)</f>
        <v>3241.06192232271</v>
      </c>
      <c r="L145" s="157" t="n">
        <f aca="false">I145*K145^2/2</f>
        <v>17.4263253622705</v>
      </c>
      <c r="M145" s="157" t="n">
        <f aca="false">I145*K145^3/2</f>
        <v>56479.7995776613</v>
      </c>
      <c r="N145" s="154" t="n">
        <f aca="false">F145*IF(G$100&gt;0,G$100,0.5)</f>
        <v>72398.6714982161</v>
      </c>
      <c r="O145" s="154" t="n">
        <f aca="false">C145-P145*(G$87+(G$86-G$87)*COS(RADIANS(38)))/2</f>
        <v>187.773497121005</v>
      </c>
      <c r="P145" s="158"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115" t="str">
        <f aca="false">IF(L145&gt;L$116,"|",IF(L144&gt;L$116,"V",""))</f>
        <v/>
      </c>
      <c r="R145" s="92" t="n">
        <f aca="false">IF(Q145="V",B145,0)</f>
        <v>0</v>
      </c>
    </row>
    <row r="146" s="92" customFormat="true" ht="15.75" hidden="false" customHeight="false" outlineLevel="0" collapsed="false">
      <c r="B146" s="155" t="n">
        <f aca="false">B145-0.25</f>
        <v>-6</v>
      </c>
      <c r="C146" s="159"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188.352997358113</v>
      </c>
      <c r="D146" s="157" t="n">
        <f aca="false">(C146-C145)/(E146-E145)</f>
        <v>-0.000272413166156286</v>
      </c>
      <c r="E146" s="154" t="n">
        <f aca="false">IF(D146=0,(8314.4621*C145*LN(H146/H145)/(-G$70*9.80665*G$74)),C145/D146*(1/(H146/H145)^(8314.4621*D146/(G$70*9.80665*G$74))-1))+E145</f>
        <v>92396.0261436294</v>
      </c>
      <c r="F146" s="154" t="n">
        <f aca="false">F$38*E146/(F$38-E146)</f>
        <v>93755.7273897474</v>
      </c>
      <c r="G146" s="154" t="n">
        <f aca="false">8314.4621*C146/(G$74*G$70*9.80665)</f>
        <v>5510.537832331</v>
      </c>
      <c r="H146" s="157" t="n">
        <f aca="false">10^B146*101325</f>
        <v>0.101325</v>
      </c>
      <c r="I146" s="157" t="n">
        <f aca="false">H146/(8314.4621/G$74*C146)</f>
        <v>1.87436262877464E-006</v>
      </c>
      <c r="J146" s="154" t="n">
        <f aca="false">SQRT(8314.4621/G$74*G$76*C146)</f>
        <v>275.199132282321</v>
      </c>
      <c r="K146" s="154" t="n">
        <f aca="false">IF(F$20&gt;0,SQRT(2*G$69/(F$20+N146)),10000)</f>
        <v>3234.77062548192</v>
      </c>
      <c r="L146" s="157" t="n">
        <f aca="false">I146*K146^2/2</f>
        <v>9.80642254330179</v>
      </c>
      <c r="M146" s="157" t="n">
        <f aca="false">I146*K146^3/2</f>
        <v>31721.5275841363</v>
      </c>
      <c r="N146" s="154" t="n">
        <f aca="false">F146*IF(G$100&gt;0,G$100,0.5)</f>
        <v>75016.707729153</v>
      </c>
      <c r="O146" s="154" t="n">
        <f aca="false">C146-P146*(G$87+(G$86-G$87)*COS(RADIANS(38)))/2</f>
        <v>186.907384453785</v>
      </c>
      <c r="P146" s="158"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115" t="str">
        <f aca="false">IF(L146&gt;L$116,"|",IF(L145&gt;L$116,"V",""))</f>
        <v/>
      </c>
      <c r="R146" s="92" t="n">
        <f aca="false">IF(Q146="V",B146,0)</f>
        <v>0</v>
      </c>
    </row>
    <row r="147" s="92" customFormat="true" ht="15.75" hidden="false" customHeight="false" outlineLevel="0" collapsed="false">
      <c r="B147" s="155" t="n">
        <f aca="false">B146-0.25</f>
        <v>-6.25</v>
      </c>
      <c r="C147" s="159"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188.647981985758</v>
      </c>
      <c r="D147" s="157" t="n">
        <f aca="false">(C147-C146)/(E147-E146)</f>
        <v>9.29201367683042E-005</v>
      </c>
      <c r="E147" s="154" t="n">
        <f aca="false">IF(D147=0,(8314.4621*C146*LN(H147/H146)/(-G$70*9.80665*G$74)),C146/D147*(1/(H147/H146)^(8314.4621*D147/(G$70*9.80665*G$74))-1))+E146</f>
        <v>95570.6300336442</v>
      </c>
      <c r="F147" s="154" t="n">
        <f aca="false">F$38*E147/(F$38-E147)</f>
        <v>97026.1073861168</v>
      </c>
      <c r="G147" s="154" t="n">
        <f aca="false">8314.4621*C147/(G$74*G$70*9.80665)</f>
        <v>5519.16803186801</v>
      </c>
      <c r="H147" s="157" t="n">
        <f aca="false">10^B147*101325</f>
        <v>0.0569792347749121</v>
      </c>
      <c r="I147" s="157" t="n">
        <f aca="false">H147/(8314.4621/G$74*C147)</f>
        <v>1.05238339898326E-006</v>
      </c>
      <c r="J147" s="154" t="n">
        <f aca="false">SQRT(8314.4621/G$74*G$76*C147)</f>
        <v>275.414546306042</v>
      </c>
      <c r="K147" s="154" t="n">
        <f aca="false">IF(F$20&gt;0,SQRT(2*G$69/(F$20+N147)),10000)</f>
        <v>3228.5189424291</v>
      </c>
      <c r="L147" s="157" t="n">
        <f aca="false">I147*K147^2/2</f>
        <v>5.48467212735052</v>
      </c>
      <c r="M147" s="157" t="n">
        <f aca="false">I147*K147^3/2</f>
        <v>17707.3678561641</v>
      </c>
      <c r="N147" s="154" t="n">
        <f aca="false">F147*IF(G$100&gt;0,G$100,0.5)</f>
        <v>77633.4346980671</v>
      </c>
      <c r="O147" s="154" t="n">
        <f aca="false">C147-P147*(G$87+(G$86-G$87)*COS(RADIANS(38)))/2</f>
        <v>187.20236908143</v>
      </c>
      <c r="P147" s="158"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115" t="str">
        <f aca="false">IF(L147&gt;L$116,"|",IF(L146&gt;L$116,"V",""))</f>
        <v/>
      </c>
      <c r="R147" s="92" t="n">
        <f aca="false">IF(Q147="V",B147,0)</f>
        <v>0</v>
      </c>
    </row>
    <row r="148" s="92" customFormat="true" ht="15.75" hidden="false" customHeight="false" outlineLevel="0" collapsed="false">
      <c r="B148" s="155" t="n">
        <f aca="false">B147-0.25</f>
        <v>-6.5</v>
      </c>
      <c r="C148" s="159"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192.471366400351</v>
      </c>
      <c r="D148" s="157" t="n">
        <f aca="false">(C148-C147)/(E148-E147)</f>
        <v>0.00119139118857022</v>
      </c>
      <c r="E148" s="154" t="n">
        <f aca="false">IF(D148=0,(8314.4621*C147*LN(H148/H147)/(-G$70*9.80665*G$74)),C147/D148*(1/(H148/H147)^(8314.4621*D148/(G$70*9.80665*G$74))-1))+E147</f>
        <v>98779.8063741048</v>
      </c>
      <c r="F148" s="154" t="n">
        <f aca="false">F$38*E148/(F$38-E148)</f>
        <v>100335.467662467</v>
      </c>
      <c r="G148" s="154" t="n">
        <f aca="false">8314.4621*C148/(G$74*G$70*9.80665)</f>
        <v>5631.02664181676</v>
      </c>
      <c r="H148" s="157" t="n">
        <f aca="false">10^B148*101325</f>
        <v>0.0320417783916561</v>
      </c>
      <c r="I148" s="157" t="n">
        <f aca="false">H148/(8314.4621/G$74*C148)</f>
        <v>5.80042776777002E-007</v>
      </c>
      <c r="J148" s="154" t="n">
        <f aca="false">SQRT(8314.4621/G$74*G$76*C148)</f>
        <v>278.191500557161</v>
      </c>
      <c r="K148" s="154" t="n">
        <f aca="false">IF(F$20&gt;0,SQRT(2*G$69/(F$20+N148)),10000)</f>
        <v>3222.22949851888</v>
      </c>
      <c r="L148" s="157" t="n">
        <f aca="false">I148*K148^2/2</f>
        <v>3.01122332349382</v>
      </c>
      <c r="M148" s="157" t="n">
        <f aca="false">I148*K148^3/2</f>
        <v>9702.85261958983</v>
      </c>
      <c r="N148" s="154" t="n">
        <f aca="false">F148*IF(G$100&gt;0,G$100,0.5)</f>
        <v>80281.350932447</v>
      </c>
      <c r="O148" s="154" t="n">
        <f aca="false">C148-P148*(G$87+(G$86-G$87)*COS(RADIANS(38)))/2</f>
        <v>191.025753496023</v>
      </c>
      <c r="P148" s="158"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115" t="str">
        <f aca="false">IF(L148&gt;L$116,"|",IF(L147&gt;L$116,"V",""))</f>
        <v/>
      </c>
      <c r="R148" s="92" t="n">
        <f aca="false">IF(Q148="V",B148,0)</f>
        <v>0</v>
      </c>
    </row>
    <row r="149" s="92" customFormat="true" ht="15.75" hidden="false" customHeight="false" outlineLevel="0" collapsed="false">
      <c r="B149" s="155" t="n">
        <f aca="false">B148-0.25</f>
        <v>-6.75</v>
      </c>
      <c r="C149" s="159"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204.230854885694</v>
      </c>
      <c r="D149" s="157" t="n">
        <f aca="false">(C149-C148)/(E149-E148)</f>
        <v>0.00352130708040422</v>
      </c>
      <c r="E149" s="154" t="n">
        <f aca="false">IF(D149=0,(8314.4621*C148*LN(H149/H148)/(-G$70*9.80665*G$74)),C148/D149*(1/(H149/H148)^(8314.4621*D149/(G$70*9.80665*G$74))-1))+E148</f>
        <v>102119.330084145</v>
      </c>
      <c r="F149" s="154" t="n">
        <f aca="false">F$38*E149/(F$38-E149)</f>
        <v>103782.841981393</v>
      </c>
      <c r="G149" s="154" t="n">
        <f aca="false">8314.4621*C149/(G$74*G$70*9.80665)</f>
        <v>5975.06739028511</v>
      </c>
      <c r="H149" s="157" t="n">
        <f aca="false">10^B149*101325</f>
        <v>0.0180184161222194</v>
      </c>
      <c r="I149" s="157" t="n">
        <f aca="false">H149/(8314.4621/G$74*C149)</f>
        <v>3.07400661097128E-007</v>
      </c>
      <c r="J149" s="154" t="n">
        <f aca="false">SQRT(8314.4621/G$74*G$76*C149)</f>
        <v>286.563893980538</v>
      </c>
      <c r="K149" s="154" t="n">
        <f aca="false">IF(F$20&gt;0,SQRT(2*G$69/(F$20+N149)),10000)</f>
        <v>3215.71669035086</v>
      </c>
      <c r="L149" s="157" t="n">
        <f aca="false">I149*K149^2/2</f>
        <v>1.58938957821856</v>
      </c>
      <c r="M149" s="157" t="n">
        <f aca="false">I149*K149^3/2</f>
        <v>5111.02659414713</v>
      </c>
      <c r="N149" s="154" t="n">
        <f aca="false">F149*IF(G$100&gt;0,G$100,0.5)</f>
        <v>83039.6962508173</v>
      </c>
      <c r="O149" s="154" t="n">
        <f aca="false">C149-P149*(G$87+(G$86-G$87)*COS(RADIANS(38)))/2</f>
        <v>202.785241981366</v>
      </c>
      <c r="P149" s="158"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115" t="str">
        <f aca="false">IF(L149&gt;L$116,"|",IF(L148&gt;L$116,"V",""))</f>
        <v/>
      </c>
      <c r="R149" s="92" t="n">
        <f aca="false">IF(Q149="V",B149,0)</f>
        <v>0</v>
      </c>
    </row>
    <row r="150" s="92" customFormat="true" ht="15.75" hidden="false" customHeight="false" outlineLevel="0" collapsed="false">
      <c r="B150" s="155" t="n">
        <f aca="false">B149-0.25</f>
        <v>-7</v>
      </c>
      <c r="C150" s="159"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228.334141583149</v>
      </c>
      <c r="D150" s="157" t="n">
        <f aca="false">(C150-C149)/(E150-E149)</f>
        <v>0.00662411445221675</v>
      </c>
      <c r="E150" s="154" t="n">
        <f aca="false">IF(D150=0,(8314.4621*C149*LN(H150/H149)/(-G$70*9.80665*G$74)),C149/D150*(1/(H150/H149)^(8314.4621*D150/(G$70*9.80665*G$74))-1))+E149</f>
        <v>105758.048417188</v>
      </c>
      <c r="F150" s="154" t="n">
        <f aca="false">F$38*E150/(F$38-E150)</f>
        <v>107543.257175516</v>
      </c>
      <c r="G150" s="154" t="n">
        <f aca="false">8314.4621*C150/(G$74*G$70*9.80665)</f>
        <v>6680.24370864926</v>
      </c>
      <c r="H150" s="157" t="n">
        <f aca="false">10^B150*101325</f>
        <v>0.0101325</v>
      </c>
      <c r="I150" s="157" t="n">
        <f aca="false">H150/(8314.4621/G$74*C150)</f>
        <v>1.54616307845129E-007</v>
      </c>
      <c r="J150" s="154" t="n">
        <f aca="false">SQRT(8314.4621/G$74*G$76*C150)</f>
        <v>303.002505303898</v>
      </c>
      <c r="K150" s="154" t="n">
        <f aca="false">IF(F$20&gt;0,SQRT(2*G$69/(F$20+N150)),10000)</f>
        <v>3208.65732098542</v>
      </c>
      <c r="L150" s="157" t="n">
        <f aca="false">I150*K150^2/2</f>
        <v>0.795924691972971</v>
      </c>
      <c r="M150" s="157" t="n">
        <f aca="false">I150*K150^3/2</f>
        <v>2553.84958985214</v>
      </c>
      <c r="N150" s="154" t="n">
        <f aca="false">F150*IF(G$100&gt;0,G$100,0.5)</f>
        <v>86048.5147562203</v>
      </c>
      <c r="O150" s="154" t="n">
        <f aca="false">C150-P150*(G$87+(G$86-G$87)*COS(RADIANS(38)))/2</f>
        <v>226.888528678821</v>
      </c>
      <c r="P150" s="158"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115" t="str">
        <f aca="false">IF(L150&gt;L$116,"|",IF(L149&gt;L$116,"V",""))</f>
        <v/>
      </c>
      <c r="R150" s="92" t="n">
        <f aca="false">IF(Q150="V",B150,0)</f>
        <v>0</v>
      </c>
    </row>
    <row r="151" s="92" customFormat="true" ht="15.75" hidden="false" customHeight="false" outlineLevel="0" collapsed="false">
      <c r="B151" s="155" t="n">
        <f aca="false">B150-0.25</f>
        <v>-7.25</v>
      </c>
      <c r="C151" s="159"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269.188920634055</v>
      </c>
      <c r="D151" s="157" t="n">
        <f aca="false">(C151-C150)/(E151-E150)</f>
        <v>0.00977375666168979</v>
      </c>
      <c r="E151" s="154" t="n">
        <f aca="false">IF(D151=0,(8314.4621*C150*LN(H151/H150)/(-G$70*9.80665*G$74)),C150/D151*(1/(H151/H150)^(8314.4621*D151/(G$70*9.80665*G$74))-1))+E150</f>
        <v>109938.097140014</v>
      </c>
      <c r="F151" s="154" t="n">
        <f aca="false">F$38*E151/(F$38-E151)</f>
        <v>111868.502140042</v>
      </c>
      <c r="G151" s="154" t="n">
        <f aca="false">8314.4621*C151/(G$74*G$70*9.80665)</f>
        <v>7875.50902828472</v>
      </c>
      <c r="H151" s="157" t="n">
        <f aca="false">10^B151*101325</f>
        <v>0.00569792347749121</v>
      </c>
      <c r="I151" s="157" t="n">
        <f aca="false">H151/(8314.4621/G$74*C151)</f>
        <v>7.37511796644089E-008</v>
      </c>
      <c r="J151" s="154" t="n">
        <f aca="false">SQRT(8314.4621/G$74*G$76*C151)</f>
        <v>328.995064543569</v>
      </c>
      <c r="K151" s="154" t="n">
        <f aca="false">IF(F$20&gt;0,SQRT(2*G$69/(F$20+N151)),10000)</f>
        <v>3200.59481386675</v>
      </c>
      <c r="L151" s="157" t="n">
        <f aca="false">I151*K151^2/2</f>
        <v>0.37774643124642</v>
      </c>
      <c r="M151" s="157" t="n">
        <f aca="false">I151*K151^3/2</f>
        <v>1209.01326880397</v>
      </c>
      <c r="N151" s="154" t="n">
        <f aca="false">F151*IF(G$100&gt;0,G$100,0.5)</f>
        <v>89509.2701297239</v>
      </c>
      <c r="O151" s="154" t="n">
        <f aca="false">C151-P151*(G$87+(G$86-G$87)*COS(RADIANS(38)))/2</f>
        <v>267.743307729727</v>
      </c>
      <c r="P151" s="158"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115" t="str">
        <f aca="false">IF(L151&gt;L$116,"|",IF(L150&gt;L$116,"V",""))</f>
        <v/>
      </c>
      <c r="R151" s="92" t="n">
        <f aca="false">IF(Q151="V",B151,0)</f>
        <v>0</v>
      </c>
    </row>
    <row r="152" s="92" customFormat="true" ht="15.75" hidden="false" customHeight="false" outlineLevel="0" collapsed="false">
      <c r="B152" s="155" t="n">
        <f aca="false">B151-0.25</f>
        <v>-7.5</v>
      </c>
      <c r="C152" s="159"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v>
      </c>
      <c r="D152" s="157" t="n">
        <f aca="false">(C152-C151)/(E152-E151)</f>
        <v>0.0123100332153626</v>
      </c>
      <c r="E152" s="154" t="n">
        <f aca="false">IF(D152=0,(8314.4621*C151*LN(H152/H151)/(-G$70*9.80665*G$74)),C151/D152*(1/(H152/H151)^(8314.4621*D152/(G$70*9.80665*G$74))-1))+E151</f>
        <v>114975.773680831</v>
      </c>
      <c r="F152" s="154" t="n">
        <f aca="false">F$38*E152/(F$38-E152)</f>
        <v>117088.845506527</v>
      </c>
      <c r="G152" s="154" t="n">
        <f aca="false">8314.4621*C152/(G$74*G$70*9.80665)</f>
        <v>9689.8167805675</v>
      </c>
      <c r="H152" s="157" t="n">
        <f aca="false">10^B152*101325</f>
        <v>0.00320417783916561</v>
      </c>
      <c r="I152" s="157" t="n">
        <f aca="false">H152/(8314.4621/G$74*C152)</f>
        <v>3.37079266139992E-008</v>
      </c>
      <c r="J152" s="154" t="n">
        <f aca="false">SQRT(8314.4621/G$74*G$76*C152)</f>
        <v>364.92855602761</v>
      </c>
      <c r="K152" s="154" t="n">
        <f aca="false">IF(F$20&gt;0,SQRT(2*G$69/(F$20+N152)),10000)</f>
        <v>3190.94426218583</v>
      </c>
      <c r="L152" s="157" t="n">
        <f aca="false">I152*K152^2/2</f>
        <v>0.171609165930157</v>
      </c>
      <c r="M152" s="157" t="n">
        <f aca="false">I152*K152^3/2</f>
        <v>547.595283363332</v>
      </c>
      <c r="N152" s="154" t="n">
        <f aca="false">F152*IF(G$100&gt;0,G$100,0.5)</f>
        <v>93686.2199915863</v>
      </c>
      <c r="O152" s="154" t="n">
        <f aca="false">C152-P152*(G$87+(G$86-G$87)*COS(RADIANS(38)))/2</f>
        <v>329.75727327544</v>
      </c>
      <c r="P152" s="158"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115" t="str">
        <f aca="false">IF(L152&gt;L$116,"|",IF(L151&gt;L$116,"V",""))</f>
        <v/>
      </c>
      <c r="R152" s="92" t="n">
        <f aca="false">IF(Q152="V",B152,0)</f>
        <v>0</v>
      </c>
    </row>
    <row r="153" s="92" customFormat="true" ht="15.75" hidden="false" customHeight="false" outlineLevel="0" collapsed="false">
      <c r="B153" s="155" t="n">
        <f aca="false">B152-0.25</f>
        <v>-7.75</v>
      </c>
      <c r="C153" s="159"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v>
      </c>
      <c r="D153" s="157" t="n">
        <f aca="false">(C153-C152)/(E153-E152)</f>
        <v>0.0129255497436304</v>
      </c>
      <c r="E153" s="154" t="n">
        <f aca="false">IF(D153=0,(8314.4621*C152*LN(H153/H152)/(-G$70*9.80665*G$74)),C152/D153*(1/(H153/H152)^(8314.4621*D153/(G$70*9.80665*G$74))-1))+E152</f>
        <v>121207.349028527</v>
      </c>
      <c r="F153" s="154" t="n">
        <f aca="false">F$38*E153/(F$38-E153)</f>
        <v>123558.022447467</v>
      </c>
      <c r="G153" s="154" t="n">
        <f aca="false">8314.4621*C153/(G$74*G$70*9.80665)</f>
        <v>12046.3215688474</v>
      </c>
      <c r="H153" s="157" t="n">
        <f aca="false">10^B153*101325</f>
        <v>0.00180184161222194</v>
      </c>
      <c r="I153" s="157" t="n">
        <f aca="false">H153/(8314.4621/G$74*C153)</f>
        <v>1.52473072827764E-008</v>
      </c>
      <c r="J153" s="154" t="n">
        <f aca="false">SQRT(8314.4621/G$74*G$76*C153)</f>
        <v>406.890258263047</v>
      </c>
      <c r="K153" s="154" t="n">
        <f aca="false">IF(F$20&gt;0,SQRT(2*G$69/(F$20+N153)),10000)</f>
        <v>3179.10531256287</v>
      </c>
      <c r="L153" s="157" t="n">
        <f aca="false">I153*K153^2/2</f>
        <v>0.077050060979449</v>
      </c>
      <c r="M153" s="157" t="n">
        <f aca="false">I153*K153^3/2</f>
        <v>244.950258193059</v>
      </c>
      <c r="N153" s="154" t="n">
        <f aca="false">F153*IF(G$100&gt;0,G$100,0.5)</f>
        <v>98862.3982298424</v>
      </c>
      <c r="O153" s="154" t="n">
        <f aca="false">C153-P153*(G$87+(G$86-G$87)*COS(RADIANS(38)))/2</f>
        <v>410.303810413269</v>
      </c>
      <c r="P153" s="158"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115" t="str">
        <f aca="false">IF(L153&gt;L$116,"|",IF(L152&gt;L$116,"V",""))</f>
        <v/>
      </c>
      <c r="R153" s="92" t="n">
        <f aca="false">IF(Q153="V",B153,0)</f>
        <v>0</v>
      </c>
    </row>
    <row r="154" s="92" customFormat="true" ht="15.75" hidden="false" customHeight="false" outlineLevel="0" collapsed="false">
      <c r="B154" s="155" t="n">
        <f aca="false">B153-0.25</f>
        <v>-8</v>
      </c>
      <c r="C154" s="159"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501.438294793288</v>
      </c>
      <c r="D154" s="157" t="n">
        <f aca="false">(C154-C153)/(E154-E153)</f>
        <v>0.011701287444999</v>
      </c>
      <c r="E154" s="154" t="n">
        <f aca="false">IF(D154=0,(8314.4621*C153*LN(H154/H153)/(-G$70*9.80665*G$74)),C153/D154*(1/(H154/H153)^(8314.4621*D154/(G$70*9.80665*G$74))-1))+E153</f>
        <v>128872.221111814</v>
      </c>
      <c r="F154" s="154" t="n">
        <f aca="false">F$38*E154/(F$38-E154)</f>
        <v>131532.860234016</v>
      </c>
      <c r="G154" s="154" t="n">
        <f aca="false">8314.4621*C154/(G$74*G$70*9.80665)</f>
        <v>14670.2984969458</v>
      </c>
      <c r="H154" s="157" t="n">
        <f aca="false">10^B154*101325</f>
        <v>0.00101325</v>
      </c>
      <c r="I154" s="157" t="n">
        <f aca="false">H154/(8314.4621/G$74*C154)</f>
        <v>7.0405835160889E-009</v>
      </c>
      <c r="J154" s="154" t="n">
        <f aca="false">SQRT(8314.4621/G$74*G$76*C154)</f>
        <v>449.023986512402</v>
      </c>
      <c r="K154" s="154" t="n">
        <f aca="false">IF(F$20&gt;0,SQRT(2*G$69/(F$20+N154)),10000)</f>
        <v>3164.69067578411</v>
      </c>
      <c r="L154" s="157" t="n">
        <f aca="false">I154*K154^2/2</f>
        <v>0.035256662133086</v>
      </c>
      <c r="M154" s="157" t="n">
        <f aca="false">I154*K154^3/2</f>
        <v>111.576429911848</v>
      </c>
      <c r="N154" s="154" t="n">
        <f aca="false">F154*IF(G$100&gt;0,G$100,0.5)</f>
        <v>105243.299877952</v>
      </c>
      <c r="O154" s="154" t="n">
        <f aca="false">C154-P154*(G$87+(G$86-G$87)*COS(RADIANS(38)))/2</f>
        <v>499.992681888959</v>
      </c>
      <c r="P154" s="158"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115" t="str">
        <f aca="false">IF(L154&gt;L$116,"|",IF(L153&gt;L$116,"V",""))</f>
        <v/>
      </c>
      <c r="R154" s="92" t="n">
        <f aca="false">IF(Q154="V",B154,0)</f>
        <v>0</v>
      </c>
    </row>
    <row r="155" s="92" customFormat="true" ht="15.75" hidden="false" customHeight="false" outlineLevel="0" collapsed="false">
      <c r="B155" s="155" t="n">
        <f aca="false">B154-0.25</f>
        <v>-8.25</v>
      </c>
      <c r="C155" s="159"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594.531574491232</v>
      </c>
      <c r="D155" s="157" t="n">
        <f aca="false">(C155-C154)/(E155-E154)</f>
        <v>0.0101116103969774</v>
      </c>
      <c r="E155" s="154" t="n">
        <f aca="false">IF(D155=0,(8314.4621*C154*LN(H155/H154)/(-G$70*9.80665*G$74)),C154/D155*(1/(H155/H154)^(8314.4621*D155/(G$70*9.80665*G$74))-1))+E154</f>
        <v>138078.7941544</v>
      </c>
      <c r="F155" s="154" t="n">
        <f aca="false">F$38*E155/(F$38-E155)</f>
        <v>141137.673412693</v>
      </c>
      <c r="G155" s="154" t="n">
        <f aca="false">8314.4621*C155/(G$74*G$70*9.80665)</f>
        <v>17393.8762839026</v>
      </c>
      <c r="H155" s="157" t="n">
        <f aca="false">10^B155*101325</f>
        <v>0.000569792347749121</v>
      </c>
      <c r="I155" s="157" t="n">
        <f aca="false">H155/(8314.4621/G$74*C155)</f>
        <v>3.33926763542199E-009</v>
      </c>
      <c r="J155" s="154" t="n">
        <f aca="false">SQRT(8314.4621/G$74*G$76*C155)</f>
        <v>488.931766037307</v>
      </c>
      <c r="K155" s="154" t="n">
        <f aca="false">IF(F$20&gt;0,SQRT(2*G$69/(F$20+N155)),10000)</f>
        <v>3147.58738747152</v>
      </c>
      <c r="L155" s="157" t="n">
        <f aca="false">I155*K155^2/2</f>
        <v>0.0165415737440341</v>
      </c>
      <c r="M155" s="157" t="n">
        <f aca="false">I155*K155^3/2</f>
        <v>52.0660488856519</v>
      </c>
      <c r="N155" s="154" t="n">
        <f aca="false">F155*IF(G$100&gt;0,G$100,0.5)</f>
        <v>112928.392651247</v>
      </c>
      <c r="O155" s="154" t="n">
        <f aca="false">C155-P155*(G$87+(G$86-G$87)*COS(RADIANS(38)))/2</f>
        <v>593.085961586904</v>
      </c>
      <c r="P155" s="158"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115" t="str">
        <f aca="false">IF(L155&gt;L$116,"|",IF(L154&gt;L$116,"V",""))</f>
        <v/>
      </c>
      <c r="R155" s="92" t="n">
        <f aca="false">IF(Q155="V",B155,0)</f>
        <v>0</v>
      </c>
    </row>
    <row r="156" s="92" customFormat="true" ht="15.75" hidden="false" customHeight="false" outlineLevel="0" collapsed="false">
      <c r="B156" s="155" t="n">
        <f aca="false">B155-0.25</f>
        <v>-8.5</v>
      </c>
      <c r="C156" s="159"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685.291369015383</v>
      </c>
      <c r="D156" s="157" t="n">
        <f aca="false">(C156-C155)/(E156-E155)</f>
        <v>0.00843579624265348</v>
      </c>
      <c r="E156" s="154" t="n">
        <f aca="false">IF(D156=0,(8314.4621*C155*LN(H156/H155)/(-G$70*9.80665*G$74)),C155/D156*(1/(H156/H155)^(8314.4621*D156/(G$70*9.80665*G$74))-1))+E155</f>
        <v>148837.683050418</v>
      </c>
      <c r="F156" s="154" t="n">
        <f aca="false">F$38*E156/(F$38-E156)</f>
        <v>152397.965596482</v>
      </c>
      <c r="G156" s="154" t="n">
        <f aca="false">8314.4621*C156/(G$74*G$70*9.80665)</f>
        <v>20049.1846060156</v>
      </c>
      <c r="H156" s="157" t="n">
        <f aca="false">10^B156*101325</f>
        <v>0.000320417783916561</v>
      </c>
      <c r="I156" s="157" t="n">
        <f aca="false">H156/(8314.4621/G$74*C156)</f>
        <v>1.62911180360156E-009</v>
      </c>
      <c r="J156" s="154" t="n">
        <f aca="false">SQRT(8314.4621/G$74*G$76*C156)</f>
        <v>524.926409899268</v>
      </c>
      <c r="K156" s="154" t="n">
        <f aca="false">IF(F$20&gt;0,SQRT(2*G$69/(F$20+N156)),10000)</f>
        <v>3127.88499022389</v>
      </c>
      <c r="L156" s="157" t="n">
        <f aca="false">I156*K156^2/2</f>
        <v>0.00796934166954379</v>
      </c>
      <c r="M156" s="157" t="n">
        <f aca="false">I156*K156^3/2</f>
        <v>24.9271841901318</v>
      </c>
      <c r="N156" s="154" t="n">
        <f aca="false">F156*IF(G$100&gt;0,G$100,0.5)</f>
        <v>121938.082738602</v>
      </c>
      <c r="O156" s="154" t="n">
        <f aca="false">C156-P156*(G$87+(G$86-G$87)*COS(RADIANS(38)))/2</f>
        <v>683.845756111055</v>
      </c>
      <c r="P156" s="158"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115" t="str">
        <f aca="false">IF(L156&gt;L$116,"|",IF(L155&gt;L$116,"V",""))</f>
        <v/>
      </c>
      <c r="R156" s="92" t="n">
        <f aca="false">IF(Q156="V",B156,0)</f>
        <v>0</v>
      </c>
    </row>
    <row r="157" s="92" customFormat="true" ht="15.75" hidden="false" customHeight="false" outlineLevel="0" collapsed="false">
      <c r="B157" s="155" t="n">
        <f aca="false">B156-0.25</f>
        <v>-8.75</v>
      </c>
      <c r="C157" s="159"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767.979784969611</v>
      </c>
      <c r="D157" s="157" t="n">
        <f aca="false">(C157-C156)/(E157-E156)</f>
        <v>0.0067642583240029</v>
      </c>
      <c r="E157" s="154" t="n">
        <f aca="false">IF(D157=0,(8314.4621*C156*LN(H157/H156)/(-G$70*9.80665*G$74)),C156/D157*(1/(H157/H156)^(8314.4621*D157/(G$70*9.80665*G$74))-1))+E156</f>
        <v>161061.996787936</v>
      </c>
      <c r="F157" s="154" t="n">
        <f aca="false">F$38*E157/(F$38-E157)</f>
        <v>165239.327833092</v>
      </c>
      <c r="G157" s="154" t="n">
        <f aca="false">8314.4621*C157/(G$74*G$70*9.80665)</f>
        <v>22468.35313958</v>
      </c>
      <c r="H157" s="157" t="n">
        <f aca="false">10^B157*101325</f>
        <v>0.000180184161222194</v>
      </c>
      <c r="I157" s="157" t="n">
        <f aca="false">H157/(8314.4621/G$74*C157)</f>
        <v>8.17478546141395E-010</v>
      </c>
      <c r="J157" s="154" t="n">
        <f aca="false">SQRT(8314.4621/G$74*G$76*C157)</f>
        <v>555.693973137499</v>
      </c>
      <c r="K157" s="154" t="n">
        <f aca="false">IF(F$20&gt;0,SQRT(2*G$69/(F$20+N157)),10000)</f>
        <v>3105.86148866656</v>
      </c>
      <c r="L157" s="157" t="n">
        <f aca="false">I157*K157^2/2</f>
        <v>0.00394285254510823</v>
      </c>
      <c r="M157" s="157" t="n">
        <f aca="false">I157*K157^3/2</f>
        <v>12.2459538753426</v>
      </c>
      <c r="N157" s="154" t="n">
        <f aca="false">F157*IF(G$100&gt;0,G$100,0.5)</f>
        <v>132212.833354566</v>
      </c>
      <c r="O157" s="154" t="n">
        <f aca="false">C157-P157*(G$87+(G$86-G$87)*COS(RADIANS(38)))/2</f>
        <v>766.534172065283</v>
      </c>
      <c r="P157" s="158"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115" t="str">
        <f aca="false">IF(L157&gt;L$116,"|",IF(L156&gt;L$116,"V",""))</f>
        <v/>
      </c>
      <c r="R157" s="92" t="n">
        <f aca="false">IF(Q157="V",B157,0)</f>
        <v>0</v>
      </c>
    </row>
    <row r="158" s="92" customFormat="true" ht="15.75" hidden="false" customHeight="false" outlineLevel="0" collapsed="false">
      <c r="B158" s="155" t="n">
        <f aca="false">B157-0.25</f>
        <v>-9</v>
      </c>
      <c r="C158" s="160"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836.858928957889</v>
      </c>
      <c r="D158" s="157" t="n">
        <f aca="false">(C158-C157)/(E158-E157)</f>
        <v>0.00510006931400222</v>
      </c>
      <c r="E158" s="154" t="n">
        <f aca="false">IF(D158=0,(8314.4621*C157*LN(H158/H157)/(-G$70*9.80665*G$74)),C157/D158*(1/(H158/H157)^(8314.4621*D158/(G$70*9.80665*G$74))-1))+E157</f>
        <v>174567.527742029</v>
      </c>
      <c r="F158" s="154" t="n">
        <f aca="false">F$38*E158/(F$38-E158)</f>
        <v>179485.490114474</v>
      </c>
      <c r="G158" s="154" t="n">
        <f aca="false">8314.4621*C158/(G$74*G$70*9.80665)</f>
        <v>24483.5115608943</v>
      </c>
      <c r="H158" s="157" t="n">
        <f aca="false">10^B158*101325</f>
        <v>0.000101325</v>
      </c>
      <c r="I158" s="157" t="n">
        <f aca="false">H158/(8314.4621/G$74*C158)</f>
        <v>4.21865390986943E-010</v>
      </c>
      <c r="J158" s="154" t="n">
        <f aca="false">SQRT(8314.4621/G$74*G$76*C158)</f>
        <v>580.07870083717</v>
      </c>
      <c r="K158" s="154" t="n">
        <f aca="false">IF(F$20&gt;0,SQRT(2*G$69/(F$20+N158)),10000)</f>
        <v>3081.96478622853</v>
      </c>
      <c r="L158" s="157" t="n">
        <f aca="false">I158*K158^2/2</f>
        <v>0.00200354567276703</v>
      </c>
      <c r="M158" s="157" t="n">
        <f aca="false">I158*K158^3/2</f>
        <v>6.17485721106853</v>
      </c>
      <c r="N158" s="154" t="n">
        <f aca="false">F158*IF(G$100&gt;0,G$100,0.5)</f>
        <v>143611.605694968</v>
      </c>
      <c r="O158" s="154" t="n">
        <f aca="false">C158-P158*(G$87+(G$86-G$87)*COS(RADIANS(38)))/2</f>
        <v>835.413316053561</v>
      </c>
      <c r="P158" s="158"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115" t="str">
        <f aca="false">IF(L158&gt;L$116,"|",IF(L157&gt;L$116,"V",""))</f>
        <v/>
      </c>
      <c r="R158" s="92" t="n">
        <f aca="false">IF(Q158="V",B158,0)</f>
        <v>0</v>
      </c>
    </row>
    <row r="160" customFormat="false" ht="15.75" hidden="false" customHeight="false" outlineLevel="0" collapsed="false">
      <c r="R160" s="92" t="n">
        <f aca="false">SUM(R122:R159)</f>
        <v>-5.5</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Earthlike!G24</f>
        <v>0.3</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IF(Earthlike!F48&gt;0,"True","False")</f>
        <v>True</v>
      </c>
      <c r="D10" s="75"/>
      <c r="E10" s="75"/>
    </row>
    <row r="11" customFormat="false" ht="15" hidden="false" customHeight="false" outlineLevel="0" collapsed="false">
      <c r="A11" s="72" t="s">
        <v>218</v>
      </c>
      <c r="B11" s="75" t="n">
        <f aca="false">MAX(B18:B54)</f>
        <v>70000</v>
      </c>
      <c r="D11" s="75"/>
      <c r="E11" s="75"/>
    </row>
    <row r="12" customFormat="false" ht="15" hidden="false" customHeight="false" outlineLevel="0" collapsed="false">
      <c r="A12" s="72" t="s">
        <v>219</v>
      </c>
      <c r="B12" s="90" t="n">
        <f aca="false">ROUND(Earthlike!G76,2)</f>
        <v>1.4</v>
      </c>
      <c r="D12" s="75"/>
      <c r="E12" s="75"/>
    </row>
    <row r="13" customFormat="false" ht="15" hidden="false" customHeight="false" outlineLevel="0" collapsed="false">
      <c r="A13" s="72" t="s">
        <v>220</v>
      </c>
      <c r="B13" s="75" t="n">
        <f aca="false">ROUND(Earthlike!G74/1000,5)</f>
        <v>0.02897</v>
      </c>
      <c r="D13" s="75"/>
      <c r="E13" s="75"/>
    </row>
    <row r="14" customFormat="false" ht="15" hidden="false" customHeight="false" outlineLevel="0" collapsed="false">
      <c r="A14" s="72" t="s">
        <v>221</v>
      </c>
      <c r="B14" s="74" t="n">
        <f aca="false">ROUND(Earthlike!C$122,0)</f>
        <v>288</v>
      </c>
      <c r="D14" s="75"/>
      <c r="E14" s="75"/>
    </row>
    <row r="15" customFormat="false" ht="15" hidden="false" customHeight="false" outlineLevel="0" collapsed="false">
      <c r="A15" s="72" t="s">
        <v>222</v>
      </c>
      <c r="B15" s="75" t="n">
        <f aca="false">C130</f>
        <v>101.325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IF(Earthlike!Q122="|",ROUND(Earthlike!N122,0),IF(Earthlike!Q122="V",ROUND(Earthlike!N122,-3),""))</f>
        <v>0</v>
      </c>
      <c r="C18" s="75" t="n">
        <f aca="false">IF(B18="","",ROUND(Earthlike!O122,0))</f>
        <v>280</v>
      </c>
      <c r="D18" s="77" t="n">
        <v>0</v>
      </c>
      <c r="E18" s="77" t="n">
        <f aca="false">(C19-C18)/(B19-B18)</f>
        <v>-0.00537489922063961</v>
      </c>
    </row>
    <row r="19" customFormat="false" ht="15" hidden="false" customHeight="false" outlineLevel="0" collapsed="false">
      <c r="A19" s="75" t="str">
        <f aca="false">IF(B19="","Unused","key =")</f>
        <v>key =</v>
      </c>
      <c r="B19" s="75" t="n">
        <f aca="false">IF(Earthlike!Q123="|",ROUND(Earthlike!N123,0),IF(Earthlike!Q123="V",ROUND(Earthlike!N123,-3),""))</f>
        <v>3721</v>
      </c>
      <c r="C19" s="75" t="n">
        <f aca="false">IF(B19="","",ROUND(Earthlike!O123,0))</f>
        <v>260</v>
      </c>
      <c r="D19" s="77" t="n">
        <f aca="false">IF(C19="","",(C19-C18)/(B19-B18))</f>
        <v>-0.00537489922063961</v>
      </c>
      <c r="E19" s="77" t="n">
        <f aca="false">IF(C19="","",IF(C20="",0,(C20-C19)/(B20-B19)))</f>
        <v>-0.007400828892836</v>
      </c>
    </row>
    <row r="20" customFormat="false" ht="15" hidden="false" customHeight="false" outlineLevel="0" collapsed="false">
      <c r="A20" s="75" t="str">
        <f aca="false">IF(B20="","Unused","key =")</f>
        <v>key =</v>
      </c>
      <c r="B20" s="75" t="n">
        <f aca="false">IF(Earthlike!Q124="|",ROUND(Earthlike!N124,0),IF(Earthlike!Q124="V",ROUND(Earthlike!N124,-3),""))</f>
        <v>7099</v>
      </c>
      <c r="C20" s="75" t="n">
        <f aca="false">IF(B20="","",ROUND(Earthlike!O124,0))</f>
        <v>235</v>
      </c>
      <c r="D20" s="77" t="n">
        <f aca="false">IF(C20="","",(C20-C19)/(B20-B19))</f>
        <v>-0.007400828892836</v>
      </c>
      <c r="E20" s="77" t="n">
        <f aca="false">IF(C20="","",IF(C21="",0,(C21-C20)/(B21-B20)))</f>
        <v>-0.00554287577437235</v>
      </c>
    </row>
    <row r="21" customFormat="false" ht="15" hidden="false" customHeight="false" outlineLevel="0" collapsed="false">
      <c r="A21" s="75" t="str">
        <f aca="false">IF(B21="","Unused","key =")</f>
        <v>key =</v>
      </c>
      <c r="B21" s="75" t="n">
        <f aca="false">IF(Earthlike!Q125="|",ROUND(Earthlike!N125,0),IF(Earthlike!Q125="V",ROUND(Earthlike!N125,-3),""))</f>
        <v>10166</v>
      </c>
      <c r="C21" s="75" t="n">
        <f aca="false">IF(B21="","",ROUND(Earthlike!O125,0))</f>
        <v>218</v>
      </c>
      <c r="D21" s="77" t="n">
        <f aca="false">IF(C21="","",(C21-C20)/(B21-B20))</f>
        <v>-0.00554287577437235</v>
      </c>
      <c r="E21" s="77" t="n">
        <f aca="false">IF(C21="","",IF(C22="",0,(C22-C21)/(B22-B21)))</f>
        <v>-0.00172592336900242</v>
      </c>
    </row>
    <row r="22" customFormat="false" ht="15" hidden="false" customHeight="false" outlineLevel="0" collapsed="false">
      <c r="A22" s="75" t="str">
        <f aca="false">IF(B22="","Unused","key =")</f>
        <v>key =</v>
      </c>
      <c r="B22" s="75" t="n">
        <f aca="false">IF(Earthlike!Q126="|",ROUND(Earthlike!N126,0),IF(Earthlike!Q126="V",ROUND(Earthlike!N126,-3),""))</f>
        <v>13063</v>
      </c>
      <c r="C22" s="75" t="n">
        <f aca="false">IF(B22="","",ROUND(Earthlike!O126,0))</f>
        <v>213</v>
      </c>
      <c r="D22" s="77" t="n">
        <f aca="false">IF(C22="","",(C22-C21)/(B22-B21))</f>
        <v>-0.00172592336900242</v>
      </c>
      <c r="E22" s="77" t="n">
        <f aca="false">IF(C22="","",IF(C23="",0,(C23-C22)/(B23-B22)))</f>
        <v>0.000348675034867503</v>
      </c>
    </row>
    <row r="23" customFormat="false" ht="15" hidden="false" customHeight="false" outlineLevel="0" collapsed="false">
      <c r="A23" s="75" t="str">
        <f aca="false">IF(B23="","Unused","key =")</f>
        <v>key =</v>
      </c>
      <c r="B23" s="75" t="n">
        <f aca="false">IF(Earthlike!Q127="|",ROUND(Earthlike!N127,0),IF(Earthlike!Q127="V",ROUND(Earthlike!N127,-3),""))</f>
        <v>15931</v>
      </c>
      <c r="C23" s="75" t="n">
        <f aca="false">IF(B23="","",ROUND(Earthlike!O127,0))</f>
        <v>214</v>
      </c>
      <c r="D23" s="77" t="n">
        <f aca="false">IF(C23="","",(C23-C22)/(B23-B22))</f>
        <v>0.000348675034867503</v>
      </c>
      <c r="E23" s="77" t="n">
        <f aca="false">IF(C23="","",IF(C24="",0,(C24-C23)/(B24-B23)))</f>
        <v>0.00171174255391989</v>
      </c>
    </row>
    <row r="24" customFormat="false" ht="15" hidden="false" customHeight="false" outlineLevel="0" collapsed="false">
      <c r="A24" s="75" t="str">
        <f aca="false">IF(B24="","Unused","key =")</f>
        <v>key =</v>
      </c>
      <c r="B24" s="75" t="n">
        <f aca="false">IF(Earthlike!Q128="|",ROUND(Earthlike!N128,0),IF(Earthlike!Q128="V",ROUND(Earthlike!N128,-3),""))</f>
        <v>18852</v>
      </c>
      <c r="C24" s="75" t="n">
        <f aca="false">IF(B24="","",ROUND(Earthlike!O128,0))</f>
        <v>219</v>
      </c>
      <c r="D24" s="77" t="n">
        <f aca="false">IF(C24="","",(C24-C23)/(B24-B23))</f>
        <v>0.00171174255391989</v>
      </c>
      <c r="E24" s="77" t="n">
        <f aca="false">IF(C24="","",IF(C25="",0,(C25-C24)/(B25-B24)))</f>
        <v>0.0016627868307283</v>
      </c>
    </row>
    <row r="25" customFormat="false" ht="15" hidden="false" customHeight="false" outlineLevel="0" collapsed="false">
      <c r="A25" s="75" t="str">
        <f aca="false">IF(B25="","Unused","key =")</f>
        <v>key =</v>
      </c>
      <c r="B25" s="75" t="n">
        <f aca="false">IF(Earthlike!Q129="|",ROUND(Earthlike!N129,0),IF(Earthlike!Q129="V",ROUND(Earthlike!N129,-3),""))</f>
        <v>21859</v>
      </c>
      <c r="C25" s="75" t="n">
        <f aca="false">IF(B25="","",ROUND(Earthlike!O129,0))</f>
        <v>224</v>
      </c>
      <c r="D25" s="77" t="n">
        <f aca="false">IF(C25="","",(C25-C24)/(B25-B24))</f>
        <v>0.0016627868307283</v>
      </c>
      <c r="E25" s="77" t="n">
        <f aca="false">IF(C25="","",IF(C26="",0,(C26-C25)/(B26-B25)))</f>
        <v>0.00225442834138486</v>
      </c>
    </row>
    <row r="26" customFormat="false" ht="15" hidden="false" customHeight="false" outlineLevel="0" collapsed="false">
      <c r="A26" s="75" t="str">
        <f aca="false">IF(B26="","Unused","key =")</f>
        <v>key =</v>
      </c>
      <c r="B26" s="75" t="n">
        <f aca="false">IF(Earthlike!Q130="|",ROUND(Earthlike!N130,0),IF(Earthlike!Q130="V",ROUND(Earthlike!N130,-3),""))</f>
        <v>24964</v>
      </c>
      <c r="C26" s="75" t="n">
        <f aca="false">IF(B26="","",ROUND(Earthlike!O130,0))</f>
        <v>231</v>
      </c>
      <c r="D26" s="77" t="n">
        <f aca="false">IF(C26="","",(C26-C25)/(B26-B25))</f>
        <v>0.00225442834138486</v>
      </c>
      <c r="E26" s="77" t="n">
        <f aca="false">IF(C26="","",IF(C27="",0,(C27-C26)/(B27-B26)))</f>
        <v>0.00217458838148493</v>
      </c>
    </row>
    <row r="27" customFormat="false" ht="15" hidden="false" customHeight="false" outlineLevel="0" collapsed="false">
      <c r="A27" s="75" t="str">
        <f aca="false">IF(B27="","Unused","key =")</f>
        <v>key =</v>
      </c>
      <c r="B27" s="75" t="n">
        <f aca="false">IF(Earthlike!Q131="|",ROUND(Earthlike!N131,0),IF(Earthlike!Q131="V",ROUND(Earthlike!N131,-3),""))</f>
        <v>28183</v>
      </c>
      <c r="C27" s="75" t="n">
        <f aca="false">IF(B27="","",ROUND(Earthlike!O131,0))</f>
        <v>238</v>
      </c>
      <c r="D27" s="77" t="n">
        <f aca="false">IF(C27="","",(C27-C26)/(B27-B26))</f>
        <v>0.00217458838148493</v>
      </c>
      <c r="E27" s="77" t="n">
        <f aca="false">IF(C27="","",IF(C28="",0,(C28-C27)/(B28-B27)))</f>
        <v>0.00298507462686567</v>
      </c>
    </row>
    <row r="28" customFormat="false" ht="15" hidden="false" customHeight="false" outlineLevel="0" collapsed="false">
      <c r="A28" s="75" t="str">
        <f aca="false">IF(B28="","Unused","key =")</f>
        <v>key =</v>
      </c>
      <c r="B28" s="75" t="n">
        <f aca="false">IF(Earthlike!Q132="|",ROUND(Earthlike!N132,0),IF(Earthlike!Q132="V",ROUND(Earthlike!N132,-3),""))</f>
        <v>31533</v>
      </c>
      <c r="C28" s="75" t="n">
        <f aca="false">IF(B28="","",ROUND(Earthlike!O132,0))</f>
        <v>248</v>
      </c>
      <c r="D28" s="77" t="n">
        <f aca="false">IF(C28="","",(C28-C27)/(B28-B27))</f>
        <v>0.00298507462686567</v>
      </c>
      <c r="E28" s="77" t="n">
        <f aca="false">IF(C28="","",IF(C29="",0,(C29-C28)/(B29-B28)))</f>
        <v>0.00342759211653813</v>
      </c>
    </row>
    <row r="29" customFormat="false" ht="15" hidden="false" customHeight="false" outlineLevel="0" collapsed="false">
      <c r="A29" s="75" t="str">
        <f aca="false">IF(B29="","Unused","key =")</f>
        <v>key =</v>
      </c>
      <c r="B29" s="75" t="n">
        <f aca="false">IF(Earthlike!Q133="|",ROUND(Earthlike!N133,0),IF(Earthlike!Q133="V",ROUND(Earthlike!N133,-3),""))</f>
        <v>35034</v>
      </c>
      <c r="C29" s="75" t="n">
        <f aca="false">IF(B29="","",ROUND(Earthlike!O133,0))</f>
        <v>260</v>
      </c>
      <c r="D29" s="77" t="n">
        <f aca="false">IF(C29="","",(C29-C28)/(B29-B28))</f>
        <v>0.00342759211653813</v>
      </c>
      <c r="E29" s="77" t="n">
        <f aca="false">IF(C29="","",IF(C30="",0,(C30-C29)/(B30-B29)))</f>
        <v>0.0022002200220022</v>
      </c>
    </row>
    <row r="30" customFormat="false" ht="15" hidden="false" customHeight="false" outlineLevel="0" collapsed="false">
      <c r="A30" s="75" t="str">
        <f aca="false">IF(B30="","Unused","key =")</f>
        <v>key =</v>
      </c>
      <c r="B30" s="75" t="n">
        <f aca="false">IF(Earthlike!Q134="|",ROUND(Earthlike!N134,0),IF(Earthlike!Q134="V",ROUND(Earthlike!N134,-3),""))</f>
        <v>38670</v>
      </c>
      <c r="C30" s="75" t="n">
        <f aca="false">IF(B30="","",ROUND(Earthlike!O134,0))</f>
        <v>268</v>
      </c>
      <c r="D30" s="77" t="n">
        <f aca="false">IF(C30="","",(C30-C29)/(B30-B29))</f>
        <v>0.0022002200220022</v>
      </c>
      <c r="E30" s="77" t="n">
        <f aca="false">IF(C30="","",IF(C31="",0,(C31-C30)/(B31-B30)))</f>
        <v>-0.000545107658762606</v>
      </c>
    </row>
    <row r="31" customFormat="false" ht="15" hidden="false" customHeight="false" outlineLevel="0" collapsed="false">
      <c r="A31" s="75" t="str">
        <f aca="false">IF(B31="","Unused","key =")</f>
        <v>key =</v>
      </c>
      <c r="B31" s="75" t="n">
        <f aca="false">IF(Earthlike!Q135="|",ROUND(Earthlike!N135,0),IF(Earthlike!Q135="V",ROUND(Earthlike!N135,-3),""))</f>
        <v>42339</v>
      </c>
      <c r="C31" s="75" t="n">
        <f aca="false">IF(B31="","",ROUND(Earthlike!O135,0))</f>
        <v>266</v>
      </c>
      <c r="D31" s="77" t="n">
        <f aca="false">IF(C31="","",(C31-C30)/(B31-B30))</f>
        <v>-0.000545107658762606</v>
      </c>
      <c r="E31" s="77" t="n">
        <f aca="false">IF(C31="","",IF(C32="",0,(C32-C31)/(B32-B31)))</f>
        <v>-0.0033698399326032</v>
      </c>
    </row>
    <row r="32" customFormat="false" ht="15" hidden="false" customHeight="false" outlineLevel="0" collapsed="false">
      <c r="A32" s="75" t="str">
        <f aca="false">IF(B32="","Unused","key =")</f>
        <v>key =</v>
      </c>
      <c r="B32" s="75" t="n">
        <f aca="false">IF(Earthlike!Q136="|",ROUND(Earthlike!N136,0),IF(Earthlike!Q136="V",ROUND(Earthlike!N136,-3),""))</f>
        <v>45900</v>
      </c>
      <c r="C32" s="75" t="n">
        <f aca="false">IF(B32="","",ROUND(Earthlike!O136,0))</f>
        <v>254</v>
      </c>
      <c r="D32" s="77" t="n">
        <f aca="false">IF(C32="","",(C32-C31)/(B32-B31))</f>
        <v>-0.0033698399326032</v>
      </c>
      <c r="E32" s="77" t="n">
        <f aca="false">IF(C32="","",IF(C33="",0,(C33-C32)/(B33-B32)))</f>
        <v>-0.003240058910162</v>
      </c>
    </row>
    <row r="33" customFormat="false" ht="15" hidden="false" customHeight="false" outlineLevel="0" collapsed="false">
      <c r="A33" s="75" t="str">
        <f aca="false">IF(B33="","Unused","key =")</f>
        <v>key =</v>
      </c>
      <c r="B33" s="75" t="n">
        <f aca="false">IF(Earthlike!Q137="|",ROUND(Earthlike!N137,0),IF(Earthlike!Q137="V",ROUND(Earthlike!N137,-3),""))</f>
        <v>49295</v>
      </c>
      <c r="C33" s="75" t="n">
        <f aca="false">IF(B33="","",ROUND(Earthlike!O137,0))</f>
        <v>243</v>
      </c>
      <c r="D33" s="77" t="n">
        <f aca="false">IF(C33="","",(C33-C32)/(B33-B32))</f>
        <v>-0.003240058910162</v>
      </c>
      <c r="E33" s="77" t="n">
        <f aca="false">IF(C33="","",IF(C34="",0,(C34-C33)/(B34-B33)))</f>
        <v>-0.00338983050847458</v>
      </c>
    </row>
    <row r="34" customFormat="false" ht="15" hidden="false" customHeight="false" outlineLevel="0" collapsed="false">
      <c r="A34" s="75" t="str">
        <f aca="false">IF(B34="","Unused","key =")</f>
        <v>key =</v>
      </c>
      <c r="B34" s="75" t="n">
        <f aca="false">IF(Earthlike!Q138="|",ROUND(Earthlike!N138,0),IF(Earthlike!Q138="V",ROUND(Earthlike!N138,-3),""))</f>
        <v>52540</v>
      </c>
      <c r="C34" s="75" t="n">
        <f aca="false">IF(B34="","",ROUND(Earthlike!O138,0))</f>
        <v>232</v>
      </c>
      <c r="D34" s="77" t="n">
        <f aca="false">IF(C34="","",(C34-C33)/(B34-B33))</f>
        <v>-0.00338983050847458</v>
      </c>
      <c r="E34" s="77" t="n">
        <f aca="false">IF(C34="","",IF(C35="",0,(C35-C34)/(B35-B34)))</f>
        <v>-0.00321750321750322</v>
      </c>
    </row>
    <row r="35" customFormat="false" ht="15" hidden="false" customHeight="false" outlineLevel="0" collapsed="false">
      <c r="A35" s="75" t="str">
        <f aca="false">IF(B35="","Unused","key =")</f>
        <v>key =</v>
      </c>
      <c r="B35" s="75" t="n">
        <f aca="false">IF(Earthlike!Q139="|",ROUND(Earthlike!N139,0),IF(Earthlike!Q139="V",ROUND(Earthlike!N139,-3),""))</f>
        <v>55648</v>
      </c>
      <c r="C35" s="75" t="n">
        <f aca="false">IF(B35="","",ROUND(Earthlike!O139,0))</f>
        <v>222</v>
      </c>
      <c r="D35" s="77" t="n">
        <f aca="false">IF(C35="","",(C35-C34)/(B35-B34))</f>
        <v>-0.00321750321750322</v>
      </c>
      <c r="E35" s="77" t="n">
        <f aca="false">IF(C35="","",IF(C36="",0,(C36-C35)/(B36-B35)))</f>
        <v>-0.00267379679144385</v>
      </c>
    </row>
    <row r="36" customFormat="false" ht="15" hidden="false" customHeight="false" outlineLevel="0" collapsed="false">
      <c r="A36" s="75" t="str">
        <f aca="false">IF(B36="","Unused","key =")</f>
        <v>key =</v>
      </c>
      <c r="B36" s="75" t="n">
        <f aca="false">IF(Earthlike!Q140="|",ROUND(Earthlike!N140,0),IF(Earthlike!Q140="V",ROUND(Earthlike!N140,-3),""))</f>
        <v>58640</v>
      </c>
      <c r="C36" s="75" t="n">
        <f aca="false">IF(B36="","",ROUND(Earthlike!O140,0))</f>
        <v>214</v>
      </c>
      <c r="D36" s="77" t="n">
        <f aca="false">IF(C36="","",(C36-C35)/(B36-B35))</f>
        <v>-0.00267379679144385</v>
      </c>
      <c r="E36" s="77" t="n">
        <f aca="false">IF(C36="","",IF(C37="",0,(C37-C36)/(B37-B36)))</f>
        <v>-0.0027643400138217</v>
      </c>
    </row>
    <row r="37" customFormat="false" ht="15" hidden="false" customHeight="false" outlineLevel="0" collapsed="false">
      <c r="A37" s="75" t="str">
        <f aca="false">IF(B37="","Unused","key =")</f>
        <v>key =</v>
      </c>
      <c r="B37" s="75" t="n">
        <f aca="false">IF(Earthlike!Q141="|",ROUND(Earthlike!N141,0),IF(Earthlike!Q141="V",ROUND(Earthlike!N141,-3),""))</f>
        <v>61534</v>
      </c>
      <c r="C37" s="75" t="n">
        <f aca="false">IF(B37="","",ROUND(Earthlike!O141,0))</f>
        <v>206</v>
      </c>
      <c r="D37" s="77" t="n">
        <f aca="false">IF(C37="","",(C37-C36)/(B37-B36))</f>
        <v>-0.0027643400138217</v>
      </c>
      <c r="E37" s="77" t="n">
        <f aca="false">IF(C37="","",IF(C38="",0,(C38-C37)/(B38-B37)))</f>
        <v>-0.00213523131672598</v>
      </c>
    </row>
    <row r="38" customFormat="false" ht="15" hidden="false" customHeight="false" outlineLevel="0" collapsed="false">
      <c r="A38" s="75" t="str">
        <f aca="false">IF(B38="","Unused","key =")</f>
        <v>key =</v>
      </c>
      <c r="B38" s="75" t="n">
        <f aca="false">IF(Earthlike!Q142="|",ROUND(Earthlike!N142,0),IF(Earthlike!Q142="V",ROUND(Earthlike!N142,-3),""))</f>
        <v>64344</v>
      </c>
      <c r="C38" s="75" t="n">
        <f aca="false">IF(B38="","",ROUND(Earthlike!O142,0))</f>
        <v>200</v>
      </c>
      <c r="D38" s="77" t="n">
        <f aca="false">IF(C38="","",(C38-C37)/(B38-B37))</f>
        <v>-0.00213523131672598</v>
      </c>
      <c r="E38" s="77" t="n">
        <f aca="false">IF(C38="","",IF(C39="",0,(C39-C38)/(B39-B38)))</f>
        <v>-0.00219218122031421</v>
      </c>
    </row>
    <row r="39" customFormat="false" ht="15" hidden="false" customHeight="false" outlineLevel="0" collapsed="false">
      <c r="A39" s="75" t="str">
        <f aca="false">IF(B39="","Unused","key =")</f>
        <v>key =</v>
      </c>
      <c r="B39" s="75" t="n">
        <f aca="false">IF(Earthlike!Q143="|",ROUND(Earthlike!N143,0),IF(Earthlike!Q143="V",ROUND(Earthlike!N143,-3),""))</f>
        <v>67081</v>
      </c>
      <c r="C39" s="75" t="n">
        <f aca="false">IF(B39="","",ROUND(Earthlike!O143,0))</f>
        <v>194</v>
      </c>
      <c r="D39" s="77" t="n">
        <f aca="false">IF(C39="","",(C39-C38)/(B39-B38))</f>
        <v>-0.00219218122031421</v>
      </c>
      <c r="E39" s="77" t="n">
        <f aca="false">IF(C39="","",IF(C40="",0,(C40-C39)/(B40-B39)))</f>
        <v>-0.0013703323055841</v>
      </c>
    </row>
    <row r="40" customFormat="false" ht="15" hidden="false" customHeight="false" outlineLevel="0" collapsed="false">
      <c r="A40" s="75" t="str">
        <f aca="false">IF(B40="","Unused","key =")</f>
        <v>key =</v>
      </c>
      <c r="B40" s="75" t="n">
        <f aca="false">IF(Earthlike!Q144="|",ROUND(Earthlike!N144,0),IF(Earthlike!Q144="V",ROUND(Earthlike!N144,-3),""))</f>
        <v>70000</v>
      </c>
      <c r="C40" s="75" t="n">
        <f aca="false">IF(B40="","",ROUND(Earthlike!O144,0))</f>
        <v>190</v>
      </c>
      <c r="D40" s="77" t="n">
        <f aca="false">IF(C40="","",(C40-C39)/(B40-B39))</f>
        <v>-0.0013703323055841</v>
      </c>
      <c r="E40" s="77" t="n">
        <f aca="false">IF(C40="","",IF(C41="",0,(C41-C40)/(B41-B40)))</f>
        <v>0</v>
      </c>
    </row>
    <row r="41" customFormat="false" ht="15" hidden="false" customHeight="false" outlineLevel="0" collapsed="false">
      <c r="A41" s="75" t="str">
        <f aca="false">IF(B41="","Unused","key =")</f>
        <v>Unused</v>
      </c>
      <c r="B41" s="75" t="str">
        <f aca="false">IF(Earthlike!Q145="|",ROUND(Earthlike!N145,0),IF(Earthlike!Q145="V",ROUND(Earthlike!N145,-3),""))</f>
        <v/>
      </c>
      <c r="C41" s="75" t="str">
        <f aca="false">IF(B41="","",ROUND(Earthlike!O145,0))</f>
        <v/>
      </c>
      <c r="D41" s="77" t="str">
        <f aca="false">IF(C41="","",(C41-C40)/(B41-B40))</f>
        <v/>
      </c>
      <c r="E41" s="77" t="str">
        <f aca="false">IF(C41="","",IF(C42="",0,(C42-C41)/(B42-B41)))</f>
        <v/>
      </c>
    </row>
    <row r="42" customFormat="false" ht="15" hidden="false" customHeight="false" outlineLevel="0" collapsed="false">
      <c r="A42" s="75" t="str">
        <f aca="false">IF(B42="","Unused","key =")</f>
        <v>Unused</v>
      </c>
      <c r="B42" s="75" t="str">
        <f aca="false">IF(Earthlike!Q146="|",ROUND(Earthlike!N146,0),IF(Earthlike!Q146="V",ROUND(Earthlike!N146,-3),""))</f>
        <v/>
      </c>
      <c r="C42" s="75" t="str">
        <f aca="false">IF(B42="","",ROUND(Earthlike!O146,0))</f>
        <v/>
      </c>
      <c r="D42" s="77" t="str">
        <f aca="false">IF(C42="","",(C42-C41)/(B42-B41))</f>
        <v/>
      </c>
      <c r="E42" s="77" t="str">
        <f aca="false">IF(C42="","",IF(C43="",0,(C43-C42)/(B43-B42)))</f>
        <v/>
      </c>
    </row>
    <row r="43" customFormat="false" ht="15" hidden="false" customHeight="false" outlineLevel="0" collapsed="false">
      <c r="A43" s="75" t="str">
        <f aca="false">IF(B43="","Unused","key =")</f>
        <v>Unused</v>
      </c>
      <c r="B43" s="75" t="str">
        <f aca="false">IF(Earthlike!Q147="|",ROUND(Earthlike!N147,0),IF(Earthlike!Q147="V",ROUND(Earthlike!N147,-3),""))</f>
        <v/>
      </c>
      <c r="C43" s="75" t="str">
        <f aca="false">IF(B43="","",ROUND(Earthlike!O147,0))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IF(Earthlike!Q148="|",ROUND(Earthlike!N148,0),IF(Earthlike!Q148="V",ROUND(Earthlike!N148,-3),""))</f>
        <v/>
      </c>
      <c r="C44" s="75" t="str">
        <f aca="false">IF(B44="","",ROUND(Earthlike!O148,0))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IF(Earthlike!Q149="|",ROUND(Earthlike!N149,0),IF(Earthlike!Q149="V",ROUND(Earthlike!N149,-3),""))</f>
        <v/>
      </c>
      <c r="C45" s="75" t="str">
        <f aca="false">IF(B45="","",ROUND(Earthlike!O149,0))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IF(Earthlike!Q150="|",ROUND(Earthlike!N150,0),IF(Earthlike!Q150="V",ROUND(Earthlike!N150,-3),""))</f>
        <v/>
      </c>
      <c r="C46" s="75" t="str">
        <f aca="false">IF(B46="","",ROUND(Earthlike!O150,0))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IF(Earthlike!Q151="|",ROUND(Earthlike!N151,0),IF(Earthlike!Q151="V",ROUND(Earthlike!N151,-3),""))</f>
        <v/>
      </c>
      <c r="C47" s="75" t="str">
        <f aca="false">IF(B47="","",ROUND(Earthlike!O151,0))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IF(Earthlike!Q152="|",ROUND(Earthlike!N152,0),IF(Earthlike!Q152="V",ROUND(Earthlike!N152,-3),""))</f>
        <v/>
      </c>
      <c r="C48" s="75" t="str">
        <f aca="false">IF(B48="","",ROUND(Earthlike!O152,0))</f>
        <v/>
      </c>
      <c r="D48" s="77" t="str">
        <f aca="false">IF(C48="","",(C48-C47)/(B48-B47))</f>
        <v/>
      </c>
      <c r="E48" s="77" t="str">
        <f aca="false">IF(C48="","",IF(C49="",0,(C49-C48)/(B49-B48)))</f>
        <v/>
      </c>
    </row>
    <row r="49" customFormat="false" ht="15" hidden="false" customHeight="false" outlineLevel="0" collapsed="false">
      <c r="A49" s="75" t="str">
        <f aca="false">IF(B49="","Unused","key =")</f>
        <v>Unused</v>
      </c>
      <c r="B49" s="75" t="str">
        <f aca="false">IF(Earthlike!Q153="|",ROUND(Earthlike!N153,0),IF(Earthlike!Q153="V",ROUND(Earthlike!N153,-3),""))</f>
        <v/>
      </c>
      <c r="C49" s="75" t="str">
        <f aca="false">IF(B49="","",ROUND(Earthlike!O153,0))</f>
        <v/>
      </c>
      <c r="D49" s="77" t="str">
        <f aca="false">IF(C49="","",(C49-C48)/(B49-B48))</f>
        <v/>
      </c>
      <c r="E49" s="77" t="str">
        <f aca="false">IF(C49="","",IF(C50="",0,(C50-C49)/(B50-B49)))</f>
        <v/>
      </c>
    </row>
    <row r="50" customFormat="false" ht="15" hidden="false" customHeight="false" outlineLevel="0" collapsed="false">
      <c r="A50" s="75" t="str">
        <f aca="false">IF(B50="","Unused","key =")</f>
        <v>Unused</v>
      </c>
      <c r="B50" s="75" t="str">
        <f aca="false">IF(Earthlike!Q154="|",ROUND(Earthlike!N154,0),IF(Earthlike!Q154="V",ROUND(Earthlike!N154,-3),""))</f>
        <v/>
      </c>
      <c r="C50" s="75" t="str">
        <f aca="false">IF(B50="","",ROUND(Earthlike!O154,0))</f>
        <v/>
      </c>
      <c r="D50" s="77" t="str">
        <f aca="false">IF(C50="","",(C50-C49)/(B50-B49))</f>
        <v/>
      </c>
      <c r="E50" s="77" t="str">
        <f aca="false">IF(C50="","",IF(C51="",0,(C51-C50)/(B51-B50)))</f>
        <v/>
      </c>
    </row>
    <row r="51" customFormat="false" ht="15" hidden="false" customHeight="false" outlineLevel="0" collapsed="false">
      <c r="A51" s="75" t="str">
        <f aca="false">IF(B51="","Unused","key =")</f>
        <v>Unused</v>
      </c>
      <c r="B51" s="75" t="str">
        <f aca="false">IF(Earthlike!Q155="|",ROUND(Earthlike!N155,0),IF(Earthlike!Q155="V",ROUND(Earthlike!N155,-3),""))</f>
        <v/>
      </c>
      <c r="C51" s="75" t="str">
        <f aca="false">IF(B51="","",ROUND(Earthlike!O155,0))</f>
        <v/>
      </c>
      <c r="D51" s="77" t="str">
        <f aca="false">IF(C51="","",(C51-C50)/(B51-B50))</f>
        <v/>
      </c>
      <c r="E51" s="77" t="str">
        <f aca="false">IF(C51="","",IF(C52="",0,(C52-C51)/(B52-B51)))</f>
        <v/>
      </c>
    </row>
    <row r="52" customFormat="false" ht="15" hidden="false" customHeight="false" outlineLevel="0" collapsed="false">
      <c r="A52" s="75" t="str">
        <f aca="false">IF(B52="","Unused","key =")</f>
        <v>Unused</v>
      </c>
      <c r="B52" s="75" t="str">
        <f aca="false">IF(Earthlike!Q156="|",ROUND(Earthlike!N156,0),IF(Earthlike!Q156="V",ROUND(Earthlike!N156,-3),""))</f>
        <v/>
      </c>
      <c r="C52" s="75" t="str">
        <f aca="false">IF(B52="","",ROUND(Earthlike!O156,0))</f>
        <v/>
      </c>
      <c r="D52" s="77" t="str">
        <f aca="false">IF(C52="","",(C52-C51)/(B52-B51))</f>
        <v/>
      </c>
      <c r="E52" s="77" t="str">
        <f aca="false">IF(C52="","",IF(C53="",0,(C53-C52)/(B53-B52)))</f>
        <v/>
      </c>
    </row>
    <row r="53" customFormat="false" ht="15" hidden="false" customHeight="false" outlineLevel="0" collapsed="false">
      <c r="A53" s="75" t="str">
        <f aca="false">IF(B53="","Unused","key =")</f>
        <v>Unused</v>
      </c>
      <c r="B53" s="75" t="str">
        <f aca="false">IF(Earthlike!Q157="|",ROUND(Earthlike!N157,0),IF(Earthlike!Q157="V",ROUND(Earthlike!N157,-3),""))</f>
        <v/>
      </c>
      <c r="C53" s="75" t="str">
        <f aca="false">IF(B53="","",ROUND(Earthlike!O157,0))</f>
        <v/>
      </c>
      <c r="D53" s="77" t="str">
        <f aca="false">IF(C53="","",(C53-C52)/(B53-B52))</f>
        <v/>
      </c>
      <c r="E53" s="77" t="str">
        <f aca="false">IF(C53="","",IF(C54="",0,(C54-C53)/(B54-B53)))</f>
        <v/>
      </c>
    </row>
    <row r="54" customFormat="false" ht="15" hidden="false" customHeight="false" outlineLevel="0" collapsed="false">
      <c r="A54" s="75" t="str">
        <f aca="false">IF(B54="","Unused","key =")</f>
        <v>Unused</v>
      </c>
      <c r="B54" s="75" t="str">
        <f aca="false">IF(Earthlike!Q158="|",ROUND(Earthlike!N158,0),IF(Earthlike!Q158="V",ROUND(Earthlike!N158,-3),""))</f>
        <v/>
      </c>
      <c r="C54" s="75" t="str">
        <f aca="false">IF(B54="","",ROUND(Earthlike!O158,0))</f>
        <v/>
      </c>
      <c r="D54" s="77" t="str">
        <f aca="false">IF(C54="","",(C54-C53)/(B54-B53))</f>
        <v/>
      </c>
      <c r="E54" s="77" t="str">
        <f aca="false">IF(C54="","",IF(C55="",0,(C55-C54)/(B55-B54)))</f>
        <v/>
      </c>
    </row>
    <row r="55" customFormat="false" ht="15" hidden="false" customHeight="false" outlineLevel="0" collapsed="false">
      <c r="A55" s="72" t="s">
        <v>212</v>
      </c>
      <c r="B55" s="75"/>
      <c r="C55" s="75"/>
      <c r="D55" s="77"/>
      <c r="E55" s="77"/>
    </row>
    <row r="56" customFormat="false" ht="15" hidden="false" customHeight="false" outlineLevel="0" collapsed="false">
      <c r="A56" s="72" t="s">
        <v>226</v>
      </c>
      <c r="B56" s="75"/>
      <c r="C56" s="75"/>
      <c r="D56" s="77"/>
      <c r="E56" s="77"/>
    </row>
    <row r="57" customFormat="false" ht="15" hidden="false" customHeight="false" outlineLevel="0" collapsed="false">
      <c r="A57" s="72" t="s">
        <v>209</v>
      </c>
      <c r="B57" s="75"/>
      <c r="C57" s="75"/>
      <c r="D57" s="77"/>
      <c r="E57" s="77"/>
    </row>
    <row r="58" customFormat="false" ht="15" hidden="false" customHeight="false" outlineLevel="0" collapsed="false">
      <c r="A58" s="75" t="str">
        <f aca="false">IF(B58="","Unused","key =")</f>
        <v>key =</v>
      </c>
      <c r="B58" s="75" t="n">
        <f aca="false">IF(Earthlike!Q122="|",ROUND(Earthlike!N122,0),IF(Earthlike!Q122="V",ROUND(Earthlike!N122,-3),""))</f>
        <v>0</v>
      </c>
      <c r="C58" s="76" t="n">
        <f aca="false">IF(B58="","",ROUND(Earthlike!P122,3))</f>
        <v>1</v>
      </c>
      <c r="D58" s="77" t="n">
        <v>0</v>
      </c>
      <c r="E58" s="77" t="n">
        <f aca="false">(C59-C58)/(B59-B58)</f>
        <v>-9.24482665950013E-005</v>
      </c>
    </row>
    <row r="59" customFormat="false" ht="15" hidden="false" customHeight="false" outlineLevel="0" collapsed="false">
      <c r="A59" s="75" t="str">
        <f aca="false">IF(B59="","Unused","key =")</f>
        <v>key =</v>
      </c>
      <c r="B59" s="75" t="n">
        <f aca="false">IF(Earthlike!Q123="|",ROUND(Earthlike!N123,0),IF(Earthlike!Q123="V",ROUND(Earthlike!N123,-3),""))</f>
        <v>3721</v>
      </c>
      <c r="C59" s="76" t="n">
        <f aca="false">IF(B59="","",ROUND(Earthlike!P123,3))</f>
        <v>0.656</v>
      </c>
      <c r="D59" s="77" t="n">
        <f aca="false">IF(C59="","",(C59-C58)/(B59-B58))</f>
        <v>-9.24482665950013E-005</v>
      </c>
      <c r="E59" s="77" t="n">
        <f aca="false">IF(C59="","",IF(C60="",0,(C60-C59)/(B60-B59)))</f>
        <v>-0.000127590290112493</v>
      </c>
    </row>
    <row r="60" customFormat="false" ht="15" hidden="false" customHeight="false" outlineLevel="0" collapsed="false">
      <c r="A60" s="75" t="str">
        <f aca="false">IF(B60="","Unused","key =")</f>
        <v>key =</v>
      </c>
      <c r="B60" s="75" t="n">
        <f aca="false">IF(Earthlike!Q124="|",ROUND(Earthlike!N124,0),IF(Earthlike!Q124="V",ROUND(Earthlike!N124,-3),""))</f>
        <v>7099</v>
      </c>
      <c r="C60" s="76" t="n">
        <f aca="false">IF(B60="","",ROUND(Earthlike!P124,3))</f>
        <v>0.225</v>
      </c>
      <c r="D60" s="77" t="n">
        <f aca="false">IF(C60="","",(C60-C59)/(B60-B59))</f>
        <v>-0.000127590290112493</v>
      </c>
      <c r="E60" s="77" t="n">
        <f aca="false">IF(C60="","",IF(C61="",0,(C61-C60)/(B61-B60)))</f>
        <v>-0.000120313009455494</v>
      </c>
    </row>
    <row r="61" customFormat="false" ht="15" hidden="false" customHeight="false" outlineLevel="0" collapsed="false">
      <c r="A61" s="75" t="str">
        <f aca="false">IF(B61="","Unused","key =")</f>
        <v>key =</v>
      </c>
      <c r="B61" s="75" t="n">
        <f aca="false">IF(Earthlike!Q125="|",ROUND(Earthlike!N125,0),IF(Earthlike!Q125="V",ROUND(Earthlike!N125,-3),""))</f>
        <v>10166</v>
      </c>
      <c r="C61" s="76" t="n">
        <f aca="false">IF(B61="","",ROUND(Earthlike!P125,3))</f>
        <v>-0.144</v>
      </c>
      <c r="D61" s="77" t="n">
        <f aca="false">IF(C61="","",(C61-C60)/(B61-B60))</f>
        <v>-0.000120313009455494</v>
      </c>
      <c r="E61" s="77" t="n">
        <f aca="false">IF(C61="","",IF(C62="",0,(C62-C61)/(B62-B61)))</f>
        <v>-5.38488091128754E-005</v>
      </c>
    </row>
    <row r="62" customFormat="false" ht="15" hidden="false" customHeight="false" outlineLevel="0" collapsed="false">
      <c r="A62" s="75" t="str">
        <f aca="false">IF(B62="","Unused","key =")</f>
        <v>key =</v>
      </c>
      <c r="B62" s="75" t="n">
        <f aca="false">IF(Earthlike!Q126="|",ROUND(Earthlike!N126,0),IF(Earthlike!Q126="V",ROUND(Earthlike!N126,-3),""))</f>
        <v>13063</v>
      </c>
      <c r="C62" s="76" t="n">
        <f aca="false">IF(B62="","",ROUND(Earthlike!P126,3))</f>
        <v>-0.3</v>
      </c>
      <c r="D62" s="77" t="n">
        <f aca="false">IF(C62="","",(C62-C61)/(B62-B61))</f>
        <v>-5.38488091128754E-005</v>
      </c>
      <c r="E62" s="77" t="n">
        <f aca="false">IF(C62="","",IF(C63="",0,(C63-C62)/(B63-B62)))</f>
        <v>1.81311018131102E-005</v>
      </c>
    </row>
    <row r="63" customFormat="false" ht="15" hidden="false" customHeight="false" outlineLevel="0" collapsed="false">
      <c r="A63" s="75" t="str">
        <f aca="false">IF(B63="","Unused","key =")</f>
        <v>key =</v>
      </c>
      <c r="B63" s="75" t="n">
        <f aca="false">IF(Earthlike!Q127="|",ROUND(Earthlike!N127,0),IF(Earthlike!Q127="V",ROUND(Earthlike!N127,-3),""))</f>
        <v>15931</v>
      </c>
      <c r="C63" s="76" t="n">
        <f aca="false">IF(B63="","",ROUND(Earthlike!P127,3))</f>
        <v>-0.248</v>
      </c>
      <c r="D63" s="77" t="n">
        <f aca="false">IF(C63="","",(C63-C62)/(B63-B62))</f>
        <v>1.81311018131102E-005</v>
      </c>
      <c r="E63" s="77" t="n">
        <f aca="false">IF(C63="","",IF(C64="",0,(C64-C63)/(B64-B63)))</f>
        <v>4.41629578911332E-005</v>
      </c>
    </row>
    <row r="64" customFormat="false" ht="15" hidden="false" customHeight="false" outlineLevel="0" collapsed="false">
      <c r="A64" s="75" t="str">
        <f aca="false">IF(B64="","Unused","key =")</f>
        <v>key =</v>
      </c>
      <c r="B64" s="75" t="n">
        <f aca="false">IF(Earthlike!Q128="|",ROUND(Earthlike!N128,0),IF(Earthlike!Q128="V",ROUND(Earthlike!N128,-3),""))</f>
        <v>18852</v>
      </c>
      <c r="C64" s="76" t="n">
        <f aca="false">IF(B64="","",ROUND(Earthlike!P128,3))</f>
        <v>-0.119</v>
      </c>
      <c r="D64" s="77" t="n">
        <f aca="false">IF(C64="","",(C64-C63)/(B64-B63))</f>
        <v>4.41629578911332E-005</v>
      </c>
      <c r="E64" s="77" t="n">
        <f aca="false">IF(C64="","",IF(C65="",0,(C65-C64)/(B65-B64)))</f>
        <v>5.62021948786166E-005</v>
      </c>
    </row>
    <row r="65" customFormat="false" ht="15" hidden="false" customHeight="false" outlineLevel="0" collapsed="false">
      <c r="A65" s="75" t="str">
        <f aca="false">IF(B65="","Unused","key =")</f>
        <v>key =</v>
      </c>
      <c r="B65" s="75" t="n">
        <f aca="false">IF(Earthlike!Q129="|",ROUND(Earthlike!N129,0),IF(Earthlike!Q129="V",ROUND(Earthlike!N129,-3),""))</f>
        <v>21859</v>
      </c>
      <c r="C65" s="76" t="n">
        <f aca="false">IF(B65="","",ROUND(Earthlike!P129,3))</f>
        <v>0.05</v>
      </c>
      <c r="D65" s="77" t="n">
        <f aca="false">IF(C65="","",(C65-C64)/(B65-B64))</f>
        <v>5.62021948786166E-005</v>
      </c>
      <c r="E65" s="77" t="n">
        <f aca="false">IF(C65="","",IF(C66="",0,(C66-C65)/(B66-B65)))</f>
        <v>5.44283413848631E-005</v>
      </c>
    </row>
    <row r="66" customFormat="false" ht="15" hidden="false" customHeight="false" outlineLevel="0" collapsed="false">
      <c r="A66" s="75" t="str">
        <f aca="false">IF(B66="","Unused","key =")</f>
        <v>key =</v>
      </c>
      <c r="B66" s="75" t="n">
        <f aca="false">IF(Earthlike!Q130="|",ROUND(Earthlike!N130,0),IF(Earthlike!Q130="V",ROUND(Earthlike!N130,-3),""))</f>
        <v>24964</v>
      </c>
      <c r="C66" s="76" t="n">
        <f aca="false">IF(B66="","",ROUND(Earthlike!P130,3))</f>
        <v>0.219</v>
      </c>
      <c r="D66" s="77" t="n">
        <f aca="false">IF(C66="","",(C66-C65)/(B66-B65))</f>
        <v>5.44283413848631E-005</v>
      </c>
      <c r="E66" s="77" t="n">
        <f aca="false">IF(C66="","",IF(C67="",0,(C67-C66)/(B67-B66)))</f>
        <v>4.00745573159366E-005</v>
      </c>
    </row>
    <row r="67" customFormat="false" ht="15" hidden="false" customHeight="false" outlineLevel="0" collapsed="false">
      <c r="A67" s="75" t="str">
        <f aca="false">IF(B67="","Unused","key =")</f>
        <v>key =</v>
      </c>
      <c r="B67" s="75" t="n">
        <f aca="false">IF(Earthlike!Q131="|",ROUND(Earthlike!N131,0),IF(Earthlike!Q131="V",ROUND(Earthlike!N131,-3),""))</f>
        <v>28183</v>
      </c>
      <c r="C67" s="76" t="n">
        <f aca="false">IF(B67="","",ROUND(Earthlike!P131,3))</f>
        <v>0.348</v>
      </c>
      <c r="D67" s="77" t="n">
        <f aca="false">IF(C67="","",(C67-C66)/(B67-B66))</f>
        <v>4.00745573159366E-005</v>
      </c>
      <c r="E67" s="77" t="n">
        <f aca="false">IF(C67="","",IF(C68="",0,(C68-C67)/(B68-B67)))</f>
        <v>1.55223880597015E-005</v>
      </c>
    </row>
    <row r="68" customFormat="false" ht="15" hidden="false" customHeight="false" outlineLevel="0" collapsed="false">
      <c r="A68" s="75" t="str">
        <f aca="false">IF(B68="","Unused","key =")</f>
        <v>key =</v>
      </c>
      <c r="B68" s="75" t="n">
        <f aca="false">IF(Earthlike!Q132="|",ROUND(Earthlike!N132,0),IF(Earthlike!Q132="V",ROUND(Earthlike!N132,-3),""))</f>
        <v>31533</v>
      </c>
      <c r="C68" s="76" t="n">
        <f aca="false">IF(B68="","",ROUND(Earthlike!P132,3))</f>
        <v>0.4</v>
      </c>
      <c r="D68" s="77" t="n">
        <f aca="false">IF(C68="","",(C68-C67)/(B68-B67))</f>
        <v>1.55223880597015E-005</v>
      </c>
      <c r="E68" s="77" t="n">
        <f aca="false">IF(C68="","",IF(C69="",0,(C69-C68)/(B69-B68)))</f>
        <v>-1.25678377606398E-005</v>
      </c>
    </row>
    <row r="69" customFormat="false" ht="15" hidden="false" customHeight="false" outlineLevel="0" collapsed="false">
      <c r="A69" s="75" t="str">
        <f aca="false">IF(B69="","Unused","key =")</f>
        <v>key =</v>
      </c>
      <c r="B69" s="75" t="n">
        <f aca="false">IF(Earthlike!Q133="|",ROUND(Earthlike!N133,0),IF(Earthlike!Q133="V",ROUND(Earthlike!N133,-3),""))</f>
        <v>35034</v>
      </c>
      <c r="C69" s="76" t="n">
        <f aca="false">IF(B69="","",ROUND(Earthlike!P133,3))</f>
        <v>0.356</v>
      </c>
      <c r="D69" s="77" t="n">
        <f aca="false">IF(C69="","",(C69-C68)/(B69-B68))</f>
        <v>-1.25678377606398E-005</v>
      </c>
      <c r="E69" s="77" t="n">
        <f aca="false">IF(C69="","",IF(C70="",0,(C70-C69)/(B70-B69)))</f>
        <v>-3.08030803080308E-005</v>
      </c>
    </row>
    <row r="70" customFormat="false" ht="15" hidden="false" customHeight="false" outlineLevel="0" collapsed="false">
      <c r="A70" s="75" t="str">
        <f aca="false">IF(B70="","Unused","key =")</f>
        <v>key =</v>
      </c>
      <c r="B70" s="75" t="n">
        <f aca="false">IF(Earthlike!Q134="|",ROUND(Earthlike!N134,0),IF(Earthlike!Q134="V",ROUND(Earthlike!N134,-3),""))</f>
        <v>38670</v>
      </c>
      <c r="C70" s="76" t="n">
        <f aca="false">IF(B70="","",ROUND(Earthlike!P134,3))</f>
        <v>0.244</v>
      </c>
      <c r="D70" s="77" t="n">
        <f aca="false">IF(C70="","",(C70-C69)/(B70-B69))</f>
        <v>-3.08030803080308E-005</v>
      </c>
      <c r="E70" s="77" t="n">
        <f aca="false">IF(C70="","",IF(C71="",0,(C71-C70)/(B71-B70)))</f>
        <v>-3.92477514309076E-005</v>
      </c>
    </row>
    <row r="71" customFormat="false" ht="15" hidden="false" customHeight="false" outlineLevel="0" collapsed="false">
      <c r="A71" s="75" t="str">
        <f aca="false">IF(B71="","Unused","key =")</f>
        <v>key =</v>
      </c>
      <c r="B71" s="75" t="n">
        <f aca="false">IF(Earthlike!Q135="|",ROUND(Earthlike!N135,0),IF(Earthlike!Q135="V",ROUND(Earthlike!N135,-3),""))</f>
        <v>42339</v>
      </c>
      <c r="C71" s="76" t="n">
        <f aca="false">IF(B71="","",ROUND(Earthlike!P135,3))</f>
        <v>0.1</v>
      </c>
      <c r="D71" s="77" t="n">
        <f aca="false">IF(C71="","",(C71-C70)/(B71-B70))</f>
        <v>-3.92477514309076E-005</v>
      </c>
      <c r="E71" s="77" t="n">
        <f aca="false">IF(C71="","",IF(C72="",0,(C72-C71)/(B72-B71)))</f>
        <v>-4.04380791912384E-005</v>
      </c>
    </row>
    <row r="72" customFormat="false" ht="15" hidden="false" customHeight="false" outlineLevel="0" collapsed="false">
      <c r="A72" s="75" t="str">
        <f aca="false">IF(B72="","Unused","key =")</f>
        <v>key =</v>
      </c>
      <c r="B72" s="75" t="n">
        <f aca="false">IF(Earthlike!Q136="|",ROUND(Earthlike!N136,0),IF(Earthlike!Q136="V",ROUND(Earthlike!N136,-3),""))</f>
        <v>45900</v>
      </c>
      <c r="C72" s="76" t="n">
        <f aca="false">IF(B72="","",ROUND(Earthlike!P136,3))</f>
        <v>-0.044</v>
      </c>
      <c r="D72" s="77" t="n">
        <f aca="false">IF(C72="","",(C72-C71)/(B72-B71))</f>
        <v>-4.04380791912384E-005</v>
      </c>
      <c r="E72" s="77" t="n">
        <f aca="false">IF(C72="","",IF(C73="",0,(C73-C72)/(B73-B72)))</f>
        <v>-3.29896907216495E-005</v>
      </c>
    </row>
    <row r="73" customFormat="false" ht="15" hidden="false" customHeight="false" outlineLevel="0" collapsed="false">
      <c r="A73" s="75" t="str">
        <f aca="false">IF(B73="","Unused","key =")</f>
        <v>key =</v>
      </c>
      <c r="B73" s="75" t="n">
        <f aca="false">IF(Earthlike!Q137="|",ROUND(Earthlike!N137,0),IF(Earthlike!Q137="V",ROUND(Earthlike!N137,-3),""))</f>
        <v>49295</v>
      </c>
      <c r="C73" s="76" t="n">
        <f aca="false">IF(B73="","",ROUND(Earthlike!P137,3))</f>
        <v>-0.156</v>
      </c>
      <c r="D73" s="77" t="n">
        <f aca="false">IF(C73="","",(C73-C72)/(B73-B72))</f>
        <v>-3.29896907216495E-005</v>
      </c>
      <c r="E73" s="77" t="n">
        <f aca="false">IF(C73="","",IF(C74="",0,(C74-C73)/(B74-B73)))</f>
        <v>-1.35593220338983E-005</v>
      </c>
    </row>
    <row r="74" customFormat="false" ht="15" hidden="false" customHeight="false" outlineLevel="0" collapsed="false">
      <c r="A74" s="75" t="str">
        <f aca="false">IF(B74="","Unused","key =")</f>
        <v>key =</v>
      </c>
      <c r="B74" s="75" t="n">
        <f aca="false">IF(Earthlike!Q138="|",ROUND(Earthlike!N138,0),IF(Earthlike!Q138="V",ROUND(Earthlike!N138,-3),""))</f>
        <v>52540</v>
      </c>
      <c r="C74" s="76" t="n">
        <f aca="false">IF(B74="","",ROUND(Earthlike!P138,3))</f>
        <v>-0.2</v>
      </c>
      <c r="D74" s="77" t="n">
        <f aca="false">IF(C74="","",(C74-C73)/(B74-B73))</f>
        <v>-1.35593220338983E-005</v>
      </c>
      <c r="E74" s="77" t="n">
        <f aca="false">IF(C74="","",IF(C75="",0,(C75-C74)/(B75-B74)))</f>
        <v>9.65250965250965E-006</v>
      </c>
    </row>
    <row r="75" customFormat="false" ht="15" hidden="false" customHeight="false" outlineLevel="0" collapsed="false">
      <c r="A75" s="75" t="str">
        <f aca="false">IF(B75="","Unused","key =")</f>
        <v>key =</v>
      </c>
      <c r="B75" s="75" t="n">
        <f aca="false">IF(Earthlike!Q139="|",ROUND(Earthlike!N139,0),IF(Earthlike!Q139="V",ROUND(Earthlike!N139,-3),""))</f>
        <v>55648</v>
      </c>
      <c r="C75" s="76" t="n">
        <f aca="false">IF(B75="","",ROUND(Earthlike!P139,3))</f>
        <v>-0.17</v>
      </c>
      <c r="D75" s="77" t="n">
        <f aca="false">IF(C75="","",(C75-C74)/(B75-B74))</f>
        <v>9.65250965250965E-006</v>
      </c>
      <c r="E75" s="77" t="n">
        <f aca="false">IF(C75="","",IF(C76="",0,(C76-C75)/(B76-B75)))</f>
        <v>2.47326203208556E-005</v>
      </c>
    </row>
    <row r="76" customFormat="false" ht="15" hidden="false" customHeight="false" outlineLevel="0" collapsed="false">
      <c r="A76" s="75" t="str">
        <f aca="false">IF(B76="","Unused","key =")</f>
        <v>key =</v>
      </c>
      <c r="B76" s="75" t="n">
        <f aca="false">IF(Earthlike!Q140="|",ROUND(Earthlike!N140,0),IF(Earthlike!Q140="V",ROUND(Earthlike!N140,-3),""))</f>
        <v>58640</v>
      </c>
      <c r="C76" s="76" t="n">
        <f aca="false">IF(B76="","",ROUND(Earthlike!P140,3))</f>
        <v>-0.096</v>
      </c>
      <c r="D76" s="77" t="n">
        <f aca="false">IF(C76="","",(C76-C75)/(B76-B75))</f>
        <v>2.47326203208556E-005</v>
      </c>
      <c r="E76" s="77" t="n">
        <f aca="false">IF(C76="","",IF(C77="",0,(C77-C76)/(B77-B76)))</f>
        <v>3.31720801658604E-005</v>
      </c>
    </row>
    <row r="77" customFormat="false" ht="15" hidden="false" customHeight="false" outlineLevel="0" collapsed="false">
      <c r="A77" s="75" t="str">
        <f aca="false">IF(B77="","Unused","key =")</f>
        <v>key =</v>
      </c>
      <c r="B77" s="75" t="n">
        <f aca="false">IF(Earthlike!Q141="|",ROUND(Earthlike!N141,0),IF(Earthlike!Q141="V",ROUND(Earthlike!N141,-3),""))</f>
        <v>61534</v>
      </c>
      <c r="C77" s="76" t="n">
        <f aca="false">IF(B77="","",ROUND(Earthlike!P141,3))</f>
        <v>0</v>
      </c>
      <c r="D77" s="77" t="n">
        <f aca="false">IF(C77="","",(C77-C76)/(B77-B76))</f>
        <v>3.31720801658604E-005</v>
      </c>
      <c r="E77" s="77" t="n">
        <f aca="false">IF(C77="","",IF(C78="",0,(C78-C77)/(B78-B77)))</f>
        <v>3.41637010676157E-005</v>
      </c>
    </row>
    <row r="78" customFormat="false" ht="15" hidden="false" customHeight="false" outlineLevel="0" collapsed="false">
      <c r="A78" s="75" t="str">
        <f aca="false">IF(B78="","Unused","key =")</f>
        <v>key =</v>
      </c>
      <c r="B78" s="75" t="n">
        <f aca="false">IF(Earthlike!Q142="|",ROUND(Earthlike!N142,0),IF(Earthlike!Q142="V",ROUND(Earthlike!N142,-3),""))</f>
        <v>64344</v>
      </c>
      <c r="C78" s="76" t="n">
        <f aca="false">IF(B78="","",ROUND(Earthlike!P142,3))</f>
        <v>0.096</v>
      </c>
      <c r="D78" s="77" t="n">
        <f aca="false">IF(C78="","",(C78-C77)/(B78-B77))</f>
        <v>3.41637010676157E-005</v>
      </c>
      <c r="E78" s="77" t="n">
        <f aca="false">IF(C78="","",IF(C79="",0,(C79-C78)/(B79-B78)))</f>
        <v>2.70369017172086E-005</v>
      </c>
    </row>
    <row r="79" customFormat="false" ht="15" hidden="false" customHeight="false" outlineLevel="0" collapsed="false">
      <c r="A79" s="75" t="str">
        <f aca="false">IF(B79="","Unused","key =")</f>
        <v>key =</v>
      </c>
      <c r="B79" s="75" t="n">
        <f aca="false">IF(Earthlike!Q143="|",ROUND(Earthlike!N143,0),IF(Earthlike!Q143="V",ROUND(Earthlike!N143,-3),""))</f>
        <v>67081</v>
      </c>
      <c r="C79" s="76" t="n">
        <f aca="false">IF(B79="","",ROUND(Earthlike!P143,3))</f>
        <v>0.17</v>
      </c>
      <c r="D79" s="77" t="n">
        <f aca="false">IF(C79="","",(C79-C78)/(B79-B78))</f>
        <v>2.70369017172086E-005</v>
      </c>
      <c r="E79" s="77" t="n">
        <f aca="false">IF(C79="","",IF(C80="",0,(C80-C79)/(B80-B79)))</f>
        <v>1.02774922918808E-005</v>
      </c>
    </row>
    <row r="80" customFormat="false" ht="15" hidden="false" customHeight="false" outlineLevel="0" collapsed="false">
      <c r="A80" s="75" t="str">
        <f aca="false">IF(B80="","Unused","key =")</f>
        <v>key =</v>
      </c>
      <c r="B80" s="75" t="n">
        <f aca="false">IF(Earthlike!Q144="|",ROUND(Earthlike!N144,0),IF(Earthlike!Q144="V",ROUND(Earthlike!N144,-3),""))</f>
        <v>70000</v>
      </c>
      <c r="C80" s="76" t="n">
        <f aca="false">IF(B80="","",ROUND(Earthlike!P144,3))</f>
        <v>0.2</v>
      </c>
      <c r="D80" s="77" t="n">
        <f aca="false">IF(C80="","",(C80-C79)/(B80-B79))</f>
        <v>1.02774922918808E-005</v>
      </c>
      <c r="E80" s="77" t="n">
        <f aca="false">IF(C80="","",IF(C81="",0,(C81-C80)/(B81-B80)))</f>
        <v>0</v>
      </c>
    </row>
    <row r="81" customFormat="false" ht="15" hidden="false" customHeight="false" outlineLevel="0" collapsed="false">
      <c r="A81" s="75" t="str">
        <f aca="false">IF(B81="","Unused","key =")</f>
        <v>Unused</v>
      </c>
      <c r="B81" s="75" t="str">
        <f aca="false">IF(Earthlike!Q145="|",ROUND(Earthlike!N145,0),IF(Earthlike!Q145="V",ROUND(Earthlike!N145,-3),""))</f>
        <v/>
      </c>
      <c r="C81" s="76" t="str">
        <f aca="false">IF(B81="","",ROUND(Earthlike!P145,3))</f>
        <v/>
      </c>
      <c r="D81" s="77" t="str">
        <f aca="false">IF(C81="","",(C81-C80)/(B81-B80))</f>
        <v/>
      </c>
      <c r="E81" s="77" t="str">
        <f aca="false">IF(C81="","",IF(C82="",0,(C82-C81)/(B82-B81)))</f>
        <v/>
      </c>
    </row>
    <row r="82" customFormat="false" ht="15" hidden="false" customHeight="false" outlineLevel="0" collapsed="false">
      <c r="A82" s="75" t="str">
        <f aca="false">IF(B82="","Unused","key =")</f>
        <v>Unused</v>
      </c>
      <c r="B82" s="75" t="str">
        <f aca="false">IF(Earthlike!Q146="|",ROUND(Earthlike!N146,0),IF(Earthlike!Q146="V",ROUND(Earthlike!N146,-3),""))</f>
        <v/>
      </c>
      <c r="C82" s="76" t="str">
        <f aca="false">IF(B82="","",ROUND(Earthlike!P146,3))</f>
        <v/>
      </c>
      <c r="D82" s="77" t="str">
        <f aca="false">IF(C82="","",(C82-C81)/(B82-B81))</f>
        <v/>
      </c>
      <c r="E82" s="77" t="str">
        <f aca="false">IF(C82="","",IF(C83="",0,(C83-C82)/(B83-B82)))</f>
        <v/>
      </c>
    </row>
    <row r="83" customFormat="false" ht="15" hidden="false" customHeight="false" outlineLevel="0" collapsed="false">
      <c r="A83" s="75" t="str">
        <f aca="false">IF(B83="","Unused","key =")</f>
        <v>Unused</v>
      </c>
      <c r="B83" s="75" t="str">
        <f aca="false">IF(Earthlike!Q147="|",ROUND(Earthlike!N147,0),IF(Earthlike!Q147="V",ROUND(Earthlike!N147,-3),""))</f>
        <v/>
      </c>
      <c r="C83" s="76" t="str">
        <f aca="false">IF(B83="","",ROUND(Earthlike!P147,3))</f>
        <v/>
      </c>
      <c r="D83" s="77" t="str">
        <f aca="false">IF(C83="","",(C83-C82)/(B83-B82))</f>
        <v/>
      </c>
      <c r="E83" s="77" t="str">
        <f aca="false">IF(C83="","",IF(C84="",0,(C84-C83)/(B84-B83)))</f>
        <v/>
      </c>
    </row>
    <row r="84" customFormat="false" ht="15" hidden="false" customHeight="false" outlineLevel="0" collapsed="false">
      <c r="A84" s="75" t="str">
        <f aca="false">IF(B84="","Unused","key =")</f>
        <v>Unused</v>
      </c>
      <c r="B84" s="75" t="str">
        <f aca="false">IF(Earthlike!Q148="|",ROUND(Earthlike!N148,0),IF(Earthlike!Q148="V",ROUND(Earthlike!N148,-3),""))</f>
        <v/>
      </c>
      <c r="C84" s="76" t="str">
        <f aca="false">IF(B84="","",ROUND(Earthlike!P148,3))</f>
        <v/>
      </c>
      <c r="D84" s="77" t="str">
        <f aca="false">IF(C84="","",(C84-C83)/(B84-B83))</f>
        <v/>
      </c>
      <c r="E84" s="77" t="str">
        <f aca="false">IF(C84="","",IF(C85="",0,(C85-C84)/(B85-B84)))</f>
        <v/>
      </c>
    </row>
    <row r="85" customFormat="false" ht="15" hidden="false" customHeight="false" outlineLevel="0" collapsed="false">
      <c r="A85" s="75" t="str">
        <f aca="false">IF(B85="","Unused","key =")</f>
        <v>Unused</v>
      </c>
      <c r="B85" s="75" t="str">
        <f aca="false">IF(Earthlike!Q149="|",ROUND(Earthlike!N149,0),IF(Earthlike!Q149="V",ROUND(Earthlike!N149,-3),""))</f>
        <v/>
      </c>
      <c r="C85" s="76" t="str">
        <f aca="false">IF(B85="","",ROUND(Earthlike!P149,3))</f>
        <v/>
      </c>
      <c r="D85" s="77" t="str">
        <f aca="false">IF(C85="","",(C85-C84)/(B85-B84))</f>
        <v/>
      </c>
      <c r="E85" s="77" t="str">
        <f aca="false">IF(C85="","",IF(C86="",0,(C86-C85)/(B86-B85)))</f>
        <v/>
      </c>
    </row>
    <row r="86" customFormat="false" ht="15" hidden="false" customHeight="false" outlineLevel="0" collapsed="false">
      <c r="A86" s="75" t="str">
        <f aca="false">IF(B86="","Unused","key =")</f>
        <v>Unused</v>
      </c>
      <c r="B86" s="75" t="str">
        <f aca="false">IF(Earthlike!Q150="|",ROUND(Earthlike!N150,0),IF(Earthlike!Q150="V",ROUND(Earthlike!N150,-3),""))</f>
        <v/>
      </c>
      <c r="C86" s="76" t="str">
        <f aca="false">IF(B86="","",ROUND(Earthlike!P150,3))</f>
        <v/>
      </c>
      <c r="D86" s="77" t="str">
        <f aca="false">IF(C86="","",(C86-C85)/(B86-B85))</f>
        <v/>
      </c>
      <c r="E86" s="77" t="str">
        <f aca="false">IF(C86="","",IF(C87="",0,(C87-C86)/(B87-B86)))</f>
        <v/>
      </c>
    </row>
    <row r="87" customFormat="false" ht="15" hidden="false" customHeight="false" outlineLevel="0" collapsed="false">
      <c r="A87" s="75" t="str">
        <f aca="false">IF(B87="","Unused","key =")</f>
        <v>Unused</v>
      </c>
      <c r="B87" s="75" t="str">
        <f aca="false">IF(Earthlike!Q151="|",ROUND(Earthlike!N151,0),IF(Earthlike!Q151="V",ROUND(Earthlike!N151,-3),""))</f>
        <v/>
      </c>
      <c r="C87" s="76" t="str">
        <f aca="false">IF(B87="","",ROUND(Earthlike!P151,3))</f>
        <v/>
      </c>
      <c r="D87" s="77" t="str">
        <f aca="false">IF(C87="","",(C87-C86)/(B87-B86))</f>
        <v/>
      </c>
      <c r="E87" s="77" t="str">
        <f aca="false">IF(C87="","",IF(C88="",0,(C88-C87)/(B88-B87)))</f>
        <v/>
      </c>
    </row>
    <row r="88" customFormat="false" ht="15" hidden="false" customHeight="false" outlineLevel="0" collapsed="false">
      <c r="A88" s="75" t="str">
        <f aca="false">IF(B88="","Unused","key =")</f>
        <v>Unused</v>
      </c>
      <c r="B88" s="75" t="str">
        <f aca="false">IF(Earthlike!Q152="|",ROUND(Earthlike!N152,0),IF(Earthlike!Q152="V",ROUND(Earthlike!N152,-3),""))</f>
        <v/>
      </c>
      <c r="C88" s="76" t="str">
        <f aca="false">IF(B88="","",ROUND(Earthlike!P152,3))</f>
        <v/>
      </c>
      <c r="D88" s="77" t="str">
        <f aca="false">IF(C88="","",(C88-C87)/(B88-B87))</f>
        <v/>
      </c>
      <c r="E88" s="77" t="str">
        <f aca="false">IF(C88="","",IF(C89="",0,(C89-C88)/(B89-B88)))</f>
        <v/>
      </c>
    </row>
    <row r="89" customFormat="false" ht="15" hidden="false" customHeight="false" outlineLevel="0" collapsed="false">
      <c r="A89" s="75" t="str">
        <f aca="false">IF(B89="","Unused","key =")</f>
        <v>Unused</v>
      </c>
      <c r="B89" s="75" t="str">
        <f aca="false">IF(Earthlike!Q153="|",ROUND(Earthlike!N153,0),IF(Earthlike!Q153="V",ROUND(Earthlike!N153,-3),""))</f>
        <v/>
      </c>
      <c r="C89" s="76" t="str">
        <f aca="false">IF(B89="","",ROUND(Earthlike!P153,3))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IF(Earthlike!Q154="|",ROUND(Earthlike!N154,0),IF(Earthlike!Q154="V",ROUND(Earthlike!N154,-3),""))</f>
        <v/>
      </c>
      <c r="C90" s="76" t="str">
        <f aca="false">IF(B90="","",ROUND(Earthlike!P154,3))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IF(Earthlike!Q155="|",ROUND(Earthlike!N155,0),IF(Earthlike!Q155="V",ROUND(Earthlike!N155,-3),""))</f>
        <v/>
      </c>
      <c r="C91" s="76" t="str">
        <f aca="false">IF(B91="","",ROUND(Earthlike!P155,3))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IF(Earthlike!Q156="|",ROUND(Earthlike!N156,0),IF(Earthlike!Q156="V",ROUND(Earthlike!N156,-3),""))</f>
        <v/>
      </c>
      <c r="C92" s="76" t="str">
        <f aca="false">IF(B92="","",ROUND(Earthlike!P156,3))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IF(Earthlike!Q157="|",ROUND(Earthlike!N157,0),IF(Earthlike!Q157="V",ROUND(Earthlike!N157,-3),""))</f>
        <v/>
      </c>
      <c r="C93" s="76" t="str">
        <f aca="false">IF(B93="","",ROUND(Earthlike!P157,3))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IF(Earthlike!Q158="|",ROUND(Earthlike!N158,0),IF(Earthlike!Q158="V",ROUND(Earthlike!N158,-3),""))</f>
        <v/>
      </c>
      <c r="C94" s="76" t="str">
        <f aca="false">IF(B94="","",ROUND(Earthlike!P158,3))</f>
        <v/>
      </c>
      <c r="D94" s="77" t="str">
        <f aca="false">IF(C94="","",(C94-C93)/(B94-B93))</f>
        <v/>
      </c>
      <c r="E94" s="77" t="str">
        <f aca="false">IF(C94="","",IF(C95="",0,(C95-C94)/(B95-B94)))</f>
        <v/>
      </c>
    </row>
    <row r="95" customFormat="false" ht="15" hidden="false" customHeight="false" outlineLevel="0" collapsed="false">
      <c r="A95" s="72" t="s">
        <v>212</v>
      </c>
      <c r="B95" s="75"/>
      <c r="C95" s="75"/>
      <c r="D95" s="75"/>
      <c r="E95" s="75"/>
    </row>
    <row r="96" customFormat="false" ht="15" hidden="false" customHeight="false" outlineLevel="0" collapsed="false">
      <c r="A96" s="72" t="s">
        <v>227</v>
      </c>
      <c r="B96" s="75"/>
      <c r="C96" s="75"/>
      <c r="D96" s="75"/>
      <c r="E96" s="75"/>
    </row>
    <row r="97" customFormat="false" ht="15" hidden="false" customHeight="false" outlineLevel="0" collapsed="false">
      <c r="A97" s="72" t="s">
        <v>209</v>
      </c>
      <c r="B97" s="75"/>
      <c r="C97" s="75"/>
      <c r="D97" s="75"/>
      <c r="E97" s="75"/>
    </row>
    <row r="98" customFormat="false" ht="15" hidden="false" customHeight="false" outlineLevel="0" collapsed="false">
      <c r="A98" s="75" t="s">
        <v>224</v>
      </c>
      <c r="B98" s="75" t="n">
        <v>0</v>
      </c>
      <c r="C98" s="75" t="n">
        <f aca="false">ROUND(Earthlike!G$88*(COS(RADIANS(B98))-COS(RADIANS(38))),2)</f>
        <v>8.69</v>
      </c>
      <c r="D98" s="75" t="n">
        <v>0</v>
      </c>
      <c r="E98" s="75" t="n">
        <f aca="false">ROUND(-Earthlike!G$88*SIN(RADIANS(B98))*PI()/180,4)</f>
        <v>0</v>
      </c>
    </row>
    <row r="99" customFormat="false" ht="15" hidden="false" customHeight="false" outlineLevel="0" collapsed="false">
      <c r="A99" s="75" t="s">
        <v>224</v>
      </c>
      <c r="B99" s="75" t="n">
        <v>38</v>
      </c>
      <c r="C99" s="75" t="n">
        <f aca="false">ROUND(Earthlike!G$88*(COS(RADIANS(B99))-COS(RADIANS(38))),2)</f>
        <v>0</v>
      </c>
      <c r="D99" s="75" t="n">
        <f aca="false">ROUND(-Earthlike!G$88*SIN(RADIANS(B99))*PI()/180,4)</f>
        <v>-0.4406</v>
      </c>
      <c r="E99" s="75" t="n">
        <f aca="false">ROUND(-Earthlike!G$88*SIN(RADIANS(B99))*PI()/180,4)</f>
        <v>-0.4406</v>
      </c>
    </row>
    <row r="100" customFormat="false" ht="15" hidden="false" customHeight="false" outlineLevel="0" collapsed="false">
      <c r="A100" s="75" t="s">
        <v>224</v>
      </c>
      <c r="B100" s="75" t="n">
        <v>90</v>
      </c>
      <c r="C100" s="75" t="n">
        <f aca="false">ROUND(Earthlike!G$88*(COS(RADIANS(B100))-COS(RADIANS(38))),2)</f>
        <v>-32.31</v>
      </c>
      <c r="D100" s="75" t="n">
        <f aca="false">ROUND(-Earthlike!G$88*SIN(RADIANS(B100))*PI()/180,4)</f>
        <v>-0.7156</v>
      </c>
      <c r="E100" s="75" t="n">
        <v>0</v>
      </c>
    </row>
    <row r="101" customFormat="false" ht="15" hidden="false" customHeight="false" outlineLevel="0" collapsed="false">
      <c r="A101" s="72" t="s">
        <v>212</v>
      </c>
      <c r="B101" s="75"/>
      <c r="C101" s="75"/>
      <c r="D101" s="75"/>
      <c r="E101" s="75"/>
    </row>
    <row r="102" customFormat="false" ht="15" hidden="false" customHeight="false" outlineLevel="0" collapsed="false">
      <c r="A102" s="72" t="s">
        <v>228</v>
      </c>
      <c r="B102" s="75"/>
      <c r="C102" s="75"/>
      <c r="D102" s="75"/>
      <c r="E102" s="75"/>
    </row>
    <row r="103" customFormat="false" ht="15" hidden="false" customHeight="false" outlineLevel="0" collapsed="false">
      <c r="A103" s="72" t="s">
        <v>209</v>
      </c>
      <c r="B103" s="75"/>
      <c r="C103" s="75"/>
      <c r="D103" s="75"/>
      <c r="E103" s="75"/>
    </row>
    <row r="104" customFormat="false" ht="15" hidden="false" customHeight="false" outlineLevel="0" collapsed="false">
      <c r="A104" s="75" t="s">
        <v>224</v>
      </c>
      <c r="B104" s="75" t="n">
        <v>0</v>
      </c>
      <c r="C104" s="75" t="n">
        <f aca="false">ROUND((Earthlike!G$86-Earthlike!G$87)*COS(RADIANS(B104))+Earthlike!G$87,2)</f>
        <v>17</v>
      </c>
      <c r="D104" s="75" t="n">
        <v>0</v>
      </c>
      <c r="E104" s="75" t="n">
        <f aca="false">ROUND((Earthlike!G$87-Earthlike!G$86)*SIN(RADIANS(B104))*PI()/180,4)</f>
        <v>0</v>
      </c>
    </row>
    <row r="105" customFormat="false" ht="15" hidden="false" customHeight="false" outlineLevel="0" collapsed="false">
      <c r="A105" s="75" t="s">
        <v>224</v>
      </c>
      <c r="B105" s="75" t="n">
        <v>38</v>
      </c>
      <c r="C105" s="75" t="n">
        <f aca="false">ROUND((Earthlike!G$86-Earthlike!G$87)*COS(RADIANS(B105))+Earthlike!G$87,2)</f>
        <v>14.46</v>
      </c>
      <c r="D105" s="75" t="n">
        <f aca="false">ROUND((Earthlike!G$87-Earthlike!G$86)*SIN(RADIANS(B105))*PI()/180,4)</f>
        <v>-0.1289</v>
      </c>
      <c r="E105" s="75" t="n">
        <f aca="false">ROUND((Earthlike!G$87-Earthlike!G$86)*SIN(RADIANS(B105))*PI()/180,4)</f>
        <v>-0.1289</v>
      </c>
    </row>
    <row r="106" customFormat="false" ht="15" hidden="false" customHeight="false" outlineLevel="0" collapsed="false">
      <c r="A106" s="75" t="s">
        <v>224</v>
      </c>
      <c r="B106" s="75" t="n">
        <v>90</v>
      </c>
      <c r="C106" s="75" t="n">
        <f aca="false">ROUND((Earthlike!G$86-Earthlike!G$87)*COS(RADIANS(B106))+Earthlike!G$87,2)</f>
        <v>5</v>
      </c>
      <c r="D106" s="75" t="n">
        <f aca="false">ROUND((Earthlike!G$87-Earthlike!G$86)*SIN(RADIANS(B106))*PI()/180,4)</f>
        <v>-0.2094</v>
      </c>
      <c r="E106" s="75" t="n">
        <v>0</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229</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IF(Earthlike!G$19="Planet",ROUND(-Earthlike!G$89*Earthlike!G$91*SIN(RADIANS(B110-36+Earthlike!G28)),2),ROUND(-Earthlike!G$89*Earthlike!G$91*SIN(RADIANS(B110-36+Earthlike!G$33)),2))</f>
        <v>0</v>
      </c>
      <c r="D110" s="75" t="n">
        <v>0</v>
      </c>
      <c r="E110" s="75" t="n">
        <f aca="false">IF(Earthlike!G$19="Planet",IF(Earthlike!G$27&gt;0,D115,0),IF(Earthlike!G$32&gt;0,D115,0))</f>
        <v>0</v>
      </c>
    </row>
    <row r="111" customFormat="false" ht="15" hidden="false" customHeight="false" outlineLevel="0" collapsed="false">
      <c r="A111" s="75" t="str">
        <f aca="false">IF(B111="","Unused","key =")</f>
        <v>Unused</v>
      </c>
      <c r="B111" s="75"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75" t="str">
        <f aca="false">IF(Earthlike!G$19="Planet",IF(Earthlike!G$27&gt;0,ROUND(-Earthlike!G$89*Earthlike!G$91*SIN(RADIANS(B111-36+Earthlike!G$28)),2),""),IF(Earthlike!G$32&gt;0,ROUND(-Earthlike!G$89*Earthlike!G$91*SIN(RADIANS(B111-36+Earthlike!G$33)),2),""))</f>
        <v/>
      </c>
      <c r="D111" s="75" t="str">
        <f aca="false">IF(Earthlike!G$19="Planet",IF(Earthlike!G$27&gt;0,ROUND(Earthlike!G$89*Earthlike!G$91*SIN(RADIANS(270))*COS(RADIANS(B111-36+Earthlike!G$28))*PI()/180,4),""),IF(Earthlike!G$32&gt;0,ROUND(Earthlike!G$89*Earthlike!G$91*SIN(RADIANS(270))*COS(RADIANS(B111-36+Earthlike!G$33))*PI()/180,4),""))</f>
        <v/>
      </c>
      <c r="E111" s="75" t="str">
        <f aca="false">IF(Earthlike!G$19="Planet",IF(Earthlike!G$27&gt;0,D111,""),IF(Earthlike!G$32&gt;0,D111,""))</f>
        <v/>
      </c>
    </row>
    <row r="112" customFormat="false" ht="15" hidden="false" customHeight="false" outlineLevel="0" collapsed="false">
      <c r="A112" s="75" t="str">
        <f aca="false">IF(B112="","Unused","key =")</f>
        <v>Unused</v>
      </c>
      <c r="B112" s="75" t="str">
        <f aca="false">IF(Earthlike!G$19="Planet",IF(Earthlike!G$27&gt;0,B111+90,""),IF(Earthlike!G$32&gt;0,B111+90,""))</f>
        <v/>
      </c>
      <c r="C112" s="75" t="str">
        <f aca="false">IF(Earthlike!G$19="Planet",IF(Earthlike!G$27&gt;0,ROUND(-Earthlike!G$89*Earthlike!G$91*SIN(RADIANS(B112-36+Earthlike!G$28)),2),""),IF(Earthlike!G$32&gt;0,ROUND(-Earthlike!G$89*Earthlike!G$91*SIN(RADIANS(B112-36+Earthlike!G$33)),2),""))</f>
        <v/>
      </c>
      <c r="D112" s="75" t="str">
        <f aca="false">IF(Earthlike!G$19="Planet",IF(Earthlike!G$27&gt;0,ROUND(Earthlike!G$89*Earthlike!G$91*SIN(RADIANS(270))*COS(RADIANS(B112-36+Earthlike!G$28))*PI()/180,4),""),IF(Earthlike!G$32&gt;0,ROUND(Earthlike!G$89*Earthlike!G$91*SIN(RADIANS(270))*COS(RADIANS(B112-36+Earthlike!G$33))*PI()/180,4),""))</f>
        <v/>
      </c>
      <c r="E112" s="75" t="str">
        <f aca="false">IF(Earthlike!G$19="Planet",IF(Earthlike!G$27&gt;0,D112,""),IF(Earthlike!G$32&gt;0,D112,""))</f>
        <v/>
      </c>
    </row>
    <row r="113" customFormat="false" ht="15" hidden="false" customHeight="false" outlineLevel="0" collapsed="false">
      <c r="A113" s="75" t="str">
        <f aca="false">IF(B113="","Unused","key =")</f>
        <v>Unused</v>
      </c>
      <c r="B113" s="75" t="str">
        <f aca="false">IF(Earthlike!G$19="Planet",IF(Earthlike!G$27&gt;0,B112+90,""),IF(Earthlike!G$32&gt;0,B112+90,""))</f>
        <v/>
      </c>
      <c r="C113" s="75" t="str">
        <f aca="false">IF(Earthlike!G$19="Planet",IF(Earthlike!G$27&gt;0,ROUND(-Earthlike!G$89*Earthlike!G$91*SIN(RADIANS(B113-36+Earthlike!G$28)),2),""),IF(Earthlike!G$32&gt;0,ROUND(-Earthlike!G$89*Earthlike!G$91*SIN(RADIANS(B113-36+Earthlike!G$33)),2),""))</f>
        <v/>
      </c>
      <c r="D113" s="75" t="str">
        <f aca="false">IF(Earthlike!G$19="Planet",IF(Earthlike!G$27&gt;0,ROUND(Earthlike!G$89*Earthlike!G$91*SIN(RADIANS(270))*COS(RADIANS(B113-36+Earthlike!G$28))*PI()/180,4),""),IF(Earthlike!G$32&gt;0,ROUND(Earthlike!G$89*Earthlike!G$91*SIN(RADIANS(270))*COS(RADIANS(B113-36+Earthlike!G$33))*PI()/180,4),""))</f>
        <v/>
      </c>
      <c r="E113" s="75" t="str">
        <f aca="false">IF(Earthlike!G$19="Planet",IF(Earthlike!G$27&gt;0,D113,""),IF(Earthlike!G$32&gt;0,D113,""))</f>
        <v/>
      </c>
    </row>
    <row r="114" customFormat="false" ht="15" hidden="false" customHeight="false" outlineLevel="0" collapsed="false">
      <c r="A114" s="75" t="str">
        <f aca="false">IF(B114="","Unused","key =")</f>
        <v>Unused</v>
      </c>
      <c r="B114" s="75" t="str">
        <f aca="false">IF(Earthlike!G$19="Planet",IF(Earthlike!G$27&gt;0,B113+90,""),IF(Earthlike!G$32&gt;0,B113+90,""))</f>
        <v/>
      </c>
      <c r="C114" s="75" t="str">
        <f aca="false">IF(Earthlike!G$19="Planet",IF(Earthlike!G$27&gt;0,ROUND(-Earthlike!G$89*Earthlike!G$91*SIN(RADIANS(B114-36+Earthlike!G$28)),2),""),IF(Earthlike!G$32&gt;0,ROUND(-Earthlike!G$89*Earthlike!G$91*SIN(RADIANS(B114-36+Earthlike!G$33)),2),""))</f>
        <v/>
      </c>
      <c r="D114" s="75" t="str">
        <f aca="false">IF(Earthlike!G$19="Planet",IF(Earthlike!G$27&gt;0,ROUND(Earthlike!G$89*Earthlike!G$91*SIN(RADIANS(270))*COS(RADIANS(B114-36+Earthlike!G$28))*PI()/180,4),""),IF(Earthlike!G$32&gt;0,ROUND(Earthlike!G$89*Earthlike!G$91*SIN(RADIANS(270))*COS(RADIANS(B114-36+Earthlike!G$33))*PI()/180,4),""))</f>
        <v/>
      </c>
      <c r="E114" s="75" t="str">
        <f aca="false">IF(Earthlike!G$19="Planet",IF(Earthlike!G$27&gt;0,D114,""),IF(Earthlike!G$32&gt;0,D114,""))</f>
        <v/>
      </c>
    </row>
    <row r="115" customFormat="false" ht="15" hidden="false" customHeight="false" outlineLevel="0" collapsed="false">
      <c r="A115" s="75" t="str">
        <f aca="false">IF(B115="","Unused","key =")</f>
        <v>Unused</v>
      </c>
      <c r="B115" s="75" t="str">
        <f aca="false">IF(Earthlike!G$19="Planet",IF(Earthlike!G$27&gt;0,360,""),IF(Earthlike!G$32&gt;0,360,""))</f>
        <v/>
      </c>
      <c r="C115" s="75" t="str">
        <f aca="false">IF(Earthlike!G$19="Planet",IF(Earthlike!G$27&gt;0,ROUND(-Earthlike!G$89*Earthlike!G$91*SIN(RADIANS(B115-36+Earthlike!G$28)),2),""),IF(Earthlike!G$32&gt;0,ROUND(-Earthlike!G$89*Earthlike!G$91*SIN(RADIANS(B115-36+Earthlike!G$33)),2),""))</f>
        <v/>
      </c>
      <c r="D115" s="75" t="str">
        <f aca="false">IF(Earthlike!G$19="Planet",IF(Earthlike!G$27&gt;0,ROUND(Earthlike!G$89*Earthlike!G$91*SIN(RADIANS(270))*COS(RADIANS(B115-36+Earthlike!G$28))*PI()/180,4),""),IF(Earthlike!G$32&gt;0,ROUND(Earthlike!G$89*Earthlike!G$91*SIN(RADIANS(270))*COS(RADIANS(B115-36+Earthlike!G$33))*PI()/180,4),""))</f>
        <v/>
      </c>
      <c r="E115" s="75" t="str">
        <f aca="false">IF(Earthlike!G$19="Planet",IF(Earthlike!G$27&gt;0,0,""),IF(Earthlike!G$32&gt;0,0,""))</f>
        <v/>
      </c>
    </row>
    <row r="116" customFormat="false" ht="15" hidden="false" customHeight="false" outlineLevel="0" collapsed="false">
      <c r="A116" s="72" t="s">
        <v>212</v>
      </c>
      <c r="B116" s="75"/>
      <c r="C116" s="75"/>
      <c r="D116" s="75"/>
      <c r="E116" s="75"/>
    </row>
    <row r="117" customFormat="false" ht="15" hidden="false" customHeight="false" outlineLevel="0" collapsed="false">
      <c r="A117" s="72" t="s">
        <v>230</v>
      </c>
      <c r="B117" s="75"/>
      <c r="C117" s="75"/>
      <c r="D117" s="75"/>
      <c r="E117" s="75"/>
    </row>
    <row r="118" customFormat="false" ht="15" hidden="false" customHeight="false" outlineLevel="0" collapsed="false">
      <c r="A118" s="72" t="s">
        <v>209</v>
      </c>
      <c r="B118" s="75"/>
      <c r="C118" s="75"/>
      <c r="D118" s="75"/>
      <c r="E118" s="75"/>
    </row>
    <row r="119" customFormat="false" ht="15" hidden="false" customHeight="false" outlineLevel="0" collapsed="false">
      <c r="A119" s="75" t="s">
        <v>224</v>
      </c>
      <c r="B119" s="75" t="n">
        <v>0</v>
      </c>
      <c r="C119" s="75" t="n">
        <v>0</v>
      </c>
      <c r="D119" s="75" t="n">
        <v>0</v>
      </c>
      <c r="E119" s="75" t="n">
        <v>0</v>
      </c>
    </row>
    <row r="120" customFormat="false" ht="15" hidden="false" customHeight="false" outlineLevel="0" collapsed="false">
      <c r="A120" s="75" t="str">
        <f aca="false">IF(B120="","Unused","key =")</f>
        <v>Unused</v>
      </c>
      <c r="B120" s="75" t="str">
        <f aca="false">IF(Earthlike!G$19="Planet",IF(Earthlike!G$27&gt;0,38,""),IF(Earthlike!G$32&gt;0,38,""))</f>
        <v/>
      </c>
      <c r="C120" s="75" t="str">
        <f aca="false">IF(Earthlike!G$19="Planet",IF(Earthlike!G$27&gt;0,0.5,""),IF(Earthlike!G$32&gt;0,0.5,""))</f>
        <v/>
      </c>
      <c r="D120" s="75" t="str">
        <f aca="false">IF(Earthlike!G$19="Planet",IF(Earthlike!G$27&gt;0,0.02,""),IF(Earthlike!G$32&gt;0,0.02,""))</f>
        <v/>
      </c>
      <c r="E120" s="75" t="str">
        <f aca="false">IF(Earthlike!G$19="Planet",IF(Earthlike!G$27&gt;0,0.02,""),IF(Earthlike!G$32&gt;0,0.02,""))</f>
        <v/>
      </c>
    </row>
    <row r="121" customFormat="false" ht="15" hidden="false" customHeight="false" outlineLevel="0" collapsed="false">
      <c r="A121" s="75" t="str">
        <f aca="false">IF(B121="","Unused","key =")</f>
        <v>Unused</v>
      </c>
      <c r="B121" s="75" t="str">
        <f aca="false">IF(Earthlike!G$19="Planet",IF(Earthlike!G$27&gt;0,90,""),IF(Earthlike!G$32&gt;0,90,""))</f>
        <v/>
      </c>
      <c r="C121" s="75" t="str">
        <f aca="false">IF(Earthlike!G$19="Planet",IF(Earthlike!G$27&gt;0,1,""),IF(Earthlike!G$32&gt;0,1,""))</f>
        <v/>
      </c>
      <c r="D121" s="75" t="str">
        <f aca="false">IF(Earthlike!G$19="Planet",IF(Earthlike!G$27&gt;0,0,""),IF(Earthlike!G$32&gt;0,0,""))</f>
        <v/>
      </c>
      <c r="E121" s="75" t="str">
        <f aca="false">IF(Earthlike!G$19="Planet",IF(Earthlike!G$27&gt;0,0,""),IF(Earthlike!G$32&gt;0,0,""))</f>
        <v/>
      </c>
    </row>
    <row r="122" customFormat="false" ht="15" hidden="false" customHeight="false" outlineLevel="0" collapsed="false">
      <c r="A122" s="72" t="s">
        <v>212</v>
      </c>
      <c r="B122" s="75"/>
      <c r="C122" s="75"/>
      <c r="D122" s="75"/>
      <c r="E122" s="75"/>
    </row>
    <row r="123" customFormat="false" ht="15" hidden="false" customHeight="false" outlineLevel="0" collapsed="false">
      <c r="A123" s="72" t="s">
        <v>231</v>
      </c>
      <c r="B123" s="75"/>
      <c r="C123" s="75"/>
      <c r="D123" s="75"/>
      <c r="E123" s="75"/>
    </row>
    <row r="124" customFormat="false" ht="15" hidden="false" customHeight="false" outlineLevel="0" collapsed="false">
      <c r="A124" s="72" t="s">
        <v>209</v>
      </c>
      <c r="B124" s="75"/>
      <c r="C124" s="75"/>
      <c r="D124" s="75"/>
      <c r="E124" s="75"/>
    </row>
    <row r="125" customFormat="false" ht="15" hidden="false" customHeight="false" outlineLevel="0" collapsed="false">
      <c r="A125" s="75" t="s">
        <v>224</v>
      </c>
      <c r="B125" s="75" t="n">
        <v>0</v>
      </c>
      <c r="C125" s="75" t="n">
        <f aca="false">ROUND(Earthlike!G$90*Earthlike!G$91,1)/2</f>
        <v>0</v>
      </c>
      <c r="D125" s="75" t="n">
        <v>0</v>
      </c>
      <c r="E125" s="75" t="n">
        <f aca="false">-2*C125</f>
        <v>0</v>
      </c>
    </row>
    <row r="126" customFormat="false" ht="15" hidden="false" customHeight="false" outlineLevel="0" collapsed="false">
      <c r="A126" s="75" t="str">
        <f aca="false">IF(B126="","Unused","key =")</f>
        <v>Unused</v>
      </c>
      <c r="B126" s="75" t="str">
        <f aca="false">IF(Earthlike!G$19="Planet",IF(Earthlike!G$26&gt;0,1,""),IF(Earthlike!G$31&gt;0,1,""))</f>
        <v/>
      </c>
      <c r="C126" s="75" t="str">
        <f aca="false">IF(Earthlike!G$19="Planet",IF(Earthlike!G$26&gt;0,-C125,""),IF(Earthlike!G$31&gt;0,-C125,""))</f>
        <v/>
      </c>
      <c r="D126" s="75" t="str">
        <f aca="false">IF(Earthlike!G$19="Planet",IF(Earthlike!G$26&gt;0,E125,""),IF(Earthlike!G$31&gt;0,E125,""))</f>
        <v/>
      </c>
      <c r="E126" s="75" t="str">
        <f aca="false">IF(Earthlike!G$19="Planet",IF(Earthlike!G$26&gt;0,0,""),IF(Earthlike!G$31&gt;0,0,""))</f>
        <v/>
      </c>
    </row>
    <row r="127" customFormat="false" ht="15" hidden="false" customHeight="false" outlineLevel="0" collapsed="false">
      <c r="A127" s="72" t="s">
        <v>212</v>
      </c>
      <c r="B127" s="75"/>
      <c r="C127" s="75"/>
      <c r="D127" s="75"/>
      <c r="E127" s="75"/>
    </row>
    <row r="128" customFormat="false" ht="15" hidden="false" customHeight="false" outlineLevel="0" collapsed="false">
      <c r="A128" s="72" t="s">
        <v>225</v>
      </c>
      <c r="B128" s="75"/>
      <c r="C128" s="75"/>
      <c r="D128" s="75"/>
      <c r="E128" s="75"/>
    </row>
    <row r="129" customFormat="false" ht="15" hidden="false" customHeight="false" outlineLevel="0" collapsed="false">
      <c r="A129" s="72" t="s">
        <v>209</v>
      </c>
      <c r="B129" s="75"/>
      <c r="C129" s="75"/>
      <c r="D129" s="75"/>
      <c r="E129" s="75"/>
    </row>
    <row r="130" customFormat="false" ht="15" hidden="false" customHeight="false" outlineLevel="0" collapsed="false">
      <c r="A130" s="75" t="str">
        <f aca="false">IF(B130="","Unused","key =")</f>
        <v>key =</v>
      </c>
      <c r="B130" s="75" t="n">
        <f aca="false">IF(Earthlike!Q122="|",ROUND(Earthlike!N122,0),IF(Earthlike!Q122="V",ROUND(Earthlike!N122,-3),""))</f>
        <v>0</v>
      </c>
      <c r="C130" s="77" t="n">
        <f aca="false">IF(B130="","",IF(B131="",0,Earthlike!H122/1000))</f>
        <v>101.325</v>
      </c>
      <c r="D130" s="78" t="n">
        <v>0</v>
      </c>
      <c r="E130" s="78" t="n">
        <f aca="false">IF(C130="","",IF(C130=0,0,-(C130*1.001-C130*0.999)/(Earthlike!G122*LN((C130*1.001)/(C130*0.999)))/IF(Earthlike!G$100&gt;0,Earthlike!G$100,0.8)))</f>
        <v>-0.0150450619791121</v>
      </c>
    </row>
    <row r="131" customFormat="false" ht="15" hidden="false" customHeight="false" outlineLevel="0" collapsed="false">
      <c r="A131" s="75" t="str">
        <f aca="false">IF(B131="","Unused","key =")</f>
        <v>key =</v>
      </c>
      <c r="B131" s="75" t="n">
        <f aca="false">IF(Earthlike!Q123="|",ROUND(Earthlike!N123,0),IF(Earthlike!Q123="V",ROUND(Earthlike!N123,-3),""))</f>
        <v>3721</v>
      </c>
      <c r="C131" s="77" t="n">
        <f aca="false">IF(B131="","",IF(B132="",0,Earthlike!H123/1000))</f>
        <v>56.9792347749121</v>
      </c>
      <c r="D131" s="78" t="n">
        <f aca="false">IF(C131="","",IF(C131=0,0,-(C131*1.001-C131*0.999)/(Earthlike!G123*LN((C131*1.001)/(C131*0.999)))/IF(Earthlike!G$100&gt;0,Earthlike!G$100,0.8)))</f>
        <v>-0.00920519533352141</v>
      </c>
      <c r="E131" s="78" t="n">
        <f aca="false">D131</f>
        <v>-0.00920519533352141</v>
      </c>
    </row>
    <row r="132" customFormat="false" ht="15" hidden="false" customHeight="false" outlineLevel="0" collapsed="false">
      <c r="A132" s="75" t="str">
        <f aca="false">IF(B132="","Unused","key =")</f>
        <v>key =</v>
      </c>
      <c r="B132" s="75" t="n">
        <f aca="false">IF(Earthlike!Q124="|",ROUND(Earthlike!N124,0),IF(Earthlike!Q124="V",ROUND(Earthlike!N124,-3),""))</f>
        <v>7099</v>
      </c>
      <c r="C132" s="77" t="n">
        <f aca="false">IF(B132="","",IF(B133="",0,Earthlike!H124/1000))</f>
        <v>32.0417783916561</v>
      </c>
      <c r="D132" s="78" t="n">
        <f aca="false">IF(C132="","",IF(C132=0,0,-(C132*1.001-C132*0.999)/(Earthlike!G124*LN((C132*1.001)/(C132*0.999)))/IF(Earthlike!G$100&gt;0,Earthlike!G$100,0.8)))</f>
        <v>-0.00578680945737788</v>
      </c>
      <c r="E132" s="78" t="n">
        <f aca="false">D132</f>
        <v>-0.00578680945737788</v>
      </c>
    </row>
    <row r="133" customFormat="false" ht="15" hidden="false" customHeight="false" outlineLevel="0" collapsed="false">
      <c r="A133" s="75" t="str">
        <f aca="false">IF(B133="","Unused","key =")</f>
        <v>key =</v>
      </c>
      <c r="B133" s="75" t="n">
        <f aca="false">IF(Earthlike!Q125="|",ROUND(Earthlike!N125,0),IF(Earthlike!Q125="V",ROUND(Earthlike!N125,-3),""))</f>
        <v>10166</v>
      </c>
      <c r="C133" s="77" t="n">
        <f aca="false">IF(B133="","",IF(B134="",0,Earthlike!H125/1000))</f>
        <v>18.0184161222194</v>
      </c>
      <c r="D133" s="78" t="n">
        <f aca="false">IF(C133="","",IF(C133=0,0,-(C133*1.001-C133*0.999)/(Earthlike!G125*LN((C133*1.001)/(C133*0.999)))/IF(Earthlike!G$100&gt;0,Earthlike!G$100,0.8)))</f>
        <v>-0.00354196154856942</v>
      </c>
      <c r="E133" s="78" t="n">
        <f aca="false">D133</f>
        <v>-0.00354196154856942</v>
      </c>
    </row>
    <row r="134" customFormat="false" ht="15" hidden="false" customHeight="false" outlineLevel="0" collapsed="false">
      <c r="A134" s="75" t="str">
        <f aca="false">IF(B134="","Unused","key =")</f>
        <v>key =</v>
      </c>
      <c r="B134" s="75" t="n">
        <f aca="false">IF(Earthlike!Q126="|",ROUND(Earthlike!N126,0),IF(Earthlike!Q126="V",ROUND(Earthlike!N126,-3),""))</f>
        <v>13063</v>
      </c>
      <c r="C134" s="77" t="n">
        <f aca="false">IF(B134="","",IF(B135="",0,Earthlike!H126/1000))</f>
        <v>10.1325</v>
      </c>
      <c r="D134" s="78" t="n">
        <f aca="false">IF(C134="","",IF(C134=0,0,-(C134*1.001-C134*0.999)/(Earthlike!G126*LN((C134*1.001)/(C134*0.999)))/IF(Earthlike!G$100&gt;0,Earthlike!G$100,0.8)))</f>
        <v>-0.00205313467219523</v>
      </c>
      <c r="E134" s="78" t="n">
        <f aca="false">D134</f>
        <v>-0.00205313467219523</v>
      </c>
    </row>
    <row r="135" customFormat="false" ht="15" hidden="false" customHeight="false" outlineLevel="0" collapsed="false">
      <c r="A135" s="75" t="str">
        <f aca="false">IF(B135="","Unused","key =")</f>
        <v>key =</v>
      </c>
      <c r="B135" s="75" t="n">
        <f aca="false">IF(Earthlike!Q127="|",ROUND(Earthlike!N127,0),IF(Earthlike!Q127="V",ROUND(Earthlike!N127,-3),""))</f>
        <v>15931</v>
      </c>
      <c r="C135" s="77" t="n">
        <f aca="false">IF(B135="","",IF(B136="",0,Earthlike!H127/1000))</f>
        <v>5.69792347749121</v>
      </c>
      <c r="D135" s="78" t="n">
        <f aca="false">IF(C135="","",IF(C135=0,0,-(C135*1.001-C135*0.999)/(Earthlike!G127*LN((C135*1.001)/(C135*0.999)))/IF(Earthlike!G$100&gt;0,Earthlike!G$100,0.8)))</f>
        <v>-0.00114618607293761</v>
      </c>
      <c r="E135" s="78" t="n">
        <f aca="false">D135</f>
        <v>-0.00114618607293761</v>
      </c>
    </row>
    <row r="136" customFormat="false" ht="15" hidden="false" customHeight="false" outlineLevel="0" collapsed="false">
      <c r="A136" s="75" t="str">
        <f aca="false">IF(B136="","Unused","key =")</f>
        <v>key =</v>
      </c>
      <c r="B136" s="75" t="n">
        <f aca="false">IF(Earthlike!Q128="|",ROUND(Earthlike!N128,0),IF(Earthlike!Q128="V",ROUND(Earthlike!N128,-3),""))</f>
        <v>18852</v>
      </c>
      <c r="C136" s="77" t="n">
        <f aca="false">IF(B136="","",IF(B137="",0,Earthlike!H128/1000))</f>
        <v>3.20417783916561</v>
      </c>
      <c r="D136" s="78" t="n">
        <f aca="false">IF(C136="","",IF(C136=0,0,-(C136*1.001-C136*0.999)/(Earthlike!G128*LN((C136*1.001)/(C136*0.999)))/IF(Earthlike!G$100&gt;0,Earthlike!G$100,0.8)))</f>
        <v>-0.000627308843427823</v>
      </c>
      <c r="E136" s="78" t="n">
        <f aca="false">D136</f>
        <v>-0.000627308843427823</v>
      </c>
    </row>
    <row r="137" customFormat="false" ht="15" hidden="false" customHeight="false" outlineLevel="0" collapsed="false">
      <c r="A137" s="75" t="str">
        <f aca="false">IF(B137="","Unused","key =")</f>
        <v>key =</v>
      </c>
      <c r="B137" s="75" t="n">
        <f aca="false">IF(Earthlike!Q129="|",ROUND(Earthlike!N129,0),IF(Earthlike!Q129="V",ROUND(Earthlike!N129,-3),""))</f>
        <v>21859</v>
      </c>
      <c r="C137" s="77" t="n">
        <f aca="false">IF(B137="","",IF(B138="",0,Earthlike!H129/1000))</f>
        <v>1.80184161222194</v>
      </c>
      <c r="D137" s="78" t="n">
        <f aca="false">IF(C137="","",IF(C137=0,0,-(C137*1.001-C137*0.999)/(Earthlike!G129*LN((C137*1.001)/(C137*0.999)))/IF(Earthlike!G$100&gt;0,Earthlike!G$100,0.8)))</f>
        <v>-0.000342690467205572</v>
      </c>
      <c r="E137" s="78" t="n">
        <f aca="false">D137</f>
        <v>-0.000342690467205572</v>
      </c>
    </row>
    <row r="138" customFormat="false" ht="15" hidden="false" customHeight="false" outlineLevel="0" collapsed="false">
      <c r="A138" s="75" t="str">
        <f aca="false">IF(B138="","Unused","key =")</f>
        <v>key =</v>
      </c>
      <c r="B138" s="75" t="n">
        <f aca="false">IF(Earthlike!Q130="|",ROUND(Earthlike!N130,0),IF(Earthlike!Q130="V",ROUND(Earthlike!N130,-3),""))</f>
        <v>24964</v>
      </c>
      <c r="C138" s="77" t="n">
        <f aca="false">IF(B138="","",IF(B139="",0,Earthlike!H130/1000))</f>
        <v>1.01325</v>
      </c>
      <c r="D138" s="78" t="n">
        <f aca="false">IF(C138="","",IF(C138=0,0,-(C138*1.001-C138*0.999)/(Earthlike!G130*LN((C138*1.001)/(C138*0.999)))/IF(Earthlike!G$100&gt;0,Earthlike!G$100,0.8)))</f>
        <v>-0.000186493131356214</v>
      </c>
      <c r="E138" s="78" t="n">
        <f aca="false">D138</f>
        <v>-0.000186493131356214</v>
      </c>
    </row>
    <row r="139" customFormat="false" ht="15" hidden="false" customHeight="false" outlineLevel="0" collapsed="false">
      <c r="A139" s="75" t="str">
        <f aca="false">IF(B139="","Unused","key =")</f>
        <v>key =</v>
      </c>
      <c r="B139" s="75" t="n">
        <f aca="false">IF(Earthlike!Q131="|",ROUND(Earthlike!N131,0),IF(Earthlike!Q131="V",ROUND(Earthlike!N131,-3),""))</f>
        <v>28183</v>
      </c>
      <c r="C139" s="77" t="n">
        <f aca="false">IF(B139="","",IF(B140="",0,Earthlike!H131/1000))</f>
        <v>0.569792347749121</v>
      </c>
      <c r="D139" s="78" t="n">
        <f aca="false">IF(C139="","",IF(C139=0,0,-(C139*1.001-C139*0.999)/(Earthlike!G131*LN((C139*1.001)/(C139*0.999)))/IF(Earthlike!G$100&gt;0,Earthlike!G$100,0.8)))</f>
        <v>-0.000101092362767349</v>
      </c>
      <c r="E139" s="78" t="n">
        <f aca="false">D139</f>
        <v>-0.000101092362767349</v>
      </c>
    </row>
    <row r="140" customFormat="false" ht="15" hidden="false" customHeight="false" outlineLevel="0" collapsed="false">
      <c r="A140" s="75" t="str">
        <f aca="false">IF(B140="","Unused","key =")</f>
        <v>key =</v>
      </c>
      <c r="B140" s="75" t="n">
        <f aca="false">IF(Earthlike!Q132="|",ROUND(Earthlike!N132,0),IF(Earthlike!Q132="V",ROUND(Earthlike!N132,-3),""))</f>
        <v>31533</v>
      </c>
      <c r="C140" s="77" t="n">
        <f aca="false">IF(B140="","",IF(B141="",0,Earthlike!H132/1000))</f>
        <v>0.320417783916561</v>
      </c>
      <c r="D140" s="78" t="n">
        <f aca="false">IF(C140="","",IF(C140=0,0,-(C140*1.001-C140*0.999)/(Earthlike!G132*LN((C140*1.001)/(C140*0.999)))/IF(Earthlike!G$100&gt;0,Earthlike!G$100,0.8)))</f>
        <v>-5.4583285510981E-005</v>
      </c>
      <c r="E140" s="78" t="n">
        <f aca="false">D140</f>
        <v>-5.4583285510981E-005</v>
      </c>
    </row>
    <row r="141" customFormat="false" ht="15" hidden="false" customHeight="false" outlineLevel="0" collapsed="false">
      <c r="A141" s="75" t="str">
        <f aca="false">IF(B141="","Unused","key =")</f>
        <v>key =</v>
      </c>
      <c r="B141" s="75" t="n">
        <f aca="false">IF(Earthlike!Q133="|",ROUND(Earthlike!N133,0),IF(Earthlike!Q133="V",ROUND(Earthlike!N133,-3),""))</f>
        <v>35034</v>
      </c>
      <c r="C141" s="77" t="n">
        <f aca="false">IF(B141="","",IF(B142="",0,Earthlike!H133/1000))</f>
        <v>0.180184161222194</v>
      </c>
      <c r="D141" s="78" t="n">
        <f aca="false">IF(C141="","",IF(C141=0,0,-(C141*1.001-C141*0.999)/(Earthlike!G133*LN((C141*1.001)/(C141*0.999)))/IF(Earthlike!G$100&gt;0,Earthlike!G$100,0.8)))</f>
        <v>-2.9354535718017E-005</v>
      </c>
      <c r="E141" s="78" t="n">
        <f aca="false">D141</f>
        <v>-2.9354535718017E-005</v>
      </c>
    </row>
    <row r="142" customFormat="false" ht="15" hidden="false" customHeight="false" outlineLevel="0" collapsed="false">
      <c r="A142" s="75" t="str">
        <f aca="false">IF(B142="","Unused","key =")</f>
        <v>key =</v>
      </c>
      <c r="B142" s="75" t="n">
        <f aca="false">IF(Earthlike!Q134="|",ROUND(Earthlike!N134,0),IF(Earthlike!Q134="V",ROUND(Earthlike!N134,-3),""))</f>
        <v>38670</v>
      </c>
      <c r="C142" s="77" t="n">
        <f aca="false">IF(B142="","",IF(B143="",0,Earthlike!H134/1000))</f>
        <v>0.101325</v>
      </c>
      <c r="D142" s="78" t="n">
        <f aca="false">IF(C142="","",IF(C142=0,0,-(C142*1.001-C142*0.999)/(Earthlike!G134*LN((C142*1.001)/(C142*0.999)))/IF(Earthlike!G$100&gt;0,Earthlike!G$100,0.8)))</f>
        <v>-1.60474391905981E-005</v>
      </c>
      <c r="E142" s="78" t="n">
        <f aca="false">D142</f>
        <v>-1.60474391905981E-005</v>
      </c>
    </row>
    <row r="143" customFormat="false" ht="15" hidden="false" customHeight="false" outlineLevel="0" collapsed="false">
      <c r="A143" s="75" t="str">
        <f aca="false">IF(B143="","Unused","key =")</f>
        <v>key =</v>
      </c>
      <c r="B143" s="75" t="n">
        <f aca="false">IF(Earthlike!Q135="|",ROUND(Earthlike!N135,0),IF(Earthlike!Q135="V",ROUND(Earthlike!N135,-3),""))</f>
        <v>42339</v>
      </c>
      <c r="C143" s="77" t="n">
        <f aca="false">IF(B143="","",IF(B144="",0,Earthlike!H135/1000))</f>
        <v>0.0569792347749121</v>
      </c>
      <c r="D143" s="78" t="n">
        <f aca="false">IF(C143="","",IF(C143=0,0,-(C143*1.001-C143*0.999)/(Earthlike!G135*LN((C143*1.001)/(C143*0.999)))/IF(Earthlike!G$100&gt;0,Earthlike!G$100,0.8)))</f>
        <v>-9.1414542727898E-006</v>
      </c>
      <c r="E143" s="78" t="n">
        <f aca="false">D143</f>
        <v>-9.1414542727898E-006</v>
      </c>
    </row>
    <row r="144" customFormat="false" ht="15" hidden="false" customHeight="false" outlineLevel="0" collapsed="false">
      <c r="A144" s="75" t="str">
        <f aca="false">IF(B144="","Unused","key =")</f>
        <v>key =</v>
      </c>
      <c r="B144" s="75" t="n">
        <f aca="false">IF(Earthlike!Q136="|",ROUND(Earthlike!N136,0),IF(Earthlike!Q136="V",ROUND(Earthlike!N136,-3),""))</f>
        <v>45900</v>
      </c>
      <c r="C144" s="77" t="n">
        <f aca="false">IF(B144="","",IF(B145="",0,Earthlike!H136/1000))</f>
        <v>0.0320417783916561</v>
      </c>
      <c r="D144" s="78" t="n">
        <f aca="false">IF(C144="","",IF(C144=0,0,-(C144*1.001-C144*0.999)/(Earthlike!G136*LN((C144*1.001)/(C144*0.999)))/IF(Earthlike!G$100&gt;0,Earthlike!G$100,0.8)))</f>
        <v>-5.4046917095094E-006</v>
      </c>
      <c r="E144" s="78" t="n">
        <f aca="false">D144</f>
        <v>-5.4046917095094E-006</v>
      </c>
    </row>
    <row r="145" customFormat="false" ht="15" hidden="false" customHeight="false" outlineLevel="0" collapsed="false">
      <c r="A145" s="75" t="str">
        <f aca="false">IF(B145="","Unused","key =")</f>
        <v>key =</v>
      </c>
      <c r="B145" s="75" t="n">
        <f aca="false">IF(Earthlike!Q137="|",ROUND(Earthlike!N137,0),IF(Earthlike!Q137="V",ROUND(Earthlike!N137,-3),""))</f>
        <v>49295</v>
      </c>
      <c r="C145" s="77" t="n">
        <f aca="false">IF(B145="","",IF(B146="",0,Earthlike!H137/1000))</f>
        <v>0.0180184161222194</v>
      </c>
      <c r="D145" s="78" t="n">
        <f aca="false">IF(C145="","",IF(C145=0,0,-(C145*1.001-C145*0.999)/(Earthlike!G137*LN((C145*1.001)/(C145*0.999)))/IF(Earthlike!G$100&gt;0,Earthlike!G$100,0.8)))</f>
        <v>-3.18717901693704E-006</v>
      </c>
      <c r="E145" s="78" t="n">
        <f aca="false">D145</f>
        <v>-3.18717901693704E-006</v>
      </c>
    </row>
    <row r="146" customFormat="false" ht="15" hidden="false" customHeight="false" outlineLevel="0" collapsed="false">
      <c r="A146" s="75" t="str">
        <f aca="false">IF(B146="","Unused","key =")</f>
        <v>key =</v>
      </c>
      <c r="B146" s="75" t="n">
        <f aca="false">IF(Earthlike!Q138="|",ROUND(Earthlike!N138,0),IF(Earthlike!Q138="V",ROUND(Earthlike!N138,-3),""))</f>
        <v>52540</v>
      </c>
      <c r="C146" s="77" t="n">
        <f aca="false">IF(B146="","",IF(B147="",0,Earthlike!H138/1000))</f>
        <v>0.0101325</v>
      </c>
      <c r="D146" s="78" t="n">
        <f aca="false">IF(C146="","",IF(C146=0,0,-(C146*1.001-C146*0.999)/(Earthlike!G138*LN((C146*1.001)/(C146*0.999)))/IF(Earthlike!G$100&gt;0,Earthlike!G$100,0.8)))</f>
        <v>-1.87648884676546E-006</v>
      </c>
      <c r="E146" s="78" t="n">
        <f aca="false">D146</f>
        <v>-1.87648884676546E-006</v>
      </c>
    </row>
    <row r="147" customFormat="false" ht="15" hidden="false" customHeight="false" outlineLevel="0" collapsed="false">
      <c r="A147" s="75" t="str">
        <f aca="false">IF(B147="","Unused","key =")</f>
        <v>key =</v>
      </c>
      <c r="B147" s="75" t="n">
        <f aca="false">IF(Earthlike!Q139="|",ROUND(Earthlike!N139,0),IF(Earthlike!Q139="V",ROUND(Earthlike!N139,-3),""))</f>
        <v>55648</v>
      </c>
      <c r="C147" s="77" t="n">
        <f aca="false">IF(B147="","",IF(B148="",0,Earthlike!H139/1000))</f>
        <v>0.00569792347749121</v>
      </c>
      <c r="D147" s="78" t="n">
        <f aca="false">IF(C147="","",IF(C147=0,0,-(C147*1.001-C147*0.999)/(Earthlike!G139*LN((C147*1.001)/(C147*0.999)))/IF(Earthlike!G$100&gt;0,Earthlike!G$100,0.8)))</f>
        <v>-1.10087560100929E-006</v>
      </c>
      <c r="E147" s="78" t="n">
        <f aca="false">D147</f>
        <v>-1.10087560100929E-006</v>
      </c>
    </row>
    <row r="148" customFormat="false" ht="15" hidden="false" customHeight="false" outlineLevel="0" collapsed="false">
      <c r="A148" s="75" t="str">
        <f aca="false">IF(B148="","Unused","key =")</f>
        <v>key =</v>
      </c>
      <c r="B148" s="75" t="n">
        <f aca="false">IF(Earthlike!Q140="|",ROUND(Earthlike!N140,0),IF(Earthlike!Q140="V",ROUND(Earthlike!N140,-3),""))</f>
        <v>58640</v>
      </c>
      <c r="C148" s="77" t="n">
        <f aca="false">IF(B148="","",IF(B149="",0,Earthlike!H140/1000))</f>
        <v>0.00320417783916561</v>
      </c>
      <c r="D148" s="78" t="n">
        <f aca="false">IF(C148="","",IF(C148=0,0,-(C148*1.001-C148*0.999)/(Earthlike!G140*LN((C148*1.001)/(C148*0.999)))/IF(Earthlike!G$100&gt;0,Earthlike!G$100,0.8)))</f>
        <v>-6.42109641905847E-007</v>
      </c>
      <c r="E148" s="78" t="n">
        <f aca="false">D148</f>
        <v>-6.42109641905847E-007</v>
      </c>
    </row>
    <row r="149" customFormat="false" ht="15" hidden="false" customHeight="false" outlineLevel="0" collapsed="false">
      <c r="A149" s="75" t="str">
        <f aca="false">IF(B149="","Unused","key =")</f>
        <v>key =</v>
      </c>
      <c r="B149" s="75" t="n">
        <f aca="false">IF(Earthlike!Q141="|",ROUND(Earthlike!N141,0),IF(Earthlike!Q141="V",ROUND(Earthlike!N141,-3),""))</f>
        <v>61534</v>
      </c>
      <c r="C149" s="77" t="n">
        <f aca="false">IF(B149="","",IF(B150="",0,Earthlike!H141/1000))</f>
        <v>0.00180184161222194</v>
      </c>
      <c r="D149" s="78" t="n">
        <f aca="false">IF(C149="","",IF(C149=0,0,-(C149*1.001-C149*0.999)/(Earthlike!G141*LN((C149*1.001)/(C149*0.999)))/IF(Earthlike!G$100&gt;0,Earthlike!G$100,0.8)))</f>
        <v>-3.72800490238653E-007</v>
      </c>
      <c r="E149" s="78" t="n">
        <f aca="false">D149</f>
        <v>-3.72800490238653E-007</v>
      </c>
    </row>
    <row r="150" customFormat="false" ht="15" hidden="false" customHeight="false" outlineLevel="0" collapsed="false">
      <c r="A150" s="75" t="str">
        <f aca="false">IF(B150="","Unused","key =")</f>
        <v>key =</v>
      </c>
      <c r="B150" s="75" t="n">
        <f aca="false">IF(Earthlike!Q142="|",ROUND(Earthlike!N142,0),IF(Earthlike!Q142="V",ROUND(Earthlike!N142,-3),""))</f>
        <v>64344</v>
      </c>
      <c r="C150" s="77" t="n">
        <f aca="false">IF(B150="","",IF(B151="",0,Earthlike!H142/1000))</f>
        <v>0.00101325</v>
      </c>
      <c r="D150" s="78" t="n">
        <f aca="false">IF(C150="","",IF(C150=0,0,-(C150*1.001-C150*0.999)/(Earthlike!G142*LN((C150*1.001)/(C150*0.999)))/IF(Earthlike!G$100&gt;0,Earthlike!G$100,0.8)))</f>
        <v>-2.15869000563777E-007</v>
      </c>
      <c r="E150" s="78" t="n">
        <f aca="false">D150</f>
        <v>-2.15869000563777E-007</v>
      </c>
    </row>
    <row r="151" customFormat="false" ht="15" hidden="false" customHeight="false" outlineLevel="0" collapsed="false">
      <c r="A151" s="75" t="str">
        <f aca="false">IF(B151="","Unused","key =")</f>
        <v>key =</v>
      </c>
      <c r="B151" s="75" t="n">
        <f aca="false">IF(Earthlike!Q143="|",ROUND(Earthlike!N143,0),IF(Earthlike!Q143="V",ROUND(Earthlike!N143,-3),""))</f>
        <v>67081</v>
      </c>
      <c r="C151" s="77" t="n">
        <f aca="false">IF(B151="","",IF(B152="",0,Earthlike!H143/1000))</f>
        <v>0.00056979234774912</v>
      </c>
      <c r="D151" s="78" t="n">
        <f aca="false">IF(C151="","",IF(C151=0,0,-(C151*1.001-C151*0.999)/(Earthlike!G143*LN((C151*1.001)/(C151*0.999)))/IF(Earthlike!G$100&gt;0,Earthlike!G$100,0.8)))</f>
        <v>-1.24497923034233E-007</v>
      </c>
      <c r="E151" s="78" t="n">
        <f aca="false">D151</f>
        <v>-1.24497923034233E-007</v>
      </c>
    </row>
    <row r="152" customFormat="false" ht="15" hidden="false" customHeight="false" outlineLevel="0" collapsed="false">
      <c r="A152" s="75" t="str">
        <f aca="false">IF(B152="","Unused","key =")</f>
        <v>key =</v>
      </c>
      <c r="B152" s="75" t="n">
        <f aca="false">IF(Earthlike!Q144="|",ROUND(Earthlike!N144,0),IF(Earthlike!Q144="V",ROUND(Earthlike!N144,-3),""))</f>
        <v>70000</v>
      </c>
      <c r="C152" s="77" t="n">
        <f aca="false">IF(B152="","",IF(B153="",0,Earthlike!H144/1000))</f>
        <v>0</v>
      </c>
      <c r="D152" s="78" t="n">
        <f aca="false">IF(C152="","",IF(C152=0,0,-(C152*1.001-C152*0.999)/(Earthlike!G144*LN((C152*1.001)/(C152*0.999)))/IF(Earthlike!G$100&gt;0,Earthlike!G$100,0.8)))</f>
        <v>0</v>
      </c>
      <c r="E152" s="78" t="n">
        <f aca="false">D152</f>
        <v>0</v>
      </c>
    </row>
    <row r="153" customFormat="false" ht="15" hidden="false" customHeight="false" outlineLevel="0" collapsed="false">
      <c r="A153" s="75" t="str">
        <f aca="false">IF(B153="","Unused","key =")</f>
        <v>Unused</v>
      </c>
      <c r="B153" s="75" t="str">
        <f aca="false">IF(Earthlike!Q145="|",ROUND(Earthlike!N145,0),IF(Earthlike!Q145="V",ROUND(Earthlike!N145,-3),""))</f>
        <v/>
      </c>
      <c r="C153" s="77" t="str">
        <f aca="false">IF(B153="","",IF(B154="",0,Earthlike!H145/1000))</f>
        <v/>
      </c>
      <c r="D153" s="78" t="str">
        <f aca="false">IF(C153="","",IF(C153=0,0,-(C153*1.001-C153*0.999)/(Earthlike!G145*LN((C153*1.001)/(C153*0.999)))/IF(Earthlike!G$100&gt;0,Earthlike!G$100,0.8)))</f>
        <v/>
      </c>
      <c r="E153" s="78" t="str">
        <f aca="false">D153</f>
        <v/>
      </c>
    </row>
    <row r="154" customFormat="false" ht="15" hidden="false" customHeight="false" outlineLevel="0" collapsed="false">
      <c r="A154" s="75" t="str">
        <f aca="false">IF(B154="","Unused","key =")</f>
        <v>Unused</v>
      </c>
      <c r="B154" s="75" t="str">
        <f aca="false">IF(Earthlike!Q146="|",ROUND(Earthlike!N146,0),IF(Earthlike!Q146="V",ROUND(Earthlike!N146,-3),""))</f>
        <v/>
      </c>
      <c r="C154" s="77" t="str">
        <f aca="false">IF(B154="","",IF(B155="",0,Earthlike!H146/1000))</f>
        <v/>
      </c>
      <c r="D154" s="78" t="str">
        <f aca="false">IF(C154="","",IF(C154=0,0,-(C154*1.001-C154*0.999)/(Earthlike!G146*LN((C154*1.001)/(C154*0.999)))/IF(Earthlike!G$100&gt;0,Earthlike!G$100,0.8)))</f>
        <v/>
      </c>
      <c r="E154" s="78" t="str">
        <f aca="false">D154</f>
        <v/>
      </c>
    </row>
    <row r="155" customFormat="false" ht="15" hidden="false" customHeight="false" outlineLevel="0" collapsed="false">
      <c r="A155" s="75" t="str">
        <f aca="false">IF(B155="","Unused","key =")</f>
        <v>Unused</v>
      </c>
      <c r="B155" s="75" t="str">
        <f aca="false">IF(Earthlike!Q147="|",ROUND(Earthlike!N147,0),IF(Earthlike!Q147="V",ROUND(Earthlike!N147,-3),""))</f>
        <v/>
      </c>
      <c r="C155" s="77" t="str">
        <f aca="false">IF(B155="","",IF(B156="",0,Earthlike!H147/1000))</f>
        <v/>
      </c>
      <c r="D155" s="78" t="str">
        <f aca="false">IF(C155="","",IF(C155=0,0,-(C155*1.001-C155*0.999)/(Earthlike!G147*LN((C155*1.001)/(C155*0.999)))/IF(Earthlike!G$100&gt;0,Earthlike!G$100,0.8)))</f>
        <v/>
      </c>
      <c r="E155" s="78" t="str">
        <f aca="false">D155</f>
        <v/>
      </c>
    </row>
    <row r="156" customFormat="false" ht="15" hidden="false" customHeight="false" outlineLevel="0" collapsed="false">
      <c r="A156" s="75" t="str">
        <f aca="false">IF(B156="","Unused","key =")</f>
        <v>Unused</v>
      </c>
      <c r="B156" s="75" t="str">
        <f aca="false">IF(Earthlike!Q148="|",ROUND(Earthlike!N148,0),IF(Earthlike!Q148="V",ROUND(Earthlike!N148,-3),""))</f>
        <v/>
      </c>
      <c r="C156" s="77" t="str">
        <f aca="false">IF(B156="","",IF(B157="",0,Earthlike!H148/1000))</f>
        <v/>
      </c>
      <c r="D156" s="78" t="str">
        <f aca="false">IF(C156="","",IF(C156=0,0,-(C156*1.001-C156*0.999)/(Earthlike!G148*LN((C156*1.001)/(C156*0.999)))/IF(Earthlike!G$100&gt;0,Earthlike!G$100,0.8)))</f>
        <v/>
      </c>
      <c r="E156" s="78" t="str">
        <f aca="false">D156</f>
        <v/>
      </c>
    </row>
    <row r="157" customFormat="false" ht="15" hidden="false" customHeight="false" outlineLevel="0" collapsed="false">
      <c r="A157" s="75" t="str">
        <f aca="false">IF(B157="","Unused","key =")</f>
        <v>Unused</v>
      </c>
      <c r="B157" s="75" t="str">
        <f aca="false">IF(Earthlike!Q149="|",ROUND(Earthlike!N149,0),IF(Earthlike!Q149="V",ROUND(Earthlike!N149,-3),""))</f>
        <v/>
      </c>
      <c r="C157" s="77" t="str">
        <f aca="false">IF(B157="","",IF(B158="",0,Earthlike!H149/1000))</f>
        <v/>
      </c>
      <c r="D157" s="78" t="str">
        <f aca="false">IF(C157="","",IF(C157=0,0,-(C157*1.001-C157*0.999)/(Earthlike!G149*LN((C157*1.001)/(C157*0.999)))/IF(Earthlike!G$100&gt;0,Earthlike!G$100,0.8)))</f>
        <v/>
      </c>
      <c r="E157" s="78" t="str">
        <f aca="false">D157</f>
        <v/>
      </c>
    </row>
    <row r="158" customFormat="false" ht="15" hidden="false" customHeight="false" outlineLevel="0" collapsed="false">
      <c r="A158" s="75" t="str">
        <f aca="false">IF(B158="","Unused","key =")</f>
        <v>Unused</v>
      </c>
      <c r="B158" s="75" t="str">
        <f aca="false">IF(Earthlike!Q150="|",ROUND(Earthlike!N150,0),IF(Earthlike!Q150="V",ROUND(Earthlike!N150,-3),""))</f>
        <v/>
      </c>
      <c r="C158" s="77" t="str">
        <f aca="false">IF(B158="","",IF(B159="",0,Earthlike!H150/1000))</f>
        <v/>
      </c>
      <c r="D158" s="78" t="str">
        <f aca="false">IF(C158="","",IF(C158=0,0,-(C158*1.001-C158*0.999)/(Earthlike!G150*LN((C158*1.001)/(C158*0.999)))/IF(Earthlike!G$100&gt;0,Earthlike!G$100,0.8)))</f>
        <v/>
      </c>
      <c r="E158" s="78" t="str">
        <f aca="false">D158</f>
        <v/>
      </c>
    </row>
    <row r="159" customFormat="false" ht="15" hidden="false" customHeight="false" outlineLevel="0" collapsed="false">
      <c r="A159" s="75" t="str">
        <f aca="false">IF(B159="","Unused","key =")</f>
        <v>Unused</v>
      </c>
      <c r="B159" s="75" t="str">
        <f aca="false">IF(Earthlike!Q151="|",ROUND(Earthlike!N151,0),IF(Earthlike!Q151="V",ROUND(Earthlike!N151,-3),""))</f>
        <v/>
      </c>
      <c r="C159" s="77" t="str">
        <f aca="false">IF(B159="","",IF(B160="",0,Earthlike!H151/1000))</f>
        <v/>
      </c>
      <c r="D159" s="78" t="str">
        <f aca="false">IF(C159="","",IF(C159=0,0,-(C159*1.001-C159*0.999)/(Earthlike!G151*LN((C159*1.001)/(C159*0.999)))/IF(Earthlike!G$100&gt;0,Earthlike!G$100,0.8)))</f>
        <v/>
      </c>
      <c r="E159" s="78" t="str">
        <f aca="false">D159</f>
        <v/>
      </c>
    </row>
    <row r="160" customFormat="false" ht="15" hidden="false" customHeight="false" outlineLevel="0" collapsed="false">
      <c r="A160" s="75" t="str">
        <f aca="false">IF(B160="","Unused","key =")</f>
        <v>Unused</v>
      </c>
      <c r="B160" s="75" t="str">
        <f aca="false">IF(Earthlike!Q152="|",ROUND(Earthlike!N152,0),IF(Earthlike!Q152="V",ROUND(Earthlike!N152,-3),""))</f>
        <v/>
      </c>
      <c r="C160" s="77" t="str">
        <f aca="false">IF(B160="","",IF(B161="",0,Earthlike!H152/1000))</f>
        <v/>
      </c>
      <c r="D160" s="78" t="str">
        <f aca="false">IF(C160="","",IF(C160=0,0,-(C160*1.001-C160*0.999)/(Earthlike!G152*LN((C160*1.001)/(C160*0.999)))/IF(Earthlike!G$100&gt;0,Earthlike!G$100,0.8)))</f>
        <v/>
      </c>
      <c r="E160" s="78" t="str">
        <f aca="false">D160</f>
        <v/>
      </c>
    </row>
    <row r="161" customFormat="false" ht="15" hidden="false" customHeight="false" outlineLevel="0" collapsed="false">
      <c r="A161" s="75" t="str">
        <f aca="false">IF(B161="","Unused","key =")</f>
        <v>Unused</v>
      </c>
      <c r="B161" s="75" t="str">
        <f aca="false">IF(Earthlike!Q153="|",ROUND(Earthlike!N153,0),IF(Earthlike!Q153="V",ROUND(Earthlike!N153,-3),""))</f>
        <v/>
      </c>
      <c r="C161" s="77" t="str">
        <f aca="false">IF(B161="","",IF(B162="",0,Earthlike!H153/1000))</f>
        <v/>
      </c>
      <c r="D161" s="78" t="str">
        <f aca="false">IF(C161="","",IF(C161=0,0,-(C161*1.001-C161*0.999)/(Earthlike!G153*LN((C161*1.001)/(C161*0.999)))/IF(Earthlike!G$100&gt;0,Earthlike!G$100,0.8)))</f>
        <v/>
      </c>
      <c r="E161" s="78" t="str">
        <f aca="false">D161</f>
        <v/>
      </c>
    </row>
    <row r="162" customFormat="false" ht="15" hidden="false" customHeight="false" outlineLevel="0" collapsed="false">
      <c r="A162" s="75" t="str">
        <f aca="false">IF(B162="","Unused","key =")</f>
        <v>Unused</v>
      </c>
      <c r="B162" s="75" t="str">
        <f aca="false">IF(Earthlike!Q154="|",ROUND(Earthlike!N154,0),IF(Earthlike!Q154="V",ROUND(Earthlike!N154,-3),""))</f>
        <v/>
      </c>
      <c r="C162" s="77" t="str">
        <f aca="false">IF(B162="","",IF(B163="",0,Earthlike!H154/1000))</f>
        <v/>
      </c>
      <c r="D162" s="78" t="str">
        <f aca="false">IF(C162="","",IF(C162=0,0,-(C162*1.001-C162*0.999)/(Earthlike!G154*LN((C162*1.001)/(C162*0.999)))/IF(Earthlike!G$100&gt;0,Earthlike!G$100,0.8)))</f>
        <v/>
      </c>
      <c r="E162" s="78" t="str">
        <f aca="false">D162</f>
        <v/>
      </c>
    </row>
    <row r="163" customFormat="false" ht="15" hidden="false" customHeight="false" outlineLevel="0" collapsed="false">
      <c r="A163" s="75" t="str">
        <f aca="false">IF(B163="","Unused","key =")</f>
        <v>Unused</v>
      </c>
      <c r="B163" s="75" t="str">
        <f aca="false">IF(Earthlike!Q155="|",ROUND(Earthlike!N155,0),IF(Earthlike!Q155="V",ROUND(Earthlike!N155,-3),""))</f>
        <v/>
      </c>
      <c r="C163" s="77" t="str">
        <f aca="false">IF(B163="","",IF(B164="",0,Earthlike!H155/1000))</f>
        <v/>
      </c>
      <c r="D163" s="78" t="str">
        <f aca="false">IF(C163="","",IF(C163=0,0,-(C163*1.001-C163*0.999)/(Earthlike!G155*LN((C163*1.001)/(C163*0.999)))/IF(Earthlike!G$100&gt;0,Earthlike!G$100,0.8)))</f>
        <v/>
      </c>
      <c r="E163" s="78" t="str">
        <f aca="false">D163</f>
        <v/>
      </c>
    </row>
    <row r="164" customFormat="false" ht="15" hidden="false" customHeight="false" outlineLevel="0" collapsed="false">
      <c r="A164" s="75" t="str">
        <f aca="false">IF(B164="","Unused","key =")</f>
        <v>Unused</v>
      </c>
      <c r="B164" s="75" t="str">
        <f aca="false">IF(Earthlike!Q156="|",ROUND(Earthlike!N156,0),IF(Earthlike!Q156="V",ROUND(Earthlike!N156,-3),""))</f>
        <v/>
      </c>
      <c r="C164" s="77" t="str">
        <f aca="false">IF(B164="","",IF(B165="",0,Earthlike!H156/1000))</f>
        <v/>
      </c>
      <c r="D164" s="78" t="str">
        <f aca="false">IF(C164="","",IF(C164=0,0,-(C164*1.001-C164*0.999)/(Earthlike!G156*LN((C164*1.001)/(C164*0.999)))/IF(Earthlike!G$100&gt;0,Earthlike!G$100,0.8)))</f>
        <v/>
      </c>
      <c r="E164" s="78" t="str">
        <f aca="false">D164</f>
        <v/>
      </c>
    </row>
    <row r="165" customFormat="false" ht="15" hidden="false" customHeight="false" outlineLevel="0" collapsed="false">
      <c r="A165" s="75" t="str">
        <f aca="false">IF(B165="","Unused","key =")</f>
        <v>Unused</v>
      </c>
      <c r="B165" s="75" t="str">
        <f aca="false">IF(Earthlike!Q157="|",ROUND(Earthlike!N157,0),IF(Earthlike!Q157="V",ROUND(Earthlike!N157,-3),""))</f>
        <v/>
      </c>
      <c r="C165" s="77" t="str">
        <f aca="false">IF(B165="","",IF(B166="",0,Earthlike!H157/1000))</f>
        <v/>
      </c>
      <c r="D165" s="78" t="str">
        <f aca="false">IF(C165="","",IF(C165=0,0,-(C165*1.001-C165*0.999)/(Earthlike!G157*LN((C165*1.001)/(C165*0.999)))/IF(Earthlike!G$100&gt;0,Earthlike!G$100,0.8)))</f>
        <v/>
      </c>
      <c r="E165" s="78" t="str">
        <f aca="false">D165</f>
        <v/>
      </c>
    </row>
    <row r="166" customFormat="false" ht="15" hidden="false" customHeight="false" outlineLevel="0" collapsed="false">
      <c r="A166" s="75" t="str">
        <f aca="false">IF(B166="","Unused","key =")</f>
        <v>Unused</v>
      </c>
      <c r="B166" s="75" t="str">
        <f aca="false">IF(Earthlike!Q158="|",ROUND(Earthlike!N158,0),IF(Earthlike!Q158="V",ROUND(Earthlike!N158,-3),""))</f>
        <v/>
      </c>
      <c r="C166" s="77" t="str">
        <f aca="false">IF(B166="","",IF(B167="",0,Earthlike!H158/1000))</f>
        <v/>
      </c>
      <c r="D166" s="78" t="str">
        <f aca="false">IF(C166="","",IF(C166=0,0,-(C166*1.001-C166*0.999)/(Earthlike!G158*LN((C166*1.001)/(C166*0.999)))/IF(Earthlike!G$100&gt;0,Earthlike!G$100,0.8)))</f>
        <v/>
      </c>
      <c r="E166" s="78" t="str">
        <f aca="false">D166</f>
        <v/>
      </c>
    </row>
    <row r="167" customFormat="false" ht="15" hidden="false" customHeight="false" outlineLevel="0" collapsed="false">
      <c r="A167" s="72" t="s">
        <v>212</v>
      </c>
      <c r="B167" s="75"/>
      <c r="C167" s="75"/>
      <c r="D167" s="75"/>
      <c r="E167" s="75"/>
    </row>
    <row r="168" customFormat="false" ht="15" hidden="false" customHeight="false" outlineLevel="0" collapsed="false">
      <c r="A168" s="70" t="s">
        <v>212</v>
      </c>
      <c r="B168" s="75"/>
      <c r="C168" s="75"/>
      <c r="D168" s="75"/>
      <c r="E168" s="75"/>
    </row>
    <row r="169" customFormat="false" ht="15" hidden="false" customHeight="false" outlineLevel="0" collapsed="false">
      <c r="B169" s="68"/>
    </row>
    <row r="170" customFormat="false" ht="15" hidden="false" customHeight="false" outlineLevel="0" collapsed="false">
      <c r="B170" s="68"/>
      <c r="C170" s="79"/>
      <c r="D170" s="80"/>
      <c r="E170" s="80"/>
    </row>
    <row r="171" customFormat="false" ht="15" hidden="false" customHeight="false" outlineLevel="0" collapsed="false">
      <c r="B171" s="68"/>
    </row>
    <row r="172" customFormat="false" ht="15" hidden="false" customHeight="false" outlineLevel="0" collapsed="false">
      <c r="B172" s="68"/>
      <c r="E172" s="80"/>
    </row>
    <row r="173" customFormat="false" ht="15" hidden="false" customHeight="false" outlineLevel="0" collapsed="false">
      <c r="B173" s="68"/>
      <c r="D173" s="80"/>
      <c r="E173" s="80"/>
    </row>
    <row r="174" customFormat="false" ht="15" hidden="false" customHeight="false" outlineLevel="0" collapsed="false">
      <c r="B174" s="68"/>
      <c r="D174" s="80"/>
      <c r="E174" s="80"/>
    </row>
    <row r="175" customFormat="false" ht="15" hidden="false" customHeight="false" outlineLevel="0" collapsed="false">
      <c r="B175" s="68"/>
      <c r="C175" s="79"/>
      <c r="D175" s="80"/>
      <c r="E175" s="80"/>
    </row>
    <row r="176" customFormat="false" ht="15" hidden="false" customHeight="false" outlineLevel="0" collapsed="false">
      <c r="B176" s="68"/>
    </row>
    <row r="177" customFormat="false" ht="15" hidden="false" customHeight="false" outlineLevel="0" collapsed="false">
      <c r="B177" s="68"/>
    </row>
    <row r="178" customFormat="false" ht="15" hidden="false" customHeight="false" outlineLevel="0" collapsed="false">
      <c r="B178" s="68"/>
    </row>
    <row r="179" customFormat="false" ht="15" hidden="false" customHeight="false" outlineLevel="0" collapsed="false">
      <c r="B179" s="68"/>
    </row>
    <row r="180" customFormat="false" ht="15" hidden="false" customHeight="false" outlineLevel="0" collapsed="false">
      <c r="B180" s="68"/>
    </row>
    <row r="181" customFormat="false" ht="15" hidden="false" customHeight="false" outlineLevel="0" collapsed="false">
      <c r="B181" s="68"/>
    </row>
    <row r="182" customFormat="false" ht="15" hidden="false" customHeight="false" outlineLevel="0" collapsed="false">
      <c r="B182" s="68"/>
      <c r="D182" s="80"/>
      <c r="E182" s="80"/>
    </row>
    <row r="183" customFormat="false" ht="15" hidden="false" customHeight="false" outlineLevel="0" collapsed="false">
      <c r="B183"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G88" activeCellId="0" sqref="G88"/>
    </sheetView>
  </sheetViews>
  <sheetFormatPr defaultColWidth="9.13671875" defaultRowHeight="15.75" zeroHeight="false" outlineLevelRow="0" outlineLevelCol="0"/>
  <cols>
    <col collapsed="false" customWidth="true" hidden="false" outlineLevel="0" max="1" min="1" style="4"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5" t="s">
        <v>324</v>
      </c>
      <c r="C2" s="5"/>
      <c r="D2" s="5"/>
      <c r="E2" s="5"/>
      <c r="F2" s="5"/>
      <c r="G2" s="5"/>
      <c r="H2" s="5"/>
    </row>
    <row r="3" customFormat="false" ht="15.75" hidden="false" customHeight="false" outlineLevel="0" collapsed="false">
      <c r="N3" s="161"/>
    </row>
    <row r="4" customFormat="false" ht="15.75" hidden="false" customHeight="false" outlineLevel="0" collapsed="false">
      <c r="B4" s="6" t="s">
        <v>20</v>
      </c>
      <c r="C4" s="6"/>
      <c r="D4" s="6"/>
      <c r="E4" s="6"/>
      <c r="F4" s="6"/>
      <c r="G4" s="6"/>
      <c r="H4" s="6"/>
      <c r="N4" s="161"/>
    </row>
    <row r="5" customFormat="false" ht="15.75" hidden="false" customHeight="false" outlineLevel="0" collapsed="false">
      <c r="B5" s="6" t="s">
        <v>293</v>
      </c>
      <c r="C5" s="6"/>
      <c r="D5" s="6"/>
      <c r="E5" s="6"/>
      <c r="F5" s="6"/>
      <c r="G5" s="6"/>
      <c r="H5" s="6"/>
      <c r="N5" s="161"/>
    </row>
    <row r="6" customFormat="false" ht="15.75" hidden="false" customHeight="false" outlineLevel="0" collapsed="false">
      <c r="B6" s="6" t="s">
        <v>294</v>
      </c>
      <c r="C6" s="6"/>
      <c r="D6" s="6"/>
      <c r="E6" s="6"/>
      <c r="F6" s="6"/>
      <c r="G6" s="6"/>
      <c r="H6" s="6"/>
    </row>
    <row r="7" customFormat="false" ht="15.75" hidden="false" customHeight="false" outlineLevel="0" collapsed="false">
      <c r="B7" s="6" t="s">
        <v>295</v>
      </c>
      <c r="C7" s="6"/>
      <c r="D7" s="6"/>
      <c r="E7" s="6"/>
      <c r="F7" s="6"/>
      <c r="G7" s="6"/>
      <c r="H7" s="6"/>
    </row>
    <row r="8" customFormat="false" ht="15.75" hidden="false" customHeight="false" outlineLevel="0" collapsed="false">
      <c r="B8" s="6" t="s">
        <v>296</v>
      </c>
      <c r="C8" s="6"/>
      <c r="D8" s="6"/>
      <c r="E8" s="6"/>
      <c r="F8" s="6"/>
      <c r="G8" s="6"/>
      <c r="H8" s="6"/>
    </row>
    <row r="10" customFormat="false" ht="15.75" hidden="false" customHeight="false" outlineLevel="0" collapsed="false">
      <c r="B10" s="4" t="s">
        <v>29</v>
      </c>
    </row>
    <row r="11" customFormat="false" ht="15.75" hidden="false" customHeight="false" outlineLevel="0" collapsed="false">
      <c r="B11" s="3" t="s">
        <v>32</v>
      </c>
      <c r="F11" s="14" t="n">
        <v>726428553064.6</v>
      </c>
      <c r="G11" s="14"/>
      <c r="H11" s="13" t="s">
        <v>33</v>
      </c>
    </row>
    <row r="12" customFormat="false" ht="15.75" hidden="false" customHeight="false" outlineLevel="0" collapsed="false">
      <c r="B12" s="4" t="s">
        <v>36</v>
      </c>
      <c r="F12" s="15"/>
      <c r="G12" s="15"/>
    </row>
    <row r="13" customFormat="false" ht="15.75" hidden="false" customHeight="false" outlineLevel="0" collapsed="false">
      <c r="B13" s="3" t="s">
        <v>39</v>
      </c>
      <c r="F13" s="14" t="n">
        <v>8348400000</v>
      </c>
      <c r="G13" s="14"/>
      <c r="H13" s="1" t="s">
        <v>33</v>
      </c>
    </row>
    <row r="14" customFormat="false" ht="15" hidden="false" customHeight="true" outlineLevel="0" collapsed="false">
      <c r="B14" s="16" t="s">
        <v>42</v>
      </c>
      <c r="C14" s="17"/>
      <c r="D14" s="18" t="s">
        <v>43</v>
      </c>
      <c r="E14" s="18"/>
      <c r="F14" s="19"/>
      <c r="G14" s="20"/>
      <c r="H14" s="13" t="s">
        <v>44</v>
      </c>
    </row>
    <row r="15" customFormat="false" ht="15" hidden="false" customHeight="false" outlineLevel="0" collapsed="false">
      <c r="B15" s="21" t="s">
        <v>47</v>
      </c>
      <c r="C15" s="13"/>
      <c r="D15" s="18"/>
      <c r="E15" s="18"/>
      <c r="F15" s="22"/>
      <c r="G15" s="23" t="n">
        <v>2.982705E+028</v>
      </c>
      <c r="H15" s="1" t="s">
        <v>48</v>
      </c>
    </row>
    <row r="16" customFormat="false" ht="15.75" hidden="false" customHeight="false" outlineLevel="0" collapsed="false">
      <c r="B16" s="24" t="s">
        <v>50</v>
      </c>
      <c r="C16" s="25"/>
      <c r="D16" s="18"/>
      <c r="E16" s="18"/>
      <c r="F16" s="26"/>
      <c r="G16" s="27"/>
      <c r="H16" s="13" t="s">
        <v>51</v>
      </c>
    </row>
    <row r="17" customFormat="false" ht="15.75" hidden="false" customHeight="false" outlineLevel="0" collapsed="false">
      <c r="B17" s="3" t="s">
        <v>236</v>
      </c>
      <c r="F17" s="15"/>
      <c r="G17" s="31" t="n">
        <v>1360</v>
      </c>
      <c r="H17" s="13" t="s">
        <v>135</v>
      </c>
    </row>
    <row r="18" s="13" customFormat="true" ht="15.75" hidden="false" customHeight="false" outlineLevel="0" collapsed="false">
      <c r="B18" s="4" t="s">
        <v>237</v>
      </c>
      <c r="F18" s="22"/>
      <c r="G18" s="22"/>
      <c r="J18" s="1"/>
      <c r="K18" s="1"/>
      <c r="L18" s="1"/>
      <c r="M18" s="1"/>
      <c r="N18" s="1"/>
      <c r="O18" s="1"/>
      <c r="P18" s="1"/>
      <c r="Q18" s="1"/>
    </row>
    <row r="19" s="13" customFormat="true" ht="15.75" hidden="false" customHeight="false" outlineLevel="0" collapsed="false">
      <c r="B19" s="3" t="s">
        <v>297</v>
      </c>
      <c r="F19" s="22"/>
      <c r="G19" s="162" t="s">
        <v>298</v>
      </c>
      <c r="J19" s="1"/>
      <c r="K19" s="1"/>
      <c r="L19" s="1"/>
      <c r="M19" s="1"/>
      <c r="N19" s="1"/>
      <c r="O19" s="1"/>
      <c r="P19" s="1"/>
      <c r="Q19" s="1"/>
    </row>
    <row r="20" s="13" customFormat="true" ht="15.75" hidden="false" customHeight="false" outlineLevel="0" collapsed="false">
      <c r="B20" s="3" t="s">
        <v>39</v>
      </c>
      <c r="C20" s="1"/>
      <c r="D20" s="1"/>
      <c r="E20" s="1"/>
      <c r="F20" s="14" t="n">
        <v>671337.8</v>
      </c>
      <c r="G20" s="14"/>
      <c r="H20" s="1" t="s">
        <v>33</v>
      </c>
      <c r="J20" s="1"/>
      <c r="K20" s="1"/>
      <c r="L20" s="1"/>
      <c r="M20" s="1"/>
      <c r="N20" s="1"/>
      <c r="O20" s="1"/>
      <c r="P20" s="1"/>
      <c r="Q20" s="1"/>
    </row>
    <row r="21" customFormat="false" ht="15" hidden="false" customHeight="true" outlineLevel="0" collapsed="false">
      <c r="B21" s="16" t="s">
        <v>42</v>
      </c>
      <c r="C21" s="17"/>
      <c r="D21" s="18" t="s">
        <v>43</v>
      </c>
      <c r="E21" s="18"/>
      <c r="F21" s="19"/>
      <c r="G21" s="20"/>
      <c r="H21" s="13" t="s">
        <v>44</v>
      </c>
    </row>
    <row r="22" s="13" customFormat="true" ht="15.75" hidden="false" customHeight="false" outlineLevel="0" collapsed="false">
      <c r="B22" s="21" t="s">
        <v>47</v>
      </c>
      <c r="D22" s="18"/>
      <c r="E22" s="18"/>
      <c r="F22" s="22"/>
      <c r="G22" s="23"/>
      <c r="H22" s="1" t="s">
        <v>48</v>
      </c>
      <c r="K22" s="1"/>
      <c r="L22" s="1"/>
      <c r="M22" s="1"/>
      <c r="N22" s="1"/>
      <c r="O22" s="1"/>
      <c r="P22" s="1"/>
      <c r="Q22" s="1"/>
    </row>
    <row r="23" customFormat="false" ht="15.75" hidden="false" customHeight="false" outlineLevel="0" collapsed="false">
      <c r="B23" s="24" t="s">
        <v>50</v>
      </c>
      <c r="C23" s="25"/>
      <c r="D23" s="18"/>
      <c r="E23" s="18"/>
      <c r="F23" s="26"/>
      <c r="G23" s="27" t="n">
        <v>1.217</v>
      </c>
      <c r="H23" s="13" t="s">
        <v>51</v>
      </c>
      <c r="I23" s="13"/>
    </row>
    <row r="24" s="13" customFormat="true" ht="15.75" hidden="false" customHeight="false" outlineLevel="0" collapsed="false">
      <c r="B24" s="3" t="s">
        <v>238</v>
      </c>
      <c r="F24" s="22"/>
      <c r="G24" s="31" t="n">
        <v>0.1</v>
      </c>
      <c r="I24" s="53"/>
      <c r="K24" s="1"/>
      <c r="L24" s="1"/>
      <c r="M24" s="1"/>
      <c r="N24" s="1"/>
      <c r="O24" s="1"/>
      <c r="P24" s="1"/>
      <c r="Q24" s="1"/>
    </row>
    <row r="25" s="13" customFormat="true" ht="15.75" hidden="false" customHeight="false" outlineLevel="0" collapsed="false">
      <c r="B25" s="3" t="s">
        <v>32</v>
      </c>
      <c r="F25" s="14" t="n">
        <v>1476108652138.77</v>
      </c>
      <c r="G25" s="14"/>
      <c r="H25" s="13" t="s">
        <v>33</v>
      </c>
      <c r="N25" s="1"/>
      <c r="O25" s="1"/>
      <c r="P25" s="1"/>
      <c r="Q25" s="1"/>
    </row>
    <row r="26" s="13" customFormat="true" ht="15.75" hidden="false" customHeight="false" outlineLevel="0" collapsed="false">
      <c r="B26" s="3" t="s">
        <v>239</v>
      </c>
      <c r="F26" s="22"/>
      <c r="G26" s="31" t="n">
        <v>0.09</v>
      </c>
      <c r="L26" s="1"/>
      <c r="M26" s="1"/>
      <c r="N26" s="1"/>
      <c r="O26" s="1"/>
      <c r="P26" s="1"/>
    </row>
    <row r="27" s="13" customFormat="true" ht="15.75" hidden="false" customHeight="false" outlineLevel="0" collapsed="false">
      <c r="B27" s="3" t="s">
        <v>240</v>
      </c>
      <c r="F27" s="22"/>
      <c r="G27" s="31" t="n">
        <v>-0.11</v>
      </c>
      <c r="H27" s="13" t="s">
        <v>241</v>
      </c>
      <c r="L27" s="1"/>
      <c r="M27" s="1"/>
      <c r="N27" s="1"/>
      <c r="O27" s="1"/>
      <c r="P27" s="1"/>
    </row>
    <row r="28" s="13" customFormat="true" ht="15.75" hidden="false" customHeight="false" outlineLevel="0" collapsed="false">
      <c r="B28" s="3" t="s">
        <v>242</v>
      </c>
      <c r="F28" s="22"/>
      <c r="G28" s="31" t="n">
        <v>111.5768</v>
      </c>
      <c r="H28" s="13" t="s">
        <v>241</v>
      </c>
      <c r="L28" s="1"/>
      <c r="M28" s="1"/>
      <c r="N28" s="1"/>
      <c r="O28" s="1"/>
      <c r="P28" s="1"/>
    </row>
    <row r="29" s="13" customFormat="true" ht="15.75" hidden="false" customHeight="false" outlineLevel="0" collapsed="false">
      <c r="B29" s="4" t="s">
        <v>299</v>
      </c>
      <c r="F29" s="22"/>
      <c r="G29" s="22"/>
      <c r="L29" s="1"/>
      <c r="M29" s="1"/>
      <c r="N29" s="1"/>
      <c r="O29" s="1"/>
      <c r="P29" s="1"/>
    </row>
    <row r="30" s="13" customFormat="true" ht="15.75" hidden="false" customHeight="false" outlineLevel="0" collapsed="false">
      <c r="B30" s="3" t="str">
        <f aca="false">IF(G19="Moon","semiMajorAxis","")</f>
        <v/>
      </c>
      <c r="D30" s="163" t="str">
        <f aca="false">IF(G19="Planet","not applicable","")</f>
        <v>not applicable</v>
      </c>
      <c r="F30" s="14"/>
      <c r="G30" s="14"/>
      <c r="H30" s="13" t="str">
        <f aca="false">IF(G19="Moon","m","")</f>
        <v/>
      </c>
      <c r="L30" s="1"/>
      <c r="M30" s="1"/>
      <c r="N30" s="1"/>
      <c r="O30" s="1"/>
      <c r="P30" s="1"/>
    </row>
    <row r="31" s="13" customFormat="true" ht="15.75" hidden="false" customHeight="false" outlineLevel="0" collapsed="false">
      <c r="B31" s="3" t="str">
        <f aca="false">IF(G19="Moon","eccentricity","")</f>
        <v/>
      </c>
      <c r="D31" s="163" t="str">
        <f aca="false">IF(G19="Planet","|","")</f>
        <v>|</v>
      </c>
      <c r="F31" s="22"/>
      <c r="G31" s="31"/>
      <c r="L31" s="1"/>
      <c r="M31" s="1"/>
      <c r="N31" s="1"/>
      <c r="O31" s="1"/>
      <c r="P31" s="1"/>
      <c r="Q31" s="1"/>
    </row>
    <row r="32" s="13" customFormat="true" ht="15.75" hidden="false" customHeight="false" outlineLevel="0" collapsed="false">
      <c r="B32" s="3" t="str">
        <f aca="false">IF(G19="Moon","inclination","")</f>
        <v/>
      </c>
      <c r="D32" s="163" t="str">
        <f aca="false">IF(G19="Planet","|","")</f>
        <v>|</v>
      </c>
      <c r="F32" s="22"/>
      <c r="G32" s="31"/>
      <c r="H32" s="13" t="str">
        <f aca="false">IF(G19="Moon","°","")</f>
        <v/>
      </c>
      <c r="L32" s="1"/>
      <c r="M32" s="1"/>
      <c r="N32" s="1"/>
      <c r="O32" s="1"/>
      <c r="P32" s="1"/>
      <c r="Q32" s="1"/>
    </row>
    <row r="33" s="13" customFormat="true" ht="15.75" hidden="false" customHeight="false" outlineLevel="0" collapsed="false">
      <c r="B33" s="3" t="str">
        <f aca="false">IF(G19="Moon","argumentOfPeriapsis","")</f>
        <v/>
      </c>
      <c r="D33" s="163" t="str">
        <f aca="false">IF(G19="Planet","V","")</f>
        <v>V</v>
      </c>
      <c r="F33" s="22"/>
      <c r="G33" s="31"/>
      <c r="H33" s="13" t="str">
        <f aca="false">IF(G19="Moon","°","")</f>
        <v/>
      </c>
      <c r="L33" s="1"/>
      <c r="M33" s="1"/>
      <c r="N33" s="1"/>
      <c r="O33" s="1"/>
      <c r="P33" s="1"/>
      <c r="Q33" s="1"/>
    </row>
    <row r="34" s="13" customFormat="true" ht="15.75" hidden="false" customHeight="false" outlineLevel="0" collapsed="false">
      <c r="B34" s="29"/>
      <c r="F34" s="22"/>
      <c r="G34" s="22"/>
      <c r="L34" s="1"/>
      <c r="M34" s="1"/>
      <c r="N34" s="1"/>
      <c r="O34" s="1"/>
      <c r="P34" s="1"/>
      <c r="Q34" s="1"/>
    </row>
    <row r="35" customFormat="false" ht="15.75" hidden="false" customHeight="false" outlineLevel="0" collapsed="false">
      <c r="B35" s="6" t="s">
        <v>69</v>
      </c>
      <c r="C35" s="6"/>
      <c r="D35" s="6"/>
      <c r="E35" s="6"/>
      <c r="F35" s="6"/>
      <c r="G35" s="6"/>
      <c r="H35" s="6"/>
    </row>
    <row r="36" customFormat="false" ht="15.75" hidden="false" customHeight="false" outlineLevel="0" collapsed="false">
      <c r="B36" s="6" t="s">
        <v>243</v>
      </c>
      <c r="C36" s="6"/>
      <c r="D36" s="6"/>
      <c r="E36" s="6"/>
      <c r="F36" s="6"/>
      <c r="G36" s="6"/>
      <c r="H36" s="6"/>
    </row>
    <row r="37" customFormat="false" ht="15.75" hidden="false" customHeight="false" outlineLevel="0" collapsed="false">
      <c r="F37" s="15"/>
      <c r="G37" s="15"/>
    </row>
    <row r="38" customFormat="false" ht="15" hidden="false" customHeight="false" outlineLevel="0" collapsed="false">
      <c r="B38" s="3" t="s">
        <v>75</v>
      </c>
      <c r="F38" s="35" t="n">
        <v>6713378</v>
      </c>
      <c r="G38" s="35"/>
      <c r="H38" s="1" t="s">
        <v>33</v>
      </c>
    </row>
    <row r="40" customFormat="false" ht="15.75" hidden="false" customHeight="false" outlineLevel="0" collapsed="false">
      <c r="B40" s="57" t="s">
        <v>325</v>
      </c>
      <c r="C40" s="57"/>
      <c r="D40" s="57"/>
      <c r="E40" s="57"/>
      <c r="F40" s="57"/>
      <c r="G40" s="57"/>
      <c r="H40" s="57"/>
      <c r="I40" s="57"/>
      <c r="J40" s="57"/>
    </row>
    <row r="41" customFormat="false" ht="15.75" hidden="false" customHeight="false" outlineLevel="0" collapsed="false">
      <c r="B41" s="57" t="s">
        <v>326</v>
      </c>
      <c r="C41" s="57"/>
      <c r="D41" s="57"/>
      <c r="E41" s="57"/>
      <c r="F41" s="57"/>
      <c r="G41" s="57"/>
      <c r="H41" s="57"/>
      <c r="I41" s="57"/>
      <c r="J41" s="57"/>
    </row>
    <row r="42" customFormat="false" ht="15.75" hidden="false" customHeight="false" outlineLevel="0" collapsed="false">
      <c r="B42" s="57" t="s">
        <v>327</v>
      </c>
      <c r="C42" s="57"/>
      <c r="D42" s="57"/>
      <c r="E42" s="57"/>
      <c r="F42" s="57"/>
      <c r="G42" s="57"/>
      <c r="H42" s="57"/>
      <c r="I42" s="57"/>
      <c r="J42" s="57"/>
    </row>
    <row r="44" customFormat="false" ht="15.75" hidden="false" customHeight="false" outlineLevel="0" collapsed="false">
      <c r="B44" s="3" t="s">
        <v>328</v>
      </c>
      <c r="G44" s="46" t="n">
        <v>2.437</v>
      </c>
      <c r="H44" s="1" t="s">
        <v>189</v>
      </c>
    </row>
    <row r="45" customFormat="false" ht="15.75" hidden="false" customHeight="false" outlineLevel="0" collapsed="false">
      <c r="B45" s="85" t="s">
        <v>259</v>
      </c>
      <c r="G45" s="164" t="n">
        <f aca="false">G104</f>
        <v>215.282182348501</v>
      </c>
      <c r="H45" s="1" t="s">
        <v>65</v>
      </c>
    </row>
    <row r="46" customFormat="false" ht="15.75" hidden="false" customHeight="false" outlineLevel="0" collapsed="false">
      <c r="B46" s="85" t="s">
        <v>329</v>
      </c>
      <c r="G46" s="165" t="n">
        <f aca="false">IF(G99&gt;0,IF(F38&gt;0,150*8314.4621*G45/(G99*9.80665*F38),25),25)</f>
        <v>3.3510518645148</v>
      </c>
      <c r="H46" s="1" t="s">
        <v>94</v>
      </c>
    </row>
    <row r="48" customFormat="false" ht="15.75" hidden="false" customHeight="false" outlineLevel="0" collapsed="false">
      <c r="B48" s="4"/>
      <c r="F48" s="10" t="s">
        <v>87</v>
      </c>
      <c r="G48" s="10" t="s">
        <v>88</v>
      </c>
      <c r="H48" s="10" t="s">
        <v>89</v>
      </c>
      <c r="I48" s="163" t="s">
        <v>330</v>
      </c>
      <c r="J48" s="163" t="s">
        <v>331</v>
      </c>
    </row>
    <row r="49" customFormat="false" ht="15.75" hidden="false" customHeight="false" outlineLevel="0" collapsed="false">
      <c r="B49" s="39" t="s">
        <v>91</v>
      </c>
      <c r="C49" s="37"/>
      <c r="D49" s="37"/>
      <c r="E49" s="37" t="s">
        <v>92</v>
      </c>
      <c r="F49" s="40" t="s">
        <v>93</v>
      </c>
      <c r="G49" s="40" t="s">
        <v>94</v>
      </c>
      <c r="H49" s="40" t="s">
        <v>95</v>
      </c>
      <c r="I49" s="40" t="s">
        <v>65</v>
      </c>
      <c r="J49" s="40" t="s">
        <v>65</v>
      </c>
    </row>
    <row r="50" customFormat="false" ht="15.75" hidden="false" customHeight="false" outlineLevel="0" collapsed="false">
      <c r="B50" s="41" t="s">
        <v>244</v>
      </c>
      <c r="C50" s="41"/>
      <c r="D50" s="41"/>
      <c r="E50" s="1" t="s">
        <v>245</v>
      </c>
      <c r="F50" s="42" t="n">
        <v>0</v>
      </c>
      <c r="G50" s="43" t="n">
        <v>2.01588</v>
      </c>
      <c r="H50" s="43" t="n">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27.7085311529074</v>
      </c>
      <c r="I50" s="61" t="str">
        <f aca="false">IF(G$44&gt;0,IF(F50&gt;0,IF(G$44*F50*60.795&lt;7.04,"n/a",14.025*(1+G$44*F50*60.795/28600)^0.589*EXP(-0.0000000046*G$44*F50*60.795)),"---"),"---")</f>
        <v>---</v>
      </c>
      <c r="J50" s="61"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row>
    <row r="51" customFormat="false" ht="15.75" hidden="false" customHeight="false" outlineLevel="0" collapsed="false">
      <c r="B51" s="44" t="s">
        <v>250</v>
      </c>
      <c r="C51" s="44"/>
      <c r="D51" s="44"/>
      <c r="E51" s="1" t="s">
        <v>251</v>
      </c>
      <c r="F51" s="42" t="n">
        <v>0</v>
      </c>
      <c r="G51" s="43" t="n">
        <v>3.02204</v>
      </c>
      <c r="H51" s="43" t="n">
        <f aca="false">IF(G$104&lt;100,29.288,IF(G$104&lt;298.15,0.0000056637*G$104^2-0.00269911*G$104+29.5013,IF(G$104&lt;1000,31.24992-7.58919*(G$104/1000)+9.011375*(G$104/1000)^2-1.914415*(G$104/1000)^3-0.047793/(G$104/1000)^2,IF(G$104&lt;6000,28.22296+4.575371*(G$104/1000)-0.551669*(G$104/1000)^2+0.031038*(G$104/1000)^3-1.732276/(G$104/1000)^2,42.339))))</f>
        <v>29.182721916636</v>
      </c>
      <c r="I51" s="61" t="str">
        <f aca="false">IF(G$44&gt;0,IF(F51&gt;0,IF(G$44*F51*60.795&lt;12.37,"n/a",16.597*(1+G$44*F51*60.795/38430)^0.589),"---"),"---")</f>
        <v>---</v>
      </c>
      <c r="J51" s="61"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M51" s="13"/>
      <c r="N51" s="13"/>
    </row>
    <row r="52" customFormat="false" ht="15.75" hidden="false" customHeight="false" outlineLevel="0" collapsed="false">
      <c r="B52" s="44" t="s">
        <v>100</v>
      </c>
      <c r="C52" s="44"/>
      <c r="D52" s="44"/>
      <c r="E52" s="1" t="s">
        <v>101</v>
      </c>
      <c r="F52" s="42" t="n">
        <v>0.01</v>
      </c>
      <c r="G52" s="43" t="n">
        <v>4.002602</v>
      </c>
      <c r="H52" s="43" t="n">
        <v>20.786</v>
      </c>
      <c r="I52" s="61" t="str">
        <f aca="false">IF(G$44&gt;0,IF(F52&gt;0,IF(G$44*F52*60.795&lt;3013,"n/a",4.107*LOG(G$44*F52*60.795)^2-26.12*LOG(G$44*F52*60.795)+42.93),"---"),"---")</f>
        <v>n/a</v>
      </c>
      <c r="J52" s="61" t="n">
        <f aca="false">IF(G$44&gt;0,IF(F52&gt;0,IF(G$44*F52*60.795&gt;227.5,"n/a",37/(10.56-LN(G$44*F52*60.795))-2),"---"),"---")</f>
        <v>1.63926257722214</v>
      </c>
      <c r="K52" s="1" t="str">
        <f aca="false">IF(F52&gt;0,IF(G52&lt;G$46,"Molecular weight too low",IF(J52&gt;G$45,"Boiling point too high","")),"")</f>
        <v/>
      </c>
      <c r="M52" s="13"/>
      <c r="N52" s="13"/>
    </row>
    <row r="53" customFormat="false" ht="15.75" hidden="false" customHeight="false" outlineLevel="0" collapsed="false">
      <c r="B53" s="44" t="s">
        <v>246</v>
      </c>
      <c r="C53" s="44"/>
      <c r="D53" s="44"/>
      <c r="E53" s="1" t="s">
        <v>247</v>
      </c>
      <c r="F53" s="42" t="n">
        <v>0.005</v>
      </c>
      <c r="G53" s="43" t="n">
        <v>16.0425</v>
      </c>
      <c r="H53" s="43" t="n">
        <f aca="false">IF(G$104&lt;100,33.258,IF(G$104&lt;298.15,0.000000327888*G$104^3-0.000095605*G$104^2+0.00787935*G$104+33.0982,IF(G$104&lt;1300,-0.703029+108.4773*(G$104/1000)-42.52157*(G$104/1000)^2+5.862788*(G$104/1000)^3+0.678565/(G$104/1000)^2,IF(G$104&lt;6000,85.81217+11.26467*(G$104/1000)-2.114146*(G$104/1000)^2+0.13819*(G$104/1000)^3-26.42221/(G$104/1000)^2,106.306))))</f>
        <v>33.6350559108144</v>
      </c>
      <c r="I53" s="61" t="str">
        <f aca="false">IF(G$44&gt;0,IF(F53&gt;0,IF(G$44*F53*60.795&lt;11.696,"n/a",((G$44*F53*60.795-11.696)/208000+1)^(1/1.698)*90.69),"---"),"---")</f>
        <v>n/a</v>
      </c>
      <c r="J53" s="61" t="n">
        <f aca="false">IF(G$44&gt;0,IF(F53&gt;0,IF(G$44*F53*60.795&gt;4599,"n/a",IF(G$44*F53*60.795&lt;11.696,0.1714*LOG(G$44*F53*60.795)^3+1.7773*LOG(G$44*F53*60.795)^2+11.466*LOG(G$44*F53*60.795)+76.171,968/(13.58-LN(G$44*F53*60.795))+3.72)),"---"),"---")</f>
        <v>74.7067034637396</v>
      </c>
      <c r="K53" s="1" t="str">
        <f aca="false">IF(F53&gt;0,IF(G53&lt;G$46,"Molecular weight too low",IF(J53&gt;G$45,"Boiling point too high","")),"")</f>
        <v/>
      </c>
      <c r="M53" s="13"/>
      <c r="N53" s="13"/>
    </row>
    <row r="54" customFormat="false" ht="15.75" hidden="false" customHeight="false" outlineLevel="0" collapsed="false">
      <c r="B54" s="44" t="s">
        <v>248</v>
      </c>
      <c r="C54" s="44"/>
      <c r="D54" s="44"/>
      <c r="E54" s="1" t="s">
        <v>249</v>
      </c>
      <c r="F54" s="42" t="n">
        <v>0</v>
      </c>
      <c r="G54" s="43" t="n">
        <v>17.0305</v>
      </c>
      <c r="H54" s="43" t="n">
        <f aca="false">IF(G$104&lt;100,33.284,IF(G$104&lt;298.15,0.0000735664*G$104^2-0.0173399*G$104+34.2823,IF(G$104&lt;1400,19.99563+49.77119*(G$104/1000)-15.37599*(G$104/1000)^2+1.921168*(G$104/1000)^3+0.189174/(G$104/1000)^2,IF(G$104&lt;6000,52.02427+18.48801*(G$104/1000)-3.765128*(G$104/1000)^2+0.248541*(G$104/1000)^3-12.45799/(G$104/1000)^2,80.751))))</f>
        <v>33.9588676141528</v>
      </c>
      <c r="I54" s="61" t="str">
        <f aca="false">IF(G$44&gt;0,IF(F54&gt;0,IF(G$44*F54*60.795&lt;6.1111,"n/a",195.49*(1+G$44*F54*60.795/3051000)^1.466*EXP(-0.000000039*G$44*F54*60.795)),"---"),"---")</f>
        <v>---</v>
      </c>
      <c r="J54" s="61" t="str">
        <f aca="false">IF(G$44&gt;0,IF(F54&gt;0,IF(G$44*F54*60.795&gt;11333,"n/a",IF(G$44*F54*60.795&lt;6.1111,0.1044*LOG(G$44*F54*60.795)^3+1.891*LOG(G$44*F54*60.795)^2+19.626*LOG(G$44*F54*60.795)+178.8,2363/(15.49-LN(G$44*F54*60.795))+22.62)),"---"),"---")</f>
        <v>---</v>
      </c>
      <c r="K54" s="1" t="str">
        <f aca="false">IF(F54&gt;0,IF(G54&lt;G$46,"Molecular weight too low",IF(J54&gt;G$45,"Boiling point too high","")),"")</f>
        <v/>
      </c>
      <c r="M54" s="13"/>
      <c r="N54" s="13"/>
    </row>
    <row r="55" customFormat="false" ht="15.75" hidden="false" customHeight="false" outlineLevel="0" collapsed="false">
      <c r="B55" s="44" t="s">
        <v>309</v>
      </c>
      <c r="C55" s="44"/>
      <c r="D55" s="44"/>
      <c r="E55" s="1" t="s">
        <v>310</v>
      </c>
      <c r="F55" s="42" t="n">
        <v>0</v>
      </c>
      <c r="G55" s="43" t="n">
        <v>18.0153</v>
      </c>
      <c r="H55" s="43" t="n">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33.3740593399057</v>
      </c>
      <c r="I55" s="61" t="str">
        <f aca="false">IF(G$44&gt;0,IF(F55&gt;0,IF(G$44*F55*60.795&lt;0.61157,"n/a",(G$44*F55*60.795/-395200+1)^(1/9)*273.16),"---"),"---")</f>
        <v>---</v>
      </c>
      <c r="J55" s="61" t="str">
        <f aca="false">IF(G$44&gt;0,IF(F55&gt;0,IF(G$44*F55*60.795&gt;22064,"n/a",IF(G$44*F55*60.795&lt;0.611657,0.178*LOG(G$44*F55*60.795)^3+2.7678*LOG(G$44*F55*60.795)^2+28.958*LOG(G$44*F55*60.795)+279.22,3985/(16.54-LN(G$44*F55*60.795))+39)),"---"),"---")</f>
        <v>---</v>
      </c>
      <c r="K55" s="1" t="str">
        <f aca="false">IF(G106&lt;1,IF(F55&gt;0,IF(G55&lt;G$46,"Molecular weight too low",IF(J55&gt;G$45,"Boiling point too high","")),""),"Too much water, oversaturated")</f>
        <v/>
      </c>
      <c r="M55" s="13"/>
      <c r="N55" s="13"/>
    </row>
    <row r="56" customFormat="false" ht="15.75" hidden="false" customHeight="false" outlineLevel="0" collapsed="false">
      <c r="B56" s="44" t="s">
        <v>332</v>
      </c>
      <c r="C56" s="44"/>
      <c r="D56" s="44"/>
      <c r="E56" s="1" t="s">
        <v>333</v>
      </c>
      <c r="F56" s="42" t="n">
        <v>0</v>
      </c>
      <c r="G56" s="43" t="n">
        <v>20.1797</v>
      </c>
      <c r="H56" s="43" t="n">
        <v>20.786</v>
      </c>
      <c r="I56" s="61" t="str">
        <f aca="false">IF(G$44&gt;0,IF(F56&gt;0,IF(G$44*F56*60.795&lt;43.3,"n/a",((G$44*F56*60.795/100000+1.2214)/0.012062)^(1/1.4587)+0.851),"---"),"---")</f>
        <v>---</v>
      </c>
      <c r="J56" s="61" t="str">
        <f aca="false">IF(G$44&gt;0,IF(F56&gt;0,IF(G$44*F56*60.795&gt;2678.6,"n/a",IF(G$44*F56*60.795&lt;43.3,-0.0148*LOG(G$44*F56*60.795)^3+0.4114*LOG(G$44*F56*60.795)^2+3.3375*LOG(G$44*F56*60.795)+18.061,265/(13.47-LN(G$44*F56*60.795))-2.83)),"---"),"---")</f>
        <v>---</v>
      </c>
      <c r="K56" s="1" t="str">
        <f aca="false">IF(F56&gt;0,IF(G56&lt;G$46,"Molecular weight too low",IF(J56&gt;G$45,"Boiling point too high","")),"")</f>
        <v/>
      </c>
      <c r="M56" s="13"/>
      <c r="N56" s="13"/>
    </row>
    <row r="57" customFormat="false" ht="15.75" hidden="false" customHeight="false" outlineLevel="0" collapsed="false">
      <c r="B57" s="44" t="s">
        <v>334</v>
      </c>
      <c r="C57" s="44"/>
      <c r="D57" s="44"/>
      <c r="E57" s="1" t="s">
        <v>335</v>
      </c>
      <c r="F57" s="42" t="n">
        <v>0</v>
      </c>
      <c r="G57" s="43" t="n">
        <v>28.0101</v>
      </c>
      <c r="H57" s="43" t="n">
        <f aca="false">IF(G$104&lt;100,29.104,IF(G$104&lt;298.15,0.00000154635*G$104^2-0.000423904*G$104+29.1309,IF(G$104&lt;1300,25.56759+6.09613*(G$104/1000)+4.054656*(G$104/1000)^2-2.671301*(G$104/1000)^3+0.131021/(G$104/1000)^2,IF(G$104&lt;6000,35.1507+1.300095*(G$104/1000)-0.205921*(G$104/1000)^2+0.01355*(G$104/1000)^3-3.28278/(G$104/1000)^2,38.388))))</f>
        <v>29.1113088053048</v>
      </c>
      <c r="I57" s="61" t="str">
        <f aca="false">IF(G$44&gt;0,IF(F57&gt;0,IF(G$44*F57*60.795&lt;15.3,"n/a",-0.00000000000362*G$44*F57*60.795^2+0.0000363*G$44*F57*60.795+68.16),"---"),"---")</f>
        <v>---</v>
      </c>
      <c r="J57" s="61" t="str">
        <f aca="false">IF(G$44&gt;0,IF(F57&gt;0,IF(G$44*F57*60.795&gt;3494,"n/a",IF(G$44*F57*60.795&lt;15.3,0.3892*LOG(G$44*F57*60.795)^3+1.4*LOG(G$44*F57*60.795)^2+7.5108*LOG(G$44*F57*60.795)+56.65,770/(13.87-LN(G$44*F57*60.795))-1.64)),"---"),"---")</f>
        <v>---</v>
      </c>
      <c r="K57" s="1" t="str">
        <f aca="false">IF(F57&gt;0,IF(G57&lt;G$46,"Molecular weight too low",IF(J57&gt;G$45,"Boiling point too high","")),"")</f>
        <v/>
      </c>
      <c r="M57" s="13"/>
      <c r="N57" s="13"/>
    </row>
    <row r="58" customFormat="false" ht="15.75" hidden="false" customHeight="false" outlineLevel="0" collapsed="false">
      <c r="B58" s="44" t="s">
        <v>303</v>
      </c>
      <c r="C58" s="44"/>
      <c r="D58" s="44"/>
      <c r="E58" s="1" t="s">
        <v>304</v>
      </c>
      <c r="F58" s="42" t="n">
        <v>0.985</v>
      </c>
      <c r="G58" s="43" t="n">
        <v>28.0134</v>
      </c>
      <c r="H58" s="43" t="n">
        <f aca="false">IF(G$104&lt;100,29.104,IF(G$104&lt;500,28.98641+1.853978*(G$104/1000)-9.647459*(G$104/1000)^2+16.63537*(G$104/1000)^3+0.000117/(G$104/1000)^2,IF(G$104&lt;2000,19.50583+19.88705*(G$104/1000)-8.598535*(G$104/1000)^2+1.369784*(G$104/1000)^3+0.527601/(G$104/1000)^2,IF(G$104&lt;6000,35.51872+1.128728*(G$104/1000)-0.196103*(G$104/1000)^2+0.014662*(G$104/1000)^3-4.55376/(G$104/1000)^2,38.276))))</f>
        <v>29.1069180983395</v>
      </c>
      <c r="I58" s="61" t="n">
        <f aca="false">IF(G$44&gt;0,IF(F58&gt;0,IF(G$44*F58*60.795&lt;12.52,"n/a",8.7126E-018*G$44*F58*60.795^3-0.000000000061022*G$44*F58*60.795^2+0.00019*G$44*F58*60.795+63.148),"---"),"---")</f>
        <v>63.1757271188273</v>
      </c>
      <c r="J58" s="61" t="n">
        <f aca="false">IF(G$44&gt;0,IF(F58&gt;0,IF(G$44*F58*60.795&gt;3395.8,"n/a",IF(G$44*F58*60.795&lt;12.52,0.1135*LOG(G$44*F58*60.795)^3+1.175*LOG(G$44*F58*60.795)^2+7.7912*LOG(G$44*F58*60.795)+52.998,658/(13.45-LN(G$44*F58*60.795))+2.85)),"---"),"---")</f>
        <v>80.5649598899815</v>
      </c>
      <c r="K58" s="1" t="str">
        <f aca="false">IF(F58&gt;0,IF(G58&lt;G$46,"Molecular weight too low",IF(J58&gt;G$45,"Boiling point too high","")),"")</f>
        <v/>
      </c>
      <c r="M58" s="13"/>
      <c r="N58" s="13"/>
    </row>
    <row r="59" customFormat="false" ht="15.75" hidden="false" customHeight="false" outlineLevel="0" collapsed="false">
      <c r="B59" s="44" t="s">
        <v>336</v>
      </c>
      <c r="C59" s="44"/>
      <c r="D59" s="44"/>
      <c r="E59" s="1" t="s">
        <v>337</v>
      </c>
      <c r="F59" s="42" t="n">
        <v>0</v>
      </c>
      <c r="G59" s="43" t="n">
        <v>30.0061</v>
      </c>
      <c r="H59" s="43" t="n">
        <f aca="false">IF(G$104&lt;100,32.302,IF(G$104&lt;298.15,-0.000000153413*G$104^3+0.000157177*G$104^2-0.0552342*G$104+36.4071,IF(G$104&lt;1200,23.83491+12.58878*(G$104/1000)-1.139011*(G$104/1000)^2-1.497459*(G$104/1000)^3+0.214194/(G$104/1000)^2,IF(G$104&lt;6000,35.99169+0.95717*(G$104/1000)-0.148032*(G$104/1000)^2+0.009974*(G$104/1000)^3-3.004088/(G$104/1000)^2,38.468))))</f>
        <v>30.2700647231197</v>
      </c>
      <c r="I59" s="61" t="str">
        <f aca="false">IF(G$44&gt;0,IF(F59&gt;0,IF(G$44*F59*60.795&lt;21.89,"n/a",109.5),"---"),"---")</f>
        <v>---</v>
      </c>
      <c r="J59" s="61"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3"/>
      <c r="N59" s="13"/>
    </row>
    <row r="60" customFormat="false" ht="15.75" hidden="false" customHeight="false" outlineLevel="0" collapsed="false">
      <c r="B60" s="44" t="s">
        <v>338</v>
      </c>
      <c r="C60" s="44"/>
      <c r="D60" s="44"/>
      <c r="E60" s="1" t="s">
        <v>339</v>
      </c>
      <c r="F60" s="42" t="n">
        <v>0</v>
      </c>
      <c r="G60" s="43" t="n">
        <v>30.069</v>
      </c>
      <c r="H60" s="43" t="n">
        <f aca="false">IF(G$104&lt;100,35.7,IF(G$104&lt;500,-0.000000000000136764*G$104^5-0.000000000269855*G$104^4+0.000000113753*G$104^3+0.000202021*G$104^2+0.00190295*G$104+33.4041,IF(G$104&lt;3000,1.50106E-019*G$104^6-1.31938E-015*G$104^5+0.00000000000189664*G$104^4+0.0000000186953*G$104^3-0.0000984166*G$104^2+0.202821*G$104-1.27606,168.65)))</f>
        <v>43.66880917136</v>
      </c>
      <c r="I60" s="61" t="str">
        <f aca="false">IF(G$44&gt;0,IF(F60&gt;0,IF(G$44*F60*60.795&lt;0.00113,"n/a",((G$44*F60*60.795-0.00113)/255970+1)^(1/2.179)*90.37),"---"),"---")</f>
        <v>---</v>
      </c>
      <c r="J60" s="61" t="str">
        <f aca="false">IF(G$44&gt;0,IF(F60&gt;0,IF(G$44*F60*60.795&gt;4872.2,"n/a",1582/(13.88-LN(G$44*F60*60.795))+13.76),"---"),"---")</f>
        <v>---</v>
      </c>
      <c r="K60" s="1" t="str">
        <f aca="false">IF(F60&gt;0,IF(G60&lt;G$46,"Molecular weight too low",IF(J60&gt;G$45,"Boiling point too high","")),"")</f>
        <v/>
      </c>
      <c r="M60" s="13"/>
      <c r="N60" s="13"/>
    </row>
    <row r="61" customFormat="false" ht="15.75" hidden="false" customHeight="false" outlineLevel="0" collapsed="false">
      <c r="B61" s="44" t="s">
        <v>305</v>
      </c>
      <c r="C61" s="44"/>
      <c r="D61" s="44"/>
      <c r="E61" s="1" t="s">
        <v>306</v>
      </c>
      <c r="F61" s="42" t="n">
        <v>0</v>
      </c>
      <c r="G61" s="43" t="n">
        <v>31.9988</v>
      </c>
      <c r="H61" s="43" t="n">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29.1245461849587</v>
      </c>
      <c r="I61" s="61" t="str">
        <f aca="false">IF(G$44&gt;0,IF(F61&gt;0,IF(G$44*F61*60.795&lt;0.15,"n/a",10^((LOG(1081.8+G$44*F61*60.795/98.0665)+4.145465)/4.13811)),"---"),"---")</f>
        <v>---</v>
      </c>
      <c r="J61" s="61" t="str">
        <f aca="false">IF(G$44&gt;0,IF(F61&gt;0,IF(G$44*F61*60.795&gt;5043,"n/a",780/(13.68-LN(G$44*F61*60.795))+4.18),"---"),"---")</f>
        <v>---</v>
      </c>
      <c r="K61" s="1" t="str">
        <f aca="false">IF(F61&gt;0,IF(G61&lt;G$46,"Molecular weight too low",IF(J61&gt;G$45,"Boiling point too high","")),"")</f>
        <v/>
      </c>
      <c r="M61" s="13"/>
      <c r="N61" s="13"/>
    </row>
    <row r="62" customFormat="false" ht="15.75" hidden="false" customHeight="false" outlineLevel="0" collapsed="false">
      <c r="B62" s="44" t="s">
        <v>340</v>
      </c>
      <c r="C62" s="44"/>
      <c r="D62" s="44"/>
      <c r="E62" s="1" t="s">
        <v>341</v>
      </c>
      <c r="F62" s="42" t="n">
        <v>0</v>
      </c>
      <c r="G62" s="43" t="n">
        <v>34.081</v>
      </c>
      <c r="H62" s="43" t="n">
        <f aca="false">IF(G$104&lt;100,33.259,IF(G$104&lt;298.15,0.000035645*G$104^2-0.00948349*G$104+33.8509,IF(G$104&lt;1400,26.88412+18.67809*(G$104/1000)+3.434203*(G$104/1000)^2-3.378702*(G$104/1000)^3+0.135882/(G$104/1000)^2,IF(G$104&lt;6000,51.22136+4.147486*(G$104/1000)-0.643566*(G$104/1000)^2+0.041621*(G$104/1000)^3-10.46385/(G$104/1000)^2,61.609))))</f>
        <v>33.4612916474392</v>
      </c>
      <c r="I62" s="61" t="str">
        <f aca="false">IF(G$44&gt;0,IF(F62&gt;0,IF(G$44*F62*60.795&lt;23.2,"n/a",-0.0000000001438*G$44*F62*60.795^2+0.0001882*G$44*F62*60.795+187.7),"---"),"---")</f>
        <v>---</v>
      </c>
      <c r="J62" s="61" t="str">
        <f aca="false">IF(G$44&gt;0,IF(F62&gt;0,IF(G$44*F62*60.795&gt;8970,"n/a",IF(G$44*F62*60.795&lt;108.1,829.439/(4.43681-LOG(G$44*F62*60.795/100))+25.412,958.587/(4.52887-LOG(G$44*F62*60.795/100))+0.539)),"---"),"---")</f>
        <v>---</v>
      </c>
      <c r="K62" s="1" t="str">
        <f aca="false">IF(F62&gt;0,IF(G62&lt;G$46,"Molecular weight too low",IF(J62&gt;G$45,"Boiling point too high","")),"")</f>
        <v/>
      </c>
      <c r="M62" s="13"/>
      <c r="N62" s="13"/>
    </row>
    <row r="63" customFormat="false" ht="15.75" hidden="false" customHeight="false" outlineLevel="0" collapsed="false">
      <c r="B63" s="44" t="s">
        <v>307</v>
      </c>
      <c r="C63" s="44"/>
      <c r="D63" s="44"/>
      <c r="E63" s="1" t="s">
        <v>308</v>
      </c>
      <c r="F63" s="42" t="n">
        <v>0</v>
      </c>
      <c r="G63" s="43" t="n">
        <v>39.948</v>
      </c>
      <c r="H63" s="43" t="n">
        <v>20.786</v>
      </c>
      <c r="I63" s="61" t="str">
        <f aca="false">IF(G$44&gt;0,IF(F63&gt;0,IF(G$44*F63*60.795&lt;68.7,"n/a",((G$44*F63*60.795-68.7)/244000+1)^(1/1.476)*83.81),"---"),"---")</f>
        <v>---</v>
      </c>
      <c r="J63" s="61" t="str">
        <f aca="false">IF(G$44&gt;0,IF(F63&gt;0,IF(G$44*F63*60.795&gt;4863,"n/a",IF(G$44*F63*60.795&lt;68.7,0.2219*LOG(G$44*F63*60.795)^3+1.496*LOG(G$44*F63*60.795)^2+9.0805*LOG(G$44*F63*60.795)+60.693,833/(13.91-LN(G$44*F63*60.795))-2.36)),"---"),"---")</f>
        <v>---</v>
      </c>
      <c r="K63" s="1" t="str">
        <f aca="false">IF(F63&gt;0,IF(G63&lt;G$46,"Molecular weight too low",IF(J63&gt;G$45,"Boiling point too high","")),"")</f>
        <v/>
      </c>
      <c r="M63" s="13"/>
      <c r="N63" s="13"/>
    </row>
    <row r="64" customFormat="false" ht="15.75" hidden="false" customHeight="false" outlineLevel="0" collapsed="false">
      <c r="B64" s="44" t="s">
        <v>311</v>
      </c>
      <c r="C64" s="44"/>
      <c r="D64" s="44"/>
      <c r="E64" s="1" t="s">
        <v>312</v>
      </c>
      <c r="F64" s="42" t="n">
        <v>0</v>
      </c>
      <c r="G64" s="43" t="n">
        <v>44.0095</v>
      </c>
      <c r="H64" s="43" t="n">
        <f aca="false">IF(G$104&lt;100,29.208,IF(G$104&lt;298.15,0.0000862432*G$104^2+0.00563705*G$104+27.7819,IF(G$104&lt;1200,24.99735+55.18696*(G$104/1000)-33.69137*(G$104/1000)^2+7.948387*(G$104/1000)^3-0.136638/(G$104/1000)^2,IF(G$104&lt;6000,58.16639+2.720074*(G$104/1000)-0.492289*(G$104/1000)^2+0.038844*(G$104/1000)^3-6.447293/(G$104/1000)^2,64.957))))</f>
        <v>32.9925198260332</v>
      </c>
      <c r="I64" s="61" t="str">
        <f aca="false">IF(G$44&gt;0,IF(F64&gt;0,IF(G$44*F64*60.795&lt;518.67,"n/a",216.59*(1+(G$44*F64*60.795-518.67)/443000)^(1/2.41)*EXP(0.0000000047*(G$44*F64*60.795-518.67))),"---"),"---")</f>
        <v>---</v>
      </c>
      <c r="J64" s="61" t="str">
        <f aca="false">IF(G$44&gt;0,IF(F64&gt;0,IF(G$44*F64*60.795&gt;7377.3,"n/a",IF(G$44*F64*60.795&lt;518.67,0.2309*LOG(G$44*F64*60.795)^3+2.0973*LOG(G$44*F64*60.795)^2+16.637*LOG(G$44*F64*60.795)+151.22,1956/(15.38-LN(G$44*F64*60.795))+2.11)),"---"),"---")</f>
        <v>---</v>
      </c>
      <c r="K64" s="1" t="str">
        <f aca="false">IF(F64&gt;0,IF(G64&lt;G$46,"Molecular weight too low",IF(J64&gt;G$45,"Boiling point too high","")),"")</f>
        <v/>
      </c>
      <c r="M64" s="13"/>
      <c r="N64" s="13"/>
    </row>
    <row r="65" customFormat="false" ht="15.75" hidden="false" customHeight="false" outlineLevel="0" collapsed="false">
      <c r="B65" s="44" t="s">
        <v>342</v>
      </c>
      <c r="C65" s="44"/>
      <c r="D65" s="44"/>
      <c r="E65" s="1" t="s">
        <v>343</v>
      </c>
      <c r="F65" s="42" t="n">
        <v>0</v>
      </c>
      <c r="G65" s="43" t="n">
        <v>64.064</v>
      </c>
      <c r="H65" s="43" t="n">
        <f aca="false">IF(G$104&lt;100,33.526,IF(G$104&lt;298.15,0.0000366431*G$104^2+0.0174671*G$104+31.4129,IF(G$104&lt;1200,21.43049+74.35094*(G$104/1000)-57.75217*(G$104/1000)^2+16.35534*(G$104/1000)^3+0.086731/(G$104/1000)^2,IF(G$104&lt;6000,57.48188+1.009328*(G$104/1000)-0.07629*(G$104/1000)^2+0.005174*(G$104/1000)^3-4.045401/(G$104/1000)^2,61.793))))</f>
        <v>36.8715318380613</v>
      </c>
      <c r="I65" s="61" t="str">
        <f aca="false">IF(G$44&gt;0,IF(F65&gt;0,IF(G$44*F65*60.795&lt;1.6744,"n/a",0.0001118*G$44*F65*60.795+197.7),"---"),"---")</f>
        <v>---</v>
      </c>
      <c r="J65" s="61" t="str">
        <f aca="false">IF(G$44&gt;0,IF(F65&gt;0,IF(G$44*F65*60.795&gt;7884,"n/a",IF(G$44*F65*60.795&lt;1.6744,1.9*LOG(G$44*F65*60.795)^2+19.9*LOG(G$44*F65*60.795)+193.15,2385/(14.94-LN(G$44*F65*60.795))+32.21)),"---"),"---")</f>
        <v>---</v>
      </c>
      <c r="K65" s="1" t="str">
        <f aca="false">IF(F65&gt;0,IF(G65&lt;G$46,"Molecular weight too low",IF(J65&gt;G$45,"Boiling point too high","")),"")</f>
        <v/>
      </c>
      <c r="M65" s="13"/>
      <c r="N65" s="13"/>
    </row>
    <row r="66" customFormat="false" ht="15.75" hidden="false" customHeight="false" outlineLevel="0" collapsed="false">
      <c r="B66" s="44" t="s">
        <v>344</v>
      </c>
      <c r="C66" s="44"/>
      <c r="D66" s="44"/>
      <c r="E66" s="1" t="s">
        <v>345</v>
      </c>
      <c r="F66" s="42" t="n">
        <v>0</v>
      </c>
      <c r="G66" s="43" t="n">
        <v>70.906</v>
      </c>
      <c r="H66" s="43" t="n">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32.1228727073643</v>
      </c>
      <c r="I66" s="61" t="str">
        <f aca="false">IF(G$44&gt;0,IF(F66&gt;0,IF(G$44*F66*60.795&lt;1.392,"n/a",-0.0000000000409*G$44*F66*60.795^2+0.0001566*G$44*F66*60.795+171.17),"---"),"---")</f>
        <v>---</v>
      </c>
      <c r="J66" s="61"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3"/>
      <c r="N66" s="13"/>
    </row>
    <row r="67" customFormat="false" ht="15.75" hidden="false" customHeight="false" outlineLevel="0" collapsed="false">
      <c r="B67" s="44" t="s">
        <v>346</v>
      </c>
      <c r="C67" s="44"/>
      <c r="D67" s="44"/>
      <c r="E67" s="1" t="s">
        <v>347</v>
      </c>
      <c r="F67" s="42" t="n">
        <v>0</v>
      </c>
      <c r="G67" s="43" t="n">
        <v>83.798</v>
      </c>
      <c r="H67" s="43" t="n">
        <v>20.786</v>
      </c>
      <c r="I67" s="61" t="str">
        <f aca="false">IF(G$44&gt;0,IF(F67&gt;0,IF(G$44*F67*60.795&lt;73.2,"n/a",0.0001512*G$44*F67*60.795+115.76),"---"),"---")</f>
        <v>---</v>
      </c>
      <c r="J67" s="61"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3"/>
      <c r="N67" s="13"/>
    </row>
    <row r="68" customFormat="false" ht="15.75" hidden="false" customHeight="false" outlineLevel="0" collapsed="false">
      <c r="B68" s="45"/>
      <c r="C68" s="45"/>
      <c r="D68" s="45"/>
      <c r="E68" s="46"/>
      <c r="F68" s="42"/>
      <c r="G68" s="47"/>
      <c r="H68" s="47"/>
      <c r="I68" s="166" t="s">
        <v>313</v>
      </c>
      <c r="J68" s="166"/>
      <c r="M68" s="13"/>
      <c r="N68" s="13"/>
    </row>
    <row r="69" customFormat="false" ht="15.75" hidden="false" customHeight="false" outlineLevel="0" collapsed="false">
      <c r="B69" s="45"/>
      <c r="C69" s="45"/>
      <c r="D69" s="45"/>
      <c r="E69" s="46"/>
      <c r="F69" s="42"/>
      <c r="G69" s="47"/>
      <c r="H69" s="47"/>
      <c r="I69" s="166" t="s">
        <v>313</v>
      </c>
      <c r="J69" s="166"/>
      <c r="M69" s="13"/>
      <c r="N69" s="13"/>
    </row>
    <row r="70" customFormat="false" ht="15.75" hidden="false" customHeight="false" outlineLevel="0" collapsed="false">
      <c r="B70" s="45"/>
      <c r="C70" s="45"/>
      <c r="D70" s="45"/>
      <c r="E70" s="46"/>
      <c r="F70" s="42"/>
      <c r="G70" s="47"/>
      <c r="H70" s="47"/>
      <c r="I70" s="166" t="s">
        <v>313</v>
      </c>
      <c r="J70" s="166"/>
      <c r="M70" s="13"/>
      <c r="N70" s="13"/>
    </row>
    <row r="71" customFormat="false" ht="15.75" hidden="false" customHeight="false" outlineLevel="0" collapsed="false">
      <c r="B71" s="48"/>
      <c r="C71" s="48"/>
      <c r="D71" s="48"/>
      <c r="E71" s="49"/>
      <c r="F71" s="167"/>
      <c r="G71" s="168"/>
      <c r="H71" s="168"/>
      <c r="I71" s="169" t="s">
        <v>313</v>
      </c>
      <c r="J71" s="169"/>
      <c r="M71" s="13"/>
      <c r="N71" s="13"/>
    </row>
    <row r="72" customFormat="false" ht="15.75" hidden="false" customHeight="false" outlineLevel="0" collapsed="false">
      <c r="B72" s="4" t="s">
        <v>112</v>
      </c>
      <c r="F72" s="52" t="n">
        <f aca="false">SUM(F50:F71)</f>
        <v>1</v>
      </c>
      <c r="M72" s="13"/>
      <c r="N72" s="13"/>
    </row>
    <row r="73" customFormat="false" ht="15.75" hidden="false" customHeight="false" outlineLevel="0" collapsed="false">
      <c r="B73" s="4"/>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6" t="s">
        <v>350</v>
      </c>
      <c r="C79" s="6"/>
      <c r="D79" s="6"/>
      <c r="E79" s="6"/>
      <c r="F79" s="6"/>
      <c r="G79" s="6"/>
      <c r="H79" s="6"/>
    </row>
    <row r="80" customFormat="false" ht="15.75" hidden="false" customHeight="false" outlineLevel="0" collapsed="false">
      <c r="B80" s="6" t="s">
        <v>351</v>
      </c>
      <c r="C80" s="6"/>
      <c r="D80" s="6"/>
      <c r="E80" s="6"/>
      <c r="F80" s="6"/>
      <c r="G80" s="6"/>
      <c r="H80" s="6"/>
    </row>
    <row r="81" customFormat="false" ht="15.75" hidden="false" customHeight="false" outlineLevel="0" collapsed="false">
      <c r="B81" s="3"/>
    </row>
    <row r="82" customFormat="false" ht="15.75" hidden="false" customHeight="false" outlineLevel="0" collapsed="false">
      <c r="B82" s="3" t="s">
        <v>352</v>
      </c>
      <c r="G82" s="170" t="n">
        <v>0.1</v>
      </c>
    </row>
    <row r="83" customFormat="false" ht="15.75" hidden="false" customHeight="false" outlineLevel="0" collapsed="false">
      <c r="B83" s="171" t="s">
        <v>353</v>
      </c>
    </row>
    <row r="84" customFormat="false" ht="15.75" hidden="false" customHeight="false" outlineLevel="0" collapsed="false">
      <c r="B84" s="3"/>
    </row>
    <row r="85" customFormat="false" ht="15.75" hidden="false" customHeight="true" outlineLevel="0" collapsed="false">
      <c r="B85" s="6" t="s">
        <v>354</v>
      </c>
      <c r="C85" s="6"/>
      <c r="D85" s="6"/>
      <c r="E85" s="6"/>
      <c r="F85" s="6"/>
      <c r="G85" s="6"/>
      <c r="H85" s="6"/>
    </row>
    <row r="86" customFormat="false" ht="15.75" hidden="false" customHeight="false" outlineLevel="0" collapsed="false">
      <c r="B86" s="3"/>
    </row>
    <row r="87" s="13" customFormat="true" ht="15.75" hidden="false" customHeight="false" outlineLevel="0" collapsed="false">
      <c r="B87" s="3" t="s">
        <v>355</v>
      </c>
      <c r="F87" s="22"/>
      <c r="G87" s="172" t="n">
        <v>0.15</v>
      </c>
      <c r="O87" s="1"/>
      <c r="P87" s="1"/>
      <c r="Q87" s="1"/>
    </row>
    <row r="88" customFormat="false" ht="15.75" hidden="false" customHeight="false" outlineLevel="0" collapsed="false">
      <c r="B88" s="4"/>
    </row>
    <row r="89" customFormat="false" ht="15.75" hidden="false" customHeight="false" outlineLevel="0" collapsed="false">
      <c r="B89" s="6" t="s">
        <v>120</v>
      </c>
      <c r="C89" s="6"/>
      <c r="D89" s="6"/>
      <c r="E89" s="6"/>
      <c r="F89" s="6"/>
      <c r="G89" s="6"/>
      <c r="H89" s="6"/>
    </row>
    <row r="90" customFormat="false" ht="15.75" hidden="false" customHeight="false" outlineLevel="0" collapsed="false">
      <c r="B90" s="6" t="s">
        <v>252</v>
      </c>
      <c r="C90" s="6"/>
      <c r="D90" s="6"/>
      <c r="E90" s="6"/>
      <c r="F90" s="6"/>
      <c r="G90" s="6"/>
      <c r="H90" s="6"/>
    </row>
    <row r="91" customFormat="false" ht="15.75" hidden="false" customHeight="false" outlineLevel="0" collapsed="false">
      <c r="B91" s="6" t="s">
        <v>253</v>
      </c>
      <c r="C91" s="6"/>
      <c r="D91" s="6"/>
      <c r="E91" s="6"/>
      <c r="F91" s="6"/>
      <c r="G91" s="6"/>
      <c r="H91" s="6"/>
    </row>
    <row r="92" customFormat="false" ht="15.75" hidden="false" customHeight="false" outlineLevel="0" collapsed="false">
      <c r="B92" s="4"/>
    </row>
    <row r="93" customFormat="false" ht="15.75" hidden="false" customHeight="false" outlineLevel="0" collapsed="false">
      <c r="B93" s="81" t="s">
        <v>254</v>
      </c>
      <c r="C93" s="81"/>
      <c r="D93" s="81"/>
      <c r="E93" s="81"/>
      <c r="F93" s="81"/>
      <c r="G93" s="81"/>
      <c r="H93" s="81"/>
    </row>
    <row r="95" s="13" customFormat="true" ht="15.75" hidden="false" customHeight="false" outlineLevel="0" collapsed="false">
      <c r="B95" s="13" t="s">
        <v>36</v>
      </c>
      <c r="I95" s="1"/>
      <c r="J95" s="1"/>
      <c r="K95" s="1"/>
      <c r="L95" s="1"/>
      <c r="O95" s="1"/>
      <c r="P95" s="1"/>
      <c r="Q95" s="1"/>
    </row>
    <row r="96" s="13" customFormat="true" ht="15.75" hidden="false" customHeight="false" outlineLevel="0" collapsed="false">
      <c r="B96" s="30" t="s">
        <v>42</v>
      </c>
      <c r="G96" s="82" t="n">
        <f aca="false">IF(G14&gt;0,G14,IF(G15&gt;0,G15*0.0000000000667408,IF(G16&gt;0,IF(F13&gt;0,F13^2*G16*9.80665,1E+018),1E+018)))</f>
        <v>1.99068117864E+018</v>
      </c>
      <c r="H96" s="13" t="s">
        <v>44</v>
      </c>
      <c r="I96" s="1"/>
      <c r="J96" s="1"/>
      <c r="K96" s="1"/>
      <c r="L96" s="1"/>
      <c r="O96" s="1"/>
      <c r="P96" s="1"/>
      <c r="Q96" s="1"/>
    </row>
    <row r="97" s="13" customFormat="true" ht="15.75" hidden="false" customHeight="false" outlineLevel="0" collapsed="false">
      <c r="B97" s="13" t="s">
        <v>237</v>
      </c>
      <c r="I97" s="1"/>
      <c r="J97" s="1"/>
      <c r="K97" s="1"/>
      <c r="L97" s="1"/>
      <c r="O97" s="1"/>
      <c r="Q97" s="1"/>
    </row>
    <row r="98" s="13" customFormat="true" ht="15.75" hidden="false" customHeight="false" outlineLevel="0" collapsed="false">
      <c r="B98" s="30" t="s">
        <v>42</v>
      </c>
      <c r="C98" s="1"/>
      <c r="G98" s="82" t="n">
        <f aca="false">IF(G21&gt;0,G21,IF(G22&gt;0,G22*0.0000000000667408,IF(G23&gt;0,IF(F20&gt;0,F20^2*G23*9.80665,1000000000000),1000000000000)))</f>
        <v>5378899821136.12</v>
      </c>
      <c r="H98" s="13" t="s">
        <v>44</v>
      </c>
      <c r="I98" s="1"/>
      <c r="J98" s="1"/>
      <c r="K98" s="1"/>
      <c r="L98" s="1"/>
      <c r="O98" s="1"/>
      <c r="P98" s="1"/>
      <c r="Q98" s="1"/>
    </row>
    <row r="99" s="13" customFormat="true" ht="15.75" hidden="false" customHeight="false" outlineLevel="0" collapsed="false">
      <c r="B99" s="30" t="s">
        <v>50</v>
      </c>
      <c r="G99" s="13" t="n">
        <f aca="false">MAX(IF(G21&gt;0,IF(F20&gt;0,G21/F20^2/9.80665,1),IF(G22&gt;0,IF(F20&gt;0,G22*0.0000000000667408/F20^2/9.80665,1),IF(G23&gt;0,G23,1))),IF(F38&gt;0,F38*0.00000001,0.01))</f>
        <v>1.217</v>
      </c>
      <c r="H99" s="13" t="s">
        <v>51</v>
      </c>
      <c r="I99" s="1"/>
      <c r="J99" s="1"/>
      <c r="K99" s="1"/>
      <c r="L99" s="1"/>
      <c r="O99" s="1"/>
      <c r="P99" s="1"/>
      <c r="Q99" s="1"/>
    </row>
    <row r="100" s="13" customFormat="true" ht="15.75" hidden="false" customHeight="false" outlineLevel="0" collapsed="false">
      <c r="B100" s="30" t="str">
        <f aca="false">IF(G19="Planet","Orbital period","Solar orbital period (parent planet)")</f>
        <v>Orbital period</v>
      </c>
      <c r="C100" s="1"/>
      <c r="G100" s="173" t="n">
        <f aca="false">IF(G19="Planet",2*PI()*SQRT(F25^3/G96)/3600,2*PI()*SQRT(F30^3/G96)/3600)</f>
        <v>2218472.25263907</v>
      </c>
      <c r="H100" s="13" t="s">
        <v>256</v>
      </c>
      <c r="I100" s="1"/>
      <c r="J100" s="1"/>
      <c r="K100" s="1"/>
      <c r="L100" s="1"/>
      <c r="O100" s="1"/>
      <c r="P100" s="1"/>
      <c r="Q100" s="1"/>
    </row>
    <row r="101" customFormat="false" ht="15.75" hidden="false" customHeight="false" outlineLevel="0" collapsed="false">
      <c r="B101" s="30" t="s">
        <v>257</v>
      </c>
      <c r="G101" s="84" t="n">
        <f aca="false">IF(F11&gt;0,IF(G17&gt;0,IF(G19="Planet",IF(F25&gt;0,G17*(F11/F25)^2,1000),IF(F30&gt;0,G17*(F11/F30)^2,1000)),1000),1000)</f>
        <v>329.373055937974</v>
      </c>
      <c r="H101" s="1" t="s">
        <v>135</v>
      </c>
      <c r="M101" s="13"/>
      <c r="N101" s="13"/>
    </row>
    <row r="102" customFormat="false" ht="15.75" hidden="false" customHeight="false" outlineLevel="0" collapsed="false">
      <c r="B102" s="30" t="s">
        <v>258</v>
      </c>
      <c r="G102" s="84" t="n">
        <f aca="false">(G101*(1-G24)/(4*0.000000056704))^0.25</f>
        <v>190.135942953144</v>
      </c>
      <c r="H102" s="1" t="s">
        <v>65</v>
      </c>
      <c r="M102" s="13"/>
      <c r="N102" s="13"/>
    </row>
    <row r="103" customFormat="false" ht="15.75" hidden="false" customHeight="false" outlineLevel="0" collapsed="false">
      <c r="B103" s="30" t="s">
        <v>127</v>
      </c>
      <c r="F103" s="86"/>
      <c r="G103" s="86" t="n">
        <f aca="false">IF(F72&gt;0,(F50*G50+F51*G51+F52*G52+F53*G53+F54*G54+F55*G55+F56*G56+F57*G57+F58*G58+F59*G59+F60*G60+F61*G61+F62*G62+F63*G63+F64*G64+F65*G65+F66*G66+F67*G67+F68*G68+F69*G69+F70*G70+F71*G71)/(SUM(F50:F67)+IF(G68&gt;0,F68,0)+IF(G69&gt;0,F69,0)+IF(G70&gt;0,F70,0)+IF(G71&gt;0,F71,0)),29)</f>
        <v>27.71343752</v>
      </c>
      <c r="H103" s="1" t="s">
        <v>128</v>
      </c>
      <c r="M103" s="13"/>
      <c r="N103" s="13"/>
      <c r="O103" s="13"/>
    </row>
    <row r="104" customFormat="false" ht="15.75" hidden="false" customHeight="false" outlineLevel="0" collapsed="false">
      <c r="B104" s="85" t="s">
        <v>259</v>
      </c>
      <c r="G104" s="164" t="n">
        <f aca="false">(C150*I150+C151*I151+C152*I152+C153*I153+C154*I154+C155*I155+C156*I156+C157*I157+C158*I158+C159*I159+C160*I160+C161*I161+C162*I162)/SUM(I150:I162)</f>
        <v>215.282182348501</v>
      </c>
      <c r="H104" s="1" t="s">
        <v>65</v>
      </c>
      <c r="M104" s="13"/>
      <c r="N104" s="13"/>
      <c r="O104" s="13"/>
    </row>
    <row r="105" customFormat="false" ht="15.75" hidden="false" customHeight="false" outlineLevel="0" collapsed="false">
      <c r="B105" s="30" t="s">
        <v>130</v>
      </c>
      <c r="G105" s="86" t="n">
        <f aca="false">IF(F72&gt;0,1/(1-8.3144621/((F50*H50+F51*H51+F52*H52+F53*H53+F54*H54+F55*H55+F56*H56+F57*H57+F58*H58+F59*H59+F60*H60+F61*H61+F62*H62+F63*H63+F64*H64+F65*H65+F66*H66+F67*H67+F68*H68+F69*H69+F70*H70+F71*H71)/(SUM(F50:F67)+IF(H68&gt;0,F68,0)+IF(H69&gt;0,F69,0)+IF(H70&gt;0,F70,0)+IF(H71&gt;0,F71,0)))),1.4)</f>
        <v>1.40104703912878</v>
      </c>
      <c r="M105" s="13"/>
      <c r="N105" s="13"/>
      <c r="O105" s="13"/>
    </row>
    <row r="106" customFormat="false" ht="15.75" hidden="false" customHeight="false" outlineLevel="0" collapsed="false">
      <c r="B106" s="30" t="s">
        <v>356</v>
      </c>
      <c r="G106" s="140" t="n">
        <f aca="false">(G44*F55*760)/MAX(IF(G104&lt;381.47,10^(8.07131-1730.63/(233.426+G104-273.15)),10^(8.14019-1810.94/(244.485+G104-273.15))),0.000001)</f>
        <v>0</v>
      </c>
      <c r="M106" s="13"/>
      <c r="N106" s="13"/>
      <c r="O106" s="13"/>
    </row>
    <row r="107" customFormat="false" ht="15.75" hidden="false" customHeight="false" outlineLevel="0" collapsed="false">
      <c r="B107" s="56"/>
      <c r="G107" s="84"/>
      <c r="O107" s="13"/>
    </row>
    <row r="108" customFormat="false" ht="15.75" hidden="false" customHeight="true" outlineLevel="0" collapsed="false">
      <c r="B108" s="87" t="s">
        <v>260</v>
      </c>
      <c r="C108" s="87"/>
      <c r="D108" s="87"/>
      <c r="E108" s="87"/>
      <c r="F108" s="87"/>
      <c r="G108" s="87"/>
      <c r="H108" s="87"/>
      <c r="O108" s="13"/>
    </row>
    <row r="109" customFormat="false" ht="15.75" hidden="false" customHeight="false" outlineLevel="0" collapsed="false">
      <c r="B109" s="4"/>
      <c r="O109" s="13"/>
    </row>
    <row r="110" customFormat="false" ht="15.75" hidden="false" customHeight="false" outlineLevel="0" collapsed="false">
      <c r="B110" s="13" t="s">
        <v>237</v>
      </c>
      <c r="O110" s="13"/>
    </row>
    <row r="111" customFormat="false" ht="15.75" hidden="false" customHeight="false" outlineLevel="0" collapsed="false">
      <c r="B111" s="30" t="s">
        <v>261</v>
      </c>
      <c r="G111" s="32" t="n">
        <f aca="false">ROUND(70*G101^0.25/5,0)*5</f>
        <v>300</v>
      </c>
      <c r="H111" s="1" t="s">
        <v>65</v>
      </c>
      <c r="O111" s="13"/>
    </row>
    <row r="112" customFormat="false" ht="15.75" hidden="false" customHeight="false" outlineLevel="0" collapsed="false">
      <c r="B112" s="30" t="s">
        <v>318</v>
      </c>
      <c r="F112" s="174"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0.378932856238816</v>
      </c>
      <c r="G112" s="32" t="n">
        <f aca="false">(G101*(1-G24)/4/IF(F112&lt;3.00607947,MIN(-0.0276*F112^3+0.08774*F112^2-0.2178*F112+0.6126,0.9),0.001)/0.000000056704)^0.25-G102</f>
        <v>31.5467263893755</v>
      </c>
      <c r="H112" s="1" t="s">
        <v>65</v>
      </c>
    </row>
    <row r="113" customFormat="false" ht="15.75" hidden="false" customHeight="false" outlineLevel="0" collapsed="false">
      <c r="B113" s="30" t="s">
        <v>357</v>
      </c>
      <c r="G113" s="32" t="n">
        <f aca="false">G112*IF(G82=10%,-0.03,IF(G82=25%,-0.07,IF(G82=50%,-0.16,IF(G82=75%,-0.29,IF(G82=90%,-0.44,0)))))</f>
        <v>-0.946401791681267</v>
      </c>
      <c r="H113" s="1" t="s">
        <v>65</v>
      </c>
      <c r="O113" s="13"/>
    </row>
    <row r="114" customFormat="false" ht="15.75" hidden="false" customHeight="false" outlineLevel="0" collapsed="false">
      <c r="A114" s="56"/>
      <c r="B114" s="30" t="s">
        <v>263</v>
      </c>
      <c r="G114" s="175" t="n">
        <f aca="false">IF(G44&gt;0,IF(G102*(-0.096*LOG(G44*101325*G103/(8314.46*(G102+G112)))+0.192)&gt;0,ROUND(G102*(-0.096*LOG(G44*101325*G103/(8314.46*(G102+G112)))+0.192),0),0),0)</f>
        <v>26</v>
      </c>
      <c r="H114" s="1" t="s">
        <v>65</v>
      </c>
    </row>
    <row r="115" customFormat="false" ht="15.75" hidden="false" customHeight="false" outlineLevel="0" collapsed="false">
      <c r="A115" s="56"/>
      <c r="B115" s="30" t="s">
        <v>264</v>
      </c>
      <c r="G115" s="175" t="n">
        <f aca="false">IF(G44&gt;0,IF(G102*(-0.028*LOG(G44*101325*G103/(8314.46*(G102+G112)))+0.056)&gt;0,ROUND(G102*(-0.028*LOG(G44*101325*G103/(8314.46*(G102+G112)))+0.056),0),0),0)</f>
        <v>8</v>
      </c>
      <c r="H115" s="1" t="s">
        <v>65</v>
      </c>
    </row>
    <row r="116" customFormat="false" ht="15.75" hidden="false" customHeight="false" outlineLevel="0" collapsed="false">
      <c r="A116" s="56"/>
      <c r="B116" s="30" t="s">
        <v>265</v>
      </c>
      <c r="G116" s="175" t="n">
        <f aca="false">IF(G44&gt;0,IF(G102*(-0.086*LOG(G44*101325*G103/(8314.46*(G102+G112)))+0.172)&gt;0,ROUND(G102*(-0.086*LOG(G44*101325*G103/(8314.46*(G102+G112)))+0.172),0),0),0)</f>
        <v>23</v>
      </c>
      <c r="H116" s="1" t="s">
        <v>65</v>
      </c>
    </row>
    <row r="117" customFormat="false" ht="15.75" hidden="false" customHeight="false" outlineLevel="0" collapsed="false">
      <c r="A117" s="56"/>
      <c r="B117" s="30" t="s">
        <v>266</v>
      </c>
      <c r="G117" s="165" t="n">
        <f aca="false">IF(G19="Planet",(COS(RADIANS(38.2425-G27))*G101*(1-G24)/(PI()*0.000000056704))^0.25-(COS(RADIANS(38.2425+G27))*G101*(1-G24)/(PI()*0.000000056704))^0.25,(COS(RADIANS(38.2425-G32))*G101*(1-G24)/(PI()*0.000000056704))^0.25-(COS(RADIANS(38.2425+G32))*G101*(1-G24)/(PI()*0.000000056704))^0.25)</f>
        <v>-0.143846556422545</v>
      </c>
      <c r="H117" s="1" t="s">
        <v>65</v>
      </c>
    </row>
    <row r="118" customFormat="false" ht="15.75" hidden="false" customHeight="false" outlineLevel="0" collapsed="false">
      <c r="A118" s="56"/>
      <c r="B118" s="30" t="s">
        <v>267</v>
      </c>
      <c r="G118" s="165" t="n">
        <f aca="false">IF(G19="Planet",IF(F25&gt;0,((F11/(F25*(1-G26)))^2*G17*(1-G24)/(4*0.000000056704))^0.25-((F11/(F25*(1+G26)))^2*G17*(1-G24)/(4*0.000000056704))^0.25,0),IF(F30&gt;0,((F11/(F30*(1-G31)))^2*G17*(1-G24)/(4*0.000000056704))^0.25-((F11/(F30*(1+G31)))^2*G17*(1-G24)/(4*0.000000056704))^0.25,0))</f>
        <v>17.1994219877739</v>
      </c>
      <c r="H118" s="1" t="s">
        <v>65</v>
      </c>
      <c r="K118" s="32"/>
    </row>
    <row r="119" customFormat="false" ht="15.75" hidden="false" customHeight="false" outlineLevel="0" collapsed="false">
      <c r="A119" s="56"/>
      <c r="B119" s="30" t="s">
        <v>268</v>
      </c>
      <c r="G119" s="86" t="n">
        <f aca="false">IF(F20&gt;0,IF(G100&gt;0,IF((G100*(F38/F20)^0.5)^(2/3)&lt;400,0.0009*(G100*(F38/F20)^0.5)^(2/3),IF((G100*(F38/F20)^0.5)^(2/3)&lt;1600,-0.0000003333333333*((G100*(F38/F20)^0.5)^(2/3))^2+0.0012*((G100*(F38/F20)^0.5)^(2/3))-0.06666666667,1)),1),1)</f>
        <v>1</v>
      </c>
      <c r="I119" s="84"/>
      <c r="K119" s="32"/>
    </row>
    <row r="120" customFormat="false" ht="15.75" hidden="false" customHeight="false" outlineLevel="0" collapsed="false">
      <c r="A120" s="56"/>
      <c r="G120" s="54"/>
    </row>
    <row r="121" customFormat="false" ht="15.75" hidden="false" customHeight="false" outlineLevel="0" collapsed="false">
      <c r="A121" s="56"/>
      <c r="B121" s="57" t="s">
        <v>138</v>
      </c>
      <c r="C121" s="57"/>
      <c r="D121" s="57"/>
      <c r="E121" s="57"/>
      <c r="F121" s="57"/>
      <c r="G121" s="57"/>
      <c r="H121" s="57"/>
    </row>
    <row r="122" customFormat="false" ht="15.75" hidden="false" customHeight="false" outlineLevel="0" collapsed="false">
      <c r="A122" s="56"/>
      <c r="B122" s="6" t="s">
        <v>140</v>
      </c>
      <c r="C122" s="6"/>
      <c r="D122" s="6"/>
      <c r="E122" s="6"/>
      <c r="F122" s="6"/>
      <c r="G122" s="6"/>
      <c r="H122" s="6"/>
    </row>
    <row r="123" customFormat="false" ht="15.75" hidden="false" customHeight="false" outlineLevel="0" collapsed="false">
      <c r="A123" s="56"/>
      <c r="G123" s="54"/>
    </row>
    <row r="124" customFormat="false" ht="15.75" hidden="false" customHeight="false" outlineLevel="0" collapsed="false">
      <c r="A124" s="56"/>
      <c r="B124" s="30" t="s">
        <v>142</v>
      </c>
      <c r="G124" s="54" t="n">
        <f aca="false">IF(F20&gt;0,IF(F38&gt;0,F20/F38,0.1),0.1)</f>
        <v>0.1</v>
      </c>
    </row>
    <row r="125" customFormat="false" ht="15.75" hidden="false" customHeight="false" outlineLevel="0" collapsed="false">
      <c r="A125" s="56"/>
      <c r="B125" s="30" t="s">
        <v>144</v>
      </c>
      <c r="G125" s="32" t="n">
        <f aca="false">(F150-F166)/LN(H166/H150)</f>
        <v>4607.00328923491</v>
      </c>
      <c r="H125" s="1" t="s">
        <v>33</v>
      </c>
    </row>
    <row r="126" customFormat="false" ht="15.75" hidden="false" customHeight="false" outlineLevel="0" collapsed="false">
      <c r="A126" s="56"/>
      <c r="B126" s="30" t="s">
        <v>146</v>
      </c>
      <c r="G126" s="54" t="n">
        <f aca="false">(G124-0.09412)/0.90588*(1-IF(G125&gt;3344.087,0.16684*LOG(G125)^2-1.8388*LOG(G125)+5.4082,1))+IF(G125&gt;3344.087,0.16684*LOG(G125)^2-1.8388*LOG(G125)+5.4082,1)</f>
        <v>0.911582470739973</v>
      </c>
    </row>
    <row r="127" customFormat="false" ht="15.75" hidden="false" customHeight="false" outlineLevel="0" collapsed="false">
      <c r="A127" s="56"/>
    </row>
    <row r="128" customFormat="false" ht="15.75" hidden="false" customHeight="false" outlineLevel="0" collapsed="false">
      <c r="A128" s="56"/>
      <c r="B128" s="30" t="s">
        <v>149</v>
      </c>
      <c r="F128" s="58" t="s">
        <v>150</v>
      </c>
      <c r="G128" s="59" t="n">
        <f aca="false">G126</f>
        <v>0.911582470739973</v>
      </c>
    </row>
    <row r="129" customFormat="false" ht="15.75" hidden="false" customHeight="false" outlineLevel="0" collapsed="false">
      <c r="A129" s="56"/>
      <c r="B129" s="30" t="s">
        <v>152</v>
      </c>
      <c r="G129" s="176" t="n">
        <f aca="false">'Other CFG'!B11</f>
        <v>55000</v>
      </c>
      <c r="H129" s="1" t="s">
        <v>33</v>
      </c>
    </row>
    <row r="131" customFormat="false" ht="15.75" hidden="false" customHeight="false" outlineLevel="0" collapsed="false">
      <c r="B131" s="6" t="s">
        <v>358</v>
      </c>
      <c r="C131" s="6"/>
      <c r="D131" s="6"/>
      <c r="E131" s="6"/>
      <c r="F131" s="6"/>
      <c r="G131" s="6"/>
      <c r="H131" s="6"/>
      <c r="I131" s="6"/>
      <c r="J131" s="6"/>
      <c r="K131" s="6"/>
      <c r="L131" s="6"/>
      <c r="M131" s="6"/>
      <c r="N131" s="6"/>
      <c r="O131" s="6"/>
      <c r="P131" s="6"/>
      <c r="Q131" s="6"/>
    </row>
    <row r="132" customFormat="false" ht="15.75" hidden="false" customHeight="false" outlineLevel="0" collapsed="false">
      <c r="B132" s="6" t="s">
        <v>359</v>
      </c>
      <c r="C132" s="6"/>
      <c r="D132" s="6"/>
      <c r="E132" s="6"/>
      <c r="F132" s="6"/>
      <c r="G132" s="6"/>
      <c r="H132" s="6"/>
      <c r="I132" s="6"/>
      <c r="J132" s="6"/>
      <c r="K132" s="6"/>
      <c r="L132" s="6"/>
      <c r="M132" s="6"/>
      <c r="N132" s="6"/>
      <c r="O132" s="6"/>
      <c r="P132" s="6"/>
      <c r="Q132" s="6"/>
    </row>
    <row r="133" customFormat="false" ht="15.75" hidden="false" customHeight="false" outlineLevel="0" collapsed="false">
      <c r="B133" s="6" t="s">
        <v>360</v>
      </c>
      <c r="C133" s="6"/>
      <c r="D133" s="6"/>
      <c r="E133" s="6"/>
      <c r="F133" s="6"/>
      <c r="G133" s="6"/>
      <c r="H133" s="6"/>
      <c r="I133" s="6"/>
      <c r="J133" s="6"/>
      <c r="K133" s="6"/>
      <c r="L133" s="6"/>
      <c r="M133" s="6"/>
      <c r="N133" s="6"/>
      <c r="O133" s="6"/>
      <c r="P133" s="6"/>
      <c r="Q133" s="6"/>
    </row>
    <row r="134" customFormat="false" ht="15.75" hidden="false" customHeight="false" outlineLevel="0" collapsed="false">
      <c r="J134" s="32"/>
    </row>
    <row r="135" customFormat="false" ht="15.75" hidden="false" customHeight="false" outlineLevel="0" collapsed="false">
      <c r="B135" s="30" t="s">
        <v>164</v>
      </c>
      <c r="J135" s="32"/>
    </row>
    <row r="136" customFormat="false" ht="15.75" hidden="false" customHeight="false" outlineLevel="0" collapsed="false">
      <c r="B136" s="30" t="s">
        <v>166</v>
      </c>
      <c r="J136" s="32"/>
    </row>
    <row r="137" customFormat="false" ht="15.75" hidden="false" customHeight="false" outlineLevel="0" collapsed="false">
      <c r="B137" s="30" t="s">
        <v>168</v>
      </c>
      <c r="J137" s="32"/>
    </row>
    <row r="138" customFormat="false" ht="15.75" hidden="false" customHeight="false" outlineLevel="0" collapsed="false">
      <c r="B138" s="30" t="s">
        <v>170</v>
      </c>
      <c r="J138" s="32"/>
    </row>
    <row r="139" customFormat="false" ht="15.75" hidden="false" customHeight="false" outlineLevel="0" collapsed="false">
      <c r="B139" s="30" t="s">
        <v>172</v>
      </c>
      <c r="J139" s="32"/>
    </row>
    <row r="140" customFormat="false" ht="15.75" hidden="false" customHeight="false" outlineLevel="0" collapsed="false">
      <c r="B140" s="30" t="s">
        <v>174</v>
      </c>
      <c r="J140" s="32"/>
    </row>
    <row r="141" customFormat="false" ht="15.75" hidden="false" customHeight="false" outlineLevel="0" collapsed="false">
      <c r="B141" s="30" t="s">
        <v>272</v>
      </c>
      <c r="J141" s="32"/>
    </row>
    <row r="142" customFormat="false" ht="15.75" hidden="false" customHeight="false" outlineLevel="0" collapsed="false">
      <c r="B142" s="30" t="s">
        <v>273</v>
      </c>
      <c r="J142" s="32"/>
    </row>
    <row r="143" customFormat="false" ht="15.75" hidden="false" customHeight="false" outlineLevel="0" collapsed="false">
      <c r="B143" s="30" t="s">
        <v>274</v>
      </c>
      <c r="J143" s="32"/>
    </row>
    <row r="144" customFormat="false" ht="15.75" hidden="false" customHeight="false" outlineLevel="0" collapsed="false">
      <c r="B144" s="30" t="s">
        <v>275</v>
      </c>
      <c r="J144" s="32"/>
      <c r="K144" s="88" t="s">
        <v>322</v>
      </c>
      <c r="L144" s="177" t="n">
        <f aca="false">IF(G124&lt;1,46.5182*LOG(G124)^2+1,1)</f>
        <v>47.5182</v>
      </c>
      <c r="M144" s="1" t="s">
        <v>323</v>
      </c>
    </row>
    <row r="145" customFormat="false" ht="15.75" hidden="false" customHeight="false" outlineLevel="0" collapsed="false">
      <c r="C145" s="10"/>
    </row>
    <row r="146" customFormat="false" ht="15.75" hidden="false" customHeight="false" outlineLevel="0" collapsed="false">
      <c r="B146" s="10"/>
      <c r="C146" s="10" t="s">
        <v>177</v>
      </c>
      <c r="F146" s="10"/>
      <c r="N146" s="10" t="s">
        <v>178</v>
      </c>
      <c r="O146" s="10" t="s">
        <v>278</v>
      </c>
      <c r="P146" s="10" t="s">
        <v>279</v>
      </c>
      <c r="Q146" s="10" t="s">
        <v>280</v>
      </c>
    </row>
    <row r="147" customFormat="false" ht="15.75" hidden="false" customHeight="false" outlineLevel="0" collapsed="false">
      <c r="B147" s="10" t="s">
        <v>180</v>
      </c>
      <c r="C147" s="10" t="s">
        <v>181</v>
      </c>
      <c r="D147" s="10" t="s">
        <v>182</v>
      </c>
      <c r="E147" s="10" t="s">
        <v>183</v>
      </c>
      <c r="F147" s="10" t="s">
        <v>184</v>
      </c>
      <c r="G147" s="10" t="s">
        <v>98</v>
      </c>
      <c r="H147" s="10" t="s">
        <v>185</v>
      </c>
      <c r="I147" s="10" t="s">
        <v>186</v>
      </c>
      <c r="J147" s="10" t="s">
        <v>281</v>
      </c>
      <c r="K147" s="10" t="s">
        <v>282</v>
      </c>
      <c r="L147" s="10" t="s">
        <v>283</v>
      </c>
      <c r="M147" s="10" t="s">
        <v>284</v>
      </c>
      <c r="N147" s="10" t="s">
        <v>187</v>
      </c>
      <c r="O147" s="10" t="s">
        <v>181</v>
      </c>
      <c r="P147" s="10" t="s">
        <v>285</v>
      </c>
      <c r="Q147" s="10" t="s">
        <v>286</v>
      </c>
    </row>
    <row r="148" customFormat="false" ht="15.75" hidden="false" customHeight="false" outlineLevel="0" collapsed="false">
      <c r="B148" s="10" t="s">
        <v>189</v>
      </c>
      <c r="C148" s="10" t="s">
        <v>65</v>
      </c>
      <c r="D148" s="10" t="s">
        <v>190</v>
      </c>
      <c r="E148" s="10" t="s">
        <v>191</v>
      </c>
      <c r="F148" s="10" t="s">
        <v>33</v>
      </c>
      <c r="G148" s="10" t="s">
        <v>33</v>
      </c>
      <c r="H148" s="10" t="s">
        <v>192</v>
      </c>
      <c r="I148" s="10" t="s">
        <v>193</v>
      </c>
      <c r="J148" s="10" t="s">
        <v>287</v>
      </c>
      <c r="K148" s="10" t="s">
        <v>287</v>
      </c>
      <c r="L148" s="10" t="s">
        <v>192</v>
      </c>
      <c r="M148" s="10" t="s">
        <v>135</v>
      </c>
      <c r="N148" s="10" t="s">
        <v>33</v>
      </c>
      <c r="O148" s="10" t="s">
        <v>65</v>
      </c>
      <c r="P148" s="10" t="s">
        <v>288</v>
      </c>
      <c r="Q148" s="10" t="s">
        <v>288</v>
      </c>
    </row>
    <row r="149" customFormat="false" ht="15.75" hidden="false" customHeight="false" outlineLevel="0" collapsed="false">
      <c r="B149" s="10"/>
      <c r="D149" s="10"/>
      <c r="E149" s="61"/>
      <c r="O149" s="10"/>
    </row>
    <row r="150" s="1" customFormat="true" ht="15.75" hidden="false" customHeight="false" outlineLevel="0" collapsed="false">
      <c r="B150" s="62" t="n">
        <f aca="false">LOG(IF(G44&gt;=0.001,G44,0.001))</f>
        <v>0.386855529184724</v>
      </c>
      <c r="C150" s="63" t="n">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224.758793717874</v>
      </c>
      <c r="D150" s="10"/>
      <c r="E150" s="61" t="n">
        <v>0</v>
      </c>
      <c r="F150" s="61" t="n">
        <v>0</v>
      </c>
      <c r="G150" s="61" t="n">
        <f aca="false">8314.4621*C150/(G$103*G$99*9.80665)</f>
        <v>5650.00976744617</v>
      </c>
      <c r="H150" s="64" t="n">
        <f aca="false">10^B150*101325</f>
        <v>246929.025</v>
      </c>
      <c r="I150" s="64" t="n">
        <f aca="false">H150/(8314.4621/G$103*C150)</f>
        <v>3.66194392060439</v>
      </c>
      <c r="J150" s="61" t="n">
        <f aca="false">SQRT(8314.4621/G$103*G$105*C150)</f>
        <v>307.366537312669</v>
      </c>
      <c r="K150" s="61" t="n">
        <f aca="false">IF(F$20&gt;0,SQRT(2*G$98/(F$20+N150)),10000)</f>
        <v>4003.05148002428</v>
      </c>
      <c r="L150" s="64" t="n">
        <f aca="false">I150*K150^2/2</f>
        <v>29340265.8088811</v>
      </c>
      <c r="M150" s="64" t="n">
        <f aca="false">I150*K150^3/2</f>
        <v>117450594470.547</v>
      </c>
      <c r="N150" s="61" t="n">
        <f aca="false">F150*IF(G$128&gt;0,G$128,0.5)</f>
        <v>0</v>
      </c>
      <c r="O150" s="61" t="n">
        <f aca="false">C150-P150*(G$115+(G$114-G$115)*COS(RADIANS(38)))/2</f>
        <v>213.666696935413</v>
      </c>
      <c r="P150" s="89" t="n">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0" t="str">
        <f aca="false">IF(L150&gt;L$144,"|",IF(L149&gt;L$144,"V",""))</f>
        <v>|</v>
      </c>
    </row>
    <row r="151" customFormat="false" ht="15.75" hidden="false" customHeight="false" outlineLevel="0" collapsed="false">
      <c r="A151" s="32"/>
      <c r="B151" s="62" t="n">
        <f aca="false">B150-0.25</f>
        <v>0.136855529184724</v>
      </c>
      <c r="C151" s="65"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217.118200405264</v>
      </c>
      <c r="D151" s="64" t="n">
        <f aca="false">(C151-C150)/(E151-E150)</f>
        <v>-0.00236619186296172</v>
      </c>
      <c r="E151" s="61" t="n">
        <f aca="false">IF(D151=0,(8314.4621*C150*LN(H151/H150)/(-G$99*9.80665*G$103)),C150/D151*(1/(H151/H150)^(8314.4621*D151/(G$99*9.80665*G$103))-1))+E150</f>
        <v>3185.23884379862</v>
      </c>
      <c r="F151" s="61" t="n">
        <f aca="false">F$38*E151/(F$38-E151)</f>
        <v>3186.7508341174</v>
      </c>
      <c r="G151" s="61" t="n">
        <f aca="false">8314.4621*C151/(G$103*G$99*9.80665)</f>
        <v>5457.93974370545</v>
      </c>
      <c r="H151" s="64" t="n">
        <f aca="false">10^B151*101325</f>
        <v>138858.395146461</v>
      </c>
      <c r="I151" s="64" t="n">
        <f aca="false">H151/(8314.4621/G$103*C151)</f>
        <v>2.13172977416716</v>
      </c>
      <c r="J151" s="61" t="n">
        <f aca="false">SQRT(8314.4621/G$103*G$105*C151)</f>
        <v>302.096959016021</v>
      </c>
      <c r="K151" s="61" t="n">
        <f aca="false">IF(F$20&gt;0,SQRT(2*G$98/(F$20+N151)),10000)</f>
        <v>3994.41856445775</v>
      </c>
      <c r="L151" s="64" t="n">
        <f aca="false">I151*K151^2/2</f>
        <v>17006278.9482988</v>
      </c>
      <c r="M151" s="64" t="n">
        <f aca="false">I151*K151^3/2</f>
        <v>67930196343.4315</v>
      </c>
      <c r="N151" s="61" t="n">
        <f aca="false">F151*IF(G$128&gt;0,G$128,0.5)</f>
        <v>2904.98619899741</v>
      </c>
      <c r="O151" s="61" t="n">
        <f aca="false">C151-P151*(G$115+(G$114-G$115)*COS(RADIANS(38)))/2</f>
        <v>209.48694638635</v>
      </c>
      <c r="P151" s="89" t="n">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0.687990212182494</v>
      </c>
      <c r="Q151" s="10" t="str">
        <f aca="false">IF(L151&gt;L$144,"|",IF(L150&gt;L$144,"V",""))</f>
        <v>|</v>
      </c>
    </row>
    <row r="152" customFormat="false" ht="15.75" hidden="false" customHeight="false" outlineLevel="0" collapsed="false">
      <c r="A152" s="32"/>
      <c r="B152" s="62" t="n">
        <f aca="false">B151-0.25</f>
        <v>-0.113144470815276</v>
      </c>
      <c r="C152" s="65" t="n">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210.21267126577</v>
      </c>
      <c r="D152" s="64" t="n">
        <f aca="false">(C152-C151)/(E152-E151)</f>
        <v>-0.00223419566568341</v>
      </c>
      <c r="E152" s="61" t="n">
        <f aca="false">IF(D152=0,(8314.4621*C151*LN(H152/H151)/(-G$99*9.80665*G$103)),C151/D152*(1/(H152/H151)^(8314.4621*D152/(G$99*9.80665*G$103))-1))+E151</f>
        <v>6276.8361349897</v>
      </c>
      <c r="F152" s="61" t="n">
        <f aca="false">F$38*E152/(F$38-E152)</f>
        <v>6282.7103078854</v>
      </c>
      <c r="G152" s="61" t="n">
        <f aca="false">8314.4621*C152/(G$103*G$99*9.80665)</f>
        <v>5284.34783905899</v>
      </c>
      <c r="H152" s="64" t="n">
        <f aca="false">10^B152*101325</f>
        <v>78085.8139404659</v>
      </c>
      <c r="I152" s="64" t="n">
        <f aca="false">H152/(8314.4621/G$103*C152)</f>
        <v>1.23813924838967</v>
      </c>
      <c r="J152" s="61" t="n">
        <f aca="false">SQRT(8314.4621/G$103*G$105*C152)</f>
        <v>297.253983807566</v>
      </c>
      <c r="K152" s="61" t="n">
        <f aca="false">IF(F$20&gt;0,SQRT(2*G$98/(F$20+N152)),10000)</f>
        <v>3986.08486724711</v>
      </c>
      <c r="L152" s="64" t="n">
        <f aca="false">I152*K152^2/2</f>
        <v>9836318.37010632</v>
      </c>
      <c r="M152" s="64" t="n">
        <f aca="false">I152*K152^3/2</f>
        <v>39208399804.5055</v>
      </c>
      <c r="N152" s="61" t="n">
        <f aca="false">F152*IF(G$128&gt;0,G$128,0.5)</f>
        <v>5727.20858540567</v>
      </c>
      <c r="O152" s="61" t="n">
        <f aca="false">C152-P152*(G$115+(G$114-G$115)*COS(RADIANS(38)))/2</f>
        <v>205.739624190856</v>
      </c>
      <c r="P152" s="89" t="n">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0.403264338802704</v>
      </c>
      <c r="Q152" s="10" t="str">
        <f aca="false">IF(L152&gt;L$144,"|",IF(L151&gt;L$144,"V",""))</f>
        <v>|</v>
      </c>
    </row>
    <row r="153" customFormat="false" ht="15.75" hidden="false" customHeight="false" outlineLevel="0" collapsed="false">
      <c r="A153" s="32"/>
      <c r="B153" s="62" t="n">
        <f aca="false">B152-0.25</f>
        <v>-0.363144470815276</v>
      </c>
      <c r="C153" s="65" t="n">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203.754584867117</v>
      </c>
      <c r="D153" s="64" t="n">
        <f aca="false">(C153-C152)/(E153-E152)</f>
        <v>-0.0021563689601304</v>
      </c>
      <c r="E153" s="61" t="n">
        <f aca="false">IF(D153=0,(8314.4621*C152*LN(H153/H152)/(-G$99*9.80665*G$103)),C152/D153*(1/(H153/H152)^(8314.4621*D153/(G$99*9.80665*G$103))-1))+E152</f>
        <v>9271.7810272422</v>
      </c>
      <c r="F153" s="61" t="n">
        <f aca="false">F$38*E153/(F$38-E153)</f>
        <v>9284.60390334369</v>
      </c>
      <c r="G153" s="61" t="n">
        <f aca="false">8314.4621*C153/(G$103*G$99*9.80665)</f>
        <v>5122.00379623945</v>
      </c>
      <c r="H153" s="64" t="n">
        <f aca="false">10^B153*101325</f>
        <v>43910.8800898486</v>
      </c>
      <c r="I153" s="64" t="n">
        <f aca="false">H153/(8314.4621/G$103*C153)</f>
        <v>0.718325016948244</v>
      </c>
      <c r="J153" s="61" t="n">
        <f aca="false">SQRT(8314.4621/G$103*G$105*C153)</f>
        <v>292.652294329351</v>
      </c>
      <c r="K153" s="61" t="n">
        <f aca="false">IF(F$20&gt;0,SQRT(2*G$98/(F$20+N153)),10000)</f>
        <v>3978.05398216628</v>
      </c>
      <c r="L153" s="64" t="n">
        <f aca="false">I153*K153^2/2</f>
        <v>5683715.62366897</v>
      </c>
      <c r="M153" s="64" t="n">
        <f aca="false">I153*K153^3/2</f>
        <v>22610127570.237</v>
      </c>
      <c r="N153" s="61" t="n">
        <f aca="false">F153*IF(G$128&gt;0,G$128,0.5)</f>
        <v>8463.68216605204</v>
      </c>
      <c r="O153" s="61" t="n">
        <f aca="false">C153-P153*(G$115+(G$114-G$115)*COS(RADIANS(38)))/2</f>
        <v>202.012724524107</v>
      </c>
      <c r="P153" s="89" t="n">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0.157036165223872</v>
      </c>
      <c r="Q153" s="10" t="str">
        <f aca="false">IF(L153&gt;L$144,"|",IF(L152&gt;L$144,"V",""))</f>
        <v>|</v>
      </c>
    </row>
    <row r="154" customFormat="false" ht="15.75" hidden="false" customHeight="false" outlineLevel="0" collapsed="false">
      <c r="A154" s="32"/>
      <c r="B154" s="62" t="n">
        <f aca="false">B153-0.25</f>
        <v>-0.613144470815276</v>
      </c>
      <c r="C154" s="65" t="n">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197.613597824937</v>
      </c>
      <c r="D154" s="64" t="n">
        <f aca="false">(C154-C153)/(E154-E153)</f>
        <v>-0.00211522486378462</v>
      </c>
      <c r="E154" s="61" t="n">
        <f aca="false">IF(D154=0,(8314.4621*C153*LN(H154/H153)/(-G$99*9.80665*G$103)),C153/D154*(1/(H154/H153)^(8314.4621*D154/(G$99*9.80665*G$103))-1))+E153</f>
        <v>12175.5760348681</v>
      </c>
      <c r="F154" s="61" t="n">
        <f aca="false">F$38*E154/(F$38-E154)</f>
        <v>12197.698132128</v>
      </c>
      <c r="G154" s="61" t="n">
        <f aca="false">8314.4621*C154/(G$103*G$99*9.80665)</f>
        <v>4967.63102978998</v>
      </c>
      <c r="H154" s="64" t="n">
        <f aca="false">10^B154*101325</f>
        <v>24692.9025</v>
      </c>
      <c r="I154" s="64" t="n">
        <f aca="false">H154/(8314.4621/G$103*C154)</f>
        <v>0.416496692189509</v>
      </c>
      <c r="J154" s="61" t="n">
        <f aca="false">SQRT(8314.4621/G$103*G$105*C154)</f>
        <v>288.208410883791</v>
      </c>
      <c r="K154" s="61" t="n">
        <f aca="false">IF(F$20&gt;0,SQRT(2*G$98/(F$20+N154)),10000)</f>
        <v>3970.30688561875</v>
      </c>
      <c r="L154" s="64" t="n">
        <f aca="false">I154*K154^2/2</f>
        <v>3282688.8104524</v>
      </c>
      <c r="M154" s="64" t="n">
        <f aca="false">I154*K154^3/2</f>
        <v>13033281987.4828</v>
      </c>
      <c r="N154" s="61" t="n">
        <f aca="false">F154*IF(G$128&gt;0,G$128,0.5)</f>
        <v>11119.2078006256</v>
      </c>
      <c r="O154" s="61" t="n">
        <f aca="false">C154-P154*(G$115+(G$114-G$115)*COS(RADIANS(38)))/2</f>
        <v>198.083466918173</v>
      </c>
      <c r="P154" s="89" t="n">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-0.0423607098325027</v>
      </c>
      <c r="Q154" s="10" t="str">
        <f aca="false">IF(L154&gt;L$144,"|",IF(L153&gt;L$144,"V",""))</f>
        <v>|</v>
      </c>
    </row>
    <row r="155" customFormat="false" ht="15.75" hidden="false" customHeight="false" outlineLevel="0" collapsed="false">
      <c r="A155" s="32"/>
      <c r="B155" s="62" t="n">
        <f aca="false">B154-0.25</f>
        <v>-0.863144470815276</v>
      </c>
      <c r="C155" s="65" t="n">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191.785571747725</v>
      </c>
      <c r="D155" s="64" t="n">
        <f aca="false">(C155-C154)/(E155-E154)</f>
        <v>-0.00207001362431519</v>
      </c>
      <c r="E155" s="61" t="n">
        <f aca="false">IF(D155=0,(8314.4621*C154*LN(H155/H154)/(-G$99*9.80665*G$103)),C154/D155*(1/(H155/H154)^(8314.4621*D155/(G$99*9.80665*G$103))-1))+E154</f>
        <v>14992.7699263569</v>
      </c>
      <c r="F155" s="61" t="n">
        <f aca="false">F$38*E155/(F$38-E155)</f>
        <v>15026.32773803</v>
      </c>
      <c r="G155" s="61" t="n">
        <f aca="false">8314.4621*C155/(G$103*G$99*9.80665)</f>
        <v>4821.1255083975</v>
      </c>
      <c r="H155" s="64" t="n">
        <f aca="false">10^B155*101325</f>
        <v>13885.8395146461</v>
      </c>
      <c r="I155" s="64" t="n">
        <f aca="false">H155/(8314.4621/G$103*C155)</f>
        <v>0.241330631965533</v>
      </c>
      <c r="J155" s="61" t="n">
        <f aca="false">SQRT(8314.4621/G$103*G$105*C155)</f>
        <v>283.926679899512</v>
      </c>
      <c r="K155" s="61" t="n">
        <f aca="false">IF(F$20&gt;0,SQRT(2*G$98/(F$20+N155)),10000)</f>
        <v>3962.82756267649</v>
      </c>
      <c r="L155" s="64" t="n">
        <f aca="false">I155*K155^2/2</f>
        <v>1894928.39869896</v>
      </c>
      <c r="M155" s="64" t="n">
        <f aca="false">I155*K155^3/2</f>
        <v>7509274487.66267</v>
      </c>
      <c r="N155" s="61" t="n">
        <f aca="false">F155*IF(G$128&gt;0,G$128,0.5)</f>
        <v>13697.736965582</v>
      </c>
      <c r="O155" s="61" t="n">
        <f aca="false">C155-P155*(G$115+(G$114-G$115)*COS(RADIANS(38)))/2</f>
        <v>193.873390094176</v>
      </c>
      <c r="P155" s="89" t="n">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-0.188225759962073</v>
      </c>
      <c r="Q155" s="10" t="str">
        <f aca="false">IF(L155&gt;L$144,"|",IF(L154&gt;L$144,"V",""))</f>
        <v>|</v>
      </c>
    </row>
    <row r="156" customFormat="false" ht="15.75" hidden="false" customHeight="false" outlineLevel="0" collapsed="false">
      <c r="A156" s="32"/>
      <c r="B156" s="62" t="n">
        <f aca="false">B155-0.25</f>
        <v>-1.11314447081528</v>
      </c>
      <c r="C156" s="65" t="n">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186.304436633651</v>
      </c>
      <c r="D156" s="64" t="n">
        <f aca="false">(C156-C155)/(E156-E155)</f>
        <v>-0.00200600348060251</v>
      </c>
      <c r="E156" s="61" t="n">
        <f aca="false">IF(D156=0,(8314.4621*C155*LN(H156/H155)/(-G$99*9.80665*G$103)),C155/D156*(1/(H156/H155)^(8314.4621*D156/(G$99*9.80665*G$103))-1))+E155</f>
        <v>17728.1393786373</v>
      </c>
      <c r="F156" s="61" t="n">
        <f aca="false">F$38*E156/(F$38-E156)</f>
        <v>17775.0783513092</v>
      </c>
      <c r="G156" s="61" t="n">
        <f aca="false">8314.4621*C156/(G$103*G$99*9.80665)</f>
        <v>4683.34016786003</v>
      </c>
      <c r="H156" s="64" t="n">
        <f aca="false">10^B156*101325</f>
        <v>7808.58139404659</v>
      </c>
      <c r="I156" s="64" t="n">
        <f aca="false">H156/(8314.4621/G$103*C156)</f>
        <v>0.139702823779117</v>
      </c>
      <c r="J156" s="61" t="n">
        <f aca="false">SQRT(8314.4621/G$103*G$105*C156)</f>
        <v>279.840028830961</v>
      </c>
      <c r="K156" s="61" t="n">
        <f aca="false">IF(F$20&gt;0,SQRT(2*G$98/(F$20+N156)),10000)</f>
        <v>3955.59979876738</v>
      </c>
      <c r="L156" s="64" t="n">
        <f aca="false">I156*K156^2/2</f>
        <v>1092948.95980625</v>
      </c>
      <c r="M156" s="64" t="n">
        <f aca="false">I156*K156^3/2</f>
        <v>4323268685.47263</v>
      </c>
      <c r="N156" s="61" t="n">
        <f aca="false">F156*IF(G$128&gt;0,G$128,0.5)</f>
        <v>16203.449841083</v>
      </c>
      <c r="O156" s="61" t="n">
        <f aca="false">C156-P156*(G$115+(G$114-G$115)*COS(RADIANS(38)))/2</f>
        <v>189.358057504078</v>
      </c>
      <c r="P156" s="89" t="n">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-0.27529699121052</v>
      </c>
      <c r="Q156" s="10" t="str">
        <f aca="false">IF(L156&gt;L$144,"|",IF(L155&gt;L$144,"V",""))</f>
        <v>|</v>
      </c>
    </row>
    <row r="157" customFormat="false" ht="15.75" hidden="false" customHeight="false" outlineLevel="0" collapsed="false">
      <c r="A157" s="32"/>
      <c r="B157" s="62" t="n">
        <f aca="false">B156-0.25</f>
        <v>-1.36314447081528</v>
      </c>
      <c r="C157" s="65" t="n">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181.424917658146</v>
      </c>
      <c r="D157" s="64" t="n">
        <f aca="false">(C157-C156)/(E157-E156)</f>
        <v>-0.00183703207389291</v>
      </c>
      <c r="E157" s="61" t="n">
        <f aca="false">IF(D157=0,(8314.4621*C156*LN(H157/H156)/(-G$99*9.80665*G$103)),C156/D157*(1/(H157/H156)^(8314.4621*D157/(G$99*9.80665*G$103))-1))+E156</f>
        <v>20388.5688506638</v>
      </c>
      <c r="F157" s="61" t="n">
        <f aca="false">F$38*E157/(F$38-E157)</f>
        <v>20450.6776802166</v>
      </c>
      <c r="G157" s="61" t="n">
        <f aca="false">8314.4621*C157/(G$103*G$99*9.80665)</f>
        <v>4560.67831594313</v>
      </c>
      <c r="H157" s="64" t="n">
        <f aca="false">10^B157*101325</f>
        <v>4391.08800898486</v>
      </c>
      <c r="I157" s="64" t="n">
        <f aca="false">H157/(8314.4621/G$103*C157)</f>
        <v>0.0806736017947325</v>
      </c>
      <c r="J157" s="61" t="n">
        <f aca="false">SQRT(8314.4621/G$103*G$105*C157)</f>
        <v>276.151054262509</v>
      </c>
      <c r="K157" s="61" t="n">
        <f aca="false">IF(F$20&gt;0,SQRT(2*G$98/(F$20+N157)),10000)</f>
        <v>3948.60223240973</v>
      </c>
      <c r="L157" s="64" t="n">
        <f aca="false">I157*K157^2/2</f>
        <v>628909.601172736</v>
      </c>
      <c r="M157" s="64" t="n">
        <f aca="false">I157*K157^3/2</f>
        <v>2483313855.17458</v>
      </c>
      <c r="N157" s="61" t="n">
        <f aca="false">F157*IF(G$128&gt;0,G$128,0.5)</f>
        <v>18642.4792880387</v>
      </c>
      <c r="O157" s="61" t="n">
        <f aca="false">C157-P157*(G$115+(G$114-G$115)*COS(RADIANS(38)))/2</f>
        <v>184.750818528844</v>
      </c>
      <c r="P157" s="89" t="n">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-0.29984419861508</v>
      </c>
      <c r="Q157" s="10" t="str">
        <f aca="false">IF(L157&gt;L$144,"|",IF(L156&gt;L$144,"V",""))</f>
        <v>|</v>
      </c>
    </row>
    <row r="158" customFormat="false" ht="15.75" hidden="false" customHeight="false" outlineLevel="0" collapsed="false">
      <c r="A158" s="32"/>
      <c r="B158" s="62" t="n">
        <f aca="false">B157-0.25</f>
        <v>-1.61314447081528</v>
      </c>
      <c r="C158" s="65" t="n">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177.147011347266</v>
      </c>
      <c r="D158" s="64" t="n">
        <f aca="false">(C158-C157)/(E158-E157)</f>
        <v>-0.00165245596129639</v>
      </c>
      <c r="E158" s="61" t="n">
        <f aca="false">IF(D158=0,(8314.4621*C157*LN(H158/H157)/(-G$99*9.80665*G$103)),C157/D158*(1/(H158/H157)^(8314.4621*D158/(G$99*9.80665*G$103))-1))+E157</f>
        <v>22982.7663347338</v>
      </c>
      <c r="F158" s="61" t="n">
        <f aca="false">F$38*E158/(F$38-E158)</f>
        <v>23061.7164609893</v>
      </c>
      <c r="G158" s="61" t="n">
        <f aca="false">8314.4621*C158/(G$103*G$99*9.80665)</f>
        <v>4453.13986531845</v>
      </c>
      <c r="H158" s="64" t="n">
        <f aca="false">10^B158*101325</f>
        <v>2469.29025</v>
      </c>
      <c r="I158" s="64" t="n">
        <f aca="false">H158/(8314.4621/G$103*C158)</f>
        <v>0.0464616417741358</v>
      </c>
      <c r="J158" s="61" t="n">
        <f aca="false">SQRT(8314.4621/G$103*G$105*C158)</f>
        <v>272.875882410084</v>
      </c>
      <c r="K158" s="61" t="n">
        <f aca="false">IF(F$20&gt;0,SQRT(2*G$98/(F$20+N158)),10000)</f>
        <v>3941.80919265031</v>
      </c>
      <c r="L158" s="64" t="n">
        <f aca="false">I158*K158^2/2</f>
        <v>360957.235920727</v>
      </c>
      <c r="M158" s="64" t="n">
        <f aca="false">I158*K158^3/2</f>
        <v>1422824550.70597</v>
      </c>
      <c r="N158" s="61" t="n">
        <f aca="false">F158*IF(G$128&gt;0,G$128,0.5)</f>
        <v>21022.6564710133</v>
      </c>
      <c r="O158" s="61" t="n">
        <f aca="false">C158-P158*(G$115+(G$114-G$115)*COS(RADIANS(38)))/2</f>
        <v>180.34955129029</v>
      </c>
      <c r="P158" s="89" t="n">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-0.288722682990645</v>
      </c>
      <c r="Q158" s="10" t="str">
        <f aca="false">IF(L158&gt;L$144,"|",IF(L157&gt;L$144,"V",""))</f>
        <v>|</v>
      </c>
    </row>
    <row r="159" s="1" customFormat="true" ht="15.75" hidden="false" customHeight="false" outlineLevel="0" collapsed="false">
      <c r="B159" s="62" t="n">
        <f aca="false">B158-0.25</f>
        <v>-1.86314447081528</v>
      </c>
      <c r="C159" s="65" t="n">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173.412307817656</v>
      </c>
      <c r="D159" s="64" t="n">
        <f aca="false">(C159-C158)/(E159-E158)</f>
        <v>-0.00147627477292394</v>
      </c>
      <c r="E159" s="61" t="n">
        <f aca="false">IF(D159=0,(8314.4621*C158*LN(H159/H158)/(-G$99*9.80665*G$103)),C158/D159*(1/(H159/H158)^(8314.4621*D159/(G$99*9.80665*G$103))-1))+E158</f>
        <v>25519.0127594222</v>
      </c>
      <c r="F159" s="61" t="n">
        <f aca="false">F$38*E159/(F$38-E159)</f>
        <v>25616.3862257973</v>
      </c>
      <c r="G159" s="61" t="n">
        <f aca="false">8314.4621*C159/(G$103*G$99*9.80665)</f>
        <v>4359.25650230621</v>
      </c>
      <c r="H159" s="64" t="n">
        <f aca="false">10^B159*101325</f>
        <v>1388.58395146461</v>
      </c>
      <c r="I159" s="64" t="n">
        <f aca="false">H159/(8314.4621/G$103*C159)</f>
        <v>0.0266899932387826</v>
      </c>
      <c r="J159" s="61" t="n">
        <f aca="false">SQRT(8314.4621/G$103*G$105*C159)</f>
        <v>269.984105565489</v>
      </c>
      <c r="K159" s="61" t="n">
        <f aca="false">IF(F$20&gt;0,SQRT(2*G$98/(F$20+N159)),10000)</f>
        <v>3935.19662412551</v>
      </c>
      <c r="L159" s="64" t="n">
        <f aca="false">I159*K159^2/2</f>
        <v>206657.58126787</v>
      </c>
      <c r="M159" s="64" t="n">
        <f aca="false">I159*K159^3/2</f>
        <v>813238216.155265</v>
      </c>
      <c r="N159" s="61" t="n">
        <f aca="false">F159*IF(G$128&gt;0,G$128,0.5)</f>
        <v>23351.4486471418</v>
      </c>
      <c r="O159" s="61" t="n">
        <f aca="false">C159-P159*(G$115+(G$114-G$115)*COS(RADIANS(38)))/2</f>
        <v>176.323799188315</v>
      </c>
      <c r="P159" s="89" t="n">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-0.262483408480715</v>
      </c>
      <c r="Q159" s="10" t="str">
        <f aca="false">IF(L159&gt;L$144,"|",IF(L158&gt;L$144,"V",""))</f>
        <v>|</v>
      </c>
    </row>
    <row r="160" customFormat="false" ht="15.75" hidden="false" customHeight="false" outlineLevel="0" collapsed="false">
      <c r="B160" s="62" t="n">
        <f aca="false">B159-0.25</f>
        <v>-2.11314447081528</v>
      </c>
      <c r="C160" s="65" t="n">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170.162397185964</v>
      </c>
      <c r="D160" s="64" t="n">
        <f aca="false">(C160-C159)/(E160-E159)</f>
        <v>-0.00131131818855085</v>
      </c>
      <c r="E160" s="61" t="n">
        <f aca="false">IF(D160=0,(8314.4621*C159*LN(H160/H159)/(-G$99*9.80665*G$103)),C159/D160*(1/(H160/H159)^(8314.4621*D160/(G$99*9.80665*G$103))-1))+E159</f>
        <v>28004.7437715634</v>
      </c>
      <c r="F160" s="61" t="n">
        <f aca="false">F$38*E160/(F$38-E160)</f>
        <v>28122.0544502125</v>
      </c>
      <c r="G160" s="61" t="n">
        <f aca="false">8314.4621*C160/(G$103*G$99*9.80665)</f>
        <v>4277.55991322665</v>
      </c>
      <c r="H160" s="64" t="n">
        <f aca="false">10^B160*101325</f>
        <v>780.858139404659</v>
      </c>
      <c r="I160" s="64" t="n">
        <f aca="false">H160/(8314.4621/G$103*C160)</f>
        <v>0.015295539032548</v>
      </c>
      <c r="J160" s="61" t="n">
        <f aca="false">SQRT(8314.4621/G$103*G$105*C160)</f>
        <v>267.442261377221</v>
      </c>
      <c r="K160" s="61" t="n">
        <f aca="false">IF(F$20&gt;0,SQRT(2*G$98/(F$20+N160)),10000)</f>
        <v>3928.74311331322</v>
      </c>
      <c r="L160" s="64" t="n">
        <f aca="false">I160*K160^2/2</f>
        <v>118043.49417922</v>
      </c>
      <c r="M160" s="64" t="n">
        <f aca="false">I160*K160^3/2</f>
        <v>463762564.82804</v>
      </c>
      <c r="N160" s="61" t="n">
        <f aca="false">F160*IF(G$128&gt;0,G$128,0.5)</f>
        <v>25635.5718780088</v>
      </c>
      <c r="O160" s="61" t="n">
        <f aca="false">C160-P160*(G$115+(G$114-G$115)*COS(RADIANS(38)))/2</f>
        <v>172.649109181913</v>
      </c>
      <c r="P160" s="89" t="n">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-0.224187729760973</v>
      </c>
      <c r="Q160" s="10" t="str">
        <f aca="false">IF(L160&gt;L$144,"|",IF(L159&gt;L$144,"V",""))</f>
        <v>|</v>
      </c>
    </row>
    <row r="161" customFormat="false" ht="15.75" hidden="false" customHeight="false" outlineLevel="0" collapsed="false">
      <c r="B161" s="62" t="n">
        <f aca="false">B160-0.25</f>
        <v>-2.36314447081528</v>
      </c>
      <c r="C161" s="65" t="n">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167.338869568836</v>
      </c>
      <c r="D161" s="64" t="n">
        <f aca="false">(C161-C160)/(E161-E160)</f>
        <v>-0.0012082072850161</v>
      </c>
      <c r="E161" s="61" t="n">
        <f aca="false">IF(D161=0,(8314.4621*C160*LN(H161/H160)/(-G$99*9.80665*G$103)),C160/D161*(1/(H161/H160)^(8314.4621*D161/(G$99*9.80665*G$103))-1))+E160</f>
        <v>30445.7046834957</v>
      </c>
      <c r="F161" s="61" t="n">
        <f aca="false">F$38*E161/(F$38-E161)</f>
        <v>30584.4074104894</v>
      </c>
      <c r="G161" s="61" t="n">
        <f aca="false">8314.4621*C161/(G$103*G$99*9.80665)</f>
        <v>4206.5817844</v>
      </c>
      <c r="H161" s="64" t="n">
        <f aca="false">10^B161*101325</f>
        <v>439.108800898486</v>
      </c>
      <c r="I161" s="64" t="n">
        <f aca="false">H161/(8314.4621/G$103*C161)</f>
        <v>0.00874644462491406</v>
      </c>
      <c r="J161" s="61" t="n">
        <f aca="false">SQRT(8314.4621/G$103*G$105*C161)</f>
        <v>265.214127014945</v>
      </c>
      <c r="K161" s="61" t="n">
        <f aca="false">IF(F$20&gt;0,SQRT(2*G$98/(F$20+N161)),10000)</f>
        <v>3922.43199579445</v>
      </c>
      <c r="L161" s="64" t="n">
        <f aca="false">I161*K161^2/2</f>
        <v>67284.0927688692</v>
      </c>
      <c r="M161" s="64" t="n">
        <f aca="false">I161*K161^3/2</f>
        <v>263917278.284615</v>
      </c>
      <c r="N161" s="61" t="n">
        <f aca="false">F161*IF(G$128&gt;0,G$128,0.5)</f>
        <v>27880.2096733719</v>
      </c>
      <c r="O161" s="61" t="n">
        <f aca="false">C161-P161*(G$115+(G$114-G$115)*COS(RADIANS(38)))/2</f>
        <v>169.29678600074</v>
      </c>
      <c r="P161" s="89" t="n">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-0.176514546375025</v>
      </c>
      <c r="Q161" s="10" t="str">
        <f aca="false">IF(L161&gt;L$144,"|",IF(L160&gt;L$144,"V",""))</f>
        <v>|</v>
      </c>
    </row>
    <row r="162" customFormat="false" ht="15.75" hidden="false" customHeight="false" outlineLevel="0" collapsed="false">
      <c r="B162" s="62" t="n">
        <f aca="false">B161-0.25</f>
        <v>-2.61314447081528</v>
      </c>
      <c r="C162" s="65" t="n">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164.883315082918</v>
      </c>
      <c r="D162" s="64" t="n">
        <f aca="false">(C162-C161)/(E162-E161)</f>
        <v>-0.00106870197446095</v>
      </c>
      <c r="E162" s="61" t="n">
        <f aca="false">IF(D162=0,(8314.4621*C161*LN(H162/H161)/(-G$99*9.80665*G$103)),C161/D162*(1/(H162/H161)^(8314.4621*D162/(G$99*9.80665*G$103))-1))+E161</f>
        <v>32848.579907481</v>
      </c>
      <c r="F162" s="61" t="n">
        <f aca="false">F$38*E162/(F$38-E162)</f>
        <v>33010.0984240664</v>
      </c>
      <c r="G162" s="61" t="n">
        <f aca="false">8314.4621*C162/(G$103*G$99*9.80665)</f>
        <v>4144.85380214651</v>
      </c>
      <c r="H162" s="64" t="n">
        <f aca="false">10^B162*101325</f>
        <v>246.929025</v>
      </c>
      <c r="I162" s="64" t="n">
        <f aca="false">H162/(8314.4621/G$103*C162)</f>
        <v>0.00499173671904667</v>
      </c>
      <c r="J162" s="61" t="n">
        <f aca="false">SQRT(8314.4621/G$103*G$105*C162)</f>
        <v>263.261040567593</v>
      </c>
      <c r="K162" s="61" t="n">
        <f aca="false">IF(F$20&gt;0,SQRT(2*G$98/(F$20+N162)),10000)</f>
        <v>3916.24448896218</v>
      </c>
      <c r="L162" s="64" t="n">
        <f aca="false">I162*K162^2/2</f>
        <v>38279.0603935677</v>
      </c>
      <c r="M162" s="64" t="n">
        <f aca="false">I162*K162^3/2</f>
        <v>149910159.30896</v>
      </c>
      <c r="N162" s="61" t="n">
        <f aca="false">F162*IF(G$128&gt;0,G$128,0.5)</f>
        <v>30091.4270807801</v>
      </c>
      <c r="O162" s="61" t="n">
        <f aca="false">C162-P162*(G$115+(G$114-G$115)*COS(RADIANS(38)))/2</f>
        <v>166.234330464912</v>
      </c>
      <c r="P162" s="89" t="n">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-0.121799819140622</v>
      </c>
      <c r="Q162" s="10" t="str">
        <f aca="false">IF(L162&gt;L$144,"|",IF(L161&gt;L$144,"V",""))</f>
        <v>|</v>
      </c>
    </row>
    <row r="163" customFormat="false" ht="15.75" hidden="false" customHeight="false" outlineLevel="0" collapsed="false">
      <c r="B163" s="62" t="n">
        <f aca="false">B162-0.25</f>
        <v>-2.86314447081528</v>
      </c>
      <c r="C163" s="65" t="n">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162.781789652105</v>
      </c>
      <c r="D163" s="64" t="n">
        <f aca="false">(C163-C162)/(E163-E162)</f>
        <v>-0.000928234234502461</v>
      </c>
      <c r="E163" s="61" t="n">
        <f aca="false">IF(D163=0,(8314.4621*C162*LN(H163/H162)/(-G$99*9.80665*G$103)),C162/D163*(1/(H163/H162)^(8314.4621*D163/(G$99*9.80665*G$103))-1))+E162</f>
        <v>35218.5966984264</v>
      </c>
      <c r="F163" s="61" t="n">
        <f aca="false">F$38*E163/(F$38-E163)</f>
        <v>35404.328945667</v>
      </c>
      <c r="G163" s="61" t="n">
        <f aca="false">8314.4621*C163/(G$103*G$99*9.80665)</f>
        <v>4092.02543884103</v>
      </c>
      <c r="H163" s="64" t="n">
        <f aca="false">10^B163*101325</f>
        <v>138.858395146461</v>
      </c>
      <c r="I163" s="64" t="n">
        <f aca="false">H163/(8314.4621/G$103*C163)</f>
        <v>0.00284329920015416</v>
      </c>
      <c r="J163" s="61" t="n">
        <f aca="false">SQRT(8314.4621/G$103*G$105*C163)</f>
        <v>261.577959530574</v>
      </c>
      <c r="K163" s="61" t="n">
        <f aca="false">IF(F$20&gt;0,SQRT(2*G$98/(F$20+N163)),10000)</f>
        <v>3910.16585749425</v>
      </c>
      <c r="L163" s="64" t="n">
        <f aca="false">I163*K163^2/2</f>
        <v>21736.1651775458</v>
      </c>
      <c r="M163" s="64" t="n">
        <f aca="false">I163*K163^3/2</f>
        <v>84992010.9500951</v>
      </c>
      <c r="N163" s="61" t="n">
        <f aca="false">F163*IF(G$128&gt;0,G$128,0.5)</f>
        <v>32273.9656551819</v>
      </c>
      <c r="O163" s="61" t="n">
        <f aca="false">C163-P163*(G$115+(G$114-G$115)*COS(RADIANS(38)))/2</f>
        <v>163.471142085414</v>
      </c>
      <c r="P163" s="89" t="n">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-0.0621480723463042</v>
      </c>
      <c r="Q163" s="10" t="str">
        <f aca="false">IF(L163&gt;L$144,"|",IF(L162&gt;L$144,"V",""))</f>
        <v>|</v>
      </c>
    </row>
    <row r="164" s="1" customFormat="true" ht="15.75" hidden="false" customHeight="false" outlineLevel="0" collapsed="false">
      <c r="B164" s="62" t="n">
        <f aca="false">B163-0.25</f>
        <v>-3.11314447081528</v>
      </c>
      <c r="C164" s="65" t="n">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160.869545571791</v>
      </c>
      <c r="D164" s="64" t="n">
        <f aca="false">(C164-C163)/(E164-E163)</f>
        <v>-0.000855822752538894</v>
      </c>
      <c r="E164" s="61" t="n">
        <f aca="false">IF(D164=0,(8314.4621*C163*LN(H164/H163)/(-G$99*9.80665*G$103)),C163/D164*(1/(H164/H163)^(8314.4621*D164/(G$99*9.80665*G$103))-1))+E163</f>
        <v>37559.6299239644</v>
      </c>
      <c r="F164" s="61" t="n">
        <f aca="false">F$38*E164/(F$38-E164)</f>
        <v>37770.9487049469</v>
      </c>
      <c r="G164" s="61" t="n">
        <f aca="false">8314.4621*C164/(G$103*G$99*9.80665)</f>
        <v>4043.95524967158</v>
      </c>
      <c r="H164" s="64" t="n">
        <f aca="false">10^B164*101325</f>
        <v>78.0858139404659</v>
      </c>
      <c r="I164" s="64" t="n">
        <f aca="false">H164/(8314.4621/G$103*C164)</f>
        <v>0.00161791069824856</v>
      </c>
      <c r="J164" s="61" t="n">
        <f aca="false">SQRT(8314.4621/G$103*G$105*C164)</f>
        <v>260.037005230234</v>
      </c>
      <c r="K164" s="61" t="n">
        <f aca="false">IF(F$20&gt;0,SQRT(2*G$98/(F$20+N164)),10000)</f>
        <v>3904.18505806154</v>
      </c>
      <c r="L164" s="64" t="n">
        <f aca="false">I164*K164^2/2</f>
        <v>12330.6321246206</v>
      </c>
      <c r="M164" s="64" t="n">
        <f aca="false">I164*K164^3/2</f>
        <v>48141069.6973976</v>
      </c>
      <c r="N164" s="61" t="n">
        <f aca="false">F164*IF(G$128&gt;0,G$128,0.5)</f>
        <v>34431.3347426483</v>
      </c>
      <c r="O164" s="61" t="n">
        <f aca="false">C164-P164*(G$115+(G$114-G$115)*COS(RADIANS(38)))/2</f>
        <v>160.863993136601</v>
      </c>
      <c r="P164" s="89" t="n">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0.00050057579728402</v>
      </c>
      <c r="Q164" s="10" t="str">
        <f aca="false">IF(L164&gt;L$144,"|",IF(L163&gt;L$144,"V",""))</f>
        <v>|</v>
      </c>
    </row>
    <row r="165" s="1" customFormat="true" ht="15.75" hidden="false" customHeight="false" outlineLevel="0" collapsed="false">
      <c r="B165" s="62" t="n">
        <f aca="false">B164-0.25</f>
        <v>-3.36314447081528</v>
      </c>
      <c r="C165" s="65" t="n">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159.154345538828</v>
      </c>
      <c r="D165" s="64" t="n">
        <f aca="false">(C165-C164)/(E165-E164)</f>
        <v>-0.00077689853649808</v>
      </c>
      <c r="E165" s="61" t="n">
        <f aca="false">IF(D165=0,(8314.4621*C164*LN(H165/H164)/(-G$99*9.80665*G$103)),C164/D165*(1/(H165/H164)^(8314.4621*D165/(G$99*9.80665*G$103))-1))+E164</f>
        <v>39874.481265119</v>
      </c>
      <c r="F165" s="61" t="n">
        <f aca="false">F$38*E165/(F$38-E165)</f>
        <v>40112.7330696919</v>
      </c>
      <c r="G165" s="61" t="n">
        <f aca="false">8314.4621*C165/(G$103*G$99*9.80665)</f>
        <v>4000.83837411328</v>
      </c>
      <c r="H165" s="64" t="n">
        <f aca="false">10^B165*101325</f>
        <v>43.9108800898486</v>
      </c>
      <c r="I165" s="64" t="n">
        <f aca="false">H165/(8314.4621/G$103*C165)</f>
        <v>0.000919623118881458</v>
      </c>
      <c r="J165" s="61" t="n">
        <f aca="false">SQRT(8314.4621/G$103*G$105*C165)</f>
        <v>258.647025793138</v>
      </c>
      <c r="K165" s="61" t="n">
        <f aca="false">IF(F$20&gt;0,SQRT(2*G$98/(F$20+N165)),10000)</f>
        <v>3898.29395303713</v>
      </c>
      <c r="L165" s="64" t="n">
        <f aca="false">I165*K165^2/2</f>
        <v>6987.61636852636</v>
      </c>
      <c r="M165" s="64" t="n">
        <f aca="false">I165*K165^3/2</f>
        <v>27239782.6355696</v>
      </c>
      <c r="N165" s="61" t="n">
        <f aca="false">F165*IF(G$128&gt;0,G$128,0.5)</f>
        <v>36566.0643198028</v>
      </c>
      <c r="O165" s="61" t="n">
        <f aca="false">C165-P165*(G$115+(G$114-G$115)*COS(RADIANS(38)))/2</f>
        <v>158.440796908427</v>
      </c>
      <c r="P165" s="89" t="n">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0.0643294630758333</v>
      </c>
      <c r="Q165" s="10" t="str">
        <f aca="false">IF(L165&gt;L$144,"|",IF(L164&gt;L$144,"V",""))</f>
        <v>|</v>
      </c>
    </row>
    <row r="166" s="1" customFormat="true" ht="15.75" hidden="false" customHeight="false" outlineLevel="0" collapsed="false">
      <c r="B166" s="62" t="n">
        <f aca="false">B165-0.25</f>
        <v>-3.61314447081528</v>
      </c>
      <c r="C166" s="65" t="n">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157.577779669861</v>
      </c>
      <c r="D166" s="64" t="n">
        <f aca="false">(C166-C165)/(E166-E165)</f>
        <v>-0.000721987888506606</v>
      </c>
      <c r="E166" s="61" t="n">
        <f aca="false">IF(D166=0,(8314.4621*C165*LN(H166/H165)/(-G$99*9.80665*G$103)),C165/D166*(1/(H166/H165)^(8314.4621*D166/(G$99*9.80665*G$103))-1))+E165</f>
        <v>42165.5599448961</v>
      </c>
      <c r="F166" s="61" t="n">
        <f aca="false">F$38*E166/(F$38-E166)</f>
        <v>42432.0683886674</v>
      </c>
      <c r="G166" s="61" t="n">
        <f aca="false">8314.4621*C166/(G$103*G$99*9.80665)</f>
        <v>3961.20649848635</v>
      </c>
      <c r="H166" s="64" t="n">
        <f aca="false">10^B166*101325</f>
        <v>24.6929025</v>
      </c>
      <c r="I166" s="64" t="n">
        <f aca="false">H166/(8314.4621/G$103*C166)</f>
        <v>0.00052231609049316</v>
      </c>
      <c r="J166" s="61" t="n">
        <f aca="false">SQRT(8314.4621/G$103*G$105*C166)</f>
        <v>257.362772617336</v>
      </c>
      <c r="K166" s="61" t="n">
        <f aca="false">IF(F$20&gt;0,SQRT(2*G$98/(F$20+N166)),10000)</f>
        <v>3892.48552884933</v>
      </c>
      <c r="L166" s="64" t="n">
        <f aca="false">I166*K166^2/2</f>
        <v>3956.92139122926</v>
      </c>
      <c r="M166" s="64" t="n">
        <f aca="false">I166*K166^3/2</f>
        <v>15402259.2541542</v>
      </c>
      <c r="N166" s="61" t="n">
        <f aca="false">F166*IF(G$128&gt;0,G$128,0.5)</f>
        <v>38680.3297403489</v>
      </c>
      <c r="O166" s="61" t="n">
        <f aca="false">C166-P166*(G$115+(G$114-G$115)*COS(RADIANS(38)))/2</f>
        <v>156.162064690801</v>
      </c>
      <c r="P166" s="89" t="n">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0.127632764735605</v>
      </c>
      <c r="Q166" s="10" t="str">
        <f aca="false">IF(L166&gt;L$144,"|",IF(L165&gt;L$144,"V",""))</f>
        <v>|</v>
      </c>
    </row>
    <row r="167" s="1" customFormat="true" ht="15.75" hidden="false" customHeight="false" outlineLevel="0" collapsed="false">
      <c r="B167" s="62" t="n">
        <f aca="false">B166-0.25</f>
        <v>-3.86314447081528</v>
      </c>
      <c r="C167" s="65" t="n">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156.081438081537</v>
      </c>
      <c r="D167" s="64" t="n">
        <f aca="false">(C167-C166)/(E167-E166)</f>
        <v>-0.000659352684178831</v>
      </c>
      <c r="E167" s="61" t="n">
        <f aca="false">IF(D167=0,(8314.4621*C166*LN(H167/H166)/(-G$99*9.80665*G$103)),C166/D167*(1/(H167/H166)^(8314.4621*D167/(G$99*9.80665*G$103))-1))+E166</f>
        <v>44434.9699650998</v>
      </c>
      <c r="F167" s="61" t="n">
        <f aca="false">F$38*E167/(F$38-E167)</f>
        <v>44731.0388544136</v>
      </c>
      <c r="G167" s="61" t="n">
        <f aca="false">8314.4621*C167/(G$103*G$99*9.80665)</f>
        <v>3923.59130911104</v>
      </c>
      <c r="H167" s="64" t="n">
        <f aca="false">10^B167*101325</f>
        <v>13.8858395146461</v>
      </c>
      <c r="I167" s="64" t="n">
        <f aca="false">H167/(8314.4621/G$103*C167)</f>
        <v>0.000296535794394531</v>
      </c>
      <c r="J167" s="61" t="n">
        <f aca="false">SQRT(8314.4621/G$103*G$105*C167)</f>
        <v>256.137913342736</v>
      </c>
      <c r="K167" s="61" t="n">
        <f aca="false">IF(F$20&gt;0,SQRT(2*G$98/(F$20+N167)),10000)</f>
        <v>3886.75365233837</v>
      </c>
      <c r="L167" s="64" t="n">
        <f aca="false">I167*K167^2/2</f>
        <v>2239.86146902068</v>
      </c>
      <c r="M167" s="64" t="n">
        <f aca="false">I167*K167^3/2</f>
        <v>8705789.74544811</v>
      </c>
      <c r="N167" s="61" t="n">
        <f aca="false">F167*IF(G$128&gt;0,G$128,0.5)</f>
        <v>40776.0309176721</v>
      </c>
      <c r="O167" s="61" t="n">
        <f aca="false">C167-P167*(G$115+(G$114-G$115)*COS(RADIANS(38)))/2</f>
        <v>153.987290112429</v>
      </c>
      <c r="P167" s="89" t="n">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0.188796402535874</v>
      </c>
      <c r="Q167" s="10" t="str">
        <f aca="false">IF(L167&gt;L$144,"|",IF(L166&gt;L$144,"V",""))</f>
        <v>|</v>
      </c>
    </row>
    <row r="168" s="1" customFormat="true" ht="15.75" hidden="false" customHeight="false" outlineLevel="0" collapsed="false">
      <c r="B168" s="62" t="n">
        <f aca="false">B167-0.25</f>
        <v>-4.11314447081528</v>
      </c>
      <c r="C168" s="65" t="n">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154.422571647367</v>
      </c>
      <c r="D168" s="64" t="n">
        <f aca="false">(C168-C167)/(E168-E167)</f>
        <v>-0.000738397352712662</v>
      </c>
      <c r="E168" s="61" t="n">
        <f aca="false">IF(D168=0,(8314.4621*C167*LN(H168/H167)/(-G$99*9.80665*G$103)),C167/D168*(1/(H168/H167)^(8314.4621*D168/(G$99*9.80665*G$103))-1))+E167</f>
        <v>46681.5468631287</v>
      </c>
      <c r="F168" s="61" t="n">
        <f aca="false">F$38*E168/(F$38-E168)</f>
        <v>47008.4204252974</v>
      </c>
      <c r="G168" s="61" t="n">
        <f aca="false">8314.4621*C168/(G$103*G$99*9.80665)</f>
        <v>3881.89055337681</v>
      </c>
      <c r="H168" s="64" t="n">
        <f aca="false">10^B168*101325</f>
        <v>7.80858139404659</v>
      </c>
      <c r="I168" s="64" t="n">
        <f aca="false">H168/(8314.4621/G$103*C168)</f>
        <v>0.000168545670510742</v>
      </c>
      <c r="J168" s="61" t="n">
        <f aca="false">SQRT(8314.4621/G$103*G$105*C168)</f>
        <v>254.773133488701</v>
      </c>
      <c r="K168" s="61" t="n">
        <f aca="false">IF(F$20&gt;0,SQRT(2*G$98/(F$20+N168)),10000)</f>
        <v>3881.10049516191</v>
      </c>
      <c r="L168" s="64" t="n">
        <f aca="false">I168*K168^2/2</f>
        <v>1269.39674986685</v>
      </c>
      <c r="M168" s="64" t="n">
        <f aca="false">I168*K168^3/2</f>
        <v>4926656.35446516</v>
      </c>
      <c r="N168" s="61" t="n">
        <f aca="false">F168*IF(G$128&gt;0,G$128,0.5)</f>
        <v>42852.052036876</v>
      </c>
      <c r="O168" s="61" t="n">
        <f aca="false">C168-P168*(G$115+(G$114-G$115)*COS(RADIANS(38)))/2</f>
        <v>151.691606214232</v>
      </c>
      <c r="P168" s="89" t="n">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0.24620822254757</v>
      </c>
      <c r="Q168" s="10" t="str">
        <f aca="false">IF(L168&gt;L$144,"|",IF(L167&gt;L$144,"V",""))</f>
        <v>|</v>
      </c>
    </row>
    <row r="169" s="1" customFormat="true" ht="15.75" hidden="false" customHeight="false" outlineLevel="0" collapsed="false">
      <c r="B169" s="62" t="n">
        <f aca="false">B168-0.25</f>
        <v>-4.36314447081528</v>
      </c>
      <c r="C169" s="65" t="n">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152.395356131302</v>
      </c>
      <c r="D169" s="64" t="n">
        <f aca="false">(C169-C168)/(E169-E168)</f>
        <v>-0.000913202940652128</v>
      </c>
      <c r="E169" s="61" t="n">
        <f aca="false">IF(D169=0,(8314.4621*C168*LN(H169/H168)/(-G$99*9.80665*G$103)),C168/D169*(1/(H169/H168)^(8314.4621*D169/(G$99*9.80665*G$103))-1))+E168</f>
        <v>48901.4428203379</v>
      </c>
      <c r="F169" s="61" t="n">
        <f aca="false">F$38*E169/(F$38-E169)</f>
        <v>49260.2633652664</v>
      </c>
      <c r="G169" s="61" t="n">
        <f aca="false">8314.4621*C169/(G$103*G$99*9.80665)</f>
        <v>3830.93020038228</v>
      </c>
      <c r="H169" s="64" t="n">
        <f aca="false">10^B169*101325</f>
        <v>4.39108800898486</v>
      </c>
      <c r="I169" s="64" t="n">
        <f aca="false">H169/(8314.4621/G$103*C169)</f>
        <v>9.60409945181337E-005</v>
      </c>
      <c r="J169" s="61" t="n">
        <f aca="false">SQRT(8314.4621/G$103*G$105*C169)</f>
        <v>253.095314266127</v>
      </c>
      <c r="K169" s="61" t="n">
        <f aca="false">IF(F$20&gt;0,SQRT(2*G$98/(F$20+N169)),10000)</f>
        <v>3875.5349166175</v>
      </c>
      <c r="L169" s="64" t="n">
        <f aca="false">I169*K169^2/2</f>
        <v>721.256866851283</v>
      </c>
      <c r="M169" s="64" t="n">
        <f aca="false">I169*K169^3/2</f>
        <v>2795256.17133228</v>
      </c>
      <c r="N169" s="61" t="n">
        <f aca="false">F169*IF(G$128&gt;0,G$128,0.5)</f>
        <v>44904.7925878114</v>
      </c>
      <c r="O169" s="61" t="n">
        <f aca="false">C169-P169*(G$115+(G$114-G$115)*COS(RADIANS(38)))/2</f>
        <v>149.086647095017</v>
      </c>
      <c r="P169" s="89" t="n">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0.298294281160392</v>
      </c>
      <c r="Q169" s="10" t="str">
        <f aca="false">IF(L169&gt;L$144,"|",IF(L168&gt;L$144,"V",""))</f>
        <v>|</v>
      </c>
    </row>
    <row r="170" s="1" customFormat="true" ht="15.75" hidden="false" customHeight="false" outlineLevel="0" collapsed="false">
      <c r="B170" s="62" t="n">
        <f aca="false">B169-0.25</f>
        <v>-4.61314447081528</v>
      </c>
      <c r="C170" s="65" t="n">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150.137337732542</v>
      </c>
      <c r="D170" s="64" t="n">
        <f aca="false">(C170-C169)/(E170-E169)</f>
        <v>-0.00103158500028517</v>
      </c>
      <c r="E170" s="61" t="n">
        <f aca="false">IF(D170=0,(8314.4621*C169*LN(H170/H169)/(-G$99*9.80665*G$103)),C169/D170*(1/(H170/H169)^(8314.4621*D170/(G$99*9.80665*G$103))-1))+E169</f>
        <v>51090.3253633527</v>
      </c>
      <c r="F170" s="61" t="n">
        <f aca="false">F$38*E170/(F$38-E170)</f>
        <v>51482.1159123664</v>
      </c>
      <c r="G170" s="61" t="n">
        <f aca="false">8314.4621*C170/(G$103*G$99*9.80665)</f>
        <v>3774.16790068743</v>
      </c>
      <c r="H170" s="64" t="n">
        <f aca="false">10^B170*101325</f>
        <v>2.46929025</v>
      </c>
      <c r="I170" s="64" t="n">
        <f aca="false">H170/(8314.4621/G$103*C170)</f>
        <v>5.4820080779889E-005</v>
      </c>
      <c r="J170" s="61" t="n">
        <f aca="false">SQRT(8314.4621/G$103*G$105*C170)</f>
        <v>251.213279751471</v>
      </c>
      <c r="K170" s="61" t="n">
        <f aca="false">IF(F$20&gt;0,SQRT(2*G$98/(F$20+N170)),10000)</f>
        <v>3870.0668622118</v>
      </c>
      <c r="L170" s="64" t="n">
        <f aca="false">I170*K170^2/2</f>
        <v>410.531619105165</v>
      </c>
      <c r="M170" s="64" t="n">
        <f aca="false">I170*K170^3/2</f>
        <v>1588784.81498905</v>
      </c>
      <c r="N170" s="61" t="n">
        <f aca="false">F170*IF(G$128&gt;0,G$128,0.5)</f>
        <v>46930.1944223166</v>
      </c>
      <c r="O170" s="61" t="n">
        <f aca="false">C170-P170*(G$115+(G$114-G$115)*COS(RADIANS(38)))/2</f>
        <v>146.325999100299</v>
      </c>
      <c r="P170" s="89" t="n">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0.343608490530855</v>
      </c>
      <c r="Q170" s="10" t="str">
        <f aca="false">IF(L170&gt;L$144,"|",IF(L169&gt;L$144,"V",""))</f>
        <v>|</v>
      </c>
    </row>
    <row r="171" s="1" customFormat="true" ht="15.75" hidden="false" customHeight="false" outlineLevel="0" collapsed="false">
      <c r="B171" s="62" t="n">
        <f aca="false">B170-0.25</f>
        <v>-4.86314447081528</v>
      </c>
      <c r="C171" s="65" t="n">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147.655573164609</v>
      </c>
      <c r="D171" s="64" t="n">
        <f aca="false">(C171-C170)/(E171-E170)</f>
        <v>-0.00115185568960706</v>
      </c>
      <c r="E171" s="61" t="n">
        <f aca="false">IF(D171=0,(8314.4621*C170*LN(H171/H170)/(-G$99*9.80665*G$103)),C170/D171*(1/(H171/H170)^(8314.4621*D171/(G$99*9.80665*G$103))-1))+E170</f>
        <v>53244.9047870822</v>
      </c>
      <c r="F171" s="61" t="n">
        <f aca="false">F$38*E171/(F$38-E171)</f>
        <v>53670.5749419059</v>
      </c>
      <c r="G171" s="61" t="n">
        <f aca="false">8314.4621*C171/(G$103*G$99*9.80665)</f>
        <v>3711.78104668551</v>
      </c>
      <c r="H171" s="64" t="n">
        <f aca="false">10^B171*101325</f>
        <v>1.38858395146461</v>
      </c>
      <c r="I171" s="64" t="n">
        <f aca="false">H171/(8314.4621/G$103*C171)</f>
        <v>3.13457407937807E-005</v>
      </c>
      <c r="J171" s="61" t="n">
        <f aca="false">SQRT(8314.4621/G$103*G$105*C171)</f>
        <v>249.128354864907</v>
      </c>
      <c r="K171" s="61" t="n">
        <f aca="false">IF(F$20&gt;0,SQRT(2*G$98/(F$20+N171)),10000)</f>
        <v>3864.70355324433</v>
      </c>
      <c r="L171" s="64" t="n">
        <f aca="false">I171*K171^2/2</f>
        <v>234.088950855607</v>
      </c>
      <c r="M171" s="64" t="n">
        <f aca="false">I171*K171^3/2</f>
        <v>904684.400146902</v>
      </c>
      <c r="N171" s="61" t="n">
        <f aca="false">F171*IF(G$128&gt;0,G$128,0.5)</f>
        <v>48925.1553115775</v>
      </c>
      <c r="O171" s="61" t="n">
        <f aca="false">C171-P171*(G$115+(G$114-G$115)*COS(RADIANS(38)))/2</f>
        <v>143.430729367013</v>
      </c>
      <c r="P171" s="89" t="n">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0.38088775102257</v>
      </c>
      <c r="Q171" s="10" t="str">
        <f aca="false">IF(L171&gt;L$144,"|",IF(L170&gt;L$144,"V",""))</f>
        <v>|</v>
      </c>
    </row>
    <row r="172" s="1" customFormat="true" ht="15.75" hidden="false" customHeight="false" outlineLevel="0" collapsed="false">
      <c r="B172" s="62" t="n">
        <f aca="false">B171-0.25</f>
        <v>-5.11314447081528</v>
      </c>
      <c r="C172" s="65" t="n">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145.012279678948</v>
      </c>
      <c r="D172" s="64" t="n">
        <f aca="false">(C172-C171)/(E172-E171)</f>
        <v>-0.00124831435781929</v>
      </c>
      <c r="E172" s="61" t="n">
        <f aca="false">IF(D172=0,(8314.4621*C171*LN(H172/H171)/(-G$99*9.80665*G$103)),C171/D172*(1/(H172/H171)^(8314.4621*D172/(G$99*9.80665*G$103))-1))+E171</f>
        <v>55362.3950403212</v>
      </c>
      <c r="F172" s="61" t="n">
        <f aca="false">F$38*E172/(F$38-E172)</f>
        <v>55822.7416310257</v>
      </c>
      <c r="G172" s="61" t="n">
        <f aca="false">8314.4621*C172/(G$103*G$99*9.80665)</f>
        <v>3645.33366206858</v>
      </c>
      <c r="H172" s="64" t="n">
        <f aca="false">10^B172*101325</f>
        <v>0.780858139404659</v>
      </c>
      <c r="I172" s="64" t="n">
        <f aca="false">H172/(8314.4621/G$103*C172)</f>
        <v>1.79483116450013E-005</v>
      </c>
      <c r="J172" s="61" t="n">
        <f aca="false">SQRT(8314.4621/G$103*G$105*C172)</f>
        <v>246.888367628015</v>
      </c>
      <c r="K172" s="61" t="n">
        <f aca="false">IF(F$20&gt;0,SQRT(2*G$98/(F$20+N172)),10000)</f>
        <v>3859.45087403487</v>
      </c>
      <c r="L172" s="64" t="n">
        <f aca="false">I172*K172^2/2</f>
        <v>133.673291086927</v>
      </c>
      <c r="M172" s="64" t="n">
        <f aca="false">I172*K172^3/2</f>
        <v>515905.500120559</v>
      </c>
      <c r="N172" s="61" t="n">
        <f aca="false">F172*IF(G$128&gt;0,G$128,0.5)</f>
        <v>50887.0327394895</v>
      </c>
      <c r="O172" s="61" t="n">
        <f aca="false">C172-P172*(G$115+(G$114-G$115)*COS(RADIANS(38)))/2</f>
        <v>140.475092192633</v>
      </c>
      <c r="P172" s="89" t="n">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0.409046871416534</v>
      </c>
      <c r="Q172" s="10" t="str">
        <f aca="false">IF(L172&gt;L$144,"|",IF(L171&gt;L$144,"V",""))</f>
        <v>|</v>
      </c>
    </row>
    <row r="173" s="1" customFormat="true" ht="15.75" hidden="false" customHeight="false" outlineLevel="0" collapsed="false">
      <c r="B173" s="62" t="n">
        <f aca="false">B172-0.25</f>
        <v>-5.36314447081528</v>
      </c>
      <c r="C173" s="65" t="n">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142.272642182499</v>
      </c>
      <c r="D173" s="64" t="n">
        <f aca="false">(C173-C172)/(E173-E172)</f>
        <v>-0.0013180601407821</v>
      </c>
      <c r="E173" s="61" t="n">
        <f aca="false">IF(D173=0,(8314.4621*C172*LN(H173/H172)/(-G$99*9.80665*G$103)),C172/D173*(1/(H173/H172)^(8314.4621*D173/(G$99*9.80665*G$103))-1))+E172</f>
        <v>57440.9325908337</v>
      </c>
      <c r="F173" s="61" t="n">
        <f aca="false">F$38*E173/(F$38-E173)</f>
        <v>57936.6495279815</v>
      </c>
      <c r="G173" s="61" t="n">
        <f aca="false">8314.4621*C173/(G$103*G$99*9.80665)</f>
        <v>3576.46437175894</v>
      </c>
      <c r="H173" s="64" t="n">
        <f aca="false">10^B173*101325</f>
        <v>0.439108800898486</v>
      </c>
      <c r="I173" s="64" t="n">
        <f aca="false">H173/(8314.4621/G$103*C173)</f>
        <v>1.0287432171268E-005</v>
      </c>
      <c r="J173" s="61" t="n">
        <f aca="false">SQRT(8314.4621/G$103*G$105*C173)</f>
        <v>244.54508397543</v>
      </c>
      <c r="K173" s="61" t="n">
        <f aca="false">IF(F$20&gt;0,SQRT(2*G$98/(F$20+N173)),10000)</f>
        <v>3854.3123650381</v>
      </c>
      <c r="L173" s="64" t="n">
        <f aca="false">I173*K173^2/2</f>
        <v>76.4136255112709</v>
      </c>
      <c r="M173" s="64" t="n">
        <f aca="false">I173*K173^3/2</f>
        <v>294521.981665482</v>
      </c>
      <c r="N173" s="61" t="n">
        <f aca="false">F173*IF(G$128&gt;0,G$128,0.5)</f>
        <v>52814.0341231133</v>
      </c>
      <c r="O173" s="61" t="n">
        <f aca="false">C173-P173*(G$115+(G$114-G$115)*COS(RADIANS(38)))/2</f>
        <v>137.534278695778</v>
      </c>
      <c r="P173" s="89" t="n">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0.427183748902454</v>
      </c>
      <c r="Q173" s="10" t="str">
        <f aca="false">IF(L173&gt;L$144,"|",IF(L172&gt;L$144,"V",""))</f>
        <v>|</v>
      </c>
    </row>
    <row r="174" s="1" customFormat="true" ht="15.75" hidden="false" customHeight="false" outlineLevel="0" collapsed="false">
      <c r="B174" s="62" t="n">
        <f aca="false">B173-0.25</f>
        <v>-5.61314447081528</v>
      </c>
      <c r="C174" s="65" t="n">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139.501845582199</v>
      </c>
      <c r="D174" s="64" t="n">
        <f aca="false">(C174-C173)/(E174-E173)</f>
        <v>-0.00135912301914745</v>
      </c>
      <c r="E174" s="61" t="n">
        <f aca="false">IF(D174=0,(8314.4621*C173*LN(H174/H173)/(-G$99*9.80665*G$103)),C173/D174*(1/(H174/H173)^(8314.4621*D174/(G$99*9.80665*G$103))-1))+E173</f>
        <v>59479.5976426826</v>
      </c>
      <c r="F174" s="61" t="n">
        <f aca="false">F$38*E174/(F$38-E174)</f>
        <v>60011.2893400614</v>
      </c>
      <c r="G174" s="61" t="n">
        <f aca="false">8314.4621*C174/(G$103*G$99*9.80665)</f>
        <v>3506.8118006789</v>
      </c>
      <c r="H174" s="64" t="n">
        <f aca="false">10^B174*101325</f>
        <v>0.246929025</v>
      </c>
      <c r="I174" s="64" t="n">
        <f aca="false">H174/(8314.4621/G$103*C174)</f>
        <v>5.89995132195273E-006</v>
      </c>
      <c r="J174" s="61" t="n">
        <f aca="false">SQRT(8314.4621/G$103*G$105*C174)</f>
        <v>242.152086163497</v>
      </c>
      <c r="K174" s="61" t="n">
        <f aca="false">IF(F$20&gt;0,SQRT(2*G$98/(F$20+N174)),10000)</f>
        <v>3849.28921315534</v>
      </c>
      <c r="L174" s="64" t="n">
        <f aca="false">I174*K174^2/2</f>
        <v>43.7098703352353</v>
      </c>
      <c r="M174" s="64" t="n">
        <f aca="false">I174*K174^3/2</f>
        <v>168251.93238984</v>
      </c>
      <c r="N174" s="61" t="n">
        <f aca="false">F174*IF(G$128&gt;0,G$128,0.5)</f>
        <v>54705.2394089046</v>
      </c>
      <c r="O174" s="61" t="n">
        <f aca="false">C174-P174*(G$115+(G$114-G$115)*COS(RADIANS(38)))/2</f>
        <v>134.681612636431</v>
      </c>
      <c r="P174" s="89" t="n">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0.434564631043429</v>
      </c>
      <c r="Q174" s="10" t="str">
        <f aca="false">IF(L174&gt;L$144,"|",IF(L173&gt;L$144,"V",""))</f>
        <v>V</v>
      </c>
    </row>
    <row r="175" s="1" customFormat="true" ht="15.75" hidden="false" customHeight="false" outlineLevel="0" collapsed="false">
      <c r="B175" s="62" t="n">
        <f aca="false">B174-0.25</f>
        <v>-5.86314447081528</v>
      </c>
      <c r="C175" s="65" t="n">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136.765074784988</v>
      </c>
      <c r="D175" s="64" t="n">
        <f aca="false">(C175-C174)/(E175-E174)</f>
        <v>-0.00136919574158847</v>
      </c>
      <c r="E175" s="61" t="n">
        <f aca="false">IF(D175=0,(8314.4621*C174*LN(H175/H174)/(-G$99*9.80665*G$103)),C174/D175*(1/(H175/H174)^(8314.4621*D175/(G$99*9.80665*G$103))-1))+E174</f>
        <v>61478.413965348</v>
      </c>
      <c r="F175" s="61" t="n">
        <f aca="false">F$38*E175/(F$38-E175)</f>
        <v>62046.6118665355</v>
      </c>
      <c r="G175" s="61" t="n">
        <f aca="false">8314.4621*C175/(G$103*G$99*9.80665)</f>
        <v>3438.01457375076</v>
      </c>
      <c r="H175" s="64" t="n">
        <f aca="false">10^B175*101325</f>
        <v>0.138858395146461</v>
      </c>
      <c r="I175" s="64" t="n">
        <f aca="false">H175/(8314.4621/G$103*C175)</f>
        <v>3.38417781765653E-006</v>
      </c>
      <c r="J175" s="61" t="n">
        <f aca="false">SQRT(8314.4621/G$103*G$105*C175)</f>
        <v>239.765030470338</v>
      </c>
      <c r="K175" s="61" t="n">
        <f aca="false">IF(F$20&gt;0,SQRT(2*G$98/(F$20+N175)),10000)</f>
        <v>3844.38029268142</v>
      </c>
      <c r="L175" s="64" t="n">
        <f aca="false">I175*K175^2/2</f>
        <v>25.0078216470839</v>
      </c>
      <c r="M175" s="64" t="n">
        <f aca="false">I175*K175^3/2</f>
        <v>96139.5767029412</v>
      </c>
      <c r="N175" s="61" t="n">
        <f aca="false">F175*IF(G$128&gt;0,G$128,0.5)</f>
        <v>56560.6037463406</v>
      </c>
      <c r="O175" s="61" t="n">
        <f aca="false">C175-P175*(G$115+(G$114-G$115)*COS(RADIANS(38)))/2</f>
        <v>131.943270351892</v>
      </c>
      <c r="P175" s="89" t="n">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0.43470630735215</v>
      </c>
      <c r="Q175" s="10" t="str">
        <f aca="false">IF(L175&gt;L$144,"|",IF(L174&gt;L$144,"V",""))</f>
        <v/>
      </c>
    </row>
    <row r="176" s="1" customFormat="true" ht="15.75" hidden="false" customHeight="false" outlineLevel="0" collapsed="false">
      <c r="B176" s="62" t="n">
        <f aca="false">B175-0.25</f>
        <v>-6.11314447081528</v>
      </c>
      <c r="C176" s="65" t="n">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134.127514697805</v>
      </c>
      <c r="D176" s="64" t="n">
        <f aca="false">(C176-C175)/(E176-E175)</f>
        <v>-0.00134573873832906</v>
      </c>
      <c r="E176" s="61" t="n">
        <f aca="false">IF(D176=0,(8314.4621*C175*LN(H176/H175)/(-G$99*9.80665*G$103)),C175/D176*(1/(H176/H175)^(8314.4621*D176/(G$99*9.80665*G$103))-1))+E175</f>
        <v>63438.3486926925</v>
      </c>
      <c r="F176" s="61" t="n">
        <f aca="false">F$38*E176/(F$38-E176)</f>
        <v>64043.5307388279</v>
      </c>
      <c r="G176" s="61" t="n">
        <f aca="false">8314.4621*C176/(G$103*G$99*9.80665)</f>
        <v>3371.71131589683</v>
      </c>
      <c r="H176" s="64" t="n">
        <f aca="false">10^B176*101325</f>
        <v>0.0780858139404659</v>
      </c>
      <c r="I176" s="64" t="n">
        <f aca="false">H176/(8314.4621/G$103*C176)</f>
        <v>1.94048595763063E-006</v>
      </c>
      <c r="J176" s="61" t="n">
        <f aca="false">SQRT(8314.4621/G$103*G$105*C176)</f>
        <v>237.441800578461</v>
      </c>
      <c r="K176" s="61" t="n">
        <f aca="false">IF(F$20&gt;0,SQRT(2*G$98/(F$20+N176)),10000)</f>
        <v>3839.5822034178</v>
      </c>
      <c r="L176" s="64" t="n">
        <f aca="false">I176*K176^2/2</f>
        <v>14.3037018407194</v>
      </c>
      <c r="M176" s="64" t="n">
        <f aca="false">I176*K176^3/2</f>
        <v>54920.2390306207</v>
      </c>
      <c r="N176" s="61" t="n">
        <f aca="false">F176*IF(G$128&gt;0,G$128,0.5)</f>
        <v>58380.9599858122</v>
      </c>
      <c r="O176" s="61" t="n">
        <f aca="false">C176-P176*(G$115+(G$114-G$115)*COS(RADIANS(38)))/2</f>
        <v>129.305710264709</v>
      </c>
      <c r="P176" s="89" t="n">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0.43470630735215</v>
      </c>
      <c r="Q176" s="10" t="str">
        <f aca="false">IF(L176&gt;L$144,"|",IF(L175&gt;L$144,"V",""))</f>
        <v/>
      </c>
    </row>
    <row r="177" s="1" customFormat="true" ht="15.75" hidden="false" customHeight="false" outlineLevel="0" collapsed="false">
      <c r="B177" s="62" t="n">
        <f aca="false">B176-0.25</f>
        <v>-6.36314447081528</v>
      </c>
      <c r="C177" s="65" t="n">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131.654350227587</v>
      </c>
      <c r="D177" s="64" t="n">
        <f aca="false">(C177-C176)/(E177-E176)</f>
        <v>-0.0012861214511418</v>
      </c>
      <c r="E177" s="61" t="n">
        <f aca="false">IF(D177=0,(8314.4621*C176*LN(H177/H176)/(-G$99*9.80665*G$103)),C176/D177*(1/(H177/H176)^(8314.4621*D177/(G$99*9.80665*G$103))-1))+E176</f>
        <v>65361.3120862525</v>
      </c>
      <c r="F177" s="61" t="n">
        <f aca="false">F$38*E177/(F$38-E177)</f>
        <v>66003.924961368</v>
      </c>
      <c r="G177" s="61" t="n">
        <f aca="false">8314.4621*C177/(G$103*G$99*9.80665)</f>
        <v>3309.54065203941</v>
      </c>
      <c r="H177" s="64" t="n">
        <f aca="false">10^B177*101325</f>
        <v>0.0439108800898486</v>
      </c>
      <c r="I177" s="64" t="n">
        <f aca="false">H177/(8314.4621/G$103*C177)</f>
        <v>1.1117142378884E-006</v>
      </c>
      <c r="J177" s="61" t="n">
        <f aca="false">SQRT(8314.4621/G$103*G$105*C177)</f>
        <v>235.242532008772</v>
      </c>
      <c r="K177" s="61" t="n">
        <f aca="false">IF(F$20&gt;0,SQRT(2*G$98/(F$20+N177)),10000)</f>
        <v>3834.88930606782</v>
      </c>
      <c r="L177" s="64" t="n">
        <f aca="false">I177*K177^2/2</f>
        <v>8.17464378779667</v>
      </c>
      <c r="M177" s="64" t="n">
        <f aca="false">I177*K177^3/2</f>
        <v>31348.8540427351</v>
      </c>
      <c r="N177" s="61" t="n">
        <f aca="false">F177*IF(G$128&gt;0,G$128,0.5)</f>
        <v>60168.0209948197</v>
      </c>
      <c r="O177" s="61" t="n">
        <f aca="false">C177-P177*(G$115+(G$114-G$115)*COS(RADIANS(38)))/2</f>
        <v>126.832545794491</v>
      </c>
      <c r="P177" s="89" t="n">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0.43470630735215</v>
      </c>
      <c r="Q177" s="10" t="str">
        <f aca="false">IF(L177&gt;L$144,"|",IF(L176&gt;L$144,"V",""))</f>
        <v/>
      </c>
    </row>
    <row r="178" s="1" customFormat="true" ht="15.75" hidden="false" customHeight="false" outlineLevel="0" collapsed="false">
      <c r="B178" s="62" t="n">
        <f aca="false">B177-0.25</f>
        <v>-6.61314447081528</v>
      </c>
      <c r="C178" s="65" t="n">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129.410766281273</v>
      </c>
      <c r="D178" s="64" t="n">
        <f aca="false">(C178-C177)/(E178-E177)</f>
        <v>-0.00118780722570928</v>
      </c>
      <c r="E178" s="61" t="n">
        <f aca="false">IF(D178=0,(8314.4621*C177*LN(H178/H177)/(-G$99*9.80665*G$103)),C177/D178*(1/(H178/H177)^(8314.4621*D178/(G$99*9.80665*G$103))-1))+E177</f>
        <v>67250.1572605812</v>
      </c>
      <c r="F178" s="61" t="n">
        <f aca="false">F$38*E178/(F$38-E178)</f>
        <v>67930.6412594729</v>
      </c>
      <c r="G178" s="61" t="n">
        <f aca="false">8314.4621*C178/(G$103*G$99*9.80665)</f>
        <v>3253.14120710081</v>
      </c>
      <c r="H178" s="64" t="n">
        <f aca="false">10^B178*101325</f>
        <v>0.0246929025</v>
      </c>
      <c r="I178" s="64" t="n">
        <f aca="false">H178/(8314.4621/G$103*C178)</f>
        <v>6.36001255466368E-007</v>
      </c>
      <c r="J178" s="61" t="n">
        <f aca="false">SQRT(8314.4621/G$103*G$105*C178)</f>
        <v>233.229479278196</v>
      </c>
      <c r="K178" s="61" t="n">
        <f aca="false">IF(F$20&gt;0,SQRT(2*G$98/(F$20+N178)),10000)</f>
        <v>3830.29375513642</v>
      </c>
      <c r="L178" s="64" t="n">
        <f aca="false">I178*K178^2/2</f>
        <v>4.66543498927045</v>
      </c>
      <c r="M178" s="64" t="n">
        <f aca="false">I178*K178^3/2</f>
        <v>17869.9865043976</v>
      </c>
      <c r="N178" s="61" t="n">
        <f aca="false">F178*IF(G$128&gt;0,G$128,0.5)</f>
        <v>61924.3817982611</v>
      </c>
      <c r="O178" s="61" t="n">
        <f aca="false">C178-P178*(G$115+(G$114-G$115)*COS(RADIANS(38)))/2</f>
        <v>124.588961848177</v>
      </c>
      <c r="P178" s="89" t="n">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0.43470630735215</v>
      </c>
      <c r="Q178" s="10" t="str">
        <f aca="false">IF(L178&gt;L$144,"|",IF(L177&gt;L$144,"V",""))</f>
        <v/>
      </c>
    </row>
    <row r="179" s="1" customFormat="true" ht="15.75" hidden="false" customHeight="false" outlineLevel="0" collapsed="false">
      <c r="B179" s="62" t="n">
        <f aca="false">B178-0.25</f>
        <v>-6.86314447081528</v>
      </c>
      <c r="C179" s="65" t="n">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127.461947765802</v>
      </c>
      <c r="D179" s="64" t="n">
        <f aca="false">(C179-C178)/(E179-E178)</f>
        <v>-0.00104858477493311</v>
      </c>
      <c r="E179" s="61" t="n">
        <f aca="false">IF(D179=0,(8314.4621*C178*LN(H179/H178)/(-G$99*9.80665*G$103)),C178/D179*(1/(H179/H178)^(8314.4621*D179/(G$99*9.80665*G$103))-1))+E178</f>
        <v>69108.6798732092</v>
      </c>
      <c r="F179" s="61" t="n">
        <f aca="false">F$38*E179/(F$38-E179)</f>
        <v>69827.4962552229</v>
      </c>
      <c r="G179" s="61" t="n">
        <f aca="false">8314.4621*C179/(G$103*G$99*9.80665)</f>
        <v>3204.15160600333</v>
      </c>
      <c r="H179" s="64" t="n">
        <f aca="false">10^B179*101325</f>
        <v>0.0138858395146461</v>
      </c>
      <c r="I179" s="64" t="n">
        <f aca="false">H179/(8314.4621/G$103*C179)</f>
        <v>3.63118044585282E-007</v>
      </c>
      <c r="J179" s="61" t="n">
        <f aca="false">SQRT(8314.4621/G$103*G$105*C179)</f>
        <v>231.466696596826</v>
      </c>
      <c r="K179" s="61" t="n">
        <f aca="false">IF(F$20&gt;0,SQRT(2*G$98/(F$20+N179)),10000)</f>
        <v>3825.78552965458</v>
      </c>
      <c r="L179" s="64" t="n">
        <f aca="false">I179*K179^2/2</f>
        <v>2.65741312553242</v>
      </c>
      <c r="M179" s="64" t="n">
        <f aca="false">I179*K179^3/2</f>
        <v>10166.6926819761</v>
      </c>
      <c r="N179" s="61" t="n">
        <f aca="false">F179*IF(G$128&gt;0,G$128,0.5)</f>
        <v>63653.5215619223</v>
      </c>
      <c r="O179" s="61" t="n">
        <f aca="false">C179-P179*(G$115+(G$114-G$115)*COS(RADIANS(38)))/2</f>
        <v>122.640143332706</v>
      </c>
      <c r="P179" s="89" t="n">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0.43470630735215</v>
      </c>
      <c r="Q179" s="10" t="str">
        <f aca="false">IF(L179&gt;L$144,"|",IF(L178&gt;L$144,"V",""))</f>
        <v/>
      </c>
    </row>
    <row r="180" s="1" customFormat="true" ht="15.75" hidden="false" customHeight="false" outlineLevel="0" collapsed="false">
      <c r="B180" s="62" t="n">
        <f aca="false">B179-0.25</f>
        <v>-7.11314447081528</v>
      </c>
      <c r="C180" s="65" t="n">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125.873079588113</v>
      </c>
      <c r="D180" s="64" t="n">
        <f aca="false">(C180-C179)/(E180-E179)</f>
        <v>-0.000866842332493763</v>
      </c>
      <c r="E180" s="61" t="n">
        <f aca="false">IF(D180=0,(8314.4621*C179*LN(H180/H179)/(-G$99*9.80665*G$103)),C179/D180*(1/(H180/H179)^(8314.4621*D180/(G$99*9.80665*G$103))-1))+E179</f>
        <v>70941.617788364</v>
      </c>
      <c r="F180" s="61" t="n">
        <f aca="false">F$38*E180/(F$38-E180)</f>
        <v>71699.2785087449</v>
      </c>
      <c r="G180" s="61" t="n">
        <f aca="false">8314.4621*C180/(G$103*G$99*9.80665)</f>
        <v>3164.21047366928</v>
      </c>
      <c r="H180" s="64" t="n">
        <f aca="false">10^B180*101325</f>
        <v>0.00780858139404659</v>
      </c>
      <c r="I180" s="64" t="n">
        <f aca="false">H180/(8314.4621/G$103*C180)</f>
        <v>2.06773807119568E-007</v>
      </c>
      <c r="J180" s="61" t="n">
        <f aca="false">SQRT(8314.4621/G$103*G$105*C180)</f>
        <v>230.019506366681</v>
      </c>
      <c r="K180" s="61" t="n">
        <f aca="false">IF(F$20&gt;0,SQRT(2*G$98/(F$20+N180)),10000)</f>
        <v>3821.35246213748</v>
      </c>
      <c r="L180" s="64" t="n">
        <f aca="false">I180*K180^2/2</f>
        <v>1.50973151792282</v>
      </c>
      <c r="M180" s="64" t="n">
        <f aca="false">I180*K180^3/2</f>
        <v>5769.21625318092</v>
      </c>
      <c r="N180" s="61" t="n">
        <f aca="false">F180*IF(G$128&gt;0,G$128,0.5)</f>
        <v>65359.8054532751</v>
      </c>
      <c r="O180" s="61" t="n">
        <f aca="false">C180-P180*(G$115+(G$114-G$115)*COS(RADIANS(38)))/2</f>
        <v>121.051275155017</v>
      </c>
      <c r="P180" s="89" t="n">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0.43470630735215</v>
      </c>
      <c r="Q180" s="10" t="str">
        <f aca="false">IF(L180&gt;L$144,"|",IF(L179&gt;L$144,"V",""))</f>
        <v/>
      </c>
    </row>
    <row r="181" s="1" customFormat="true" ht="15.75" hidden="false" customHeight="false" outlineLevel="0" collapsed="false">
      <c r="B181" s="62" t="n">
        <f aca="false">B180-0.25</f>
        <v>-7.36314447081528</v>
      </c>
      <c r="C181" s="65" t="n">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124.709346655144</v>
      </c>
      <c r="D181" s="64" t="n">
        <f aca="false">(C181-C180)/(E181-E180)</f>
        <v>-0.00064187081503636</v>
      </c>
      <c r="E181" s="61" t="n">
        <f aca="false">IF(D181=0,(8314.4621*C180*LN(H181/H180)/(-G$99*9.80665*G$103)),C180/D181*(1/(H181/H180)^(8314.4621*D181/(G$99*9.80665*G$103))-1))+E180</f>
        <v>72754.6507316095</v>
      </c>
      <c r="F181" s="61" t="n">
        <f aca="false">F$38*E181/(F$38-E181)</f>
        <v>73551.7504803344</v>
      </c>
      <c r="G181" s="61" t="n">
        <f aca="false">8314.4621*C181/(G$103*G$99*9.80665)</f>
        <v>3134.95643502096</v>
      </c>
      <c r="H181" s="64" t="n">
        <f aca="false">10^B181*101325</f>
        <v>0.00439108800898486</v>
      </c>
      <c r="I181" s="64" t="n">
        <f aca="false">H181/(8314.4621/G$103*C181)</f>
        <v>1.17362506943995E-007</v>
      </c>
      <c r="J181" s="61" t="n">
        <f aca="false">SQRT(8314.4621/G$103*G$105*C181)</f>
        <v>228.953738968415</v>
      </c>
      <c r="K181" s="61" t="n">
        <f aca="false">IF(F$20&gt;0,SQRT(2*G$98/(F$20+N181)),10000)</f>
        <v>3816.98026626768</v>
      </c>
      <c r="L181" s="64" t="n">
        <f aca="false">I181*K181^2/2</f>
        <v>0.854947036816195</v>
      </c>
      <c r="M181" s="64" t="n">
        <f aca="false">I181*K181^3/2</f>
        <v>3263.31596823144</v>
      </c>
      <c r="N181" s="61" t="n">
        <f aca="false">F181*IF(G$128&gt;0,G$128,0.5)</f>
        <v>67048.4864301132</v>
      </c>
      <c r="O181" s="61" t="n">
        <f aca="false">C181-P181*(G$115+(G$114-G$115)*COS(RADIANS(38)))/2</f>
        <v>119.887542222048</v>
      </c>
      <c r="P181" s="89" t="n">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0.43470630735215</v>
      </c>
      <c r="Q181" s="10" t="str">
        <f aca="false">IF(L181&gt;L$144,"|",IF(L180&gt;L$144,"V",""))</f>
        <v/>
      </c>
    </row>
    <row r="182" s="1" customFormat="true" ht="15.75" hidden="false" customHeight="false" outlineLevel="0" collapsed="false">
      <c r="B182" s="62" t="n">
        <f aca="false">B181-0.25</f>
        <v>-7.61314447081528</v>
      </c>
      <c r="C182" s="65" t="n">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124.065366420505</v>
      </c>
      <c r="D182" s="64" t="n">
        <f aca="false">(C182-C181)/(E182-E181)</f>
        <v>-0.000357774238706719</v>
      </c>
      <c r="E182" s="61" t="n">
        <f aca="false">IF(D182=0,(8314.4621*C181*LN(H182/H181)/(-G$99*9.80665*G$103)),C181/D182*(1/(H182/H181)^(8314.4621*D182/(G$99*9.80665*G$103))-1))+E181</f>
        <v>74554.6132917076</v>
      </c>
      <c r="F182" s="61" t="n">
        <f aca="false">F$38*E182/(F$38-E182)</f>
        <v>75391.8686364129</v>
      </c>
      <c r="G182" s="61" t="n">
        <f aca="false">8314.4621*C182/(G$103*G$99*9.80665)</f>
        <v>3118.76799337839</v>
      </c>
      <c r="H182" s="64" t="n">
        <f aca="false">10^B182*101325</f>
        <v>0.00246929025</v>
      </c>
      <c r="I182" s="64" t="n">
        <f aca="false">H182/(8314.4621/G$103*C182)</f>
        <v>6.63403592802764E-008</v>
      </c>
      <c r="J182" s="61" t="n">
        <f aca="false">SQRT(8314.4621/G$103*G$105*C182)</f>
        <v>228.361832582936</v>
      </c>
      <c r="K182" s="61" t="n">
        <f aca="false">IF(F$20&gt;0,SQRT(2*G$98/(F$20+N182)),10000)</f>
        <v>3812.652051627</v>
      </c>
      <c r="L182" s="64" t="n">
        <f aca="false">I182*K182^2/2</f>
        <v>0.482172201972701</v>
      </c>
      <c r="M182" s="64" t="n">
        <f aca="false">I182*K182^3/2</f>
        <v>1838.35483508873</v>
      </c>
      <c r="N182" s="61" t="n">
        <f aca="false">F182*IF(G$128&gt;0,G$128,0.5)</f>
        <v>68725.9058852848</v>
      </c>
      <c r="O182" s="61" t="n">
        <f aca="false">C182-P182*(G$115+(G$114-G$115)*COS(RADIANS(38)))/2</f>
        <v>119.243561987409</v>
      </c>
      <c r="P182" s="89" t="n">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0.43470630735215</v>
      </c>
      <c r="Q182" s="10" t="str">
        <f aca="false">IF(L182&gt;L$144,"|",IF(L181&gt;L$144,"V",""))</f>
        <v/>
      </c>
    </row>
    <row r="183" s="1" customFormat="true" ht="15.75" hidden="false" customHeight="false" outlineLevel="0" collapsed="false">
      <c r="B183" s="62" t="n">
        <f aca="false">B182-0.25</f>
        <v>-7.86314447081528</v>
      </c>
      <c r="C183" s="65" t="n">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124.209937438904</v>
      </c>
      <c r="D183" s="64" t="n">
        <f aca="false">(C183-C182)/(E183-E182)</f>
        <v>8.04802949923899E-005</v>
      </c>
      <c r="E183" s="61" t="n">
        <f aca="false">IF(D183=0,(8314.4621*C182*LN(H183/H182)/(-G$99*9.80665*G$103)),C182/D183*(1/(H183/H182)^(8314.4621*D183/(G$99*9.80665*G$103))-1))+E182</f>
        <v>76350.9662798885</v>
      </c>
      <c r="F183" s="61" t="n">
        <f aca="false">F$38*E183/(F$38-E183)</f>
        <v>77229.2917744594</v>
      </c>
      <c r="G183" s="61" t="n">
        <f aca="false">8314.4621*C183/(G$103*G$99*9.80665)</f>
        <v>3122.40223456884</v>
      </c>
      <c r="H183" s="64" t="n">
        <f aca="false">10^B183*101325</f>
        <v>0.00138858395146461</v>
      </c>
      <c r="I183" s="64" t="n">
        <f aca="false">H183/(8314.4621/G$103*C183)</f>
        <v>3.7262504261799E-008</v>
      </c>
      <c r="J183" s="61" t="n">
        <f aca="false">SQRT(8314.4621/G$103*G$105*C183)</f>
        <v>228.494846700648</v>
      </c>
      <c r="K183" s="61" t="n">
        <f aca="false">IF(F$20&gt;0,SQRT(2*G$98/(F$20+N183)),10000)</f>
        <v>3808.34483428123</v>
      </c>
      <c r="L183" s="64" t="n">
        <f aca="false">I183*K183^2/2</f>
        <v>0.27021818598817</v>
      </c>
      <c r="M183" s="64" t="n">
        <f aca="false">I183*K183^3/2</f>
        <v>1029.08403273689</v>
      </c>
      <c r="N183" s="61" t="n">
        <f aca="false">F183*IF(G$128&gt;0,G$128,0.5)</f>
        <v>70400.86860926</v>
      </c>
      <c r="O183" s="61" t="n">
        <f aca="false">C183-P183*(G$115+(G$114-G$115)*COS(RADIANS(38)))/2</f>
        <v>119.388133005808</v>
      </c>
      <c r="P183" s="89" t="n">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0.43470630735215</v>
      </c>
      <c r="Q183" s="10" t="str">
        <f aca="false">IF(L183&gt;L$144,"|",IF(L182&gt;L$144,"V",""))</f>
        <v/>
      </c>
    </row>
    <row r="184" s="1" customFormat="true" ht="15.75" hidden="false" customHeight="false" outlineLevel="0" collapsed="false">
      <c r="B184" s="62" t="n">
        <f aca="false">B183-0.25</f>
        <v>-8.11314447081528</v>
      </c>
      <c r="C184" s="65" t="n">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125.181079935143</v>
      </c>
      <c r="D184" s="64" t="n">
        <f aca="false">(C184-C183)/(E184-E183)</f>
        <v>0.000538203031146063</v>
      </c>
      <c r="E184" s="61" t="n">
        <f aca="false">IF(D184=0,(8314.4621*C183*LN(H184/H183)/(-G$99*9.80665*G$103)),C183/D184*(1/(H184/H183)^(8314.4621*D184/(G$99*9.80665*G$103))-1))+E183</f>
        <v>78155.3829034271</v>
      </c>
      <c r="F184" s="61" t="n">
        <f aca="false">F$38*E184/(F$38-E184)</f>
        <v>79075.9645069807</v>
      </c>
      <c r="G184" s="61" t="n">
        <f aca="false">8314.4621*C184/(G$103*G$99*9.80665)</f>
        <v>3146.81491492972</v>
      </c>
      <c r="H184" s="64" t="n">
        <f aca="false">10^B184*101325</f>
        <v>0.000780858139404661</v>
      </c>
      <c r="I184" s="64" t="n">
        <f aca="false">H184/(8314.4621/G$103*C184)</f>
        <v>2.07916850483983E-008</v>
      </c>
      <c r="J184" s="61" t="n">
        <f aca="false">SQRT(8314.4621/G$103*G$105*C184)</f>
        <v>229.386357521775</v>
      </c>
      <c r="K184" s="61" t="n">
        <f aca="false">IF(F$20&gt;0,SQRT(2*G$98/(F$20+N184)),10000)</f>
        <v>3804.03060931676</v>
      </c>
      <c r="L184" s="64" t="n">
        <f aca="false">I184*K184^2/2</f>
        <v>0.150434586944309</v>
      </c>
      <c r="M184" s="64" t="n">
        <f aca="false">I184*K184^3/2</f>
        <v>572.257773436076</v>
      </c>
      <c r="N184" s="61" t="n">
        <f aca="false">F184*IF(G$128&gt;0,G$128,0.5)</f>
        <v>72084.2631014199</v>
      </c>
      <c r="O184" s="61" t="n">
        <f aca="false">C184-P184*(G$115+(G$114-G$115)*COS(RADIANS(38)))/2</f>
        <v>120.359275502047</v>
      </c>
      <c r="P184" s="89" t="n">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0.43470630735215</v>
      </c>
      <c r="Q184" s="10" t="str">
        <f aca="false">IF(L184&gt;L$144,"|",IF(L183&gt;L$144,"V",""))</f>
        <v/>
      </c>
    </row>
    <row r="185" s="1" customFormat="true" ht="15.75" hidden="false" customHeight="false" outlineLevel="0" collapsed="false">
      <c r="B185" s="62" t="n">
        <f aca="false">B184-0.25</f>
        <v>-8.36314447081528</v>
      </c>
      <c r="C185" s="65" t="n">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126.702617686009</v>
      </c>
      <c r="D185" s="64" t="n">
        <f aca="false">(C185-C184)/(E185-E184)</f>
        <v>0.000834890937121672</v>
      </c>
      <c r="E185" s="61" t="n">
        <f aca="false">IF(D185=0,(8314.4621*C184*LN(H185/H184)/(-G$99*9.80665*G$103)),C184/D185*(1/(H185/H184)^(8314.4621*D185/(G$99*9.80665*G$103))-1))+E184</f>
        <v>79977.8218391111</v>
      </c>
      <c r="F185" s="61" t="n">
        <f aca="false">F$38*E185/(F$38-E185)</f>
        <v>80942.1013661005</v>
      </c>
      <c r="G185" s="61" t="n">
        <f aca="false">8314.4621*C185/(G$103*G$99*9.80665)</f>
        <v>3185.06348804105</v>
      </c>
      <c r="H185" s="64" t="n">
        <f aca="false">10^B185*101325</f>
        <v>0.000439108800898487</v>
      </c>
      <c r="I185" s="64" t="n">
        <f aca="false">H185/(8314.4621/G$103*C185)</f>
        <v>1.15516173462702E-008</v>
      </c>
      <c r="J185" s="61" t="n">
        <f aca="false">SQRT(8314.4621/G$103*G$105*C185)</f>
        <v>230.776207496139</v>
      </c>
      <c r="K185" s="61" t="n">
        <f aca="false">IF(F$20&gt;0,SQRT(2*G$98/(F$20+N185)),10000)</f>
        <v>3799.68577253374</v>
      </c>
      <c r="L185" s="64" t="n">
        <f aca="false">I185*K185^2/2</f>
        <v>0.0833888844356579</v>
      </c>
      <c r="M185" s="64" t="n">
        <f aca="false">I185*K185^3/2</f>
        <v>316.85155777763</v>
      </c>
      <c r="N185" s="61" t="n">
        <f aca="false">F185*IF(G$128&gt;0,G$128,0.5)</f>
        <v>73785.4007501953</v>
      </c>
      <c r="O185" s="61" t="n">
        <f aca="false">C185-P185*(G$115+(G$114-G$115)*COS(RADIANS(38)))/2</f>
        <v>121.880813252913</v>
      </c>
      <c r="P185" s="89" t="n">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0.43470630735215</v>
      </c>
      <c r="Q185" s="10" t="str">
        <f aca="false">IF(L185&gt;L$144,"|",IF(L184&gt;L$144,"V",""))</f>
        <v/>
      </c>
    </row>
    <row r="186" s="1" customFormat="true" ht="15.75" hidden="false" customHeight="false" outlineLevel="0" collapsed="false">
      <c r="B186" s="62" t="n">
        <f aca="false">B185-0.25</f>
        <v>-8.61314447081528</v>
      </c>
      <c r="C186" s="65" t="n">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128.697942521841</v>
      </c>
      <c r="D186" s="64" t="n">
        <f aca="false">(C186-C185)/(E186-E185)</f>
        <v>0.00107979768231354</v>
      </c>
      <c r="E186" s="61" t="n">
        <f aca="false">IF(D186=0,(8314.4621*C185*LN(H186/H185)/(-G$99*9.80665*G$103)),C185/D186*(1/(H186/H185)^(8314.4621*D186/(G$99*9.80665*G$103))-1))+E185</f>
        <v>81825.6909985156</v>
      </c>
      <c r="F186" s="61" t="n">
        <f aca="false">F$38*E186/(F$38-E186)</f>
        <v>82835.3254544327</v>
      </c>
      <c r="G186" s="61" t="n">
        <f aca="false">8314.4621*C186/(G$103*G$99*9.80665)</f>
        <v>3235.2221698225</v>
      </c>
      <c r="H186" s="64" t="n">
        <f aca="false">10^B186*101325</f>
        <v>0.000246929025</v>
      </c>
      <c r="I186" s="64" t="n">
        <f aca="false">H186/(8314.4621/G$103*C186)</f>
        <v>6.3952389768614E-009</v>
      </c>
      <c r="J186" s="61" t="n">
        <f aca="false">SQRT(8314.4621/G$103*G$105*C186)</f>
        <v>232.586251943079</v>
      </c>
      <c r="K186" s="61" t="n">
        <f aca="false">IF(F$20&gt;0,SQRT(2*G$98/(F$20+N186)),10000)</f>
        <v>3795.29304806227</v>
      </c>
      <c r="L186" s="64" t="n">
        <f aca="false">I186*K186^2/2</f>
        <v>0.0460593083439883</v>
      </c>
      <c r="M186" s="64" t="n">
        <f aca="false">I186*K186^3/2</f>
        <v>174.808572756495</v>
      </c>
      <c r="N186" s="61" t="n">
        <f aca="false">F186*IF(G$128&gt;0,G$128,0.5)</f>
        <v>75511.2306423016</v>
      </c>
      <c r="O186" s="61" t="n">
        <f aca="false">C186-P186*(G$115+(G$114-G$115)*COS(RADIANS(38)))/2</f>
        <v>123.876138088745</v>
      </c>
      <c r="P186" s="89" t="n">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0.43470630735215</v>
      </c>
      <c r="Q186" s="10" t="str">
        <f aca="false">IF(L186&gt;L$144,"|",IF(L185&gt;L$144,"V",""))</f>
        <v/>
      </c>
    </row>
    <row r="187" s="1" customFormat="true" ht="15.75" hidden="false" customHeight="false" outlineLevel="0" collapsed="false">
      <c r="B187" s="62" t="n">
        <f aca="false">B186-0.25</f>
        <v>-8.86314447081528</v>
      </c>
      <c r="C187" s="65" t="n">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131.145885046188</v>
      </c>
      <c r="D187" s="64" t="n">
        <f aca="false">(C187-C186)/(E187-E186)</f>
        <v>0.0013020973371275</v>
      </c>
      <c r="E187" s="61" t="n">
        <f aca="false">IF(D187=0,(8314.4621*C186*LN(H187/H186)/(-G$99*9.80665*G$103)),C186/D187*(1/(H187/H186)^(8314.4621*D187/(G$99*9.80665*G$103))-1))+E186</f>
        <v>83705.6906295267</v>
      </c>
      <c r="F187" s="61" t="n">
        <f aca="false">F$38*E187/(F$38-E187)</f>
        <v>84762.5517105582</v>
      </c>
      <c r="G187" s="61" t="n">
        <f aca="false">8314.4621*C187/(G$103*G$99*9.80665)</f>
        <v>3296.75880179993</v>
      </c>
      <c r="H187" s="64" t="n">
        <f aca="false">10^B187*101325</f>
        <v>0.000138858395146461</v>
      </c>
      <c r="I187" s="64" t="n">
        <f aca="false">H187/(8314.4621/G$103*C187)</f>
        <v>3.52917922018285E-009</v>
      </c>
      <c r="J187" s="61" t="n">
        <f aca="false">SQRT(8314.4621/G$103*G$105*C187)</f>
        <v>234.787824854341</v>
      </c>
      <c r="K187" s="61" t="n">
        <f aca="false">IF(F$20&gt;0,SQRT(2*G$98/(F$20+N187)),10000)</f>
        <v>3790.83704179643</v>
      </c>
      <c r="L187" s="64" t="n">
        <f aca="false">I187*K187^2/2</f>
        <v>0.025357938781904</v>
      </c>
      <c r="M187" s="64" t="n">
        <f aca="false">I187*K187^3/2</f>
        <v>96.1278136380481</v>
      </c>
      <c r="N187" s="61" t="n">
        <f aca="false">F187*IF(G$128&gt;0,G$128,0.5)</f>
        <v>77268.0563145354</v>
      </c>
      <c r="O187" s="61" t="n">
        <f aca="false">C187-P187*(G$115+(G$114-G$115)*COS(RADIANS(38)))/2</f>
        <v>126.324080613092</v>
      </c>
      <c r="P187" s="89" t="n">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0.43470630735215</v>
      </c>
      <c r="Q187" s="10" t="str">
        <f aca="false">IF(L187&gt;L$144,"|",IF(L186&gt;L$144,"V",""))</f>
        <v/>
      </c>
    </row>
    <row r="188" s="1" customFormat="true" ht="15.75" hidden="false" customHeight="false" outlineLevel="0" collapsed="false">
      <c r="B188" s="62" t="n">
        <f aca="false">B187-0.25</f>
        <v>-9.11314447081528</v>
      </c>
      <c r="C188" s="65" t="n">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134.025275862602</v>
      </c>
      <c r="D188" s="64" t="n">
        <f aca="false">(C188-C187)/(E188-E187)</f>
        <v>0.00150083562596447</v>
      </c>
      <c r="E188" s="61" t="n">
        <f aca="false">IF(D188=0,(8314.4621*C187*LN(H188/H187)/(-G$99*9.80665*G$103)),C187/D188*(1/(H188/H187)^(8314.4621*D188/(G$99*9.80665*G$103))-1))+E187</f>
        <v>85624.2154716376</v>
      </c>
      <c r="F188" s="61" t="n">
        <f aca="false">F$38*E188/(F$38-E188)</f>
        <v>86730.3981261967</v>
      </c>
      <c r="G188" s="61" t="n">
        <f aca="false">8314.4621*C188/(G$103*G$99*9.80665)</f>
        <v>3369.14122549924</v>
      </c>
      <c r="H188" s="64" t="n">
        <f aca="false">10^B188*101325</f>
        <v>7.80858139404661E-005</v>
      </c>
      <c r="I188" s="64" t="n">
        <f aca="false">H188/(8314.4621/G$103*C188)</f>
        <v>1.94196622336976E-009</v>
      </c>
      <c r="J188" s="61" t="n">
        <f aca="false">SQRT(8314.4621/G$103*G$105*C188)</f>
        <v>237.351288199265</v>
      </c>
      <c r="K188" s="61" t="n">
        <f aca="false">IF(F$20&gt;0,SQRT(2*G$98/(F$20+N188)),10000)</f>
        <v>3786.30327256153</v>
      </c>
      <c r="L188" s="64" t="n">
        <f aca="false">I188*K188^2/2</f>
        <v>0.0139201036776804</v>
      </c>
      <c r="M188" s="64" t="n">
        <f aca="false">I188*K188^3/2</f>
        <v>52.7057341091971</v>
      </c>
      <c r="N188" s="61" t="n">
        <f aca="false">F188*IF(G$128&gt;0,G$128,0.5)</f>
        <v>79061.9106121399</v>
      </c>
      <c r="O188" s="61" t="n">
        <f aca="false">C188-P188*(G$115+(G$114-G$115)*COS(RADIANS(38)))/2</f>
        <v>129.203471429506</v>
      </c>
      <c r="P188" s="89" t="n">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0.43470630735215</v>
      </c>
      <c r="Q188" s="10" t="str">
        <f aca="false">IF(L188&gt;L$144,"|",IF(L187&gt;L$144,"V",""))</f>
        <v/>
      </c>
    </row>
    <row r="189" s="1" customFormat="true" ht="15.75" hidden="false" customHeight="false" outlineLevel="0" collapsed="false">
      <c r="B189" s="62" t="n">
        <f aca="false">B188-0.25</f>
        <v>-9.36314447081528</v>
      </c>
      <c r="C189" s="65" t="n">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137.314945574631</v>
      </c>
      <c r="D189" s="64" t="n">
        <f aca="false">(C189-C188)/(E189-E188)</f>
        <v>0.00167571321117429</v>
      </c>
      <c r="E189" s="61" t="n">
        <f aca="false">IF(D189=0,(8314.4621*C188*LN(H189/H188)/(-G$99*9.80665*G$103)),C188/D189*(1/(H189/H188)^(8314.4621*D189/(G$99*9.80665*G$103))-1))+E188</f>
        <v>87587.3546249164</v>
      </c>
      <c r="F189" s="61" t="n">
        <f aca="false">F$38*E189/(F$38-E189)</f>
        <v>88745.1854561012</v>
      </c>
      <c r="G189" s="61" t="n">
        <f aca="false">8314.4621*C189/(G$103*G$99*9.80665)</f>
        <v>3451.83728244627</v>
      </c>
      <c r="H189" s="64" t="n">
        <f aca="false">10^B189*101325</f>
        <v>4.39108800898487E-005</v>
      </c>
      <c r="I189" s="64" t="n">
        <f aca="false">H189/(8314.4621/G$103*C189)</f>
        <v>1.06588554520022E-009</v>
      </c>
      <c r="J189" s="61" t="n">
        <f aca="false">SQRT(8314.4621/G$103*G$105*C189)</f>
        <v>240.24654059075</v>
      </c>
      <c r="K189" s="61" t="n">
        <f aca="false">IF(F$20&gt;0,SQRT(2*G$98/(F$20+N189)),10000)</f>
        <v>3781.67816700017</v>
      </c>
      <c r="L189" s="64" t="n">
        <f aca="false">I189*K189^2/2</f>
        <v>0.00762166242723968</v>
      </c>
      <c r="M189" s="64" t="n">
        <f aca="false">I189*K189^3/2</f>
        <v>28.8226743973379</v>
      </c>
      <c r="N189" s="61" t="n">
        <f aca="false">F189*IF(G$128&gt;0,G$128,0.5)</f>
        <v>80898.5554243498</v>
      </c>
      <c r="O189" s="61" t="n">
        <f aca="false">C189-P189*(G$115+(G$114-G$115)*COS(RADIANS(38)))/2</f>
        <v>132.493141141535</v>
      </c>
      <c r="P189" s="89" t="n">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0.43470630735215</v>
      </c>
      <c r="Q189" s="10" t="str">
        <f aca="false">IF(L189&gt;L$144,"|",IF(L188&gt;L$144,"V",""))</f>
        <v/>
      </c>
    </row>
    <row r="190" s="1" customFormat="true" ht="15.75" hidden="false" customHeight="false" outlineLevel="0" collapsed="false">
      <c r="B190" s="62" t="n">
        <f aca="false">B189-0.25</f>
        <v>-9.61314447081528</v>
      </c>
      <c r="C190" s="65" t="n">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140.993724785828</v>
      </c>
      <c r="D190" s="64" t="n">
        <f aca="false">(C190-C189)/(E190-E189)</f>
        <v>0.00182686486056091</v>
      </c>
      <c r="E190" s="61" t="n">
        <f aca="false">IF(D190=0,(8314.4621*C189*LN(H190/H189)/(-G$99*9.80665*G$103)),C189/D190*(1/(H190/H189)^(8314.4621*D190/(G$99*9.80665*G$103))-1))+E189</f>
        <v>89600.8894641428</v>
      </c>
      <c r="F190" s="61" t="n">
        <f aca="false">F$38*E190/(F$38-E190)</f>
        <v>90812.934987232</v>
      </c>
      <c r="G190" s="61" t="n">
        <f aca="false">8314.4621*C190/(G$103*G$99*9.80665)</f>
        <v>3544.31481416691</v>
      </c>
      <c r="H190" s="64" t="n">
        <f aca="false">10^B190*101325</f>
        <v>2.46929025E-005</v>
      </c>
      <c r="I190" s="64" t="n">
        <f aca="false">H190/(8314.4621/G$103*C190)</f>
        <v>5.83752290754627E-010</v>
      </c>
      <c r="J190" s="61" t="n">
        <f aca="false">SQRT(8314.4621/G$103*G$105*C190)</f>
        <v>243.443470256628</v>
      </c>
      <c r="K190" s="61" t="n">
        <f aca="false">IF(F$20&gt;0,SQRT(2*G$98/(F$20+N190)),10000)</f>
        <v>3776.94906256123</v>
      </c>
      <c r="L190" s="64" t="n">
        <f aca="false">I190*K190^2/2</f>
        <v>0.00416371364828517</v>
      </c>
      <c r="M190" s="64" t="n">
        <f aca="false">I190*K190^3/2</f>
        <v>15.7261344946477</v>
      </c>
      <c r="N190" s="61" t="n">
        <f aca="false">F190*IF(G$128&gt;0,G$128,0.5)</f>
        <v>82783.4796508095</v>
      </c>
      <c r="O190" s="61" t="n">
        <f aca="false">C190-P190*(G$115+(G$114-G$115)*COS(RADIANS(38)))/2</f>
        <v>136.171920352732</v>
      </c>
      <c r="P190" s="89" t="n">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0.43470630735215</v>
      </c>
      <c r="Q190" s="10" t="str">
        <f aca="false">IF(L190&gt;L$144,"|",IF(L189&gt;L$144,"V",""))</f>
        <v/>
      </c>
    </row>
    <row r="191" s="1" customFormat="true" ht="15.75" hidden="false" customHeight="false" outlineLevel="0" collapsed="false">
      <c r="B191" s="62" t="n">
        <f aca="false">B190-0.25</f>
        <v>-9.86314447081528</v>
      </c>
      <c r="C191" s="65" t="n">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145.040444099741</v>
      </c>
      <c r="D191" s="64" t="n">
        <f aca="false">(C191-C190)/(E191-E190)</f>
        <v>0.00195205370289436</v>
      </c>
      <c r="E191" s="61" t="n">
        <f aca="false">IF(D191=0,(8314.4621*C190*LN(H191/H190)/(-G$99*9.80665*G$103)),C190/D191*(1/(H191/H190)^(8314.4621*D191/(G$99*9.80665*G$103))-1))+E190</f>
        <v>91670.250617111</v>
      </c>
      <c r="F191" s="61" t="n">
        <f aca="false">F$38*E191/(F$38-E191)</f>
        <v>92939.3242709561</v>
      </c>
      <c r="G191" s="61" t="n">
        <f aca="false">8314.4621*C191/(G$103*G$99*9.80665)</f>
        <v>3646.04166218703</v>
      </c>
      <c r="H191" s="64" t="n">
        <f aca="false">10^B191*101325</f>
        <v>1.38858395146461E-005</v>
      </c>
      <c r="I191" s="64" t="n">
        <f aca="false">H191/(8314.4621/G$103*C191)</f>
        <v>3.19109152754119E-010</v>
      </c>
      <c r="J191" s="61" t="n">
        <f aca="false">SQRT(8314.4621/G$103*G$105*C191)</f>
        <v>246.912341909006</v>
      </c>
      <c r="K191" s="61" t="n">
        <f aca="false">IF(F$20&gt;0,SQRT(2*G$98/(F$20+N191)),10000)</f>
        <v>3772.10430070301</v>
      </c>
      <c r="L191" s="64" t="n">
        <f aca="false">I191*K191^2/2</f>
        <v>0.0022702649891774</v>
      </c>
      <c r="M191" s="64" t="n">
        <f aca="false">I191*K191^3/2</f>
        <v>8.56367827966243</v>
      </c>
      <c r="N191" s="61" t="n">
        <f aca="false">F191*IF(G$128&gt;0,G$128,0.5)</f>
        <v>84721.8588478218</v>
      </c>
      <c r="O191" s="61" t="n">
        <f aca="false">C191-P191*(G$115+(G$114-G$115)*COS(RADIANS(38)))/2</f>
        <v>140.218639666645</v>
      </c>
      <c r="P191" s="89" t="n">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0.43470630735215</v>
      </c>
      <c r="Q191" s="10" t="str">
        <f aca="false">IF(L191&gt;L$144,"|",IF(L190&gt;L$144,"V",""))</f>
        <v/>
      </c>
    </row>
    <row r="192" s="1" customFormat="true" ht="15.75" hidden="false" customHeight="false" outlineLevel="0" collapsed="false">
      <c r="B192" s="62" t="n">
        <f aca="false">B191-0.25</f>
        <v>-10.1131444708153</v>
      </c>
      <c r="C192" s="66" t="n">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149.408829184099</v>
      </c>
      <c r="D192" s="64" t="n">
        <f aca="false">(C192-C191)/(E192-E191)</f>
        <v>0.00204811341333135</v>
      </c>
      <c r="E192" s="61" t="n">
        <f aca="false">IF(D192=0,(8314.4621*C191*LN(H192/H191)/(-G$99*9.80665*G$103)),C191/D192*(1/(H192/H191)^(8314.4621*D192/(G$99*9.80665*G$103))-1))+E191</f>
        <v>93800.4925525464</v>
      </c>
      <c r="F192" s="61" t="n">
        <f aca="false">F$38*E192/(F$38-E192)</f>
        <v>95129.6608254764</v>
      </c>
      <c r="G192" s="61" t="n">
        <f aca="false">8314.4621*C192/(G$103*G$99*9.80665)</f>
        <v>3755.85457756318</v>
      </c>
      <c r="H192" s="64" t="n">
        <f aca="false">10^B192*101325</f>
        <v>7.80858139404661E-006</v>
      </c>
      <c r="I192" s="64" t="n">
        <f aca="false">H192/(8314.4621/G$103*C192)</f>
        <v>1.74201591849892E-010</v>
      </c>
      <c r="J192" s="61" t="n">
        <f aca="false">SQRT(8314.4621/G$103*G$105*C192)</f>
        <v>250.603059902003</v>
      </c>
      <c r="K192" s="61" t="n">
        <f aca="false">IF(F$20&gt;0,SQRT(2*G$98/(F$20+N192)),10000)</f>
        <v>3767.13328319144</v>
      </c>
      <c r="L192" s="64" t="n">
        <f aca="false">I192*K192^2/2</f>
        <v>0.00123606861282285</v>
      </c>
      <c r="M192" s="64" t="n">
        <f aca="false">I192*K192^3/2</f>
        <v>4.6564514773197</v>
      </c>
      <c r="N192" s="61" t="n">
        <f aca="false">F192*IF(G$128&gt;0,G$128,0.5)</f>
        <v>86718.5312559435</v>
      </c>
      <c r="O192" s="61" t="n">
        <f aca="false">C192-P192*(G$115+(G$114-G$115)*COS(RADIANS(38)))/2</f>
        <v>144.587024751003</v>
      </c>
      <c r="P192" s="89" t="n">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0.43470630735215</v>
      </c>
      <c r="Q192" s="10" t="str">
        <f aca="false">IF(L192&gt;L$144,"|",IF(L191&gt;L$144,"V",""))</f>
        <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9.13671875" defaultRowHeight="15" zeroHeight="false" outlineLevelRow="0" outlineLevelCol="0"/>
  <cols>
    <col collapsed="false" customWidth="true" hidden="false" outlineLevel="0" max="1" min="1" style="67" width="27.71"/>
    <col collapsed="false" customWidth="true" hidden="false" outlineLevel="0" max="2" min="2" style="67" width="14.69"/>
    <col collapsed="false" customWidth="true" hidden="false" outlineLevel="0" max="5" min="3" style="68" width="14.69"/>
    <col collapsed="false" customWidth="false" hidden="false" outlineLevel="0" max="1024" min="6" style="68" width="9.13"/>
  </cols>
  <sheetData>
    <row r="1" customFormat="false" ht="78.75" hidden="false" customHeight="true" outlineLevel="0" collapsed="false">
      <c r="A1" s="69" t="s">
        <v>289</v>
      </c>
      <c r="B1" s="69"/>
      <c r="C1" s="69"/>
      <c r="D1" s="69"/>
      <c r="E1" s="69"/>
    </row>
    <row r="2" customFormat="false" ht="15" hidden="false" customHeight="false" outlineLevel="0" collapsed="false">
      <c r="A2" s="70"/>
      <c r="B2" s="70"/>
      <c r="C2" s="71"/>
      <c r="D2" s="71"/>
      <c r="E2" s="71"/>
    </row>
    <row r="3" customFormat="false" ht="15" hidden="false" customHeight="false" outlineLevel="0" collapsed="false">
      <c r="A3" s="70" t="s">
        <v>290</v>
      </c>
      <c r="B3" s="70"/>
      <c r="C3" s="71"/>
      <c r="D3" s="71"/>
      <c r="E3" s="71"/>
    </row>
    <row r="4" customFormat="false" ht="15" hidden="false" customHeight="false" outlineLevel="0" collapsed="false">
      <c r="A4" s="70" t="s">
        <v>209</v>
      </c>
      <c r="B4" s="75"/>
      <c r="D4" s="71"/>
      <c r="E4" s="75"/>
    </row>
    <row r="5" customFormat="false" ht="15" hidden="false" customHeight="false" outlineLevel="0" collapsed="false">
      <c r="A5" s="72" t="s">
        <v>291</v>
      </c>
      <c r="B5" s="75" t="n">
        <f aca="false">Other!G24</f>
        <v>0.1</v>
      </c>
      <c r="D5" s="71"/>
      <c r="E5" s="75"/>
    </row>
    <row r="6" customFormat="false" ht="15" hidden="false" customHeight="false" outlineLevel="0" collapsed="false">
      <c r="A6" s="70" t="s">
        <v>212</v>
      </c>
      <c r="B6" s="75"/>
      <c r="D6" s="71"/>
      <c r="E6" s="75"/>
    </row>
    <row r="7" customFormat="false" ht="15" hidden="false" customHeight="false" outlineLevel="0" collapsed="false">
      <c r="A7" s="70" t="s">
        <v>213</v>
      </c>
      <c r="B7" s="71"/>
      <c r="D7" s="71"/>
      <c r="E7" s="75"/>
    </row>
    <row r="8" customFormat="false" ht="15" hidden="false" customHeight="false" outlineLevel="0" collapsed="false">
      <c r="A8" s="70" t="s">
        <v>209</v>
      </c>
      <c r="B8" s="75"/>
      <c r="D8" s="71"/>
      <c r="E8" s="75"/>
    </row>
    <row r="9" customFormat="false" ht="15" hidden="false" customHeight="false" outlineLevel="0" collapsed="false">
      <c r="A9" s="72" t="s">
        <v>214</v>
      </c>
      <c r="B9" s="75" t="s">
        <v>215</v>
      </c>
      <c r="D9" s="75"/>
      <c r="E9" s="75"/>
    </row>
    <row r="10" customFormat="false" ht="15" hidden="false" customHeight="false" outlineLevel="0" collapsed="false">
      <c r="A10" s="72" t="s">
        <v>216</v>
      </c>
      <c r="B10" s="75" t="str">
        <f aca="false">IF(Other!F51&gt;0,"True","False")</f>
        <v>False</v>
      </c>
      <c r="D10" s="75"/>
      <c r="E10" s="75"/>
    </row>
    <row r="11" customFormat="false" ht="15" hidden="false" customHeight="false" outlineLevel="0" collapsed="false">
      <c r="A11" s="72" t="s">
        <v>218</v>
      </c>
      <c r="B11" s="75" t="n">
        <f aca="false">MAX(B18:B60)</f>
        <v>55000</v>
      </c>
      <c r="D11" s="75"/>
      <c r="E11" s="75"/>
    </row>
    <row r="12" customFormat="false" ht="15" hidden="false" customHeight="false" outlineLevel="0" collapsed="false">
      <c r="A12" s="72" t="s">
        <v>219</v>
      </c>
      <c r="B12" s="90" t="n">
        <f aca="false">ROUND(Other!G105,2)</f>
        <v>1.4</v>
      </c>
      <c r="D12" s="75"/>
      <c r="E12" s="75"/>
    </row>
    <row r="13" customFormat="false" ht="15" hidden="false" customHeight="false" outlineLevel="0" collapsed="false">
      <c r="A13" s="72" t="s">
        <v>220</v>
      </c>
      <c r="B13" s="75" t="n">
        <f aca="false">ROUND(Other!G103/1000,5)</f>
        <v>0.02771</v>
      </c>
      <c r="D13" s="75"/>
      <c r="E13" s="75"/>
    </row>
    <row r="14" customFormat="false" ht="15" hidden="false" customHeight="false" outlineLevel="0" collapsed="false">
      <c r="A14" s="72" t="s">
        <v>221</v>
      </c>
      <c r="B14" s="74" t="n">
        <f aca="false">ROUND(Other!C$150,0)</f>
        <v>225</v>
      </c>
      <c r="D14" s="75"/>
      <c r="E14" s="75"/>
    </row>
    <row r="15" customFormat="false" ht="15" hidden="false" customHeight="false" outlineLevel="0" collapsed="false">
      <c r="A15" s="72" t="s">
        <v>222</v>
      </c>
      <c r="B15" s="77" t="n">
        <f aca="false">C142</f>
        <v>246.929025</v>
      </c>
      <c r="D15" s="75"/>
      <c r="E15" s="75"/>
    </row>
    <row r="16" customFormat="false" ht="15" hidden="false" customHeight="false" outlineLevel="0" collapsed="false">
      <c r="A16" s="72" t="s">
        <v>223</v>
      </c>
      <c r="B16" s="75"/>
      <c r="D16" s="75"/>
      <c r="E16" s="75"/>
    </row>
    <row r="17" customFormat="false" ht="15" hidden="false" customHeight="false" outlineLevel="0" collapsed="false">
      <c r="A17" s="72" t="s">
        <v>209</v>
      </c>
      <c r="B17" s="70"/>
      <c r="C17" s="75"/>
      <c r="D17" s="75"/>
      <c r="E17" s="75"/>
    </row>
    <row r="18" customFormat="false" ht="15" hidden="false" customHeight="false" outlineLevel="0" collapsed="false">
      <c r="A18" s="75" t="str">
        <f aca="false">IF(B18="","Unused","key =")</f>
        <v>key =</v>
      </c>
      <c r="B18" s="75" t="n">
        <f aca="false">IF(Other!Q150="|",ROUND(Other!N150,0),IF(Other!Q150="V",ROUND(Other!N150,-3),""))</f>
        <v>0</v>
      </c>
      <c r="C18" s="75" t="n">
        <f aca="false">IF(B18="","",ROUND(Other!O150,0))</f>
        <v>214</v>
      </c>
      <c r="D18" s="77" t="n">
        <v>0</v>
      </c>
      <c r="E18" s="77" t="n">
        <f aca="false">(C19-C18)/(B19-B18)</f>
        <v>-0.00172117039586919</v>
      </c>
    </row>
    <row r="19" customFormat="false" ht="15" hidden="false" customHeight="false" outlineLevel="0" collapsed="false">
      <c r="A19" s="75" t="str">
        <f aca="false">IF(B19="","Unused","key =")</f>
        <v>key =</v>
      </c>
      <c r="B19" s="75" t="n">
        <f aca="false">IF(Other!Q151="|",ROUND(Other!N151,0),IF(Other!Q151="V",ROUND(Other!N151,-3),""))</f>
        <v>2905</v>
      </c>
      <c r="C19" s="75" t="n">
        <f aca="false">IF(B19="","",ROUND(Other!O151,0))</f>
        <v>209</v>
      </c>
      <c r="D19" s="77" t="n">
        <f aca="false">IF(C19="","",(C19-C18)/(B19-B18))</f>
        <v>-0.00172117039586919</v>
      </c>
      <c r="E19" s="77" t="n">
        <f aca="false">IF(C19="","",IF(C20="",0,(C20-C19)/(B20-B19)))</f>
        <v>-0.00106307583274274</v>
      </c>
    </row>
    <row r="20" customFormat="false" ht="15" hidden="false" customHeight="false" outlineLevel="0" collapsed="false">
      <c r="A20" s="75" t="str">
        <f aca="false">IF(B20="","Unused","key =")</f>
        <v>key =</v>
      </c>
      <c r="B20" s="75" t="n">
        <f aca="false">IF(Other!Q152="|",ROUND(Other!N152,0),IF(Other!Q152="V",ROUND(Other!N152,-3),""))</f>
        <v>5727</v>
      </c>
      <c r="C20" s="75" t="n">
        <f aca="false">IF(B20="","",ROUND(Other!O152,0))</f>
        <v>206</v>
      </c>
      <c r="D20" s="77" t="n">
        <f aca="false">IF(C20="","",(C20-C19)/(B20-B19))</f>
        <v>-0.00106307583274274</v>
      </c>
      <c r="E20" s="77" t="n">
        <f aca="false">IF(C20="","",IF(C21="",0,(C21-C20)/(B21-B20)))</f>
        <v>-0.00146145414687614</v>
      </c>
    </row>
    <row r="21" customFormat="false" ht="15" hidden="false" customHeight="false" outlineLevel="0" collapsed="false">
      <c r="A21" s="75" t="str">
        <f aca="false">IF(B21="","Unused","key =")</f>
        <v>key =</v>
      </c>
      <c r="B21" s="75" t="n">
        <f aca="false">IF(Other!Q153="|",ROUND(Other!N153,0),IF(Other!Q153="V",ROUND(Other!N153,-3),""))</f>
        <v>8464</v>
      </c>
      <c r="C21" s="75" t="n">
        <f aca="false">IF(B21="","",ROUND(Other!O153,0))</f>
        <v>202</v>
      </c>
      <c r="D21" s="77" t="n">
        <f aca="false">IF(C21="","",(C21-C20)/(B21-B20))</f>
        <v>-0.00146145414687614</v>
      </c>
      <c r="E21" s="77" t="n">
        <f aca="false">IF(C21="","",IF(C22="",0,(C22-C21)/(B22-B21)))</f>
        <v>-0.00150659133709981</v>
      </c>
    </row>
    <row r="22" customFormat="false" ht="15" hidden="false" customHeight="false" outlineLevel="0" collapsed="false">
      <c r="A22" s="75" t="str">
        <f aca="false">IF(B22="","Unused","key =")</f>
        <v>key =</v>
      </c>
      <c r="B22" s="75" t="n">
        <f aca="false">IF(Other!Q154="|",ROUND(Other!N154,0),IF(Other!Q154="V",ROUND(Other!N154,-3),""))</f>
        <v>11119</v>
      </c>
      <c r="C22" s="75" t="n">
        <f aca="false">IF(B22="","",ROUND(Other!O154,0))</f>
        <v>198</v>
      </c>
      <c r="D22" s="77" t="n">
        <f aca="false">IF(C22="","",(C22-C21)/(B22-B21))</f>
        <v>-0.00150659133709981</v>
      </c>
      <c r="E22" s="77" t="n">
        <f aca="false">IF(C22="","",IF(C23="",0,(C23-C22)/(B23-B22)))</f>
        <v>-0.00155098875533152</v>
      </c>
    </row>
    <row r="23" customFormat="false" ht="15" hidden="false" customHeight="false" outlineLevel="0" collapsed="false">
      <c r="A23" s="75" t="str">
        <f aca="false">IF(B23="","Unused","key =")</f>
        <v>key =</v>
      </c>
      <c r="B23" s="75" t="n">
        <f aca="false">IF(Other!Q155="|",ROUND(Other!N155,0),IF(Other!Q155="V",ROUND(Other!N155,-3),""))</f>
        <v>13698</v>
      </c>
      <c r="C23" s="75" t="n">
        <f aca="false">IF(B23="","",ROUND(Other!O155,0))</f>
        <v>194</v>
      </c>
      <c r="D23" s="77" t="n">
        <f aca="false">IF(C23="","",(C23-C22)/(B23-B22))</f>
        <v>-0.00155098875533152</v>
      </c>
      <c r="E23" s="77" t="n">
        <f aca="false">IF(C23="","",IF(C24="",0,(C24-C23)/(B24-B23)))</f>
        <v>-0.00199600798403194</v>
      </c>
    </row>
    <row r="24" customFormat="false" ht="15" hidden="false" customHeight="false" outlineLevel="0" collapsed="false">
      <c r="A24" s="75" t="str">
        <f aca="false">IF(B24="","Unused","key =")</f>
        <v>key =</v>
      </c>
      <c r="B24" s="75" t="n">
        <f aca="false">IF(Other!Q156="|",ROUND(Other!N156,0),IF(Other!Q156="V",ROUND(Other!N156,-3),""))</f>
        <v>16203</v>
      </c>
      <c r="C24" s="75" t="n">
        <f aca="false">IF(B24="","",ROUND(Other!O156,0))</f>
        <v>189</v>
      </c>
      <c r="D24" s="77" t="n">
        <f aca="false">IF(C24="","",(C24-C23)/(B24-B23))</f>
        <v>-0.00199600798403194</v>
      </c>
      <c r="E24" s="77" t="n">
        <f aca="false">IF(C24="","",IF(C25="",0,(C25-C24)/(B25-B24)))</f>
        <v>-0.001640016400164</v>
      </c>
    </row>
    <row r="25" customFormat="false" ht="15" hidden="false" customHeight="false" outlineLevel="0" collapsed="false">
      <c r="A25" s="75" t="str">
        <f aca="false">IF(B25="","Unused","key =")</f>
        <v>key =</v>
      </c>
      <c r="B25" s="75" t="n">
        <f aca="false">IF(Other!Q157="|",ROUND(Other!N157,0),IF(Other!Q157="V",ROUND(Other!N157,-3),""))</f>
        <v>18642</v>
      </c>
      <c r="C25" s="75" t="n">
        <f aca="false">IF(B25="","",ROUND(Other!O157,0))</f>
        <v>185</v>
      </c>
      <c r="D25" s="77" t="n">
        <f aca="false">IF(C25="","",(C25-C24)/(B25-B24))</f>
        <v>-0.001640016400164</v>
      </c>
      <c r="E25" s="77" t="n">
        <f aca="false">IF(C25="","",IF(C26="",0,(C26-C25)/(B26-B25)))</f>
        <v>-0.00209995800083998</v>
      </c>
    </row>
    <row r="26" customFormat="false" ht="15" hidden="false" customHeight="false" outlineLevel="0" collapsed="false">
      <c r="A26" s="75" t="str">
        <f aca="false">IF(B26="","Unused","key =")</f>
        <v>key =</v>
      </c>
      <c r="B26" s="75" t="n">
        <f aca="false">IF(Other!Q158="|",ROUND(Other!N158,0),IF(Other!Q158="V",ROUND(Other!N158,-3),""))</f>
        <v>21023</v>
      </c>
      <c r="C26" s="75" t="n">
        <f aca="false">IF(B26="","",ROUND(Other!O158,0))</f>
        <v>180</v>
      </c>
      <c r="D26" s="77" t="n">
        <f aca="false">IF(C26="","",(C26-C25)/(B26-B25))</f>
        <v>-0.00209995800083998</v>
      </c>
      <c r="E26" s="77" t="n">
        <f aca="false">IF(C26="","",IF(C27="",0,(C27-C26)/(B27-B26)))</f>
        <v>-0.00171821305841924</v>
      </c>
    </row>
    <row r="27" customFormat="false" ht="15" hidden="false" customHeight="false" outlineLevel="0" collapsed="false">
      <c r="A27" s="75" t="str">
        <f aca="false">IF(B27="","Unused","key =")</f>
        <v>key =</v>
      </c>
      <c r="B27" s="75" t="n">
        <f aca="false">IF(Other!Q159="|",ROUND(Other!N159,0),IF(Other!Q159="V",ROUND(Other!N159,-3),""))</f>
        <v>23351</v>
      </c>
      <c r="C27" s="75" t="n">
        <f aca="false">IF(B27="","",ROUND(Other!O159,0))</f>
        <v>176</v>
      </c>
      <c r="D27" s="77" t="n">
        <f aca="false">IF(C27="","",(C27-C26)/(B27-B26))</f>
        <v>-0.00171821305841924</v>
      </c>
      <c r="E27" s="77" t="n">
        <f aca="false">IF(C27="","",IF(C28="",0,(C28-C27)/(B28-B27)))</f>
        <v>-0.0013129102844639</v>
      </c>
    </row>
    <row r="28" customFormat="false" ht="15" hidden="false" customHeight="false" outlineLevel="0" collapsed="false">
      <c r="A28" s="75" t="str">
        <f aca="false">IF(B28="","Unused","key =")</f>
        <v>key =</v>
      </c>
      <c r="B28" s="75" t="n">
        <f aca="false">IF(Other!Q160="|",ROUND(Other!N160,0),IF(Other!Q160="V",ROUND(Other!N160,-3),""))</f>
        <v>25636</v>
      </c>
      <c r="C28" s="75" t="n">
        <f aca="false">IF(B28="","",ROUND(Other!O160,0))</f>
        <v>173</v>
      </c>
      <c r="D28" s="77" t="n">
        <f aca="false">IF(C28="","",(C28-C27)/(B28-B27))</f>
        <v>-0.0013129102844639</v>
      </c>
      <c r="E28" s="77" t="n">
        <f aca="false">IF(C28="","",IF(C29="",0,(C29-C28)/(B29-B28)))</f>
        <v>-0.0017825311942959</v>
      </c>
    </row>
    <row r="29" customFormat="false" ht="15" hidden="false" customHeight="false" outlineLevel="0" collapsed="false">
      <c r="A29" s="75" t="str">
        <f aca="false">IF(B29="","Unused","key =")</f>
        <v>key =</v>
      </c>
      <c r="B29" s="75" t="n">
        <f aca="false">IF(Other!Q161="|",ROUND(Other!N161,0),IF(Other!Q161="V",ROUND(Other!N161,-3),""))</f>
        <v>27880</v>
      </c>
      <c r="C29" s="75" t="n">
        <f aca="false">IF(B29="","",ROUND(Other!O161,0))</f>
        <v>169</v>
      </c>
      <c r="D29" s="77" t="n">
        <f aca="false">IF(C29="","",(C29-C28)/(B29-B28))</f>
        <v>-0.0017825311942959</v>
      </c>
      <c r="E29" s="77" t="n">
        <f aca="false">IF(C29="","",IF(C30="",0,(C30-C29)/(B30-B29)))</f>
        <v>-0.00135685210312076</v>
      </c>
    </row>
    <row r="30" customFormat="false" ht="15" hidden="false" customHeight="false" outlineLevel="0" collapsed="false">
      <c r="A30" s="75" t="str">
        <f aca="false">IF(B30="","Unused","key =")</f>
        <v>key =</v>
      </c>
      <c r="B30" s="75" t="n">
        <f aca="false">IF(Other!Q162="|",ROUND(Other!N162,0),IF(Other!Q162="V",ROUND(Other!N162,-3),""))</f>
        <v>30091</v>
      </c>
      <c r="C30" s="75" t="n">
        <f aca="false">IF(B30="","",ROUND(Other!O162,0))</f>
        <v>166</v>
      </c>
      <c r="D30" s="77" t="n">
        <f aca="false">IF(C30="","",(C30-C29)/(B30-B29))</f>
        <v>-0.00135685210312076</v>
      </c>
      <c r="E30" s="77" t="n">
        <f aca="false">IF(C30="","",IF(C31="",0,(C31-C30)/(B31-B30)))</f>
        <v>-0.00137425561154375</v>
      </c>
    </row>
    <row r="31" customFormat="false" ht="15" hidden="false" customHeight="false" outlineLevel="0" collapsed="false">
      <c r="A31" s="75" t="str">
        <f aca="false">IF(B31="","Unused","key =")</f>
        <v>key =</v>
      </c>
      <c r="B31" s="75" t="n">
        <f aca="false">IF(Other!Q163="|",ROUND(Other!N163,0),IF(Other!Q163="V",ROUND(Other!N163,-3),""))</f>
        <v>32274</v>
      </c>
      <c r="C31" s="75" t="n">
        <f aca="false">IF(B31="","",ROUND(Other!O163,0))</f>
        <v>163</v>
      </c>
      <c r="D31" s="77" t="n">
        <f aca="false">IF(C31="","",(C31-C30)/(B31-B30))</f>
        <v>-0.00137425561154375</v>
      </c>
      <c r="E31" s="77" t="n">
        <f aca="false">IF(C31="","",IF(C32="",0,(C32-C31)/(B32-B31)))</f>
        <v>-0.000927213722763097</v>
      </c>
    </row>
    <row r="32" customFormat="false" ht="15" hidden="false" customHeight="false" outlineLevel="0" collapsed="false">
      <c r="A32" s="75" t="str">
        <f aca="false">IF(B32="","Unused","key =")</f>
        <v>key =</v>
      </c>
      <c r="B32" s="75" t="n">
        <f aca="false">IF(Other!Q164="|",ROUND(Other!N164,0),IF(Other!Q164="V",ROUND(Other!N164,-3),""))</f>
        <v>34431</v>
      </c>
      <c r="C32" s="75" t="n">
        <f aca="false">IF(B32="","",ROUND(Other!O164,0))</f>
        <v>161</v>
      </c>
      <c r="D32" s="77" t="n">
        <f aca="false">IF(C32="","",(C32-C31)/(B32-B31))</f>
        <v>-0.000927213722763097</v>
      </c>
      <c r="E32" s="77" t="n">
        <f aca="false">IF(C32="","",IF(C33="",0,(C33-C32)/(B33-B32)))</f>
        <v>-0.00140515222482436</v>
      </c>
    </row>
    <row r="33" customFormat="false" ht="15" hidden="false" customHeight="false" outlineLevel="0" collapsed="false">
      <c r="A33" s="75" t="str">
        <f aca="false">IF(B33="","Unused","key =")</f>
        <v>key =</v>
      </c>
      <c r="B33" s="75" t="n">
        <f aca="false">IF(Other!Q165="|",ROUND(Other!N165,0),IF(Other!Q165="V",ROUND(Other!N165,-3),""))</f>
        <v>36566</v>
      </c>
      <c r="C33" s="75" t="n">
        <f aca="false">IF(B33="","",ROUND(Other!O165,0))</f>
        <v>158</v>
      </c>
      <c r="D33" s="77" t="n">
        <f aca="false">IF(C33="","",(C33-C32)/(B33-B32))</f>
        <v>-0.00140515222482436</v>
      </c>
      <c r="E33" s="77" t="n">
        <f aca="false">IF(C33="","",IF(C34="",0,(C34-C33)/(B34-B33)))</f>
        <v>-0.000946073793755913</v>
      </c>
    </row>
    <row r="34" customFormat="false" ht="15" hidden="false" customHeight="false" outlineLevel="0" collapsed="false">
      <c r="A34" s="75" t="str">
        <f aca="false">IF(B34="","Unused","key =")</f>
        <v>key =</v>
      </c>
      <c r="B34" s="75" t="n">
        <f aca="false">IF(Other!Q166="|",ROUND(Other!N166,0),IF(Other!Q166="V",ROUND(Other!N166,-3),""))</f>
        <v>38680</v>
      </c>
      <c r="C34" s="75" t="n">
        <f aca="false">IF(B34="","",ROUND(Other!O166,0))</f>
        <v>156</v>
      </c>
      <c r="D34" s="77" t="n">
        <f aca="false">IF(C34="","",(C34-C33)/(B34-B33))</f>
        <v>-0.000946073793755913</v>
      </c>
      <c r="E34" s="77" t="n">
        <f aca="false">IF(C34="","",IF(C35="",0,(C35-C34)/(B35-B34)))</f>
        <v>-0.000954198473282443</v>
      </c>
    </row>
    <row r="35" customFormat="false" ht="15" hidden="false" customHeight="false" outlineLevel="0" collapsed="false">
      <c r="A35" s="75" t="str">
        <f aca="false">IF(B35="","Unused","key =")</f>
        <v>key =</v>
      </c>
      <c r="B35" s="75" t="n">
        <f aca="false">IF(Other!Q167="|",ROUND(Other!N167,0),IF(Other!Q167="V",ROUND(Other!N167,-3),""))</f>
        <v>40776</v>
      </c>
      <c r="C35" s="75" t="n">
        <f aca="false">IF(B35="","",ROUND(Other!O167,0))</f>
        <v>154</v>
      </c>
      <c r="D35" s="77" t="n">
        <f aca="false">IF(C35="","",(C35-C34)/(B35-B34))</f>
        <v>-0.000954198473282443</v>
      </c>
      <c r="E35" s="77" t="n">
        <f aca="false">IF(C35="","",IF(C36="",0,(C36-C35)/(B36-B35)))</f>
        <v>-0.000963391136801541</v>
      </c>
    </row>
    <row r="36" customFormat="false" ht="15" hidden="false" customHeight="false" outlineLevel="0" collapsed="false">
      <c r="A36" s="75" t="str">
        <f aca="false">IF(B36="","Unused","key =")</f>
        <v>key =</v>
      </c>
      <c r="B36" s="75" t="n">
        <f aca="false">IF(Other!Q168="|",ROUND(Other!N168,0),IF(Other!Q168="V",ROUND(Other!N168,-3),""))</f>
        <v>42852</v>
      </c>
      <c r="C36" s="75" t="n">
        <f aca="false">IF(B36="","",ROUND(Other!O168,0))</f>
        <v>152</v>
      </c>
      <c r="D36" s="77" t="n">
        <f aca="false">IF(C36="","",(C36-C35)/(B36-B35))</f>
        <v>-0.000963391136801541</v>
      </c>
      <c r="E36" s="77" t="n">
        <f aca="false">IF(C36="","",IF(C37="",0,(C37-C36)/(B37-B36)))</f>
        <v>-0.00146127618119825</v>
      </c>
    </row>
    <row r="37" customFormat="false" ht="15" hidden="false" customHeight="false" outlineLevel="0" collapsed="false">
      <c r="A37" s="75" t="str">
        <f aca="false">IF(B37="","Unused","key =")</f>
        <v>key =</v>
      </c>
      <c r="B37" s="75" t="n">
        <f aca="false">IF(Other!Q169="|",ROUND(Other!N169,0),IF(Other!Q169="V",ROUND(Other!N169,-3),""))</f>
        <v>44905</v>
      </c>
      <c r="C37" s="75" t="n">
        <f aca="false">IF(B37="","",ROUND(Other!O169,0))</f>
        <v>149</v>
      </c>
      <c r="D37" s="77" t="n">
        <f aca="false">IF(C37="","",(C37-C36)/(B37-B36))</f>
        <v>-0.00146127618119825</v>
      </c>
      <c r="E37" s="77" t="n">
        <f aca="false">IF(C37="","",IF(C38="",0,(C38-C37)/(B38-B37)))</f>
        <v>-0.00148148148148148</v>
      </c>
    </row>
    <row r="38" customFormat="false" ht="15" hidden="false" customHeight="false" outlineLevel="0" collapsed="false">
      <c r="A38" s="75" t="str">
        <f aca="false">IF(B38="","Unused","key =")</f>
        <v>key =</v>
      </c>
      <c r="B38" s="75" t="n">
        <f aca="false">IF(Other!Q170="|",ROUND(Other!N170,0),IF(Other!Q170="V",ROUND(Other!N170,-3),""))</f>
        <v>46930</v>
      </c>
      <c r="C38" s="75" t="n">
        <f aca="false">IF(B38="","",ROUND(Other!O170,0))</f>
        <v>146</v>
      </c>
      <c r="D38" s="77" t="n">
        <f aca="false">IF(C38="","",(C38-C37)/(B38-B37))</f>
        <v>-0.00148148148148148</v>
      </c>
      <c r="E38" s="77" t="n">
        <f aca="false">IF(C38="","",IF(C39="",0,(C39-C38)/(B39-B38)))</f>
        <v>-0.00150375939849624</v>
      </c>
    </row>
    <row r="39" customFormat="false" ht="15" hidden="false" customHeight="false" outlineLevel="0" collapsed="false">
      <c r="A39" s="75" t="str">
        <f aca="false">IF(B39="","Unused","key =")</f>
        <v>key =</v>
      </c>
      <c r="B39" s="75" t="n">
        <f aca="false">IF(Other!Q171="|",ROUND(Other!N171,0),IF(Other!Q171="V",ROUND(Other!N171,-3),""))</f>
        <v>48925</v>
      </c>
      <c r="C39" s="75" t="n">
        <f aca="false">IF(B39="","",ROUND(Other!O171,0))</f>
        <v>143</v>
      </c>
      <c r="D39" s="77" t="n">
        <f aca="false">IF(C39="","",(C39-C38)/(B39-B38))</f>
        <v>-0.00150375939849624</v>
      </c>
      <c r="E39" s="77" t="n">
        <f aca="false">IF(C39="","",IF(C40="",0,(C40-C39)/(B40-B39)))</f>
        <v>-0.00152905198776758</v>
      </c>
    </row>
    <row r="40" customFormat="false" ht="15" hidden="false" customHeight="false" outlineLevel="0" collapsed="false">
      <c r="A40" s="75" t="str">
        <f aca="false">IF(B40="","Unused","key =")</f>
        <v>key =</v>
      </c>
      <c r="B40" s="75" t="n">
        <f aca="false">IF(Other!Q172="|",ROUND(Other!N172,0),IF(Other!Q172="V",ROUND(Other!N172,-3),""))</f>
        <v>50887</v>
      </c>
      <c r="C40" s="75" t="n">
        <f aca="false">IF(B40="","",ROUND(Other!O172,0))</f>
        <v>140</v>
      </c>
      <c r="D40" s="77" t="n">
        <f aca="false">IF(C40="","",(C40-C39)/(B40-B39))</f>
        <v>-0.00152905198776758</v>
      </c>
      <c r="E40" s="77" t="n">
        <f aca="false">IF(C40="","",IF(C41="",0,(C41-C40)/(B41-B40)))</f>
        <v>-0.00103788271925272</v>
      </c>
    </row>
    <row r="41" customFormat="false" ht="15" hidden="false" customHeight="false" outlineLevel="0" collapsed="false">
      <c r="A41" s="75" t="str">
        <f aca="false">IF(B41="","Unused","key =")</f>
        <v>key =</v>
      </c>
      <c r="B41" s="75" t="n">
        <f aca="false">IF(Other!Q173="|",ROUND(Other!N173,0),IF(Other!Q173="V",ROUND(Other!N173,-3),""))</f>
        <v>52814</v>
      </c>
      <c r="C41" s="75" t="n">
        <f aca="false">IF(B41="","",ROUND(Other!O173,0))</f>
        <v>138</v>
      </c>
      <c r="D41" s="77" t="n">
        <f aca="false">IF(C41="","",(C41-C40)/(B41-B40))</f>
        <v>-0.00103788271925272</v>
      </c>
      <c r="E41" s="77" t="n">
        <f aca="false">IF(C41="","",IF(C42="",0,(C42-C41)/(B42-B41)))</f>
        <v>-0.00137236962488564</v>
      </c>
    </row>
    <row r="42" customFormat="false" ht="15" hidden="false" customHeight="false" outlineLevel="0" collapsed="false">
      <c r="A42" s="75" t="str">
        <f aca="false">IF(B42="","Unused","key =")</f>
        <v>key =</v>
      </c>
      <c r="B42" s="75" t="n">
        <f aca="false">IF(Other!Q174="|",ROUND(Other!N174,0),IF(Other!Q174="V",ROUND(Other!N174,-3),""))</f>
        <v>55000</v>
      </c>
      <c r="C42" s="75" t="n">
        <f aca="false">IF(B42="","",ROUND(Other!O174,0))</f>
        <v>135</v>
      </c>
      <c r="D42" s="77" t="n">
        <f aca="false">IF(C42="","",(C42-C41)/(B42-B41))</f>
        <v>-0.00137236962488564</v>
      </c>
      <c r="E42" s="77" t="n">
        <f aca="false">IF(C42="","",IF(C43="",0,(C43-C42)/(B43-B42)))</f>
        <v>0</v>
      </c>
    </row>
    <row r="43" customFormat="false" ht="15" hidden="false" customHeight="false" outlineLevel="0" collapsed="false">
      <c r="A43" s="75" t="str">
        <f aca="false">IF(B43="","Unused","key =")</f>
        <v>Unused</v>
      </c>
      <c r="B43" s="75" t="str">
        <f aca="false">IF(Other!Q175="|",ROUND(Other!N175,0),IF(Other!Q175="V",ROUND(Other!N175,-3),""))</f>
        <v/>
      </c>
      <c r="C43" s="75" t="str">
        <f aca="false">IF(B43="","",ROUND(Other!O175,0))</f>
        <v/>
      </c>
      <c r="D43" s="77" t="str">
        <f aca="false">IF(C43="","",(C43-C42)/(B43-B42))</f>
        <v/>
      </c>
      <c r="E43" s="77" t="str">
        <f aca="false">IF(C43="","",IF(C44="",0,(C44-C43)/(B44-B43)))</f>
        <v/>
      </c>
    </row>
    <row r="44" customFormat="false" ht="15" hidden="false" customHeight="false" outlineLevel="0" collapsed="false">
      <c r="A44" s="75" t="str">
        <f aca="false">IF(B44="","Unused","key =")</f>
        <v>Unused</v>
      </c>
      <c r="B44" s="75" t="str">
        <f aca="false">IF(Other!Q176="|",ROUND(Other!N176,0),IF(Other!Q176="V",ROUND(Other!N176,-3),""))</f>
        <v/>
      </c>
      <c r="C44" s="75" t="str">
        <f aca="false">IF(B44="","",ROUND(Other!O176,0))</f>
        <v/>
      </c>
      <c r="D44" s="77" t="str">
        <f aca="false">IF(C44="","",(C44-C43)/(B44-B43))</f>
        <v/>
      </c>
      <c r="E44" s="77" t="str">
        <f aca="false">IF(C44="","",IF(C45="",0,(C45-C44)/(B45-B44)))</f>
        <v/>
      </c>
    </row>
    <row r="45" customFormat="false" ht="15" hidden="false" customHeight="false" outlineLevel="0" collapsed="false">
      <c r="A45" s="75" t="str">
        <f aca="false">IF(B45="","Unused","key =")</f>
        <v>Unused</v>
      </c>
      <c r="B45" s="75" t="str">
        <f aca="false">IF(Other!Q177="|",ROUND(Other!N177,0),IF(Other!Q177="V",ROUND(Other!N177,-3),""))</f>
        <v/>
      </c>
      <c r="C45" s="75" t="str">
        <f aca="false">IF(B45="","",ROUND(Other!O177,0))</f>
        <v/>
      </c>
      <c r="D45" s="77" t="str">
        <f aca="false">IF(C45="","",(C45-C44)/(B45-B44))</f>
        <v/>
      </c>
      <c r="E45" s="77" t="str">
        <f aca="false">IF(C45="","",IF(C46="",0,(C46-C45)/(B46-B45)))</f>
        <v/>
      </c>
    </row>
    <row r="46" customFormat="false" ht="15" hidden="false" customHeight="false" outlineLevel="0" collapsed="false">
      <c r="A46" s="75" t="str">
        <f aca="false">IF(B46="","Unused","key =")</f>
        <v>Unused</v>
      </c>
      <c r="B46" s="75" t="str">
        <f aca="false">IF(Other!Q178="|",ROUND(Other!N178,0),IF(Other!Q178="V",ROUND(Other!N178,-3),""))</f>
        <v/>
      </c>
      <c r="C46" s="75" t="str">
        <f aca="false">IF(B46="","",ROUND(Other!O178,0))</f>
        <v/>
      </c>
      <c r="D46" s="77" t="str">
        <f aca="false">IF(C46="","",(C46-C45)/(B46-B45))</f>
        <v/>
      </c>
      <c r="E46" s="77" t="str">
        <f aca="false">IF(C46="","",IF(C47="",0,(C47-C46)/(B47-B46)))</f>
        <v/>
      </c>
    </row>
    <row r="47" customFormat="false" ht="15" hidden="false" customHeight="false" outlineLevel="0" collapsed="false">
      <c r="A47" s="75" t="str">
        <f aca="false">IF(B47="","Unused","key =")</f>
        <v>Unused</v>
      </c>
      <c r="B47" s="75" t="str">
        <f aca="false">IF(Other!Q179="|",ROUND(Other!N179,0),IF(Other!Q179="V",ROUND(Other!N179,-3),""))</f>
        <v/>
      </c>
      <c r="C47" s="75" t="str">
        <f aca="false">IF(B47="","",ROUND(Other!O179,0))</f>
        <v/>
      </c>
      <c r="D47" s="77" t="str">
        <f aca="false">IF(C47="","",(C47-C46)/(B47-B46))</f>
        <v/>
      </c>
      <c r="E47" s="77" t="str">
        <f aca="false">IF(C47="","",IF(C48="",0,(C48-C47)/(B48-B47)))</f>
        <v/>
      </c>
    </row>
    <row r="48" customFormat="false" ht="15" hidden="false" customHeight="false" outlineLevel="0" collapsed="false">
      <c r="A48" s="75" t="str">
        <f aca="false">IF(B48="","Unused","key =")</f>
        <v>Unused</v>
      </c>
      <c r="B48" s="75" t="str">
        <f aca="false">IF(Other!Q180="|",ROUND(Other!N180,0),IF(Other!Q180="V",ROUND(Other!N180,-3),""))</f>
        <v/>
      </c>
      <c r="C48" s="75" t="str">
        <f aca="false">IF(B48="","",ROUND(Other!O180,0))</f>
        <v/>
      </c>
      <c r="D48" s="77" t="str">
        <f aca="false">IF(C48="","",(C48-C47)/(B48-B47))</f>
        <v/>
      </c>
      <c r="E48" s="77" t="str">
        <f aca="false">IF(C48="","",IF(C61="",0,(C61-C48)/(B61-B48)))</f>
        <v/>
      </c>
    </row>
    <row r="49" customFormat="false" ht="15" hidden="false" customHeight="false" outlineLevel="0" collapsed="false">
      <c r="A49" s="75" t="str">
        <f aca="false">IF(B49="","Unused","key =")</f>
        <v>Unused</v>
      </c>
      <c r="B49" s="75" t="str">
        <f aca="false">IF(Other!Q181="|",ROUND(Other!N181,0),IF(Other!Q181="V",ROUND(Other!N181,-3),""))</f>
        <v/>
      </c>
      <c r="C49" s="75" t="str">
        <f aca="false">IF(B49="","",ROUND(Other!O181,0))</f>
        <v/>
      </c>
      <c r="D49" s="77" t="str">
        <f aca="false">IF(C49="","",(C49-C48)/(B49-B48))</f>
        <v/>
      </c>
      <c r="E49" s="77" t="str">
        <f aca="false">IF(C49="","",IF(C62="",0,(C62-C49)/(B62-B49)))</f>
        <v/>
      </c>
    </row>
    <row r="50" customFormat="false" ht="15" hidden="false" customHeight="false" outlineLevel="0" collapsed="false">
      <c r="A50" s="75" t="str">
        <f aca="false">IF(B50="","Unused","key =")</f>
        <v>Unused</v>
      </c>
      <c r="B50" s="75" t="str">
        <f aca="false">IF(Other!Q182="|",ROUND(Other!N182,0),IF(Other!Q182="V",ROUND(Other!N182,-3),""))</f>
        <v/>
      </c>
      <c r="C50" s="75" t="str">
        <f aca="false">IF(B50="","",ROUND(Other!O182,0))</f>
        <v/>
      </c>
      <c r="D50" s="77" t="str">
        <f aca="false">IF(C50="","",(C50-C49)/(B50-B49))</f>
        <v/>
      </c>
      <c r="E50" s="77" t="str">
        <f aca="false">IF(C50="","",IF(C63="",0,(C63-C50)/(B63-B50)))</f>
        <v/>
      </c>
    </row>
    <row r="51" customFormat="false" ht="15" hidden="false" customHeight="false" outlineLevel="0" collapsed="false">
      <c r="A51" s="75" t="str">
        <f aca="false">IF(B51="","Unused","key =")</f>
        <v>Unused</v>
      </c>
      <c r="B51" s="75" t="str">
        <f aca="false">IF(Other!Q183="|",ROUND(Other!N183,0),IF(Other!Q183="V",ROUND(Other!N183,-3),""))</f>
        <v/>
      </c>
      <c r="C51" s="75" t="str">
        <f aca="false">IF(B51="","",ROUND(Other!O183,0))</f>
        <v/>
      </c>
      <c r="D51" s="77" t="str">
        <f aca="false">IF(C51="","",(C51-C50)/(B51-B50))</f>
        <v/>
      </c>
      <c r="E51" s="77" t="str">
        <f aca="false">IF(C51="","",IF(C64="",0,(C64-C51)/(B64-B51)))</f>
        <v/>
      </c>
    </row>
    <row r="52" customFormat="false" ht="15" hidden="false" customHeight="false" outlineLevel="0" collapsed="false">
      <c r="A52" s="75" t="str">
        <f aca="false">IF(B52="","Unused","key =")</f>
        <v>Unused</v>
      </c>
      <c r="B52" s="75" t="str">
        <f aca="false">IF(Other!Q184="|",ROUND(Other!N184,0),IF(Other!Q184="V",ROUND(Other!N184,-3),""))</f>
        <v/>
      </c>
      <c r="C52" s="75" t="str">
        <f aca="false">IF(B52="","",ROUND(Other!O184,0))</f>
        <v/>
      </c>
      <c r="D52" s="77" t="str">
        <f aca="false">IF(C52="","",(C52-C51)/(B52-B51))</f>
        <v/>
      </c>
      <c r="E52" s="77" t="str">
        <f aca="false">IF(C52="","",IF(C65="",0,(C65-C52)/(B65-B52)))</f>
        <v/>
      </c>
    </row>
    <row r="53" customFormat="false" ht="15" hidden="false" customHeight="false" outlineLevel="0" collapsed="false">
      <c r="A53" s="75" t="str">
        <f aca="false">IF(B53="","Unused","key =")</f>
        <v>Unused</v>
      </c>
      <c r="B53" s="75" t="str">
        <f aca="false">IF(Other!Q185="|",ROUND(Other!N185,0),IF(Other!Q185="V",ROUND(Other!N185,-3),""))</f>
        <v/>
      </c>
      <c r="C53" s="75" t="str">
        <f aca="false">IF(B53="","",ROUND(Other!O185,0))</f>
        <v/>
      </c>
      <c r="D53" s="77" t="str">
        <f aca="false">IF(C53="","",(C53-C52)/(B53-B52))</f>
        <v/>
      </c>
      <c r="E53" s="77" t="str">
        <f aca="false">IF(C53="","",IF(C66="",0,(C66-C53)/(B66-B53)))</f>
        <v/>
      </c>
    </row>
    <row r="54" customFormat="false" ht="15" hidden="false" customHeight="false" outlineLevel="0" collapsed="false">
      <c r="A54" s="75" t="str">
        <f aca="false">IF(B54="","Unused","key =")</f>
        <v>Unused</v>
      </c>
      <c r="B54" s="75" t="str">
        <f aca="false">IF(Other!Q186="|",ROUND(Other!N186,0),IF(Other!Q186="V",ROUND(Other!N186,-3),""))</f>
        <v/>
      </c>
      <c r="C54" s="75" t="str">
        <f aca="false">IF(B54="","",ROUND(Other!O186,0))</f>
        <v/>
      </c>
      <c r="D54" s="77" t="str">
        <f aca="false">IF(C54="","",(C54-C53)/(B54-B53))</f>
        <v/>
      </c>
      <c r="E54" s="77" t="str">
        <f aca="false">IF(C54="","",IF(C67="",0,(C67-C54)/(B67-B54)))</f>
        <v/>
      </c>
    </row>
    <row r="55" customFormat="false" ht="15" hidden="false" customHeight="false" outlineLevel="0" collapsed="false">
      <c r="A55" s="75" t="str">
        <f aca="false">IF(B55="","Unused","key =")</f>
        <v>Unused</v>
      </c>
      <c r="B55" s="75" t="str">
        <f aca="false">IF(Other!Q187="|",ROUND(Other!N187,0),IF(Other!Q187="V",ROUND(Other!N187,-3),""))</f>
        <v/>
      </c>
      <c r="C55" s="75" t="str">
        <f aca="false">IF(B55="","",ROUND(Other!O187,0))</f>
        <v/>
      </c>
      <c r="D55" s="77" t="str">
        <f aca="false">IF(C55="","",(C55-C54)/(B55-B54))</f>
        <v/>
      </c>
      <c r="E55" s="77" t="str">
        <f aca="false">IF(C55="","",IF(C68="",0,(C68-C55)/(B68-B55)))</f>
        <v/>
      </c>
    </row>
    <row r="56" customFormat="false" ht="15" hidden="false" customHeight="false" outlineLevel="0" collapsed="false">
      <c r="A56" s="75" t="str">
        <f aca="false">IF(B56="","Unused","key =")</f>
        <v>Unused</v>
      </c>
      <c r="B56" s="75" t="str">
        <f aca="false">IF(Other!Q188="|",ROUND(Other!N188,0),IF(Other!Q188="V",ROUND(Other!N188,-3),""))</f>
        <v/>
      </c>
      <c r="C56" s="75" t="str">
        <f aca="false">IF(B56="","",ROUND(Other!O188,0))</f>
        <v/>
      </c>
      <c r="D56" s="77" t="str">
        <f aca="false">IF(C56="","",(C56-C55)/(B56-B55))</f>
        <v/>
      </c>
      <c r="E56" s="77" t="str">
        <f aca="false">IF(C56="","",IF(C69="",0,(C69-C56)/(B69-B56)))</f>
        <v/>
      </c>
    </row>
    <row r="57" customFormat="false" ht="15" hidden="false" customHeight="false" outlineLevel="0" collapsed="false">
      <c r="A57" s="75" t="str">
        <f aca="false">IF(B57="","Unused","key =")</f>
        <v>Unused</v>
      </c>
      <c r="B57" s="75" t="str">
        <f aca="false">IF(Other!Q189="|",ROUND(Other!N189,0),IF(Other!Q189="V",ROUND(Other!N189,-3),""))</f>
        <v/>
      </c>
      <c r="C57" s="75" t="str">
        <f aca="false">IF(B57="","",ROUND(Other!O189,0))</f>
        <v/>
      </c>
      <c r="D57" s="77" t="str">
        <f aca="false">IF(C57="","",(C57-C56)/(B57-B56))</f>
        <v/>
      </c>
      <c r="E57" s="77" t="str">
        <f aca="false">IF(C57="","",IF(C70="",0,(C70-C57)/(B70-B57)))</f>
        <v/>
      </c>
    </row>
    <row r="58" customFormat="false" ht="15" hidden="false" customHeight="false" outlineLevel="0" collapsed="false">
      <c r="A58" s="75" t="str">
        <f aca="false">IF(B58="","Unused","key =")</f>
        <v>Unused</v>
      </c>
      <c r="B58" s="75" t="str">
        <f aca="false">IF(Other!Q190="|",ROUND(Other!N190,0),IF(Other!Q190="V",ROUND(Other!N190,-3),""))</f>
        <v/>
      </c>
      <c r="C58" s="75" t="str">
        <f aca="false">IF(B58="","",ROUND(Other!O190,0))</f>
        <v/>
      </c>
      <c r="D58" s="77" t="str">
        <f aca="false">IF(C58="","",(C58-C57)/(B58-B57))</f>
        <v/>
      </c>
      <c r="E58" s="77" t="str">
        <f aca="false">IF(C58="","",IF(C71="",0,(C71-C58)/(B71-B58)))</f>
        <v/>
      </c>
    </row>
    <row r="59" customFormat="false" ht="15" hidden="false" customHeight="false" outlineLevel="0" collapsed="false">
      <c r="A59" s="75" t="str">
        <f aca="false">IF(B59="","Unused","key =")</f>
        <v>Unused</v>
      </c>
      <c r="B59" s="75" t="str">
        <f aca="false">IF(Other!Q191="|",ROUND(Other!N191,0),IF(Other!Q191="V",ROUND(Other!N191,-3),""))</f>
        <v/>
      </c>
      <c r="C59" s="75" t="str">
        <f aca="false">IF(B59="","",ROUND(Other!O191,0))</f>
        <v/>
      </c>
      <c r="D59" s="77" t="str">
        <f aca="false">IF(C59="","",(C59-C58)/(B59-B58))</f>
        <v/>
      </c>
      <c r="E59" s="77" t="str">
        <f aca="false">IF(C59="","",IF(C72="",0,(C72-C59)/(B72-B59)))</f>
        <v/>
      </c>
    </row>
    <row r="60" customFormat="false" ht="15" hidden="false" customHeight="false" outlineLevel="0" collapsed="false">
      <c r="A60" s="75" t="str">
        <f aca="false">IF(B60="","Unused","key =")</f>
        <v>Unused</v>
      </c>
      <c r="B60" s="75" t="str">
        <f aca="false">IF(Other!Q192="|",ROUND(Other!N192,0),IF(Other!Q192="V",ROUND(Other!N192,-3),""))</f>
        <v/>
      </c>
      <c r="C60" s="75" t="str">
        <f aca="false">IF(B60="","",ROUND(Other!O192,0))</f>
        <v/>
      </c>
      <c r="D60" s="77" t="str">
        <f aca="false">IF(C60="","",(C60-C59)/(B60-B59))</f>
        <v/>
      </c>
      <c r="E60" s="77" t="str">
        <f aca="false">IF(C60="","",IF(C73="",0,(C73-C60)/(B73-B60)))</f>
        <v/>
      </c>
    </row>
    <row r="61" customFormat="false" ht="15" hidden="false" customHeight="false" outlineLevel="0" collapsed="false">
      <c r="A61" s="72" t="s">
        <v>212</v>
      </c>
      <c r="B61" s="75"/>
      <c r="C61" s="75"/>
      <c r="D61" s="77"/>
      <c r="E61" s="77"/>
    </row>
    <row r="62" customFormat="false" ht="15" hidden="false" customHeight="false" outlineLevel="0" collapsed="false">
      <c r="A62" s="72" t="s">
        <v>226</v>
      </c>
      <c r="B62" s="75"/>
      <c r="C62" s="75"/>
      <c r="D62" s="77"/>
      <c r="E62" s="77"/>
    </row>
    <row r="63" customFormat="false" ht="15" hidden="false" customHeight="false" outlineLevel="0" collapsed="false">
      <c r="A63" s="72" t="s">
        <v>209</v>
      </c>
      <c r="B63" s="75"/>
      <c r="C63" s="75"/>
      <c r="D63" s="77"/>
      <c r="E63" s="77"/>
    </row>
    <row r="64" customFormat="false" ht="15" hidden="false" customHeight="false" outlineLevel="0" collapsed="false">
      <c r="A64" s="75" t="str">
        <f aca="false">IF(B64="","Unused","key =")</f>
        <v>key =</v>
      </c>
      <c r="B64" s="75" t="n">
        <f aca="false">IF(Other!Q150="|",ROUND(Other!N150,0),IF(Other!Q150="V",ROUND(Other!N150,-3),""))</f>
        <v>0</v>
      </c>
      <c r="C64" s="76" t="n">
        <f aca="false">IF(B64="","",ROUND(Other!P150,3))</f>
        <v>1</v>
      </c>
      <c r="D64" s="77" t="n">
        <v>0</v>
      </c>
      <c r="E64" s="77" t="n">
        <f aca="false">(C65-C64)/(B65-B64)</f>
        <v>-0.000107401032702238</v>
      </c>
    </row>
    <row r="65" customFormat="false" ht="15" hidden="false" customHeight="false" outlineLevel="0" collapsed="false">
      <c r="A65" s="75" t="str">
        <f aca="false">IF(B65="","Unused","key =")</f>
        <v>key =</v>
      </c>
      <c r="B65" s="75" t="n">
        <f aca="false">IF(Other!Q151="|",ROUND(Other!N151,0),IF(Other!Q151="V",ROUND(Other!N151,-3),""))</f>
        <v>2905</v>
      </c>
      <c r="C65" s="76" t="n">
        <f aca="false">IF(B65="","",ROUND(Other!P151,3))</f>
        <v>0.688</v>
      </c>
      <c r="D65" s="77" t="n">
        <f aca="false">IF(C65="","",(C65-C64)/(B65-B64))</f>
        <v>-0.000107401032702238</v>
      </c>
      <c r="E65" s="77" t="n">
        <f aca="false">IF(C65="","",IF(C66="",0,(C66-C65)/(B66-B65)))</f>
        <v>-0.00010099220411056</v>
      </c>
    </row>
    <row r="66" customFormat="false" ht="15" hidden="false" customHeight="false" outlineLevel="0" collapsed="false">
      <c r="A66" s="75" t="str">
        <f aca="false">IF(B66="","Unused","key =")</f>
        <v>key =</v>
      </c>
      <c r="B66" s="75" t="n">
        <f aca="false">IF(Other!Q152="|",ROUND(Other!N152,0),IF(Other!Q152="V",ROUND(Other!N152,-3),""))</f>
        <v>5727</v>
      </c>
      <c r="C66" s="76" t="n">
        <f aca="false">IF(B66="","",ROUND(Other!P152,3))</f>
        <v>0.403</v>
      </c>
      <c r="D66" s="77" t="n">
        <f aca="false">IF(C66="","",(C66-C65)/(B66-B65))</f>
        <v>-0.00010099220411056</v>
      </c>
      <c r="E66" s="77" t="n">
        <f aca="false">IF(C66="","",IF(C67="",0,(C67-C66)/(B67-B66)))</f>
        <v>-8.98794300328827E-005</v>
      </c>
    </row>
    <row r="67" customFormat="false" ht="15" hidden="false" customHeight="false" outlineLevel="0" collapsed="false">
      <c r="A67" s="75" t="str">
        <f aca="false">IF(B67="","Unused","key =")</f>
        <v>key =</v>
      </c>
      <c r="B67" s="75" t="n">
        <f aca="false">IF(Other!Q153="|",ROUND(Other!N153,0),IF(Other!Q153="V",ROUND(Other!N153,-3),""))</f>
        <v>8464</v>
      </c>
      <c r="C67" s="76" t="n">
        <f aca="false">IF(B67="","",ROUND(Other!P153,3))</f>
        <v>0.157</v>
      </c>
      <c r="D67" s="77" t="n">
        <f aca="false">IF(C67="","",(C67-C66)/(B67-B66))</f>
        <v>-8.98794300328827E-005</v>
      </c>
      <c r="E67" s="77" t="n">
        <f aca="false">IF(C67="","",IF(C68="",0,(C68-C67)/(B68-B67)))</f>
        <v>-7.49529190207156E-005</v>
      </c>
    </row>
    <row r="68" customFormat="false" ht="15" hidden="false" customHeight="false" outlineLevel="0" collapsed="false">
      <c r="A68" s="75" t="str">
        <f aca="false">IF(B68="","Unused","key =")</f>
        <v>key =</v>
      </c>
      <c r="B68" s="75" t="n">
        <f aca="false">IF(Other!Q154="|",ROUND(Other!N154,0),IF(Other!Q154="V",ROUND(Other!N154,-3),""))</f>
        <v>11119</v>
      </c>
      <c r="C68" s="76" t="n">
        <f aca="false">IF(B68="","",ROUND(Other!P154,3))</f>
        <v>-0.042</v>
      </c>
      <c r="D68" s="77" t="n">
        <f aca="false">IF(C68="","",(C68-C67)/(B68-B67))</f>
        <v>-7.49529190207156E-005</v>
      </c>
      <c r="E68" s="77" t="n">
        <f aca="false">IF(C68="","",IF(C69="",0,(C69-C68)/(B69-B68)))</f>
        <v>-5.66110895696006E-005</v>
      </c>
    </row>
    <row r="69" customFormat="false" ht="15" hidden="false" customHeight="false" outlineLevel="0" collapsed="false">
      <c r="A69" s="75" t="str">
        <f aca="false">IF(B69="","Unused","key =")</f>
        <v>key =</v>
      </c>
      <c r="B69" s="75" t="n">
        <f aca="false">IF(Other!Q155="|",ROUND(Other!N155,0),IF(Other!Q155="V",ROUND(Other!N155,-3),""))</f>
        <v>13698</v>
      </c>
      <c r="C69" s="76" t="n">
        <f aca="false">IF(B69="","",ROUND(Other!P155,3))</f>
        <v>-0.188</v>
      </c>
      <c r="D69" s="77" t="n">
        <f aca="false">IF(C69="","",(C69-C68)/(B69-B68))</f>
        <v>-5.66110895696006E-005</v>
      </c>
      <c r="E69" s="77" t="n">
        <f aca="false">IF(C69="","",IF(C70="",0,(C70-C69)/(B70-B69)))</f>
        <v>-3.47305389221557E-005</v>
      </c>
    </row>
    <row r="70" customFormat="false" ht="15" hidden="false" customHeight="false" outlineLevel="0" collapsed="false">
      <c r="A70" s="75" t="str">
        <f aca="false">IF(B70="","Unused","key =")</f>
        <v>key =</v>
      </c>
      <c r="B70" s="75" t="n">
        <f aca="false">IF(Other!Q156="|",ROUND(Other!N156,0),IF(Other!Q156="V",ROUND(Other!N156,-3),""))</f>
        <v>16203</v>
      </c>
      <c r="C70" s="76" t="n">
        <f aca="false">IF(B70="","",ROUND(Other!P156,3))</f>
        <v>-0.275</v>
      </c>
      <c r="D70" s="77" t="n">
        <f aca="false">IF(C70="","",(C70-C69)/(B70-B69))</f>
        <v>-3.47305389221557E-005</v>
      </c>
      <c r="E70" s="77" t="n">
        <f aca="false">IF(C70="","",IF(C71="",0,(C71-C70)/(B71-B70)))</f>
        <v>-1.0250102501025E-005</v>
      </c>
    </row>
    <row r="71" customFormat="false" ht="15" hidden="false" customHeight="false" outlineLevel="0" collapsed="false">
      <c r="A71" s="75" t="str">
        <f aca="false">IF(B71="","Unused","key =")</f>
        <v>key =</v>
      </c>
      <c r="B71" s="75" t="n">
        <f aca="false">IF(Other!Q157="|",ROUND(Other!N157,0),IF(Other!Q157="V",ROUND(Other!N157,-3),""))</f>
        <v>18642</v>
      </c>
      <c r="C71" s="76" t="n">
        <f aca="false">IF(B71="","",ROUND(Other!P157,3))</f>
        <v>-0.3</v>
      </c>
      <c r="D71" s="77" t="n">
        <f aca="false">IF(C71="","",(C71-C70)/(B71-B70))</f>
        <v>-1.0250102501025E-005</v>
      </c>
      <c r="E71" s="77" t="n">
        <f aca="false">IF(C71="","",IF(C72="",0,(C72-C71)/(B72-B71)))</f>
        <v>4.61990760184797E-006</v>
      </c>
    </row>
    <row r="72" customFormat="false" ht="15" hidden="false" customHeight="false" outlineLevel="0" collapsed="false">
      <c r="A72" s="75" t="str">
        <f aca="false">IF(B72="","Unused","key =")</f>
        <v>key =</v>
      </c>
      <c r="B72" s="75" t="n">
        <f aca="false">IF(Other!Q158="|",ROUND(Other!N158,0),IF(Other!Q158="V",ROUND(Other!N158,-3),""))</f>
        <v>21023</v>
      </c>
      <c r="C72" s="76" t="n">
        <f aca="false">IF(B72="","",ROUND(Other!P158,3))</f>
        <v>-0.289</v>
      </c>
      <c r="D72" s="77" t="n">
        <f aca="false">IF(C72="","",(C72-C71)/(B72-B71))</f>
        <v>4.61990760184797E-006</v>
      </c>
      <c r="E72" s="77" t="n">
        <f aca="false">IF(C72="","",IF(C73="",0,(C73-C72)/(B73-B72)))</f>
        <v>1.15979381443299E-005</v>
      </c>
    </row>
    <row r="73" customFormat="false" ht="15" hidden="false" customHeight="false" outlineLevel="0" collapsed="false">
      <c r="A73" s="75" t="str">
        <f aca="false">IF(B73="","Unused","key =")</f>
        <v>key =</v>
      </c>
      <c r="B73" s="75" t="n">
        <f aca="false">IF(Other!Q159="|",ROUND(Other!N159,0),IF(Other!Q159="V",ROUND(Other!N159,-3),""))</f>
        <v>23351</v>
      </c>
      <c r="C73" s="76" t="n">
        <f aca="false">IF(B73="","",ROUND(Other!P159,3))</f>
        <v>-0.262</v>
      </c>
      <c r="D73" s="77" t="n">
        <f aca="false">IF(C73="","",(C73-C72)/(B73-B72))</f>
        <v>1.15979381443299E-005</v>
      </c>
      <c r="E73" s="77" t="n">
        <f aca="false">IF(C73="","",IF(C74="",0,(C74-C73)/(B74-B73)))</f>
        <v>1.66301969365427E-005</v>
      </c>
    </row>
    <row r="74" customFormat="false" ht="15" hidden="false" customHeight="false" outlineLevel="0" collapsed="false">
      <c r="A74" s="75" t="str">
        <f aca="false">IF(B74="","Unused","key =")</f>
        <v>key =</v>
      </c>
      <c r="B74" s="75" t="n">
        <f aca="false">IF(Other!Q160="|",ROUND(Other!N160,0),IF(Other!Q160="V",ROUND(Other!N160,-3),""))</f>
        <v>25636</v>
      </c>
      <c r="C74" s="76" t="n">
        <f aca="false">IF(B74="","",ROUND(Other!P160,3))</f>
        <v>-0.224</v>
      </c>
      <c r="D74" s="77" t="n">
        <f aca="false">IF(C74="","",(C74-C73)/(B74-B73))</f>
        <v>1.66301969365427E-005</v>
      </c>
      <c r="E74" s="77" t="n">
        <f aca="false">IF(C74="","",IF(C75="",0,(C75-C74)/(B75-B74)))</f>
        <v>2.09447415329768E-005</v>
      </c>
    </row>
    <row r="75" customFormat="false" ht="15" hidden="false" customHeight="false" outlineLevel="0" collapsed="false">
      <c r="A75" s="75" t="str">
        <f aca="false">IF(B75="","Unused","key =")</f>
        <v>key =</v>
      </c>
      <c r="B75" s="75" t="n">
        <f aca="false">IF(Other!Q161="|",ROUND(Other!N161,0),IF(Other!Q161="V",ROUND(Other!N161,-3),""))</f>
        <v>27880</v>
      </c>
      <c r="C75" s="76" t="n">
        <f aca="false">IF(B75="","",ROUND(Other!P161,3))</f>
        <v>-0.177</v>
      </c>
      <c r="D75" s="77" t="n">
        <f aca="false">IF(C75="","",(C75-C74)/(B75-B74))</f>
        <v>2.09447415329768E-005</v>
      </c>
      <c r="E75" s="77" t="n">
        <f aca="false">IF(C75="","",IF(C76="",0,(C76-C75)/(B76-B75)))</f>
        <v>2.48756218905473E-005</v>
      </c>
    </row>
    <row r="76" customFormat="false" ht="15" hidden="false" customHeight="false" outlineLevel="0" collapsed="false">
      <c r="A76" s="75" t="str">
        <f aca="false">IF(B76="","Unused","key =")</f>
        <v>key =</v>
      </c>
      <c r="B76" s="75" t="n">
        <f aca="false">IF(Other!Q162="|",ROUND(Other!N162,0),IF(Other!Q162="V",ROUND(Other!N162,-3),""))</f>
        <v>30091</v>
      </c>
      <c r="C76" s="76" t="n">
        <f aca="false">IF(B76="","",ROUND(Other!P162,3))</f>
        <v>-0.122</v>
      </c>
      <c r="D76" s="77" t="n">
        <f aca="false">IF(C76="","",(C76-C75)/(B76-B75))</f>
        <v>2.48756218905473E-005</v>
      </c>
      <c r="E76" s="77" t="n">
        <f aca="false">IF(C76="","",IF(C77="",0,(C77-C76)/(B77-B76)))</f>
        <v>2.74851122308749E-005</v>
      </c>
    </row>
    <row r="77" customFormat="false" ht="15" hidden="false" customHeight="false" outlineLevel="0" collapsed="false">
      <c r="A77" s="75" t="str">
        <f aca="false">IF(B77="","Unused","key =")</f>
        <v>key =</v>
      </c>
      <c r="B77" s="75" t="n">
        <f aca="false">IF(Other!Q163="|",ROUND(Other!N163,0),IF(Other!Q163="V",ROUND(Other!N163,-3),""))</f>
        <v>32274</v>
      </c>
      <c r="C77" s="76" t="n">
        <f aca="false">IF(B77="","",ROUND(Other!P163,3))</f>
        <v>-0.062</v>
      </c>
      <c r="D77" s="77" t="n">
        <f aca="false">IF(C77="","",(C77-C76)/(B77-B76))</f>
        <v>2.74851122308749E-005</v>
      </c>
      <c r="E77" s="77" t="n">
        <f aca="false">IF(C77="","",IF(C78="",0,(C78-C77)/(B78-B77)))</f>
        <v>2.92072322670376E-005</v>
      </c>
    </row>
    <row r="78" customFormat="false" ht="15" hidden="false" customHeight="false" outlineLevel="0" collapsed="false">
      <c r="A78" s="75" t="str">
        <f aca="false">IF(B78="","Unused","key =")</f>
        <v>key =</v>
      </c>
      <c r="B78" s="75" t="n">
        <f aca="false">IF(Other!Q164="|",ROUND(Other!N164,0),IF(Other!Q164="V",ROUND(Other!N164,-3),""))</f>
        <v>34431</v>
      </c>
      <c r="C78" s="76" t="n">
        <f aca="false">IF(B78="","",ROUND(Other!P164,3))</f>
        <v>0.001</v>
      </c>
      <c r="D78" s="77" t="n">
        <f aca="false">IF(C78="","",(C78-C77)/(B78-B77))</f>
        <v>2.92072322670376E-005</v>
      </c>
      <c r="E78" s="77" t="n">
        <f aca="false">IF(C78="","",IF(C79="",0,(C79-C78)/(B79-B78)))</f>
        <v>2.95081967213115E-005</v>
      </c>
    </row>
    <row r="79" customFormat="false" ht="15" hidden="false" customHeight="false" outlineLevel="0" collapsed="false">
      <c r="A79" s="75" t="str">
        <f aca="false">IF(B79="","Unused","key =")</f>
        <v>key =</v>
      </c>
      <c r="B79" s="75" t="n">
        <f aca="false">IF(Other!Q165="|",ROUND(Other!N165,0),IF(Other!Q165="V",ROUND(Other!N165,-3),""))</f>
        <v>36566</v>
      </c>
      <c r="C79" s="76" t="n">
        <f aca="false">IF(B79="","",ROUND(Other!P165,3))</f>
        <v>0.064</v>
      </c>
      <c r="D79" s="77" t="n">
        <f aca="false">IF(C79="","",(C79-C78)/(B79-B78))</f>
        <v>2.95081967213115E-005</v>
      </c>
      <c r="E79" s="77" t="n">
        <f aca="false">IF(C79="","",IF(C80="",0,(C80-C79)/(B80-B79)))</f>
        <v>3.02743614001892E-005</v>
      </c>
    </row>
    <row r="80" customFormat="false" ht="15" hidden="false" customHeight="false" outlineLevel="0" collapsed="false">
      <c r="A80" s="75" t="str">
        <f aca="false">IF(B80="","Unused","key =")</f>
        <v>key =</v>
      </c>
      <c r="B80" s="75" t="n">
        <f aca="false">IF(Other!Q166="|",ROUND(Other!N166,0),IF(Other!Q166="V",ROUND(Other!N166,-3),""))</f>
        <v>38680</v>
      </c>
      <c r="C80" s="76" t="n">
        <f aca="false">IF(B80="","",ROUND(Other!P166,3))</f>
        <v>0.128</v>
      </c>
      <c r="D80" s="77" t="n">
        <f aca="false">IF(C80="","",(C80-C79)/(B80-B79))</f>
        <v>3.02743614001892E-005</v>
      </c>
      <c r="E80" s="77" t="n">
        <f aca="false">IF(C80="","",IF(C81="",0,(C81-C80)/(B81-B80)))</f>
        <v>2.91030534351145E-005</v>
      </c>
    </row>
    <row r="81" customFormat="false" ht="15" hidden="false" customHeight="false" outlineLevel="0" collapsed="false">
      <c r="A81" s="75" t="str">
        <f aca="false">IF(B81="","Unused","key =")</f>
        <v>key =</v>
      </c>
      <c r="B81" s="75" t="n">
        <f aca="false">IF(Other!Q167="|",ROUND(Other!N167,0),IF(Other!Q167="V",ROUND(Other!N167,-3),""))</f>
        <v>40776</v>
      </c>
      <c r="C81" s="76" t="n">
        <f aca="false">IF(B81="","",ROUND(Other!P167,3))</f>
        <v>0.189</v>
      </c>
      <c r="D81" s="77" t="n">
        <f aca="false">IF(C81="","",(C81-C80)/(B81-B80))</f>
        <v>2.91030534351145E-005</v>
      </c>
      <c r="E81" s="77" t="n">
        <f aca="false">IF(C81="","",IF(C82="",0,(C82-C81)/(B82-B81)))</f>
        <v>2.74566473988439E-005</v>
      </c>
    </row>
    <row r="82" customFormat="false" ht="15" hidden="false" customHeight="false" outlineLevel="0" collapsed="false">
      <c r="A82" s="75" t="str">
        <f aca="false">IF(B82="","Unused","key =")</f>
        <v>key =</v>
      </c>
      <c r="B82" s="75" t="n">
        <f aca="false">IF(Other!Q168="|",ROUND(Other!N168,0),IF(Other!Q168="V",ROUND(Other!N168,-3),""))</f>
        <v>42852</v>
      </c>
      <c r="C82" s="76" t="n">
        <f aca="false">IF(B82="","",ROUND(Other!P168,3))</f>
        <v>0.246</v>
      </c>
      <c r="D82" s="77" t="n">
        <f aca="false">IF(C82="","",(C82-C81)/(B82-B81))</f>
        <v>2.74566473988439E-005</v>
      </c>
      <c r="E82" s="77" t="n">
        <f aca="false">IF(C82="","",IF(C83="",0,(C83-C82)/(B83-B82)))</f>
        <v>2.53287871407696E-005</v>
      </c>
    </row>
    <row r="83" customFormat="false" ht="15" hidden="false" customHeight="false" outlineLevel="0" collapsed="false">
      <c r="A83" s="75" t="str">
        <f aca="false">IF(B83="","Unused","key =")</f>
        <v>key =</v>
      </c>
      <c r="B83" s="75" t="n">
        <f aca="false">IF(Other!Q169="|",ROUND(Other!N169,0),IF(Other!Q169="V",ROUND(Other!N169,-3),""))</f>
        <v>44905</v>
      </c>
      <c r="C83" s="76" t="n">
        <f aca="false">IF(B83="","",ROUND(Other!P169,3))</f>
        <v>0.298</v>
      </c>
      <c r="D83" s="77" t="n">
        <f aca="false">IF(C83="","",(C83-C82)/(B83-B82))</f>
        <v>2.53287871407696E-005</v>
      </c>
      <c r="E83" s="77" t="n">
        <f aca="false">IF(C83="","",IF(C84="",0,(C84-C83)/(B84-B83)))</f>
        <v>2.2716049382716E-005</v>
      </c>
    </row>
    <row r="84" customFormat="false" ht="15" hidden="false" customHeight="false" outlineLevel="0" collapsed="false">
      <c r="A84" s="75" t="str">
        <f aca="false">IF(B84="","Unused","key =")</f>
        <v>key =</v>
      </c>
      <c r="B84" s="75" t="n">
        <f aca="false">IF(Other!Q170="|",ROUND(Other!N170,0),IF(Other!Q170="V",ROUND(Other!N170,-3),""))</f>
        <v>46930</v>
      </c>
      <c r="C84" s="76" t="n">
        <f aca="false">IF(B84="","",ROUND(Other!P170,3))</f>
        <v>0.344</v>
      </c>
      <c r="D84" s="77" t="n">
        <f aca="false">IF(C84="","",(C84-C83)/(B84-B83))</f>
        <v>2.2716049382716E-005</v>
      </c>
      <c r="E84" s="77" t="n">
        <f aca="false">IF(C84="","",IF(C85="",0,(C85-C84)/(B85-B84)))</f>
        <v>1.8546365914787E-005</v>
      </c>
    </row>
    <row r="85" customFormat="false" ht="15" hidden="false" customHeight="false" outlineLevel="0" collapsed="false">
      <c r="A85" s="75" t="str">
        <f aca="false">IF(B85="","Unused","key =")</f>
        <v>key =</v>
      </c>
      <c r="B85" s="75" t="n">
        <f aca="false">IF(Other!Q171="|",ROUND(Other!N171,0),IF(Other!Q171="V",ROUND(Other!N171,-3),""))</f>
        <v>48925</v>
      </c>
      <c r="C85" s="76" t="n">
        <f aca="false">IF(B85="","",ROUND(Other!P171,3))</f>
        <v>0.381</v>
      </c>
      <c r="D85" s="77" t="n">
        <f aca="false">IF(C85="","",(C85-C84)/(B85-B84))</f>
        <v>1.8546365914787E-005</v>
      </c>
      <c r="E85" s="77" t="n">
        <f aca="false">IF(C85="","",IF(C86="",0,(C86-C85)/(B86-B85)))</f>
        <v>1.42711518858308E-005</v>
      </c>
    </row>
    <row r="86" customFormat="false" ht="15" hidden="false" customHeight="false" outlineLevel="0" collapsed="false">
      <c r="A86" s="75" t="str">
        <f aca="false">IF(B86="","Unused","key =")</f>
        <v>key =</v>
      </c>
      <c r="B86" s="75" t="n">
        <f aca="false">IF(Other!Q172="|",ROUND(Other!N172,0),IF(Other!Q172="V",ROUND(Other!N172,-3),""))</f>
        <v>50887</v>
      </c>
      <c r="C86" s="76" t="n">
        <f aca="false">IF(B86="","",ROUND(Other!P172,3))</f>
        <v>0.409</v>
      </c>
      <c r="D86" s="77" t="n">
        <f aca="false">IF(C86="","",(C86-C85)/(B86-B85))</f>
        <v>1.42711518858308E-005</v>
      </c>
      <c r="E86" s="77" t="n">
        <f aca="false">IF(C86="","",IF(C87="",0,(C87-C86)/(B87-B86)))</f>
        <v>9.34094447327453E-006</v>
      </c>
    </row>
    <row r="87" customFormat="false" ht="15" hidden="false" customHeight="false" outlineLevel="0" collapsed="false">
      <c r="A87" s="75" t="str">
        <f aca="false">IF(B87="","Unused","key =")</f>
        <v>key =</v>
      </c>
      <c r="B87" s="75" t="n">
        <f aca="false">IF(Other!Q173="|",ROUND(Other!N173,0),IF(Other!Q173="V",ROUND(Other!N173,-3),""))</f>
        <v>52814</v>
      </c>
      <c r="C87" s="76" t="n">
        <f aca="false">IF(B87="","",ROUND(Other!P173,3))</f>
        <v>0.427</v>
      </c>
      <c r="D87" s="77" t="n">
        <f aca="false">IF(C87="","",(C87-C86)/(B87-B86))</f>
        <v>9.34094447327453E-006</v>
      </c>
      <c r="E87" s="77" t="n">
        <f aca="false">IF(C87="","",IF(C88="",0,(C88-C87)/(B88-B87)))</f>
        <v>3.65965233302837E-006</v>
      </c>
    </row>
    <row r="88" customFormat="false" ht="15" hidden="false" customHeight="false" outlineLevel="0" collapsed="false">
      <c r="A88" s="75" t="str">
        <f aca="false">IF(B88="","Unused","key =")</f>
        <v>key =</v>
      </c>
      <c r="B88" s="75" t="n">
        <f aca="false">IF(Other!Q174="|",ROUND(Other!N174,0),IF(Other!Q174="V",ROUND(Other!N174,-3),""))</f>
        <v>55000</v>
      </c>
      <c r="C88" s="76" t="n">
        <f aca="false">IF(B88="","",ROUND(Other!P174,3))</f>
        <v>0.435</v>
      </c>
      <c r="D88" s="77" t="n">
        <f aca="false">IF(C88="","",(C88-C87)/(B88-B87))</f>
        <v>3.65965233302837E-006</v>
      </c>
      <c r="E88" s="77" t="n">
        <f aca="false">IF(C88="","",IF(C89="",0,(C89-C88)/(B89-B88)))</f>
        <v>0</v>
      </c>
    </row>
    <row r="89" customFormat="false" ht="15" hidden="false" customHeight="false" outlineLevel="0" collapsed="false">
      <c r="A89" s="75" t="str">
        <f aca="false">IF(B89="","Unused","key =")</f>
        <v>Unused</v>
      </c>
      <c r="B89" s="75" t="str">
        <f aca="false">IF(Other!Q175="|",ROUND(Other!N175,0),IF(Other!Q175="V",ROUND(Other!N175,-3),""))</f>
        <v/>
      </c>
      <c r="C89" s="76" t="str">
        <f aca="false">IF(B89="","",ROUND(Other!P175,3))</f>
        <v/>
      </c>
      <c r="D89" s="77" t="str">
        <f aca="false">IF(C89="","",(C89-C88)/(B89-B88))</f>
        <v/>
      </c>
      <c r="E89" s="77" t="str">
        <f aca="false">IF(C89="","",IF(C90="",0,(C90-C89)/(B90-B89)))</f>
        <v/>
      </c>
    </row>
    <row r="90" customFormat="false" ht="15" hidden="false" customHeight="false" outlineLevel="0" collapsed="false">
      <c r="A90" s="75" t="str">
        <f aca="false">IF(B90="","Unused","key =")</f>
        <v>Unused</v>
      </c>
      <c r="B90" s="75" t="str">
        <f aca="false">IF(Other!Q176="|",ROUND(Other!N176,0),IF(Other!Q176="V",ROUND(Other!N176,-3),""))</f>
        <v/>
      </c>
      <c r="C90" s="76" t="str">
        <f aca="false">IF(B90="","",ROUND(Other!P176,3))</f>
        <v/>
      </c>
      <c r="D90" s="77" t="str">
        <f aca="false">IF(C90="","",(C90-C89)/(B90-B89))</f>
        <v/>
      </c>
      <c r="E90" s="77" t="str">
        <f aca="false">IF(C90="","",IF(C91="",0,(C91-C90)/(B91-B90)))</f>
        <v/>
      </c>
    </row>
    <row r="91" customFormat="false" ht="15" hidden="false" customHeight="false" outlineLevel="0" collapsed="false">
      <c r="A91" s="75" t="str">
        <f aca="false">IF(B91="","Unused","key =")</f>
        <v>Unused</v>
      </c>
      <c r="B91" s="75" t="str">
        <f aca="false">IF(Other!Q177="|",ROUND(Other!N177,0),IF(Other!Q177="V",ROUND(Other!N177,-3),""))</f>
        <v/>
      </c>
      <c r="C91" s="76" t="str">
        <f aca="false">IF(B91="","",ROUND(Other!P177,3))</f>
        <v/>
      </c>
      <c r="D91" s="77" t="str">
        <f aca="false">IF(C91="","",(C91-C90)/(B91-B90))</f>
        <v/>
      </c>
      <c r="E91" s="77" t="str">
        <f aca="false">IF(C91="","",IF(C92="",0,(C92-C91)/(B92-B91)))</f>
        <v/>
      </c>
    </row>
    <row r="92" customFormat="false" ht="15" hidden="false" customHeight="false" outlineLevel="0" collapsed="false">
      <c r="A92" s="75" t="str">
        <f aca="false">IF(B92="","Unused","key =")</f>
        <v>Unused</v>
      </c>
      <c r="B92" s="75" t="str">
        <f aca="false">IF(Other!Q178="|",ROUND(Other!N178,0),IF(Other!Q178="V",ROUND(Other!N178,-3),""))</f>
        <v/>
      </c>
      <c r="C92" s="76" t="str">
        <f aca="false">IF(B92="","",ROUND(Other!P178,3))</f>
        <v/>
      </c>
      <c r="D92" s="77" t="str">
        <f aca="false">IF(C92="","",(C92-C91)/(B92-B91))</f>
        <v/>
      </c>
      <c r="E92" s="77" t="str">
        <f aca="false">IF(C92="","",IF(C93="",0,(C93-C92)/(B93-B92)))</f>
        <v/>
      </c>
    </row>
    <row r="93" customFormat="false" ht="15" hidden="false" customHeight="false" outlineLevel="0" collapsed="false">
      <c r="A93" s="75" t="str">
        <f aca="false">IF(B93="","Unused","key =")</f>
        <v>Unused</v>
      </c>
      <c r="B93" s="75" t="str">
        <f aca="false">IF(Other!Q179="|",ROUND(Other!N179,0),IF(Other!Q179="V",ROUND(Other!N179,-3),""))</f>
        <v/>
      </c>
      <c r="C93" s="76" t="str">
        <f aca="false">IF(B93="","",ROUND(Other!P179,3))</f>
        <v/>
      </c>
      <c r="D93" s="77" t="str">
        <f aca="false">IF(C93="","",(C93-C92)/(B93-B92))</f>
        <v/>
      </c>
      <c r="E93" s="77" t="str">
        <f aca="false">IF(C93="","",IF(C94="",0,(C94-C93)/(B94-B93)))</f>
        <v/>
      </c>
    </row>
    <row r="94" customFormat="false" ht="15" hidden="false" customHeight="false" outlineLevel="0" collapsed="false">
      <c r="A94" s="75" t="str">
        <f aca="false">IF(B94="","Unused","key =")</f>
        <v>Unused</v>
      </c>
      <c r="B94" s="75" t="str">
        <f aca="false">IF(Other!Q180="|",ROUND(Other!N180,0),IF(Other!Q180="V",ROUND(Other!N180,-3),""))</f>
        <v/>
      </c>
      <c r="C94" s="76" t="str">
        <f aca="false">IF(B94="","",ROUND(Other!P180,3))</f>
        <v/>
      </c>
      <c r="D94" s="77" t="str">
        <f aca="false">IF(C94="","",(C94-C93)/(B94-B93))</f>
        <v/>
      </c>
      <c r="E94" s="77" t="str">
        <f aca="false">IF(C94="","",IF(C95="",0,(C95-C94)/(B95-B94)))</f>
        <v/>
      </c>
    </row>
    <row r="95" customFormat="false" ht="15" hidden="false" customHeight="false" outlineLevel="0" collapsed="false">
      <c r="A95" s="75" t="str">
        <f aca="false">IF(B95="","Unused","key =")</f>
        <v>Unused</v>
      </c>
      <c r="B95" s="75" t="str">
        <f aca="false">IF(Other!Q181="|",ROUND(Other!N181,0),IF(Other!Q181="V",ROUND(Other!N181,-3),""))</f>
        <v/>
      </c>
      <c r="C95" s="76" t="str">
        <f aca="false">IF(B95="","",ROUND(Other!P181,3))</f>
        <v/>
      </c>
      <c r="D95" s="77" t="str">
        <f aca="false">IF(C95="","",(C95-C94)/(B95-B94))</f>
        <v/>
      </c>
      <c r="E95" s="77" t="str">
        <f aca="false">IF(C95="","",IF(C96="",0,(C96-C95)/(B96-B95)))</f>
        <v/>
      </c>
    </row>
    <row r="96" customFormat="false" ht="15" hidden="false" customHeight="false" outlineLevel="0" collapsed="false">
      <c r="A96" s="75" t="str">
        <f aca="false">IF(B96="","Unused","key =")</f>
        <v>Unused</v>
      </c>
      <c r="B96" s="75" t="str">
        <f aca="false">IF(Other!Q182="|",ROUND(Other!N182,0),IF(Other!Q182="V",ROUND(Other!N182,-3),""))</f>
        <v/>
      </c>
      <c r="C96" s="76" t="str">
        <f aca="false">IF(B96="","",ROUND(Other!P182,3))</f>
        <v/>
      </c>
      <c r="D96" s="77" t="str">
        <f aca="false">IF(C96="","",(C96-C95)/(B96-B95))</f>
        <v/>
      </c>
      <c r="E96" s="77" t="str">
        <f aca="false">IF(C96="","",IF(C97="",0,(C97-C96)/(B97-B96)))</f>
        <v/>
      </c>
    </row>
    <row r="97" customFormat="false" ht="15" hidden="false" customHeight="false" outlineLevel="0" collapsed="false">
      <c r="A97" s="75" t="str">
        <f aca="false">IF(B97="","Unused","key =")</f>
        <v>Unused</v>
      </c>
      <c r="B97" s="75" t="str">
        <f aca="false">IF(Other!Q183="|",ROUND(Other!N183,0),IF(Other!Q183="V",ROUND(Other!N183,-3),""))</f>
        <v/>
      </c>
      <c r="C97" s="76" t="str">
        <f aca="false">IF(B97="","",ROUND(Other!P183,3))</f>
        <v/>
      </c>
      <c r="D97" s="77" t="str">
        <f aca="false">IF(C97="","",(C97-C96)/(B97-B96))</f>
        <v/>
      </c>
      <c r="E97" s="77" t="str">
        <f aca="false">IF(C97="","",IF(C98="",0,(C98-C97)/(B98-B97)))</f>
        <v/>
      </c>
    </row>
    <row r="98" customFormat="false" ht="15" hidden="false" customHeight="false" outlineLevel="0" collapsed="false">
      <c r="A98" s="75" t="str">
        <f aca="false">IF(B98="","Unused","key =")</f>
        <v>Unused</v>
      </c>
      <c r="B98" s="75" t="str">
        <f aca="false">IF(Other!Q184="|",ROUND(Other!N184,0),IF(Other!Q184="V",ROUND(Other!N184,-3),""))</f>
        <v/>
      </c>
      <c r="C98" s="76" t="str">
        <f aca="false">IF(B98="","",ROUND(Other!P184,3))</f>
        <v/>
      </c>
      <c r="D98" s="77" t="str">
        <f aca="false">IF(C98="","",(C98-C97)/(B98-B97))</f>
        <v/>
      </c>
      <c r="E98" s="77" t="str">
        <f aca="false">IF(C98="","",IF(C99="",0,(C99-C98)/(B99-B98)))</f>
        <v/>
      </c>
    </row>
    <row r="99" customFormat="false" ht="15" hidden="false" customHeight="false" outlineLevel="0" collapsed="false">
      <c r="A99" s="75" t="str">
        <f aca="false">IF(B99="","Unused","key =")</f>
        <v>Unused</v>
      </c>
      <c r="B99" s="75" t="str">
        <f aca="false">IF(Other!Q185="|",ROUND(Other!N185,0),IF(Other!Q185="V",ROUND(Other!N185,-3),""))</f>
        <v/>
      </c>
      <c r="C99" s="76" t="str">
        <f aca="false">IF(B99="","",ROUND(Other!P185,3))</f>
        <v/>
      </c>
      <c r="D99" s="77" t="str">
        <f aca="false">IF(C99="","",(C99-C98)/(B99-B98))</f>
        <v/>
      </c>
      <c r="E99" s="77" t="str">
        <f aca="false">IF(C99="","",IF(C107="",0,(C107-C99)/(B107-B99)))</f>
        <v/>
      </c>
    </row>
    <row r="100" customFormat="false" ht="15" hidden="false" customHeight="false" outlineLevel="0" collapsed="false">
      <c r="A100" s="75" t="str">
        <f aca="false">IF(B100="","Unused","key =")</f>
        <v>Unused</v>
      </c>
      <c r="B100" s="75" t="str">
        <f aca="false">IF(Other!Q186="|",ROUND(Other!N186,0),IF(Other!Q186="V",ROUND(Other!N186,-3),""))</f>
        <v/>
      </c>
      <c r="C100" s="76" t="str">
        <f aca="false">IF(B100="","",ROUND(Other!P186,3))</f>
        <v/>
      </c>
      <c r="D100" s="77" t="str">
        <f aca="false">IF(C100="","",(C100-C99)/(B100-B99))</f>
        <v/>
      </c>
      <c r="E100" s="77" t="str">
        <f aca="false">IF(C100="","",IF(C108="",0,(C108-C100)/(B108-B100)))</f>
        <v/>
      </c>
    </row>
    <row r="101" customFormat="false" ht="15" hidden="false" customHeight="false" outlineLevel="0" collapsed="false">
      <c r="A101" s="75" t="str">
        <f aca="false">IF(B101="","Unused","key =")</f>
        <v>Unused</v>
      </c>
      <c r="B101" s="75" t="str">
        <f aca="false">IF(Other!Q187="|",ROUND(Other!N187,0),IF(Other!Q187="V",ROUND(Other!N187,-3),""))</f>
        <v/>
      </c>
      <c r="C101" s="76" t="str">
        <f aca="false">IF(B101="","",ROUND(Other!P187,3))</f>
        <v/>
      </c>
      <c r="D101" s="77" t="str">
        <f aca="false">IF(C101="","",(C101-C100)/(B101-B100))</f>
        <v/>
      </c>
      <c r="E101" s="77" t="str">
        <f aca="false">IF(C101="","",IF(C109="",0,(C109-C101)/(B109-B101)))</f>
        <v/>
      </c>
    </row>
    <row r="102" customFormat="false" ht="15" hidden="false" customHeight="false" outlineLevel="0" collapsed="false">
      <c r="A102" s="75" t="str">
        <f aca="false">IF(B102="","Unused","key =")</f>
        <v>Unused</v>
      </c>
      <c r="B102" s="75" t="str">
        <f aca="false">IF(Other!Q188="|",ROUND(Other!N188,0),IF(Other!Q188="V",ROUND(Other!N188,-3),""))</f>
        <v/>
      </c>
      <c r="C102" s="76" t="str">
        <f aca="false">IF(B102="","",ROUND(Other!P188,3))</f>
        <v/>
      </c>
      <c r="D102" s="77" t="str">
        <f aca="false">IF(C102="","",(C102-C101)/(B102-B101))</f>
        <v/>
      </c>
      <c r="E102" s="77" t="str">
        <f aca="false">IF(C102="","",IF(C110="",0,(C110-C102)/(B110-B102)))</f>
        <v/>
      </c>
    </row>
    <row r="103" customFormat="false" ht="15" hidden="false" customHeight="false" outlineLevel="0" collapsed="false">
      <c r="A103" s="75" t="str">
        <f aca="false">IF(B103="","Unused","key =")</f>
        <v>Unused</v>
      </c>
      <c r="B103" s="75" t="str">
        <f aca="false">IF(Other!Q189="|",ROUND(Other!N189,0),IF(Other!Q189="V",ROUND(Other!N189,-3),""))</f>
        <v/>
      </c>
      <c r="C103" s="76" t="str">
        <f aca="false">IF(B103="","",ROUND(Other!P189,3))</f>
        <v/>
      </c>
      <c r="D103" s="77" t="str">
        <f aca="false">IF(C103="","",(C103-C102)/(B103-B102))</f>
        <v/>
      </c>
      <c r="E103" s="77" t="str">
        <f aca="false">IF(C103="","",IF(C111="",0,(C111-C103)/(B111-B103)))</f>
        <v/>
      </c>
    </row>
    <row r="104" customFormat="false" ht="15" hidden="false" customHeight="false" outlineLevel="0" collapsed="false">
      <c r="A104" s="75" t="str">
        <f aca="false">IF(B104="","Unused","key =")</f>
        <v>Unused</v>
      </c>
      <c r="B104" s="75" t="str">
        <f aca="false">IF(Other!Q190="|",ROUND(Other!N190,0),IF(Other!Q190="V",ROUND(Other!N190,-3),""))</f>
        <v/>
      </c>
      <c r="C104" s="76" t="str">
        <f aca="false">IF(B104="","",ROUND(Other!P190,3))</f>
        <v/>
      </c>
      <c r="D104" s="77" t="str">
        <f aca="false">IF(C104="","",(C104-C103)/(B104-B103))</f>
        <v/>
      </c>
      <c r="E104" s="77" t="str">
        <f aca="false">IF(C104="","",IF(C112="",0,(C112-C104)/(B112-B104)))</f>
        <v/>
      </c>
    </row>
    <row r="105" customFormat="false" ht="15" hidden="false" customHeight="false" outlineLevel="0" collapsed="false">
      <c r="A105" s="75" t="str">
        <f aca="false">IF(B105="","Unused","key =")</f>
        <v>Unused</v>
      </c>
      <c r="B105" s="75" t="str">
        <f aca="false">IF(Other!Q191="|",ROUND(Other!N191,0),IF(Other!Q191="V",ROUND(Other!N191,-3),""))</f>
        <v/>
      </c>
      <c r="C105" s="76" t="str">
        <f aca="false">IF(B105="","",ROUND(Other!P191,3))</f>
        <v/>
      </c>
      <c r="D105" s="77" t="str">
        <f aca="false">IF(C105="","",(C105-C104)/(B105-B104))</f>
        <v/>
      </c>
      <c r="E105" s="77" t="str">
        <f aca="false">IF(C105="","",IF(C113="",0,(C113-C105)/(B113-B105)))</f>
        <v/>
      </c>
    </row>
    <row r="106" customFormat="false" ht="15" hidden="false" customHeight="false" outlineLevel="0" collapsed="false">
      <c r="A106" s="75" t="str">
        <f aca="false">IF(B106="","Unused","key =")</f>
        <v>Unused</v>
      </c>
      <c r="B106" s="75" t="str">
        <f aca="false">IF(Other!Q192="|",ROUND(Other!N192,0),IF(Other!Q192="V",ROUND(Other!N192,-3),""))</f>
        <v/>
      </c>
      <c r="C106" s="76" t="str">
        <f aca="false">IF(B106="","",ROUND(Other!P192,3))</f>
        <v/>
      </c>
      <c r="D106" s="77" t="str">
        <f aca="false">IF(C106="","",(C106-C105)/(B106-B105))</f>
        <v/>
      </c>
      <c r="E106" s="77" t="str">
        <f aca="false">IF(C106="","",IF(C114="",0,(C114-C106)/(B114-B106)))</f>
        <v/>
      </c>
    </row>
    <row r="107" customFormat="false" ht="15" hidden="false" customHeight="false" outlineLevel="0" collapsed="false">
      <c r="A107" s="72" t="s">
        <v>212</v>
      </c>
      <c r="B107" s="75"/>
      <c r="C107" s="75"/>
      <c r="D107" s="75"/>
      <c r="E107" s="75"/>
    </row>
    <row r="108" customFormat="false" ht="15" hidden="false" customHeight="false" outlineLevel="0" collapsed="false">
      <c r="A108" s="72" t="s">
        <v>227</v>
      </c>
      <c r="B108" s="75"/>
      <c r="C108" s="75"/>
      <c r="D108" s="75"/>
      <c r="E108" s="75"/>
    </row>
    <row r="109" customFormat="false" ht="15" hidden="false" customHeight="false" outlineLevel="0" collapsed="false">
      <c r="A109" s="72" t="s">
        <v>209</v>
      </c>
      <c r="B109" s="75"/>
      <c r="C109" s="75"/>
      <c r="D109" s="75"/>
      <c r="E109" s="75"/>
    </row>
    <row r="110" customFormat="false" ht="15" hidden="false" customHeight="false" outlineLevel="0" collapsed="false">
      <c r="A110" s="75" t="s">
        <v>224</v>
      </c>
      <c r="B110" s="75" t="n">
        <v>0</v>
      </c>
      <c r="C110" s="75" t="n">
        <f aca="false">ROUND(Other!G$116*(COS(RADIANS(B110))-COS(RADIANS(38))),2)</f>
        <v>4.88</v>
      </c>
      <c r="D110" s="75" t="n">
        <v>0</v>
      </c>
      <c r="E110" s="75" t="n">
        <f aca="false">ROUND(-Other!G$116*SIN(RADIANS(B110))*PI()/180,4)</f>
        <v>-0</v>
      </c>
    </row>
    <row r="111" customFormat="false" ht="15" hidden="false" customHeight="false" outlineLevel="0" collapsed="false">
      <c r="A111" s="75" t="s">
        <v>224</v>
      </c>
      <c r="B111" s="75" t="n">
        <v>38</v>
      </c>
      <c r="C111" s="75" t="n">
        <f aca="false">ROUND(Other!G$116*(COS(RADIANS(B111))-COS(RADIANS(38))),2)</f>
        <v>0</v>
      </c>
      <c r="D111" s="75" t="n">
        <f aca="false">ROUND(-Other!G$116*SIN(RADIANS(B111))*PI()/180,4)</f>
        <v>-0.2471</v>
      </c>
      <c r="E111" s="75" t="n">
        <f aca="false">ROUND(-Other!G$116*SIN(RADIANS(B111))*PI()/180,4)</f>
        <v>-0.2471</v>
      </c>
    </row>
    <row r="112" customFormat="false" ht="15" hidden="false" customHeight="false" outlineLevel="0" collapsed="false">
      <c r="A112" s="75" t="s">
        <v>224</v>
      </c>
      <c r="B112" s="75" t="n">
        <v>90</v>
      </c>
      <c r="C112" s="75" t="n">
        <f aca="false">ROUND(Other!G$116*(COS(RADIANS(B112))-COS(RADIANS(38))),2)</f>
        <v>-18.12</v>
      </c>
      <c r="D112" s="75" t="n">
        <f aca="false">ROUND(-Other!G$116*SIN(RADIANS(B112))*PI()/180,4)</f>
        <v>-0.4014</v>
      </c>
      <c r="E112" s="75" t="n">
        <v>0</v>
      </c>
    </row>
    <row r="113" customFormat="false" ht="15" hidden="false" customHeight="false" outlineLevel="0" collapsed="false">
      <c r="A113" s="72" t="s">
        <v>212</v>
      </c>
      <c r="B113" s="75"/>
      <c r="C113" s="75"/>
      <c r="D113" s="75"/>
      <c r="E113" s="75"/>
    </row>
    <row r="114" customFormat="false" ht="15" hidden="false" customHeight="false" outlineLevel="0" collapsed="false">
      <c r="A114" s="72" t="s">
        <v>228</v>
      </c>
      <c r="B114" s="75"/>
      <c r="C114" s="75"/>
      <c r="D114" s="75"/>
      <c r="E114" s="75"/>
    </row>
    <row r="115" customFormat="false" ht="15" hidden="false" customHeight="false" outlineLevel="0" collapsed="false">
      <c r="A115" s="72" t="s">
        <v>209</v>
      </c>
      <c r="B115" s="75"/>
      <c r="C115" s="75"/>
      <c r="D115" s="75"/>
      <c r="E115" s="75"/>
    </row>
    <row r="116" customFormat="false" ht="15" hidden="false" customHeight="false" outlineLevel="0" collapsed="false">
      <c r="A116" s="75" t="s">
        <v>224</v>
      </c>
      <c r="B116" s="75" t="n">
        <v>0</v>
      </c>
      <c r="C116" s="75" t="n">
        <f aca="false">ROUND((Other!G$114-Other!G$115)*COS(RADIANS(B116))+Other!G$115,2)</f>
        <v>26</v>
      </c>
      <c r="D116" s="75" t="n">
        <v>0</v>
      </c>
      <c r="E116" s="75" t="n">
        <f aca="false">ROUND((Other!G$115-Other!G$114)*SIN(RADIANS(B116))*PI()/180,4)</f>
        <v>-0</v>
      </c>
    </row>
    <row r="117" customFormat="false" ht="15" hidden="false" customHeight="false" outlineLevel="0" collapsed="false">
      <c r="A117" s="75" t="s">
        <v>224</v>
      </c>
      <c r="B117" s="75" t="n">
        <v>38</v>
      </c>
      <c r="C117" s="75" t="n">
        <f aca="false">ROUND((Other!G$114-Other!G$115)*COS(RADIANS(B117))+Other!G$115,2)</f>
        <v>22.18</v>
      </c>
      <c r="D117" s="75" t="n">
        <f aca="false">ROUND((Other!G$115-Other!G$114)*SIN(RADIANS(B117))*PI()/180,4)</f>
        <v>-0.1934</v>
      </c>
      <c r="E117" s="75" t="n">
        <f aca="false">ROUND((Other!G$115-Other!G$114)*SIN(RADIANS(B117))*PI()/180,4)</f>
        <v>-0.1934</v>
      </c>
    </row>
    <row r="118" customFormat="false" ht="15" hidden="false" customHeight="false" outlineLevel="0" collapsed="false">
      <c r="A118" s="75" t="s">
        <v>224</v>
      </c>
      <c r="B118" s="75" t="n">
        <v>90</v>
      </c>
      <c r="C118" s="75" t="n">
        <f aca="false">ROUND((Other!G$114-Other!G$115)*COS(RADIANS(B118))+Other!G$115,2)</f>
        <v>8</v>
      </c>
      <c r="D118" s="75" t="n">
        <f aca="false">ROUND((Other!G$115-Other!G$114)*SIN(RADIANS(B118))*PI()/180,4)</f>
        <v>-0.3142</v>
      </c>
      <c r="E118" s="75" t="n">
        <v>0</v>
      </c>
    </row>
    <row r="119" customFormat="false" ht="15" hidden="false" customHeight="false" outlineLevel="0" collapsed="false">
      <c r="A119" s="72" t="s">
        <v>212</v>
      </c>
      <c r="B119" s="75"/>
      <c r="C119" s="75"/>
      <c r="D119" s="75"/>
      <c r="E119" s="75"/>
    </row>
    <row r="120" customFormat="false" ht="15" hidden="false" customHeight="false" outlineLevel="0" collapsed="false">
      <c r="A120" s="72" t="s">
        <v>229</v>
      </c>
      <c r="B120" s="75"/>
      <c r="C120" s="75"/>
      <c r="D120" s="75"/>
      <c r="E120" s="75"/>
    </row>
    <row r="121" customFormat="false" ht="15" hidden="false" customHeight="false" outlineLevel="0" collapsed="false">
      <c r="A121" s="72" t="s">
        <v>209</v>
      </c>
      <c r="B121" s="75"/>
      <c r="C121" s="75"/>
      <c r="D121" s="75"/>
      <c r="E121" s="75"/>
    </row>
    <row r="122" customFormat="false" ht="15" hidden="false" customHeight="false" outlineLevel="0" collapsed="false">
      <c r="A122" s="75" t="s">
        <v>224</v>
      </c>
      <c r="B122" s="75" t="n">
        <v>0</v>
      </c>
      <c r="C122" s="75" t="n">
        <f aca="false">IF(Other!G$19="Planet",ROUND(-Other!G$117*Other!G$119*SIN(RADIANS(B122-36+Other!G28)),2),ROUND(-Other!G$117*Other!G$119*SIN(RADIANS(B122-36+Other!G$33)),2))</f>
        <v>0.14</v>
      </c>
      <c r="D122" s="75" t="n">
        <v>0</v>
      </c>
      <c r="E122" s="75" t="n">
        <f aca="false">IF(Other!G$19="Planet",IF(Other!G$27&gt;0,D127,0),IF(Other!G$32&gt;0,D127,0))</f>
        <v>0</v>
      </c>
    </row>
    <row r="123" customFormat="false" ht="15" hidden="false" customHeight="false" outlineLevel="0" collapsed="false">
      <c r="A123" s="75" t="str">
        <f aca="false">IF(B123="","Unused","key =")</f>
        <v>Unused</v>
      </c>
      <c r="B123" s="75" t="str">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75" t="str">
        <f aca="false">IF(Other!G$19="Planet",IF(Other!G$27&gt;0,ROUND(-Other!G$117*Other!G$119*SIN(RADIANS(B123-36+Other!G$28)),2),""),IF(Other!G$32&gt;0,ROUND(-Other!G$117*Other!G$119*SIN(RADIANS(B123-36+Other!G$33)),2),""))</f>
        <v/>
      </c>
      <c r="D123" s="75" t="str">
        <f aca="false">IF(Other!G$19="Planet",IF(Other!G$27&gt;0,ROUND(Other!G$117*Other!G$119*SIN(RADIANS(270))*COS(RADIANS(B123-36+Other!G$28))*PI()/180,4),""),IF(Other!G$32&gt;0,ROUND(Other!G$117*Other!G$119*SIN(RADIANS(270))*COS(RADIANS(B123-36+Other!G$33))*PI()/180,4),""))</f>
        <v/>
      </c>
      <c r="E123" s="75" t="str">
        <f aca="false">IF(Other!G$19="Planet",IF(Other!G$27&gt;0,D123,""),IF(Other!G$32&gt;0,D123,""))</f>
        <v/>
      </c>
    </row>
    <row r="124" customFormat="false" ht="15" hidden="false" customHeight="false" outlineLevel="0" collapsed="false">
      <c r="A124" s="75" t="str">
        <f aca="false">IF(B124="","Unused","key =")</f>
        <v>Unused</v>
      </c>
      <c r="B124" s="75" t="str">
        <f aca="false">IF(Other!G$19="Planet",IF(Other!G$27&gt;0,B123+90,""),IF(Other!G$32&gt;0,B123+90,""))</f>
        <v/>
      </c>
      <c r="C124" s="75" t="str">
        <f aca="false">IF(Other!G$19="Planet",IF(Other!G$27&gt;0,ROUND(-Other!G$117*Other!G$119*SIN(RADIANS(B124-36+Other!G$28)),2),""),IF(Other!G$32&gt;0,ROUND(-Other!G$117*Other!G$119*SIN(RADIANS(B124-36+Other!G$33)),2),""))</f>
        <v/>
      </c>
      <c r="D124" s="75" t="str">
        <f aca="false">IF(Other!G$19="Planet",IF(Other!G$27&gt;0,ROUND(Other!G$117*Other!G$119*SIN(RADIANS(270))*COS(RADIANS(B124-36+Other!G$28))*PI()/180,4),""),IF(Other!G$32&gt;0,ROUND(Other!G$117*Other!G$119*SIN(RADIANS(270))*COS(RADIANS(B124-36+Other!G$33))*PI()/180,4),""))</f>
        <v/>
      </c>
      <c r="E124" s="75" t="str">
        <f aca="false">IF(Other!G$19="Planet",IF(Other!G$27&gt;0,D124,""),IF(Other!G$32&gt;0,D124,""))</f>
        <v/>
      </c>
    </row>
    <row r="125" customFormat="false" ht="15" hidden="false" customHeight="false" outlineLevel="0" collapsed="false">
      <c r="A125" s="75" t="str">
        <f aca="false">IF(B125="","Unused","key =")</f>
        <v>Unused</v>
      </c>
      <c r="B125" s="75" t="str">
        <f aca="false">IF(Other!G$19="Planet",IF(Other!G$27&gt;0,B124+90,""),IF(Other!G$32&gt;0,B124+90,""))</f>
        <v/>
      </c>
      <c r="C125" s="75" t="str">
        <f aca="false">IF(Other!G$19="Planet",IF(Other!G$27&gt;0,ROUND(-Other!G$117*Other!G$119*SIN(RADIANS(B125-36+Other!G$28)),2),""),IF(Other!G$32&gt;0,ROUND(-Other!G$117*Other!G$119*SIN(RADIANS(B125-36+Other!G$33)),2),""))</f>
        <v/>
      </c>
      <c r="D125" s="75" t="str">
        <f aca="false">IF(Other!G$19="Planet",IF(Other!G$27&gt;0,ROUND(Other!G$117*Other!G$119*SIN(RADIANS(270))*COS(RADIANS(B125-36+Other!G$28))*PI()/180,4),""),IF(Other!G$32&gt;0,ROUND(Other!G$117*Other!G$119*SIN(RADIANS(270))*COS(RADIANS(B125-36+Other!G$33))*PI()/180,4),""))</f>
        <v/>
      </c>
      <c r="E125" s="75" t="str">
        <f aca="false">IF(Other!G$19="Planet",IF(Other!G$27&gt;0,D125,""),IF(Other!G$32&gt;0,D125,""))</f>
        <v/>
      </c>
    </row>
    <row r="126" customFormat="false" ht="15" hidden="false" customHeight="false" outlineLevel="0" collapsed="false">
      <c r="A126" s="75" t="str">
        <f aca="false">IF(B126="","Unused","key =")</f>
        <v>Unused</v>
      </c>
      <c r="B126" s="75" t="str">
        <f aca="false">IF(Other!G$19="Planet",IF(Other!G$27&gt;0,B125+90,""),IF(Other!G$32&gt;0,B125+90,""))</f>
        <v/>
      </c>
      <c r="C126" s="75" t="str">
        <f aca="false">IF(Other!G$19="Planet",IF(Other!G$27&gt;0,ROUND(-Other!G$117*Other!G$119*SIN(RADIANS(B126-36+Other!G$28)),2),""),IF(Other!G$32&gt;0,ROUND(-Other!G$117*Other!G$119*SIN(RADIANS(B126-36+Other!G$33)),2),""))</f>
        <v/>
      </c>
      <c r="D126" s="75" t="str">
        <f aca="false">IF(Other!G$19="Planet",IF(Other!G$27&gt;0,ROUND(Other!G$117*Other!G$119*SIN(RADIANS(270))*COS(RADIANS(B126-36+Other!G$28))*PI()/180,4),""),IF(Other!G$32&gt;0,ROUND(Other!G$117*Other!G$119*SIN(RADIANS(270))*COS(RADIANS(B126-36+Other!G$33))*PI()/180,4),""))</f>
        <v/>
      </c>
      <c r="E126" s="75" t="str">
        <f aca="false">IF(Other!G$19="Planet",IF(Other!G$27&gt;0,D126,""),IF(Other!G$32&gt;0,D126,""))</f>
        <v/>
      </c>
    </row>
    <row r="127" customFormat="false" ht="15" hidden="false" customHeight="false" outlineLevel="0" collapsed="false">
      <c r="A127" s="75" t="str">
        <f aca="false">IF(B127="","Unused","key =")</f>
        <v>Unused</v>
      </c>
      <c r="B127" s="75" t="str">
        <f aca="false">IF(Other!G$19="Planet",IF(Other!G$27&gt;0,360,""),IF(Other!G$32&gt;0,360,""))</f>
        <v/>
      </c>
      <c r="C127" s="75" t="str">
        <f aca="false">IF(Other!G$19="Planet",IF(Other!G$27&gt;0,ROUND(-Other!G$117*Other!G$119*SIN(RADIANS(B127-36+Other!G$28)),2),""),IF(Other!G$32&gt;0,ROUND(-Other!G$117*Other!G$119*SIN(RADIANS(B127-36+Other!G$33)),2),""))</f>
        <v/>
      </c>
      <c r="D127" s="75" t="str">
        <f aca="false">IF(Other!G$19="Planet",IF(Other!G$27&gt;0,ROUND(Other!G$117*Other!G$119*SIN(RADIANS(270))*COS(RADIANS(B127-36+Other!G$28))*PI()/180,4),""),IF(Other!G$32&gt;0,ROUND(Other!G$117*Other!G$119*SIN(RADIANS(270))*COS(RADIANS(B127-36+Other!G$33))*PI()/180,4),""))</f>
        <v/>
      </c>
      <c r="E127" s="75" t="str">
        <f aca="false">IF(Other!G$19="Planet",IF(Other!G$27&gt;0,0,""),IF(Other!G$32&gt;0,0,""))</f>
        <v/>
      </c>
    </row>
    <row r="128" customFormat="false" ht="15" hidden="false" customHeight="false" outlineLevel="0" collapsed="false">
      <c r="A128" s="72" t="s">
        <v>212</v>
      </c>
      <c r="B128" s="75"/>
      <c r="C128" s="75"/>
      <c r="D128" s="75"/>
      <c r="E128" s="75"/>
    </row>
    <row r="129" customFormat="false" ht="15" hidden="false" customHeight="false" outlineLevel="0" collapsed="false">
      <c r="A129" s="72" t="s">
        <v>230</v>
      </c>
      <c r="B129" s="75"/>
      <c r="C129" s="75"/>
      <c r="D129" s="75"/>
      <c r="E129" s="75"/>
    </row>
    <row r="130" customFormat="false" ht="15" hidden="false" customHeight="false" outlineLevel="0" collapsed="false">
      <c r="A130" s="72" t="s">
        <v>209</v>
      </c>
      <c r="B130" s="75"/>
      <c r="C130" s="75"/>
      <c r="D130" s="75"/>
      <c r="E130" s="75"/>
    </row>
    <row r="131" customFormat="false" ht="15" hidden="false" customHeight="false" outlineLevel="0" collapsed="false">
      <c r="A131" s="75" t="s">
        <v>224</v>
      </c>
      <c r="B131" s="75" t="n">
        <v>0</v>
      </c>
      <c r="C131" s="75" t="n">
        <v>0</v>
      </c>
      <c r="D131" s="75" t="n">
        <v>0</v>
      </c>
      <c r="E131" s="75" t="n">
        <v>0</v>
      </c>
    </row>
    <row r="132" customFormat="false" ht="15" hidden="false" customHeight="false" outlineLevel="0" collapsed="false">
      <c r="A132" s="75" t="str">
        <f aca="false">IF(B132="","Unused","key =")</f>
        <v>Unused</v>
      </c>
      <c r="B132" s="75" t="str">
        <f aca="false">IF(Other!G$19="Planet",IF(Other!G$27&gt;0,38,""),IF(Other!G$32&gt;0,38,""))</f>
        <v/>
      </c>
      <c r="C132" s="75" t="str">
        <f aca="false">IF(Other!G$19="Planet",IF(Other!G$27&gt;0,0.5,""),IF(Other!G$32&gt;0,0.5,""))</f>
        <v/>
      </c>
      <c r="D132" s="75" t="str">
        <f aca="false">IF(Other!G$19="Planet",IF(Other!G$27&gt;0,0.02,""),IF(Other!G$32&gt;0,0.02,""))</f>
        <v/>
      </c>
      <c r="E132" s="75" t="str">
        <f aca="false">IF(Other!G$19="Planet",IF(Other!G$27&gt;0,0.02,""),IF(Other!G$32&gt;0,0.02,""))</f>
        <v/>
      </c>
    </row>
    <row r="133" customFormat="false" ht="15" hidden="false" customHeight="false" outlineLevel="0" collapsed="false">
      <c r="A133" s="75" t="str">
        <f aca="false">IF(B133="","Unused","key =")</f>
        <v>Unused</v>
      </c>
      <c r="B133" s="75" t="str">
        <f aca="false">IF(Other!G$19="Planet",IF(Other!G$27&gt;0,90,""),IF(Other!G$32&gt;0,90,""))</f>
        <v/>
      </c>
      <c r="C133" s="75" t="str">
        <f aca="false">IF(Other!G$19="Planet",IF(Other!G$27&gt;0,1,""),IF(Other!G$32&gt;0,1,""))</f>
        <v/>
      </c>
      <c r="D133" s="75" t="str">
        <f aca="false">IF(Other!G$19="Planet",IF(Other!G$27&gt;0,0,""),IF(Other!G$32&gt;0,0,""))</f>
        <v/>
      </c>
      <c r="E133" s="75" t="str">
        <f aca="false">IF(Other!G$19="Planet",IF(Other!G$27&gt;0,0,""),IF(Other!G$32&gt;0,0,""))</f>
        <v/>
      </c>
    </row>
    <row r="134" customFormat="false" ht="15" hidden="false" customHeight="false" outlineLevel="0" collapsed="false">
      <c r="A134" s="72" t="s">
        <v>212</v>
      </c>
      <c r="B134" s="75"/>
      <c r="C134" s="75"/>
      <c r="D134" s="75"/>
      <c r="E134" s="75"/>
    </row>
    <row r="135" customFormat="false" ht="15" hidden="false" customHeight="false" outlineLevel="0" collapsed="false">
      <c r="A135" s="72" t="s">
        <v>231</v>
      </c>
      <c r="B135" s="75"/>
      <c r="C135" s="75"/>
      <c r="D135" s="75"/>
      <c r="E135" s="75"/>
    </row>
    <row r="136" customFormat="false" ht="15" hidden="false" customHeight="false" outlineLevel="0" collapsed="false">
      <c r="A136" s="72" t="s">
        <v>209</v>
      </c>
      <c r="B136" s="75"/>
      <c r="C136" s="75"/>
      <c r="D136" s="75"/>
      <c r="E136" s="75"/>
    </row>
    <row r="137" customFormat="false" ht="15" hidden="false" customHeight="false" outlineLevel="0" collapsed="false">
      <c r="A137" s="75" t="s">
        <v>224</v>
      </c>
      <c r="B137" s="75" t="n">
        <v>0</v>
      </c>
      <c r="C137" s="75" t="n">
        <f aca="false">ROUND(Other!G$118*Other!G$119,1)/2</f>
        <v>8.6</v>
      </c>
      <c r="D137" s="75" t="n">
        <v>0</v>
      </c>
      <c r="E137" s="75" t="n">
        <f aca="false">-2*C137</f>
        <v>-17.2</v>
      </c>
    </row>
    <row r="138" customFormat="false" ht="15" hidden="false" customHeight="false" outlineLevel="0" collapsed="false">
      <c r="A138" s="75" t="str">
        <f aca="false">IF(B138="","Unused","key =")</f>
        <v>key =</v>
      </c>
      <c r="B138" s="75" t="n">
        <f aca="false">IF(Other!G$19="Planet",IF(Other!G$26&gt;0,1,""),IF(Other!G$31&gt;0,1,""))</f>
        <v>1</v>
      </c>
      <c r="C138" s="75" t="n">
        <f aca="false">IF(Other!G$19="Planet",IF(Other!G$26&gt;0,-C137,""),IF(Other!G$31&gt;0,-C137,""))</f>
        <v>-8.6</v>
      </c>
      <c r="D138" s="75" t="n">
        <f aca="false">IF(Other!G$19="Planet",IF(Other!G$26&gt;0,E137,""),IF(Other!G$31&gt;0,E137,""))</f>
        <v>-17.2</v>
      </c>
      <c r="E138" s="75" t="n">
        <f aca="false">IF(Other!G$19="Planet",IF(Other!G$26&gt;0,0,""),IF(Other!G$31&gt;0,0,""))</f>
        <v>0</v>
      </c>
    </row>
    <row r="139" customFormat="false" ht="15" hidden="false" customHeight="false" outlineLevel="0" collapsed="false">
      <c r="A139" s="72" t="s">
        <v>212</v>
      </c>
      <c r="B139" s="75"/>
      <c r="C139" s="75"/>
      <c r="D139" s="75"/>
      <c r="E139" s="75"/>
    </row>
    <row r="140" customFormat="false" ht="15" hidden="false" customHeight="false" outlineLevel="0" collapsed="false">
      <c r="A140" s="72" t="s">
        <v>225</v>
      </c>
      <c r="B140" s="75"/>
      <c r="C140" s="75"/>
      <c r="D140" s="75"/>
      <c r="E140" s="75"/>
    </row>
    <row r="141" customFormat="false" ht="15" hidden="false" customHeight="false" outlineLevel="0" collapsed="false">
      <c r="A141" s="72" t="s">
        <v>209</v>
      </c>
      <c r="B141" s="75"/>
      <c r="C141" s="75"/>
      <c r="D141" s="75"/>
      <c r="E141" s="75"/>
    </row>
    <row r="142" customFormat="false" ht="15" hidden="false" customHeight="false" outlineLevel="0" collapsed="false">
      <c r="A142" s="75" t="str">
        <f aca="false">IF(B142="","Unused","key =")</f>
        <v>key =</v>
      </c>
      <c r="B142" s="75" t="n">
        <f aca="false">IF(Other!Q150="|",ROUND(Other!N150,0),IF(Other!Q150="V",ROUND(Other!N150,-3),""))</f>
        <v>0</v>
      </c>
      <c r="C142" s="77" t="n">
        <f aca="false">IF(B142="","",IF(B143="",0,Other!H150/1000))</f>
        <v>246.929025</v>
      </c>
      <c r="D142" s="78" t="n">
        <v>0</v>
      </c>
      <c r="E142" s="78" t="n">
        <f aca="false">IF(C142="","",IF(C142=0,0,-(C142*1.001-C142*0.999)/(Other!G150*LN((C142*1.001)/(C142*0.999)))/IF(Other!G$128&gt;0,Other!G$128,0.8)))</f>
        <v>-0.0479431795734164</v>
      </c>
    </row>
    <row r="143" customFormat="false" ht="15" hidden="false" customHeight="false" outlineLevel="0" collapsed="false">
      <c r="A143" s="75" t="str">
        <f aca="false">IF(B143="","Unused","key =")</f>
        <v>key =</v>
      </c>
      <c r="B143" s="75" t="n">
        <f aca="false">IF(Other!Q151="|",ROUND(Other!N151,0),IF(Other!Q151="V",ROUND(Other!N151,-3),""))</f>
        <v>2905</v>
      </c>
      <c r="C143" s="77" t="n">
        <f aca="false">IF(B143="","",IF(B144="",0,Other!H151/1000))</f>
        <v>138.858395146461</v>
      </c>
      <c r="D143" s="78" t="n">
        <f aca="false">IF(C143="","",IF(C143=0,0,-(C143*1.001-C143*0.999)/(Other!G151*LN((C143*1.001)/(C143*0.999)))/IF(Other!G$128&gt;0,Other!G$128,0.8)))</f>
        <v>-0.0279091940184665</v>
      </c>
      <c r="E143" s="78" t="n">
        <f aca="false">D143</f>
        <v>-0.0279091940184665</v>
      </c>
    </row>
    <row r="144" customFormat="false" ht="15" hidden="false" customHeight="false" outlineLevel="0" collapsed="false">
      <c r="A144" s="75" t="str">
        <f aca="false">IF(B144="","Unused","key =")</f>
        <v>key =</v>
      </c>
      <c r="B144" s="75" t="n">
        <f aca="false">IF(Other!Q152="|",ROUND(Other!N152,0),IF(Other!Q152="V",ROUND(Other!N152,-3),""))</f>
        <v>5727</v>
      </c>
      <c r="C144" s="77" t="n">
        <f aca="false">IF(B144="","",IF(B145="",0,Other!H152/1000))</f>
        <v>78.0858139404659</v>
      </c>
      <c r="D144" s="78" t="n">
        <f aca="false">IF(C144="","",IF(C144=0,0,-(C144*1.001-C144*0.999)/(Other!G152*LN((C144*1.001)/(C144*0.999)))/IF(Other!G$128&gt;0,Other!G$128,0.8)))</f>
        <v>-0.0162100604513464</v>
      </c>
      <c r="E144" s="78" t="n">
        <f aca="false">D144</f>
        <v>-0.0162100604513464</v>
      </c>
    </row>
    <row r="145" customFormat="false" ht="15" hidden="false" customHeight="false" outlineLevel="0" collapsed="false">
      <c r="A145" s="75" t="str">
        <f aca="false">IF(B145="","Unused","key =")</f>
        <v>key =</v>
      </c>
      <c r="B145" s="75" t="n">
        <f aca="false">IF(Other!Q153="|",ROUND(Other!N153,0),IF(Other!Q153="V",ROUND(Other!N153,-3),""))</f>
        <v>8464</v>
      </c>
      <c r="C145" s="77" t="n">
        <f aca="false">IF(B145="","",IF(B146="",0,Other!H153/1000))</f>
        <v>43.9108800898486</v>
      </c>
      <c r="D145" s="78" t="n">
        <f aca="false">IF(C145="","",IF(C145=0,0,-(C145*1.001-C145*0.999)/(Other!G153*LN((C145*1.001)/(C145*0.999)))/IF(Other!G$128&gt;0,Other!G$128,0.8)))</f>
        <v>-0.00940450919683706</v>
      </c>
      <c r="E145" s="78" t="n">
        <f aca="false">D145</f>
        <v>-0.00940450919683706</v>
      </c>
    </row>
    <row r="146" customFormat="false" ht="15" hidden="false" customHeight="false" outlineLevel="0" collapsed="false">
      <c r="A146" s="75" t="str">
        <f aca="false">IF(B146="","Unused","key =")</f>
        <v>key =</v>
      </c>
      <c r="B146" s="75" t="n">
        <f aca="false">IF(Other!Q154="|",ROUND(Other!N154,0),IF(Other!Q154="V",ROUND(Other!N154,-3),""))</f>
        <v>11119</v>
      </c>
      <c r="C146" s="77" t="n">
        <f aca="false">IF(B146="","",IF(B147="",0,Other!H154/1000))</f>
        <v>24.6929025</v>
      </c>
      <c r="D146" s="78" t="n">
        <f aca="false">IF(C146="","",IF(C146=0,0,-(C146*1.001-C146*0.999)/(Other!G154*LN((C146*1.001)/(C146*0.999)))/IF(Other!G$128&gt;0,Other!G$128,0.8)))</f>
        <v>-0.00545288954126815</v>
      </c>
      <c r="E146" s="78" t="n">
        <f aca="false">D146</f>
        <v>-0.00545288954126815</v>
      </c>
    </row>
    <row r="147" customFormat="false" ht="15" hidden="false" customHeight="false" outlineLevel="0" collapsed="false">
      <c r="A147" s="75" t="str">
        <f aca="false">IF(B147="","Unused","key =")</f>
        <v>key =</v>
      </c>
      <c r="B147" s="75" t="n">
        <f aca="false">IF(Other!Q155="|",ROUND(Other!N155,0),IF(Other!Q155="V",ROUND(Other!N155,-3),""))</f>
        <v>13698</v>
      </c>
      <c r="C147" s="77" t="n">
        <f aca="false">IF(B147="","",IF(B148="",0,Other!H155/1000))</f>
        <v>13.8858395146461</v>
      </c>
      <c r="D147" s="78" t="n">
        <f aca="false">IF(C147="","",IF(C147=0,0,-(C147*1.001-C147*0.999)/(Other!G155*LN((C147*1.001)/(C147*0.999)))/IF(Other!G$128&gt;0,Other!G$128,0.8)))</f>
        <v>-0.0031595671795486</v>
      </c>
      <c r="E147" s="78" t="n">
        <f aca="false">D147</f>
        <v>-0.0031595671795486</v>
      </c>
    </row>
    <row r="148" customFormat="false" ht="15" hidden="false" customHeight="false" outlineLevel="0" collapsed="false">
      <c r="A148" s="75" t="str">
        <f aca="false">IF(B148="","Unused","key =")</f>
        <v>key =</v>
      </c>
      <c r="B148" s="75" t="n">
        <f aca="false">IF(Other!Q156="|",ROUND(Other!N156,0),IF(Other!Q156="V",ROUND(Other!N156,-3),""))</f>
        <v>16203</v>
      </c>
      <c r="C148" s="77" t="n">
        <f aca="false">IF(B148="","",IF(B149="",0,Other!H156/1000))</f>
        <v>7.80858139404659</v>
      </c>
      <c r="D148" s="78" t="n">
        <f aca="false">IF(C148="","",IF(C148=0,0,-(C148*1.001-C148*0.999)/(Other!G156*LN((C148*1.001)/(C148*0.999)))/IF(Other!G$128&gt;0,Other!G$128,0.8)))</f>
        <v>-0.00182902789135276</v>
      </c>
      <c r="E148" s="78" t="n">
        <f aca="false">D148</f>
        <v>-0.00182902789135276</v>
      </c>
    </row>
    <row r="149" customFormat="false" ht="15" hidden="false" customHeight="false" outlineLevel="0" collapsed="false">
      <c r="A149" s="75" t="str">
        <f aca="false">IF(B149="","Unused","key =")</f>
        <v>key =</v>
      </c>
      <c r="B149" s="75" t="n">
        <f aca="false">IF(Other!Q157="|",ROUND(Other!N157,0),IF(Other!Q157="V",ROUND(Other!N157,-3),""))</f>
        <v>18642</v>
      </c>
      <c r="C149" s="77" t="n">
        <f aca="false">IF(B149="","",IF(B150="",0,Other!H157/1000))</f>
        <v>4.39108800898486</v>
      </c>
      <c r="D149" s="78" t="n">
        <f aca="false">IF(C149="","",IF(C149=0,0,-(C149*1.001-C149*0.999)/(Other!G157*LN((C149*1.001)/(C149*0.999)))/IF(Other!G$128&gt;0,Other!G$128,0.8)))</f>
        <v>-0.00105620104008598</v>
      </c>
      <c r="E149" s="78" t="n">
        <f aca="false">D149</f>
        <v>-0.00105620104008598</v>
      </c>
    </row>
    <row r="150" customFormat="false" ht="15" hidden="false" customHeight="false" outlineLevel="0" collapsed="false">
      <c r="A150" s="75" t="str">
        <f aca="false">IF(B150="","Unused","key =")</f>
        <v>key =</v>
      </c>
      <c r="B150" s="75" t="n">
        <f aca="false">IF(Other!Q158="|",ROUND(Other!N158,0),IF(Other!Q158="V",ROUND(Other!N158,-3),""))</f>
        <v>21023</v>
      </c>
      <c r="C150" s="77" t="n">
        <f aca="false">IF(B150="","",IF(B151="",0,Other!H158/1000))</f>
        <v>2.46929025</v>
      </c>
      <c r="D150" s="78" t="n">
        <f aca="false">IF(C150="","",IF(C150=0,0,-(C150*1.001-C150*0.999)/(Other!G158*LN((C150*1.001)/(C150*0.999)))/IF(Other!G$128&gt;0,Other!G$128,0.8)))</f>
        <v>-0.000608288625699482</v>
      </c>
      <c r="E150" s="78" t="n">
        <f aca="false">D150</f>
        <v>-0.000608288625699482</v>
      </c>
    </row>
    <row r="151" customFormat="false" ht="15" hidden="false" customHeight="false" outlineLevel="0" collapsed="false">
      <c r="A151" s="75" t="str">
        <f aca="false">IF(B151="","Unused","key =")</f>
        <v>key =</v>
      </c>
      <c r="B151" s="75" t="n">
        <f aca="false">IF(Other!Q159="|",ROUND(Other!N159,0),IF(Other!Q159="V",ROUND(Other!N159,-3),""))</f>
        <v>23351</v>
      </c>
      <c r="C151" s="77" t="n">
        <f aca="false">IF(B151="","",IF(B152="",0,Other!H159/1000))</f>
        <v>1.38858395146461</v>
      </c>
      <c r="D151" s="78" t="n">
        <f aca="false">IF(C151="","",IF(C151=0,0,-(C151*1.001-C151*0.999)/(Other!G159*LN((C151*1.001)/(C151*0.999)))/IF(Other!G$128&gt;0,Other!G$128,0.8)))</f>
        <v>-0.000349432751129897</v>
      </c>
      <c r="E151" s="78" t="n">
        <f aca="false">D151</f>
        <v>-0.000349432751129897</v>
      </c>
    </row>
    <row r="152" customFormat="false" ht="15" hidden="false" customHeight="false" outlineLevel="0" collapsed="false">
      <c r="A152" s="75" t="str">
        <f aca="false">IF(B152="","Unused","key =")</f>
        <v>key =</v>
      </c>
      <c r="B152" s="75" t="n">
        <f aca="false">IF(Other!Q160="|",ROUND(Other!N160,0),IF(Other!Q160="V",ROUND(Other!N160,-3),""))</f>
        <v>25636</v>
      </c>
      <c r="C152" s="77" t="n">
        <f aca="false">IF(B152="","",IF(B153="",0,Other!H160/1000))</f>
        <v>0.780858139404659</v>
      </c>
      <c r="D152" s="78" t="n">
        <f aca="false">IF(C152="","",IF(C152=0,0,-(C152*1.001-C152*0.999)/(Other!G160*LN((C152*1.001)/(C152*0.999)))/IF(Other!G$128&gt;0,Other!G$128,0.8)))</f>
        <v>-0.000200253414691462</v>
      </c>
      <c r="E152" s="78" t="n">
        <f aca="false">D152</f>
        <v>-0.000200253414691462</v>
      </c>
    </row>
    <row r="153" customFormat="false" ht="15" hidden="false" customHeight="false" outlineLevel="0" collapsed="false">
      <c r="A153" s="75" t="str">
        <f aca="false">IF(B153="","Unused","key =")</f>
        <v>key =</v>
      </c>
      <c r="B153" s="75" t="n">
        <f aca="false">IF(Other!Q161="|",ROUND(Other!N161,0),IF(Other!Q161="V",ROUND(Other!N161,-3),""))</f>
        <v>27880</v>
      </c>
      <c r="C153" s="77" t="n">
        <f aca="false">IF(B153="","",IF(B154="",0,Other!H161/1000))</f>
        <v>0.439108800898486</v>
      </c>
      <c r="D153" s="78" t="n">
        <f aca="false">IF(C153="","",IF(C153=0,0,-(C153*1.001-C153*0.999)/(Other!G161*LN((C153*1.001)/(C153*0.999)))/IF(Other!G$128&gt;0,Other!G$128,0.8)))</f>
        <v>-0.000114510864822844</v>
      </c>
      <c r="E153" s="78" t="n">
        <f aca="false">D153</f>
        <v>-0.000114510864822844</v>
      </c>
    </row>
    <row r="154" customFormat="false" ht="15" hidden="false" customHeight="false" outlineLevel="0" collapsed="false">
      <c r="A154" s="75" t="str">
        <f aca="false">IF(B154="","Unused","key =")</f>
        <v>key =</v>
      </c>
      <c r="B154" s="75" t="n">
        <f aca="false">IF(Other!Q162="|",ROUND(Other!N162,0),IF(Other!Q162="V",ROUND(Other!N162,-3),""))</f>
        <v>30091</v>
      </c>
      <c r="C154" s="77" t="n">
        <f aca="false">IF(B154="","",IF(B155="",0,Other!H162/1000))</f>
        <v>0.246929025</v>
      </c>
      <c r="D154" s="78" t="n">
        <f aca="false">IF(C154="","",IF(C154=0,0,-(C154*1.001-C154*0.999)/(Other!G162*LN((C154*1.001)/(C154*0.999)))/IF(Other!G$128&gt;0,Other!G$128,0.8)))</f>
        <v>-6.53531935751128E-005</v>
      </c>
      <c r="E154" s="78" t="n">
        <f aca="false">D154</f>
        <v>-6.53531935751128E-005</v>
      </c>
    </row>
    <row r="155" customFormat="false" ht="15" hidden="false" customHeight="false" outlineLevel="0" collapsed="false">
      <c r="A155" s="75" t="str">
        <f aca="false">IF(B155="","Unused","key =")</f>
        <v>key =</v>
      </c>
      <c r="B155" s="75" t="n">
        <f aca="false">IF(Other!Q163="|",ROUND(Other!N163,0),IF(Other!Q163="V",ROUND(Other!N163,-3),""))</f>
        <v>32274</v>
      </c>
      <c r="C155" s="77" t="n">
        <f aca="false">IF(B155="","",IF(B156="",0,Other!H163/1000))</f>
        <v>0.138858395146461</v>
      </c>
      <c r="D155" s="78" t="n">
        <f aca="false">IF(C155="","",IF(C155=0,0,-(C155*1.001-C155*0.999)/(Other!G163*LN((C155*1.001)/(C155*0.999)))/IF(Other!G$128&gt;0,Other!G$128,0.8)))</f>
        <v>-3.72252571556167E-005</v>
      </c>
      <c r="E155" s="78" t="n">
        <f aca="false">D155</f>
        <v>-3.72252571556167E-005</v>
      </c>
    </row>
    <row r="156" customFormat="false" ht="15" hidden="false" customHeight="false" outlineLevel="0" collapsed="false">
      <c r="A156" s="75" t="str">
        <f aca="false">IF(B156="","Unused","key =")</f>
        <v>key =</v>
      </c>
      <c r="B156" s="75" t="n">
        <f aca="false">IF(Other!Q164="|",ROUND(Other!N164,0),IF(Other!Q164="V",ROUND(Other!N164,-3),""))</f>
        <v>34431</v>
      </c>
      <c r="C156" s="77" t="n">
        <f aca="false">IF(B156="","",IF(B157="",0,Other!H164/1000))</f>
        <v>0.0780858139404659</v>
      </c>
      <c r="D156" s="78" t="n">
        <f aca="false">IF(C156="","",IF(C156=0,0,-(C156*1.001-C156*0.999)/(Other!G164*LN((C156*1.001)/(C156*0.999)))/IF(Other!G$128&gt;0,Other!G$128,0.8)))</f>
        <v>-2.1182132993199E-005</v>
      </c>
      <c r="E156" s="78" t="n">
        <f aca="false">D156</f>
        <v>-2.1182132993199E-005</v>
      </c>
    </row>
    <row r="157" customFormat="false" ht="15" hidden="false" customHeight="false" outlineLevel="0" collapsed="false">
      <c r="A157" s="75" t="str">
        <f aca="false">IF(B157="","Unused","key =")</f>
        <v>key =</v>
      </c>
      <c r="B157" s="75" t="n">
        <f aca="false">IF(Other!Q165="|",ROUND(Other!N165,0),IF(Other!Q165="V",ROUND(Other!N165,-3),""))</f>
        <v>36566</v>
      </c>
      <c r="C157" s="77" t="n">
        <f aca="false">IF(B157="","",IF(B158="",0,Other!H165/1000))</f>
        <v>0.0439108800898486</v>
      </c>
      <c r="D157" s="78" t="n">
        <f aca="false">IF(C157="","",IF(C157=0,0,-(C157*1.001-C157*0.999)/(Other!G165*LN((C157*1.001)/(C157*0.999)))/IF(Other!G$128&gt;0,Other!G$128,0.8)))</f>
        <v>-1.2039959454409E-005</v>
      </c>
      <c r="E157" s="78" t="n">
        <f aca="false">D157</f>
        <v>-1.2039959454409E-005</v>
      </c>
    </row>
    <row r="158" customFormat="false" ht="15" hidden="false" customHeight="false" outlineLevel="0" collapsed="false">
      <c r="A158" s="75" t="str">
        <f aca="false">IF(B158="","Unused","key =")</f>
        <v>key =</v>
      </c>
      <c r="B158" s="75" t="n">
        <f aca="false">IF(Other!Q166="|",ROUND(Other!N166,0),IF(Other!Q166="V",ROUND(Other!N166,-3),""))</f>
        <v>38680</v>
      </c>
      <c r="C158" s="77" t="n">
        <f aca="false">IF(B158="","",IF(B159="",0,Other!H166/1000))</f>
        <v>0.0246929025</v>
      </c>
      <c r="D158" s="78" t="n">
        <f aca="false">IF(C158="","",IF(C158=0,0,-(C158*1.001-C158*0.999)/(Other!G166*LN((C158*1.001)/(C158*0.999)))/IF(Other!G$128&gt;0,Other!G$128,0.8)))</f>
        <v>-6.83830628309165E-006</v>
      </c>
      <c r="E158" s="78" t="n">
        <f aca="false">D158</f>
        <v>-6.83830628309165E-006</v>
      </c>
    </row>
    <row r="159" customFormat="false" ht="15" hidden="false" customHeight="false" outlineLevel="0" collapsed="false">
      <c r="A159" s="75" t="str">
        <f aca="false">IF(B159="","Unused","key =")</f>
        <v>key =</v>
      </c>
      <c r="B159" s="75" t="n">
        <f aca="false">IF(Other!Q167="|",ROUND(Other!N167,0),IF(Other!Q167="V",ROUND(Other!N167,-3),""))</f>
        <v>40776</v>
      </c>
      <c r="C159" s="77" t="n">
        <f aca="false">IF(B159="","",IF(B160="",0,Other!H167/1000))</f>
        <v>0.0138858395146461</v>
      </c>
      <c r="D159" s="78" t="n">
        <f aca="false">IF(C159="","",IF(C159=0,0,-(C159*1.001-C159*0.999)/(Other!G167*LN((C159*1.001)/(C159*0.999)))/IF(Other!G$128&gt;0,Other!G$128,0.8)))</f>
        <v>-3.88232838864867E-006</v>
      </c>
      <c r="E159" s="78" t="n">
        <f aca="false">D159</f>
        <v>-3.88232838864867E-006</v>
      </c>
    </row>
    <row r="160" customFormat="false" ht="15" hidden="false" customHeight="false" outlineLevel="0" collapsed="false">
      <c r="A160" s="75" t="str">
        <f aca="false">IF(B160="","Unused","key =")</f>
        <v>key =</v>
      </c>
      <c r="B160" s="75" t="n">
        <f aca="false">IF(Other!Q168="|",ROUND(Other!N168,0),IF(Other!Q168="V",ROUND(Other!N168,-3),""))</f>
        <v>42852</v>
      </c>
      <c r="C160" s="77" t="n">
        <f aca="false">IF(B160="","",IF(B161="",0,Other!H168/1000))</f>
        <v>0.00780858139404659</v>
      </c>
      <c r="D160" s="78" t="n">
        <f aca="false">IF(C160="","",IF(C160=0,0,-(C160*1.001-C160*0.999)/(Other!G168*LN((C160*1.001)/(C160*0.999)))/IF(Other!G$128&gt;0,Other!G$128,0.8)))</f>
        <v>-2.20664639405087E-006</v>
      </c>
      <c r="E160" s="78" t="n">
        <f aca="false">D160</f>
        <v>-2.20664639405087E-006</v>
      </c>
    </row>
    <row r="161" customFormat="false" ht="15" hidden="false" customHeight="false" outlineLevel="0" collapsed="false">
      <c r="A161" s="75" t="str">
        <f aca="false">IF(B161="","Unused","key =")</f>
        <v>key =</v>
      </c>
      <c r="B161" s="75" t="n">
        <f aca="false">IF(Other!Q169="|",ROUND(Other!N169,0),IF(Other!Q169="V",ROUND(Other!N169,-3),""))</f>
        <v>44905</v>
      </c>
      <c r="C161" s="77" t="n">
        <f aca="false">IF(B161="","",IF(B162="",0,Other!H169/1000))</f>
        <v>0.00439108800898486</v>
      </c>
      <c r="D161" s="78" t="n">
        <f aca="false">IF(C161="","",IF(C161=0,0,-(C161*1.001-C161*0.999)/(Other!G169*LN((C161*1.001)/(C161*0.999)))/IF(Other!G$128&gt;0,Other!G$128,0.8)))</f>
        <v>-1.25739518311153E-006</v>
      </c>
      <c r="E161" s="78" t="n">
        <f aca="false">D161</f>
        <v>-1.25739518311153E-006</v>
      </c>
    </row>
    <row r="162" customFormat="false" ht="15" hidden="false" customHeight="false" outlineLevel="0" collapsed="false">
      <c r="A162" s="75" t="str">
        <f aca="false">IF(B162="","Unused","key =")</f>
        <v>key =</v>
      </c>
      <c r="B162" s="75" t="n">
        <f aca="false">IF(Other!Q170="|",ROUND(Other!N170,0),IF(Other!Q170="V",ROUND(Other!N170,-3),""))</f>
        <v>46930</v>
      </c>
      <c r="C162" s="77" t="n">
        <f aca="false">IF(B162="","",IF(B163="",0,Other!H170/1000))</f>
        <v>0.00246929025</v>
      </c>
      <c r="D162" s="78" t="n">
        <f aca="false">IF(C162="","",IF(C162=0,0,-(C162*1.001-C162*0.999)/(Other!G170*LN((C162*1.001)/(C162*0.999)))/IF(Other!G$128&gt;0,Other!G$128,0.8)))</f>
        <v>-7.17719613965491E-007</v>
      </c>
      <c r="E162" s="78" t="n">
        <f aca="false">D162</f>
        <v>-7.17719613965491E-007</v>
      </c>
    </row>
    <row r="163" customFormat="false" ht="15" hidden="false" customHeight="false" outlineLevel="0" collapsed="false">
      <c r="A163" s="75" t="str">
        <f aca="false">IF(B163="","Unused","key =")</f>
        <v>key =</v>
      </c>
      <c r="B163" s="75" t="n">
        <f aca="false">IF(Other!Q171="|",ROUND(Other!N171,0),IF(Other!Q171="V",ROUND(Other!N171,-3),""))</f>
        <v>48925</v>
      </c>
      <c r="C163" s="77" t="n">
        <f aca="false">IF(B163="","",IF(B164="",0,Other!H171/1000))</f>
        <v>0.00138858395146461</v>
      </c>
      <c r="D163" s="78" t="n">
        <f aca="false">IF(C163="","",IF(C163=0,0,-(C163*1.001-C163*0.999)/(Other!G171*LN((C163*1.001)/(C163*0.999)))/IF(Other!G$128&gt;0,Other!G$128,0.8)))</f>
        <v>-4.10387081921736E-007</v>
      </c>
      <c r="E163" s="78" t="n">
        <f aca="false">D163</f>
        <v>-4.10387081921736E-007</v>
      </c>
    </row>
    <row r="164" customFormat="false" ht="15" hidden="false" customHeight="false" outlineLevel="0" collapsed="false">
      <c r="A164" s="75" t="str">
        <f aca="false">IF(B164="","Unused","key =")</f>
        <v>key =</v>
      </c>
      <c r="B164" s="75" t="n">
        <f aca="false">IF(Other!Q172="|",ROUND(Other!N172,0),IF(Other!Q172="V",ROUND(Other!N172,-3),""))</f>
        <v>50887</v>
      </c>
      <c r="C164" s="77" t="n">
        <f aca="false">IF(B164="","",IF(B165="",0,Other!H172/1000))</f>
        <v>0.000780858139404659</v>
      </c>
      <c r="D164" s="78" t="n">
        <f aca="false">IF(C164="","",IF(C164=0,0,-(C164*1.001-C164*0.999)/(Other!G172*LN((C164*1.001)/(C164*0.999)))/IF(Other!G$128&gt;0,Other!G$128,0.8)))</f>
        <v>-2.34984245224016E-007</v>
      </c>
      <c r="E164" s="78" t="n">
        <f aca="false">D164</f>
        <v>-2.34984245224016E-007</v>
      </c>
    </row>
    <row r="165" customFormat="false" ht="15" hidden="false" customHeight="false" outlineLevel="0" collapsed="false">
      <c r="A165" s="75" t="str">
        <f aca="false">IF(B165="","Unused","key =")</f>
        <v>key =</v>
      </c>
      <c r="B165" s="75" t="n">
        <f aca="false">IF(Other!Q173="|",ROUND(Other!N173,0),IF(Other!Q173="V",ROUND(Other!N173,-3),""))</f>
        <v>52814</v>
      </c>
      <c r="C165" s="77" t="n">
        <f aca="false">IF(B165="","",IF(B166="",0,Other!H173/1000))</f>
        <v>0.000439108800898486</v>
      </c>
      <c r="D165" s="78" t="n">
        <f aca="false">IF(C165="","",IF(C165=0,0,-(C165*1.001-C165*0.999)/(Other!G173*LN((C165*1.001)/(C165*0.999)))/IF(Other!G$128&gt;0,Other!G$128,0.8)))</f>
        <v>-1.34685898700223E-007</v>
      </c>
      <c r="E165" s="78" t="n">
        <f aca="false">D165</f>
        <v>-1.34685898700223E-007</v>
      </c>
    </row>
    <row r="166" customFormat="false" ht="15" hidden="false" customHeight="false" outlineLevel="0" collapsed="false">
      <c r="A166" s="75" t="str">
        <f aca="false">IF(B166="","Unused","key =")</f>
        <v>key =</v>
      </c>
      <c r="B166" s="75" t="n">
        <f aca="false">IF(Other!Q174="|",ROUND(Other!N174,0),IF(Other!Q174="V",ROUND(Other!N174,-3),""))</f>
        <v>55000</v>
      </c>
      <c r="C166" s="77" t="n">
        <f aca="false">IF(B166="","",IF(B167="",0,Other!H174/1000))</f>
        <v>0</v>
      </c>
      <c r="D166" s="78" t="n">
        <f aca="false">IF(C166="","",IF(C166=0,0,-(C166*1.001-C166*0.999)/(Other!G174*LN((C166*1.001)/(C166*0.999)))/IF(Other!G$128&gt;0,Other!G$128,0.8)))</f>
        <v>0</v>
      </c>
      <c r="E166" s="78" t="n">
        <f aca="false">D166</f>
        <v>0</v>
      </c>
    </row>
    <row r="167" customFormat="false" ht="15" hidden="false" customHeight="false" outlineLevel="0" collapsed="false">
      <c r="A167" s="75" t="str">
        <f aca="false">IF(B167="","Unused","key =")</f>
        <v>Unused</v>
      </c>
      <c r="B167" s="75" t="str">
        <f aca="false">IF(Other!Q175="|",ROUND(Other!N175,0),IF(Other!Q175="V",ROUND(Other!N175,-3),""))</f>
        <v/>
      </c>
      <c r="C167" s="77" t="str">
        <f aca="false">IF(B167="","",IF(B168="",0,Other!H175/1000))</f>
        <v/>
      </c>
      <c r="D167" s="78" t="str">
        <f aca="false">IF(C167="","",IF(C167=0,0,-(C167*1.001-C167*0.999)/(Other!G175*LN((C167*1.001)/(C167*0.999)))/IF(Other!G$128&gt;0,Other!G$128,0.8)))</f>
        <v/>
      </c>
      <c r="E167" s="78" t="str">
        <f aca="false">D167</f>
        <v/>
      </c>
    </row>
    <row r="168" customFormat="false" ht="15" hidden="false" customHeight="false" outlineLevel="0" collapsed="false">
      <c r="A168" s="75" t="str">
        <f aca="false">IF(B168="","Unused","key =")</f>
        <v>Unused</v>
      </c>
      <c r="B168" s="75" t="str">
        <f aca="false">IF(Other!Q176="|",ROUND(Other!N176,0),IF(Other!Q176="V",ROUND(Other!N176,-3),""))</f>
        <v/>
      </c>
      <c r="C168" s="77" t="str">
        <f aca="false">IF(B168="","",IF(B169="",0,Other!H176/1000))</f>
        <v/>
      </c>
      <c r="D168" s="78" t="str">
        <f aca="false">IF(C168="","",IF(C168=0,0,-(C168*1.001-C168*0.999)/(Other!G176*LN((C168*1.001)/(C168*0.999)))/IF(Other!G$128&gt;0,Other!G$128,0.8)))</f>
        <v/>
      </c>
      <c r="E168" s="78" t="str">
        <f aca="false">D168</f>
        <v/>
      </c>
    </row>
    <row r="169" customFormat="false" ht="15" hidden="false" customHeight="false" outlineLevel="0" collapsed="false">
      <c r="A169" s="75" t="str">
        <f aca="false">IF(B169="","Unused","key =")</f>
        <v>Unused</v>
      </c>
      <c r="B169" s="75" t="str">
        <f aca="false">IF(Other!Q177="|",ROUND(Other!N177,0),IF(Other!Q177="V",ROUND(Other!N177,-3),""))</f>
        <v/>
      </c>
      <c r="C169" s="77" t="str">
        <f aca="false">IF(B169="","",IF(B170="",0,Other!H177/1000))</f>
        <v/>
      </c>
      <c r="D169" s="78" t="str">
        <f aca="false">IF(C169="","",IF(C169=0,0,-(C169*1.001-C169*0.999)/(Other!G177*LN((C169*1.001)/(C169*0.999)))/IF(Other!G$128&gt;0,Other!G$128,0.8)))</f>
        <v/>
      </c>
      <c r="E169" s="78" t="str">
        <f aca="false">D169</f>
        <v/>
      </c>
    </row>
    <row r="170" customFormat="false" ht="15" hidden="false" customHeight="false" outlineLevel="0" collapsed="false">
      <c r="A170" s="75" t="str">
        <f aca="false">IF(B170="","Unused","key =")</f>
        <v>Unused</v>
      </c>
      <c r="B170" s="75" t="str">
        <f aca="false">IF(Other!Q178="|",ROUND(Other!N178,0),IF(Other!Q178="V",ROUND(Other!N178,-3),""))</f>
        <v/>
      </c>
      <c r="C170" s="77" t="str">
        <f aca="false">IF(B170="","",IF(B171="",0,Other!H178/1000))</f>
        <v/>
      </c>
      <c r="D170" s="78" t="str">
        <f aca="false">IF(C170="","",IF(C170=0,0,-(C170*1.001-C170*0.999)/(Other!G178*LN((C170*1.001)/(C170*0.999)))/IF(Other!G$128&gt;0,Other!G$128,0.8)))</f>
        <v/>
      </c>
      <c r="E170" s="78" t="str">
        <f aca="false">D170</f>
        <v/>
      </c>
    </row>
    <row r="171" customFormat="false" ht="15" hidden="false" customHeight="false" outlineLevel="0" collapsed="false">
      <c r="A171" s="75" t="str">
        <f aca="false">IF(B171="","Unused","key =")</f>
        <v>Unused</v>
      </c>
      <c r="B171" s="75" t="str">
        <f aca="false">IF(Other!Q179="|",ROUND(Other!N179,0),IF(Other!Q179="V",ROUND(Other!N179,-3),""))</f>
        <v/>
      </c>
      <c r="C171" s="77" t="str">
        <f aca="false">IF(B171="","",IF(B172="",0,Other!H179/1000))</f>
        <v/>
      </c>
      <c r="D171" s="78" t="str">
        <f aca="false">IF(C171="","",IF(C171=0,0,-(C171*1.001-C171*0.999)/(Other!G179*LN((C171*1.001)/(C171*0.999)))/IF(Other!G$128&gt;0,Other!G$128,0.8)))</f>
        <v/>
      </c>
      <c r="E171" s="78" t="str">
        <f aca="false">D171</f>
        <v/>
      </c>
    </row>
    <row r="172" customFormat="false" ht="15" hidden="false" customHeight="false" outlineLevel="0" collapsed="false">
      <c r="A172" s="75" t="str">
        <f aca="false">IF(B172="","Unused","key =")</f>
        <v>Unused</v>
      </c>
      <c r="B172" s="75" t="str">
        <f aca="false">IF(Other!Q180="|",ROUND(Other!N180,0),IF(Other!Q180="V",ROUND(Other!N180,-3),""))</f>
        <v/>
      </c>
      <c r="C172" s="77" t="str">
        <f aca="false">IF(B172="","",IF(B173="",0,Other!H180/1000))</f>
        <v/>
      </c>
      <c r="D172" s="78" t="str">
        <f aca="false">IF(C172="","",IF(C172=0,0,-(C172*1.001-C172*0.999)/(Other!G180*LN((C172*1.001)/(C172*0.999)))/IF(Other!G$128&gt;0,Other!G$128,0.8)))</f>
        <v/>
      </c>
      <c r="E172" s="78" t="str">
        <f aca="false">D172</f>
        <v/>
      </c>
    </row>
    <row r="173" customFormat="false" ht="15" hidden="false" customHeight="false" outlineLevel="0" collapsed="false">
      <c r="A173" s="75" t="str">
        <f aca="false">IF(B173="","Unused","key =")</f>
        <v>Unused</v>
      </c>
      <c r="B173" s="75" t="str">
        <f aca="false">IF(Other!Q181="|",ROUND(Other!N181,0),IF(Other!Q181="V",ROUND(Other!N181,-3),""))</f>
        <v/>
      </c>
      <c r="C173" s="77" t="str">
        <f aca="false">IF(B173="","",IF(B174="",0,Other!H181/1000))</f>
        <v/>
      </c>
      <c r="D173" s="78" t="str">
        <f aca="false">IF(C173="","",IF(C173=0,0,-(C173*1.001-C173*0.999)/(Other!G181*LN((C173*1.001)/(C173*0.999)))/IF(Other!G$128&gt;0,Other!G$128,0.8)))</f>
        <v/>
      </c>
      <c r="E173" s="78" t="str">
        <f aca="false">D173</f>
        <v/>
      </c>
    </row>
    <row r="174" customFormat="false" ht="15" hidden="false" customHeight="false" outlineLevel="0" collapsed="false">
      <c r="A174" s="75" t="str">
        <f aca="false">IF(B174="","Unused","key =")</f>
        <v>Unused</v>
      </c>
      <c r="B174" s="75" t="str">
        <f aca="false">IF(Other!Q182="|",ROUND(Other!N182,0),IF(Other!Q182="V",ROUND(Other!N182,-3),""))</f>
        <v/>
      </c>
      <c r="C174" s="77" t="str">
        <f aca="false">IF(B174="","",IF(B175="",0,Other!H182/1000))</f>
        <v/>
      </c>
      <c r="D174" s="78" t="str">
        <f aca="false">IF(C174="","",IF(C174=0,0,-(C174*1.001-C174*0.999)/(Other!G182*LN((C174*1.001)/(C174*0.999)))/IF(Other!G$128&gt;0,Other!G$128,0.8)))</f>
        <v/>
      </c>
      <c r="E174" s="78" t="str">
        <f aca="false">D174</f>
        <v/>
      </c>
    </row>
    <row r="175" customFormat="false" ht="15" hidden="false" customHeight="false" outlineLevel="0" collapsed="false">
      <c r="A175" s="75" t="str">
        <f aca="false">IF(B175="","Unused","key =")</f>
        <v>Unused</v>
      </c>
      <c r="B175" s="75" t="str">
        <f aca="false">IF(Other!Q183="|",ROUND(Other!N183,0),IF(Other!Q183="V",ROUND(Other!N183,-3),""))</f>
        <v/>
      </c>
      <c r="C175" s="77" t="str">
        <f aca="false">IF(B175="","",IF(B176="",0,Other!H183/1000))</f>
        <v/>
      </c>
      <c r="D175" s="78" t="str">
        <f aca="false">IF(C175="","",IF(C175=0,0,-(C175*1.001-C175*0.999)/(Other!G183*LN((C175*1.001)/(C175*0.999)))/IF(Other!G$128&gt;0,Other!G$128,0.8)))</f>
        <v/>
      </c>
      <c r="E175" s="78" t="str">
        <f aca="false">D175</f>
        <v/>
      </c>
    </row>
    <row r="176" customFormat="false" ht="15" hidden="false" customHeight="false" outlineLevel="0" collapsed="false">
      <c r="A176" s="75" t="str">
        <f aca="false">IF(B176="","Unused","key =")</f>
        <v>Unused</v>
      </c>
      <c r="B176" s="75" t="str">
        <f aca="false">IF(Other!Q184="|",ROUND(Other!N184,0),IF(Other!Q184="V",ROUND(Other!N184,-3),""))</f>
        <v/>
      </c>
      <c r="C176" s="77" t="str">
        <f aca="false">IF(B176="","",IF(B177="",0,Other!H184/1000))</f>
        <v/>
      </c>
      <c r="D176" s="78" t="str">
        <f aca="false">IF(C176="","",IF(C176=0,0,-(C176*1.001-C176*0.999)/(Other!G184*LN((C176*1.001)/(C176*0.999)))/IF(Other!G$128&gt;0,Other!G$128,0.8)))</f>
        <v/>
      </c>
      <c r="E176" s="78" t="str">
        <f aca="false">D176</f>
        <v/>
      </c>
    </row>
    <row r="177" customFormat="false" ht="15" hidden="false" customHeight="false" outlineLevel="0" collapsed="false">
      <c r="A177" s="75" t="str">
        <f aca="false">IF(B177="","Unused","key =")</f>
        <v>Unused</v>
      </c>
      <c r="B177" s="75" t="str">
        <f aca="false">IF(Other!Q185="|",ROUND(Other!N185,0),IF(Other!Q185="V",ROUND(Other!N185,-3),""))</f>
        <v/>
      </c>
      <c r="C177" s="77" t="str">
        <f aca="false">IF(B177="","",IF(B178="",0,Other!H185/1000))</f>
        <v/>
      </c>
      <c r="D177" s="78" t="str">
        <f aca="false">IF(C177="","",IF(C177=0,0,-(C177*1.001-C177*0.999)/(Other!G185*LN((C177*1.001)/(C177*0.999)))/IF(Other!G$128&gt;0,Other!G$128,0.8)))</f>
        <v/>
      </c>
      <c r="E177" s="78" t="str">
        <f aca="false">D177</f>
        <v/>
      </c>
    </row>
    <row r="178" customFormat="false" ht="15" hidden="false" customHeight="false" outlineLevel="0" collapsed="false">
      <c r="A178" s="75" t="str">
        <f aca="false">IF(B178="","Unused","key =")</f>
        <v>Unused</v>
      </c>
      <c r="B178" s="75" t="str">
        <f aca="false">IF(Other!Q186="|",ROUND(Other!N186,0),IF(Other!Q186="V",ROUND(Other!N186,-3),""))</f>
        <v/>
      </c>
      <c r="C178" s="77" t="str">
        <f aca="false">IF(B178="","",IF(B179="",0,Other!H186/1000))</f>
        <v/>
      </c>
      <c r="D178" s="78" t="str">
        <f aca="false">IF(C178="","",IF(C178=0,0,-(C178*1.001-C178*0.999)/(Other!G186*LN((C178*1.001)/(C178*0.999)))/IF(Other!G$128&gt;0,Other!G$128,0.8)))</f>
        <v/>
      </c>
      <c r="E178" s="78" t="str">
        <f aca="false">D178</f>
        <v/>
      </c>
    </row>
    <row r="179" customFormat="false" ht="15" hidden="false" customHeight="false" outlineLevel="0" collapsed="false">
      <c r="A179" s="75" t="str">
        <f aca="false">IF(B179="","Unused","key =")</f>
        <v>Unused</v>
      </c>
      <c r="B179" s="75" t="str">
        <f aca="false">IF(Other!Q187="|",ROUND(Other!N187,0),IF(Other!Q187="V",ROUND(Other!N187,-3),""))</f>
        <v/>
      </c>
      <c r="C179" s="77" t="str">
        <f aca="false">IF(B179="","",IF(B180="",0,Other!H187/1000))</f>
        <v/>
      </c>
      <c r="D179" s="78" t="str">
        <f aca="false">IF(C179="","",IF(C179=0,0,-(C179*1.001-C179*0.999)/(Other!G187*LN((C179*1.001)/(C179*0.999)))/IF(Other!G$128&gt;0,Other!G$128,0.8)))</f>
        <v/>
      </c>
      <c r="E179" s="78" t="str">
        <f aca="false">D179</f>
        <v/>
      </c>
    </row>
    <row r="180" customFormat="false" ht="15" hidden="false" customHeight="false" outlineLevel="0" collapsed="false">
      <c r="A180" s="75" t="str">
        <f aca="false">IF(B180="","Unused","key =")</f>
        <v>Unused</v>
      </c>
      <c r="B180" s="75" t="str">
        <f aca="false">IF(Other!Q188="|",ROUND(Other!N188,0),IF(Other!Q188="V",ROUND(Other!N188,-3),""))</f>
        <v/>
      </c>
      <c r="C180" s="77" t="str">
        <f aca="false">IF(B180="","",IF(B181="",0,Other!H188/1000))</f>
        <v/>
      </c>
      <c r="D180" s="78" t="str">
        <f aca="false">IF(C180="","",IF(C180=0,0,-(C180*1.001-C180*0.999)/(Other!G188*LN((C180*1.001)/(C180*0.999)))/IF(Other!G$128&gt;0,Other!G$128,0.8)))</f>
        <v/>
      </c>
      <c r="E180" s="78" t="str">
        <f aca="false">D180</f>
        <v/>
      </c>
    </row>
    <row r="181" customFormat="false" ht="15" hidden="false" customHeight="false" outlineLevel="0" collapsed="false">
      <c r="A181" s="75" t="str">
        <f aca="false">IF(B181="","Unused","key =")</f>
        <v>Unused</v>
      </c>
      <c r="B181" s="75" t="str">
        <f aca="false">IF(Other!Q189="|",ROUND(Other!N189,0),IF(Other!Q189="V",ROUND(Other!N189,-3),""))</f>
        <v/>
      </c>
      <c r="C181" s="77" t="str">
        <f aca="false">IF(B181="","",IF(B182="",0,Other!H189/1000))</f>
        <v/>
      </c>
      <c r="D181" s="78" t="str">
        <f aca="false">IF(C181="","",IF(C181=0,0,-(C181*1.001-C181*0.999)/(Other!G189*LN((C181*1.001)/(C181*0.999)))/IF(Other!G$128&gt;0,Other!G$128,0.8)))</f>
        <v/>
      </c>
      <c r="E181" s="78" t="str">
        <f aca="false">D181</f>
        <v/>
      </c>
    </row>
    <row r="182" customFormat="false" ht="15" hidden="false" customHeight="false" outlineLevel="0" collapsed="false">
      <c r="A182" s="75" t="str">
        <f aca="false">IF(B182="","Unused","key =")</f>
        <v>Unused</v>
      </c>
      <c r="B182" s="75" t="str">
        <f aca="false">IF(Other!Q190="|",ROUND(Other!N190,0),IF(Other!Q190="V",ROUND(Other!N190,-3),""))</f>
        <v/>
      </c>
      <c r="C182" s="77" t="str">
        <f aca="false">IF(B182="","",IF(B183="",0,Other!H190/1000))</f>
        <v/>
      </c>
      <c r="D182" s="78" t="str">
        <f aca="false">IF(C182="","",IF(C182=0,0,-(C182*1.001-C182*0.999)/(Other!G190*LN((C182*1.001)/(C182*0.999)))/IF(Other!G$128&gt;0,Other!G$128,0.8)))</f>
        <v/>
      </c>
      <c r="E182" s="78" t="str">
        <f aca="false">D182</f>
        <v/>
      </c>
    </row>
    <row r="183" customFormat="false" ht="15" hidden="false" customHeight="false" outlineLevel="0" collapsed="false">
      <c r="A183" s="75" t="str">
        <f aca="false">IF(B183="","Unused","key =")</f>
        <v>Unused</v>
      </c>
      <c r="B183" s="75" t="str">
        <f aca="false">IF(Other!Q191="|",ROUND(Other!N191,0),IF(Other!Q191="V",ROUND(Other!N191,-3),""))</f>
        <v/>
      </c>
      <c r="C183" s="77" t="str">
        <f aca="false">IF(B183="","",IF(B184="",0,Other!H191/1000))</f>
        <v/>
      </c>
      <c r="D183" s="78" t="str">
        <f aca="false">IF(C183="","",IF(C183=0,0,-(C183*1.001-C183*0.999)/(Other!G191*LN((C183*1.001)/(C183*0.999)))/IF(Other!G$128&gt;0,Other!G$128,0.8)))</f>
        <v/>
      </c>
      <c r="E183" s="78" t="str">
        <f aca="false">D183</f>
        <v/>
      </c>
    </row>
    <row r="184" customFormat="false" ht="15" hidden="false" customHeight="false" outlineLevel="0" collapsed="false">
      <c r="A184" s="75" t="str">
        <f aca="false">IF(B184="","Unused","key =")</f>
        <v>Unused</v>
      </c>
      <c r="B184" s="75" t="str">
        <f aca="false">IF(Other!Q192="|",ROUND(Other!N192,0),IF(Other!Q192="V",ROUND(Other!N192,-3),""))</f>
        <v/>
      </c>
      <c r="C184" s="77" t="str">
        <f aca="false">IF(B184="","",IF(B185="",0,Other!H192/1000))</f>
        <v/>
      </c>
      <c r="D184" s="78" t="str">
        <f aca="false">IF(C184="","",IF(C184=0,0,-(C184*1.001-C184*0.999)/(Other!G192*LN((C184*1.001)/(C184*0.999)))/IF(Other!G$128&gt;0,Other!G$128,0.8)))</f>
        <v/>
      </c>
      <c r="E184" s="78" t="str">
        <f aca="false">D184</f>
        <v/>
      </c>
    </row>
    <row r="185" customFormat="false" ht="15" hidden="false" customHeight="false" outlineLevel="0" collapsed="false">
      <c r="A185" s="72" t="s">
        <v>212</v>
      </c>
      <c r="B185" s="75"/>
      <c r="C185" s="75"/>
      <c r="D185" s="75"/>
      <c r="E185" s="75"/>
    </row>
    <row r="186" customFormat="false" ht="15" hidden="false" customHeight="false" outlineLevel="0" collapsed="false">
      <c r="A186" s="70" t="s">
        <v>212</v>
      </c>
      <c r="B186" s="75"/>
      <c r="C186" s="75"/>
      <c r="D186" s="75"/>
      <c r="E186" s="75"/>
    </row>
    <row r="187" customFormat="false" ht="15" hidden="false" customHeight="false" outlineLevel="0" collapsed="false">
      <c r="B187" s="68"/>
    </row>
    <row r="188" customFormat="false" ht="15" hidden="false" customHeight="false" outlineLevel="0" collapsed="false">
      <c r="B188" s="68"/>
      <c r="C188" s="79"/>
      <c r="D188" s="80"/>
      <c r="E188" s="80"/>
    </row>
    <row r="189" customFormat="false" ht="15" hidden="false" customHeight="false" outlineLevel="0" collapsed="false">
      <c r="B189" s="68"/>
    </row>
    <row r="190" customFormat="false" ht="15" hidden="false" customHeight="false" outlineLevel="0" collapsed="false">
      <c r="B190" s="68"/>
      <c r="E190" s="80"/>
    </row>
    <row r="191" customFormat="false" ht="15" hidden="false" customHeight="false" outlineLevel="0" collapsed="false">
      <c r="B191" s="68"/>
      <c r="D191" s="80"/>
      <c r="E191" s="80"/>
    </row>
    <row r="192" customFormat="false" ht="15" hidden="false" customHeight="false" outlineLevel="0" collapsed="false">
      <c r="B192" s="68"/>
      <c r="D192" s="80"/>
      <c r="E192" s="80"/>
    </row>
    <row r="193" customFormat="false" ht="15" hidden="false" customHeight="false" outlineLevel="0" collapsed="false">
      <c r="B193" s="68"/>
      <c r="C193" s="79"/>
      <c r="D193" s="80"/>
      <c r="E193" s="80"/>
    </row>
    <row r="194" customFormat="false" ht="15" hidden="false" customHeight="false" outlineLevel="0" collapsed="false">
      <c r="B194" s="68"/>
    </row>
    <row r="195" customFormat="false" ht="15" hidden="false" customHeight="false" outlineLevel="0" collapsed="false">
      <c r="B195" s="68"/>
    </row>
    <row r="196" customFormat="false" ht="15" hidden="false" customHeight="false" outlineLevel="0" collapsed="false">
      <c r="B196" s="68"/>
    </row>
    <row r="197" customFormat="false" ht="15" hidden="false" customHeight="false" outlineLevel="0" collapsed="false">
      <c r="B197" s="68"/>
    </row>
    <row r="198" customFormat="false" ht="15" hidden="false" customHeight="false" outlineLevel="0" collapsed="false">
      <c r="B198" s="68"/>
    </row>
    <row r="199" customFormat="false" ht="15" hidden="false" customHeight="false" outlineLevel="0" collapsed="false">
      <c r="B199" s="68"/>
    </row>
    <row r="200" customFormat="false" ht="15" hidden="false" customHeight="false" outlineLevel="0" collapsed="false">
      <c r="B200" s="68"/>
      <c r="D200" s="80"/>
      <c r="E200" s="80"/>
    </row>
    <row r="201" customFormat="false" ht="15" hidden="false" customHeight="false" outlineLevel="0" collapsed="false">
      <c r="B201" s="68"/>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LibreOffice/7.3.2.2$Linux_X86_64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2022-09-30T11:13:21Z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