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<sst xmlns="http://schemas.openxmlformats.org/spreadsheetml/2006/main" count="309" uniqueCount="140">
  <si>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</si>
  <si>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</si>
  <si>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</si>
  <si>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</si>
  <si>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</si>
  <si>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</si>
  <si>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</si>
  <si>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</si>
  <si>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</si>
  <si>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</si>
  <si>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</si>
  <si>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</si>
  <si>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</si>
  <si>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</si>
  <si>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</si>
  <si>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</si>
  <si>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</si>
  <si>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</si>
  <si>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</si>
  <si>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</si>
  <si>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</si>
  <si>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</si>
  <si>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</si>
  <si>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</si>
  <si>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</si>
  <si>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</si>
  <si>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</si>
  <si>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</si>
  <si>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</si>
  <si>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</si>
  <si>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</si>
  <si>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</si>
  <si>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</si>
  <si>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</si>
  <si>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</si>
  <si>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</si>
  <si>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</si>
  <si>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</si>
  <si>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</si>
  <si>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</si>
  <si>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</si>
  <si>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Y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</si>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</sst>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M49" activeCellId="0" sqref="M49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2.821387</v>
      </c>
      <c r="N8" s="10" t="s">
        <v>13</v>
      </c>
      <c r="O8" s="10"/>
      <c r="P8" s="13" t="s">
        <v>11</v>
      </c>
      <c r="Q8" s="13"/>
      <c r="R8" s="14" t="n">
        <v>2.821387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526.7</v>
      </c>
      <c r="N10" s="10" t="s">
        <v>16</v>
      </c>
      <c r="O10" s="10"/>
      <c r="P10" s="13" t="s">
        <v>15</v>
      </c>
      <c r="Q10" s="13"/>
      <c r="R10" s="14" t="n">
        <v>453.7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2.439</v>
      </c>
      <c r="I12" s="10" t="s">
        <v>19</v>
      </c>
      <c r="J12" s="10"/>
      <c r="K12" s="13" t="s">
        <v>18</v>
      </c>
      <c r="L12" s="13"/>
      <c r="M12" s="14" t="n">
        <v>0.769</v>
      </c>
      <c r="N12" s="10" t="s">
        <v>19</v>
      </c>
      <c r="O12" s="10"/>
      <c r="P12" s="13" t="s">
        <v>18</v>
      </c>
      <c r="Q12" s="13"/>
      <c r="R12" s="14" t="n">
        <v>0.25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6.417</v>
      </c>
      <c r="I13" s="10" t="s">
        <v>13</v>
      </c>
      <c r="J13" s="10"/>
      <c r="K13" s="13" t="s">
        <v>11</v>
      </c>
      <c r="L13" s="13"/>
      <c r="M13" s="14" t="n">
        <v>2.4768</v>
      </c>
      <c r="N13" s="10" t="s">
        <v>13</v>
      </c>
      <c r="O13" s="10"/>
      <c r="P13" s="13" t="s">
        <v>11</v>
      </c>
      <c r="Q13" s="13"/>
      <c r="R13" s="14" t="n">
        <v>6.417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0.3</v>
      </c>
      <c r="N14" s="4"/>
      <c r="O14" s="10"/>
      <c r="P14" s="13" t="s">
        <v>24</v>
      </c>
      <c r="Q14" s="13"/>
      <c r="R14" s="14" t="n">
        <v>0.45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262.905973571513</v>
      </c>
      <c r="I15" s="4" t="s">
        <v>10</v>
      </c>
      <c r="J15" s="10"/>
      <c r="K15" s="13" t="s">
        <v>27</v>
      </c>
      <c r="L15" s="13"/>
      <c r="M15" s="17" t="n">
        <f aca="false">M7/(M13/M8)^2</f>
        <v>1764.74659340062</v>
      </c>
      <c r="N15" s="4" t="s">
        <v>10</v>
      </c>
      <c r="O15" s="10"/>
      <c r="P15" s="13" t="s">
        <v>27</v>
      </c>
      <c r="Q15" s="13"/>
      <c r="R15" s="17" t="n">
        <f aca="false">R7/(R13/R8)^2</f>
        <v>262.905790559731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167.55558941946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271.660612950101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158.899411400653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0.62</v>
      </c>
      <c r="N17" s="4" t="s">
        <v>31</v>
      </c>
      <c r="O17" s="10"/>
      <c r="P17" s="13" t="s">
        <v>25</v>
      </c>
      <c r="Q17" s="12"/>
      <c r="R17" s="14" t="n">
        <v>1.5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7</v>
      </c>
      <c r="I18" s="4" t="s">
        <v>23</v>
      </c>
      <c r="J18" s="10"/>
      <c r="K18" s="13" t="s">
        <v>34</v>
      </c>
      <c r="L18" s="12"/>
      <c r="M18" s="14" t="n">
        <v>37</v>
      </c>
      <c r="N18" s="4" t="s">
        <v>23</v>
      </c>
      <c r="O18" s="10"/>
      <c r="P18" s="13" t="s">
        <v>34</v>
      </c>
      <c r="Q18" s="12"/>
      <c r="R18" s="14" t="n">
        <v>74</v>
      </c>
      <c r="S18" s="4" t="s">
        <v>23</v>
      </c>
    </row>
    <row r="19" customFormat="false" ht="13.8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20</v>
      </c>
      <c r="N19" s="4" t="s">
        <v>23</v>
      </c>
      <c r="O19" s="10"/>
      <c r="P19" s="13" t="s">
        <v>33</v>
      </c>
      <c r="Q19" s="12"/>
      <c r="R19" s="14" t="n">
        <v>23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6</v>
      </c>
      <c r="N20" s="4" t="s">
        <v>23</v>
      </c>
      <c r="O20" s="10"/>
      <c r="P20" s="13" t="s">
        <v>35</v>
      </c>
      <c r="Q20" s="12"/>
      <c r="R20" s="14" t="n">
        <v>7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28.87</v>
      </c>
      <c r="N21" s="4" t="s">
        <v>29</v>
      </c>
      <c r="O21" s="10"/>
      <c r="P21" s="13" t="s">
        <v>37</v>
      </c>
      <c r="Q21" s="10"/>
      <c r="R21" s="14" t="n">
        <v>21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29.16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0.748093431560744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7.38082371392721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36.5003565931533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2.12628042973295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20.4496889778838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6.58158355239639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5.84276827939537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0.608886991701596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49.0792535469211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0.262488740163771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32.8991154066218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25.0233325832126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7.298472003437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22.4167354391279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529</v>
      </c>
      <c r="H38" s="4"/>
      <c r="I38" s="10"/>
      <c r="J38" s="10"/>
      <c r="K38" s="28" t="n">
        <f aca="false">Sheet2!AM4</f>
        <v>0</v>
      </c>
      <c r="L38" s="28" t="n">
        <f aca="false">ROUND(Sheet2!AH4,0)</f>
        <v>300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226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30000</v>
      </c>
      <c r="G39" s="28" t="n">
        <f aca="false">ROUND(Sheet2!AD5,0)</f>
        <v>457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8300</v>
      </c>
      <c r="L39" s="28" t="n">
        <f aca="false">ROUND(Sheet2!AH10,0)</f>
        <v>251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49100</v>
      </c>
      <c r="Q39" s="28" t="n">
        <f aca="false">ROUND(Sheet2!AQ19,0)</f>
        <v>163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113000</v>
      </c>
      <c r="G40" s="28" t="n">
        <f aca="false">ROUND(Sheet2!AD6,0)</f>
        <v>267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12600</v>
      </c>
      <c r="L40" s="28" t="n">
        <f aca="false">ROUND(Sheet2!AH13,0)</f>
        <v>233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87600</v>
      </c>
      <c r="Q40" s="28" t="n">
        <f aca="false">ROUND(Sheet2!AQ31,0)</f>
        <v>142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163000</v>
      </c>
      <c r="G41" s="28" t="n">
        <f aca="false">ROUND(Sheet2!AD7,0)</f>
        <v>173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19500</v>
      </c>
      <c r="L41" s="28" t="n">
        <f aca="false">ROUND(Sheet2!AH18,0)</f>
        <v>232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122000</v>
      </c>
      <c r="Q41" s="28" t="n">
        <f aca="false">ROUND(Sheet2!AQ41,0)</f>
        <v>127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204000</v>
      </c>
      <c r="G42" s="28" t="n">
        <f aca="false">ROUND(Sheet2!AD8,0)</f>
        <v>170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31400</v>
      </c>
      <c r="L42" s="28" t="n">
        <f aca="false">ROUND(Sheet2!AH25,0)</f>
        <v>245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154000</v>
      </c>
      <c r="Q42" s="28" t="n">
        <f aca="false">ROUND(Sheet2!AQ51,0)</f>
        <v>119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317000</v>
      </c>
      <c r="G43" s="28" t="n">
        <f aca="false">ROUND(Sheet2!AD9,0)</f>
        <v>251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50400</v>
      </c>
      <c r="L43" s="28" t="n">
        <f aca="false">ROUND(Sheet2!AH35,0)</f>
        <v>283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185000</v>
      </c>
      <c r="Q43" s="28" t="n">
        <f aca="false">ROUND(Sheet2!AQ61,0)</f>
        <v>117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392000</v>
      </c>
      <c r="G44" s="28" t="n">
        <f aca="false">ROUND(Sheet2!AD10,0)</f>
        <v>250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54500</v>
      </c>
      <c r="L44" s="28" t="n">
        <f aca="false">ROUND(Sheet2!AH37,0)</f>
        <v>284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199000</v>
      </c>
      <c r="Q44" s="28" t="n">
        <f aca="false">ROUND(Sheet2!AQ69,0)</f>
        <v>117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459000</v>
      </c>
      <c r="G45" s="28" t="n">
        <f aca="false">ROUND(Sheet2!AD11,0)</f>
        <v>297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78500</v>
      </c>
      <c r="L45" s="28" t="n">
        <f aca="false">ROUND(Sheet2!AH50,0)</f>
        <v>229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228000</v>
      </c>
      <c r="Q45" s="28" t="n">
        <f aca="false">ROUND(Sheet2!AQ77,0)</f>
        <v>125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750000</v>
      </c>
      <c r="G46" s="28" t="n">
        <f aca="false">ROUND(Sheet2!AD12,0)</f>
        <v>722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97200</v>
      </c>
      <c r="L46" s="28" t="n">
        <f aca="false">ROUND(Sheet2!AH62,0)</f>
        <v>199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264000</v>
      </c>
      <c r="Q46" s="28" t="n">
        <f aca="false">ROUND(Sheet2!AQ86,0)</f>
        <v>163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1040000</v>
      </c>
      <c r="G47" s="28" t="n">
        <f aca="false">ROUND(Sheet2!AD13,0)</f>
        <v>838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109000</v>
      </c>
      <c r="L47" s="28" t="n">
        <f aca="false">ROUND(Sheet2!AH70,0)</f>
        <v>213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313000</v>
      </c>
      <c r="Q47" s="28" t="n">
        <f aca="false">ROUND(Sheet2!AQ96,0)</f>
        <v>236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1360000</v>
      </c>
      <c r="G48" s="28" t="n">
        <f aca="false">ROUND(Sheet2!AD14,0)</f>
        <v>883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118000</v>
      </c>
      <c r="L48" s="28" t="n">
        <f aca="false">ROUND(Sheet2!AH75,0)</f>
        <v>248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379000</v>
      </c>
      <c r="Q48" s="28" t="n">
        <f aca="false">ROUND(Sheet2!AQ106,0)</f>
        <v>274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1690000</v>
      </c>
      <c r="G49" s="28" t="n">
        <f aca="false">ROUND(Sheet2!AD15,0)</f>
        <v>883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129000</v>
      </c>
      <c r="L49" s="28" t="n">
        <f aca="false">ROUND(Sheet2!AH80,0)</f>
        <v>350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454000</v>
      </c>
      <c r="Q49" s="28" t="n">
        <f aca="false">ROUND(Sheet2!AQ116,0)</f>
        <v>282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195000</v>
      </c>
      <c r="L50" s="28" t="n">
        <f aca="false">ROUND(Sheet2!AH95,0)</f>
        <v>886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163000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12600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87600</v>
      </c>
      <c r="Q56" s="30" t="n">
        <f aca="false">Sheet2!AR31</f>
        <v>-0.2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204000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40500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154000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459000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78500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454000</v>
      </c>
      <c r="Q58" s="30" t="n">
        <f aca="false">Sheet2!AR116</f>
        <v>0.4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1690000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97200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195000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1521.2178164022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1521.2178164022</v>
      </c>
      <c r="V4" s="39" t="n">
        <f aca="false">8314.4621*U4/(Sheet1!H$20*Sheet1!H$12*9.80665)</f>
        <v>190216.545126364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470632.914824052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529.149651128798</v>
      </c>
      <c r="AF4" s="37" t="n">
        <f aca="false">LOG(Sheet1!M17*101325)</f>
        <v>4.79810830191198</v>
      </c>
      <c r="AG4" s="40" t="n">
        <f aca="false">10^AF4</f>
        <v>62821.5</v>
      </c>
      <c r="AH4" s="39" t="n">
        <f aca="false">AJ4-AI4*((Sheet1!M$19-Sheet1!M$20)*COS(RADIANS(38))+Sheet1!M$20)/2</f>
        <v>300.144537674854</v>
      </c>
      <c r="AI4" s="37" t="n">
        <v>1</v>
      </c>
      <c r="AJ4" s="39" t="n">
        <f aca="false">Sheet1!M16+Sheet1!M18</f>
        <v>308.660612950101</v>
      </c>
      <c r="AK4" s="39" t="n">
        <f aca="false">8314.4621*AJ4/(Sheet1!M$21*Sheet1!M$12*9.80665)</f>
        <v>11787.4963978492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5.18180787146941</v>
      </c>
      <c r="AP4" s="40" t="n">
        <f aca="false">10^AO4</f>
        <v>151987.5</v>
      </c>
      <c r="AQ4" s="39" t="n">
        <f aca="false">AS4-AR4*((Sheet1!R$19-Sheet1!R$20)*COS(RADIANS(38))+Sheet1!R$20)/2</f>
        <v>225.933124777759</v>
      </c>
      <c r="AR4" s="37" t="n">
        <v>1</v>
      </c>
      <c r="AS4" s="39" t="n">
        <f aca="false">Sheet1!R16+Sheet1!R18-Sheet1!R23*(AS19-AS4)/((AV19-AV4)*Sheet1!R11^LOG(1.25)/1.25)</f>
        <v>235.737210806613</v>
      </c>
      <c r="AT4" s="39" t="n">
        <f aca="false">8314.4621*AS4/(Sheet1!R$22*Sheet1!R$12*9.80665)</f>
        <v>27416.6315002535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1429.03290888732</v>
      </c>
      <c r="T5" s="37" t="n">
        <v>0</v>
      </c>
      <c r="U5" s="39" t="n">
        <f aca="false">(X5-X$4)/(X$14-X$4)*(U$14-U$4)+U$4</f>
        <v>1429.03290888732</v>
      </c>
      <c r="V5" s="39" t="n">
        <f aca="false">8314.4621*U5/(Sheet1!H$20*Sheet1!H$12*9.80665)</f>
        <v>178689.534049315</v>
      </c>
      <c r="W5" s="39" t="n">
        <f aca="false">W4-LN(R5/R4)*(V4+V5)/2</f>
        <v>42471.8819312399</v>
      </c>
      <c r="X5" s="39" t="n">
        <f aca="false">Sheet1!H$10*10/Sheet1!H$11*1000*W5/(Sheet1!H$10*10/Sheet1!H$11*1000-W5)</f>
        <v>42502.3485234477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507531.958261123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456.505532744181</v>
      </c>
      <c r="AF5" s="37" t="n">
        <f aca="false">AF4+(AF$10-AF$4)/6</f>
        <v>4.7276463525393</v>
      </c>
      <c r="AG5" s="40" t="n">
        <f aca="false">10^AF5</f>
        <v>53412.9239021038</v>
      </c>
      <c r="AH5" s="39" t="n">
        <f aca="false">AJ5-AI5*((Sheet1!M$19-Sheet1!M$20)*COS(RADIANS(38))+Sheet1!M$20)/2</f>
        <v>291.160697422513</v>
      </c>
      <c r="AI5" s="37" t="n">
        <f aca="false">(AM5-AM$4)/(AM$13-AM$4)*(AI$13-AI$4)+AI$4</f>
        <v>0.832883580100303</v>
      </c>
      <c r="AJ5" s="39" t="n">
        <f aca="false">(AM5-AM$4)/(AM$10-AM$4)*(AJ$10-AJ$4)+AJ$4</f>
        <v>298.253596686164</v>
      </c>
      <c r="AK5" s="39" t="n">
        <f aca="false">8314.4621*AJ5/(Sheet1!M$21*Sheet1!M$12*9.80665)</f>
        <v>11390.060957185</v>
      </c>
      <c r="AL5" s="39" t="n">
        <f aca="false">AL4-LN(AG5/AG4)*(AK4+AK5)/2</f>
        <v>1880.21715792459</v>
      </c>
      <c r="AM5" s="39" t="n">
        <f aca="false">Sheet1!M$10*10/Sheet1!M$11*1000*AL5/(Sheet1!M$10*10/Sheet1!M$11*1000-AL5)</f>
        <v>1880.88859878572</v>
      </c>
      <c r="AN5" s="41"/>
      <c r="AO5" s="37" t="n">
        <f aca="false">AO4+(AO$19-AO$4)/15</f>
        <v>5.10605043318315</v>
      </c>
      <c r="AP5" s="40" t="n">
        <f aca="false">10^AO5</f>
        <v>127658.704603948</v>
      </c>
      <c r="AQ5" s="39" t="n">
        <f aca="false">AS5-AR5*((Sheet1!R$19-Sheet1!R$20)*COS(RADIANS(38))+Sheet1!R$20)/2</f>
        <v>221.06886487784</v>
      </c>
      <c r="AR5" s="37" t="n">
        <f aca="false">(AV5-AV$4)/(AV$31-AV$4)*(AR$31-AR$4)+AR$4</f>
        <v>0.948155186138474</v>
      </c>
      <c r="AS5" s="39" t="n">
        <f aca="false">(AV5-AV$4)/(AV$19-AV$4)*(AS$19-AS$4)+AS$4</f>
        <v>230.364659891445</v>
      </c>
      <c r="AT5" s="39" t="n">
        <f aca="false">8314.4621*AS5/(Sheet1!R$22*Sheet1!R$12*9.80665)</f>
        <v>26791.7948520489</v>
      </c>
      <c r="AU5" s="39" t="n">
        <f aca="false">AU4-LN(AP5/AP4)*(AT4+AT5)/2</f>
        <v>4728.00333080749</v>
      </c>
      <c r="AV5" s="39" t="n">
        <f aca="false">Sheet1!R$10*10/Sheet1!R$11*1000*AU5/(Sheet1!R$10*10/Sheet1!R$11*1000-AU5)</f>
        <v>4732.93551835328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1342.31750786952</v>
      </c>
      <c r="T6" s="37" t="n">
        <v>0</v>
      </c>
      <c r="U6" s="39" t="n">
        <f aca="false">(X6-X$4)/(X$14-X$4)*(U$14-U$4)+U$4</f>
        <v>1342.31750786952</v>
      </c>
      <c r="V6" s="39" t="n">
        <f aca="false">8314.4621*U6/(Sheet1!H$20*Sheet1!H$12*9.80665)</f>
        <v>167846.442538682</v>
      </c>
      <c r="W6" s="39" t="n">
        <f aca="false">W5-LN(R6/R5)*(V5+V6)/2</f>
        <v>82368.3106251226</v>
      </c>
      <c r="X6" s="39" t="n">
        <f aca="false">Sheet1!H$10*10/Sheet1!H$11*1000*W6/(Sheet1!H$10*10/Sheet1!H$11*1000-W6)</f>
        <v>82482.976431439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611270.87198185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267.223348982756</v>
      </c>
      <c r="AF6" s="37" t="n">
        <f aca="false">AF5+(AF$10-AF$4)/6</f>
        <v>4.65718440316661</v>
      </c>
      <c r="AG6" s="40" t="n">
        <f aca="false">10^AF6</f>
        <v>45413.4402994505</v>
      </c>
      <c r="AH6" s="39" t="n">
        <f aca="false">AJ6-AI6*((Sheet1!M$19-Sheet1!M$20)*COS(RADIANS(38))+Sheet1!M$20)/2</f>
        <v>282.473767914661</v>
      </c>
      <c r="AI6" s="37" t="n">
        <f aca="false">(AM6-AM$4)/(AM$13-AM$4)*(AI$13-AI$4)+AI$4</f>
        <v>0.671290260241396</v>
      </c>
      <c r="AJ6" s="39" t="n">
        <f aca="false">(AM6-AM$4)/(AM$10-AM$4)*(AJ$10-AJ$4)+AJ$4</f>
        <v>288.190526302417</v>
      </c>
      <c r="AK6" s="39" t="n">
        <f aca="false">8314.4621*AJ6/(Sheet1!M$21*Sheet1!M$12*9.80665)</f>
        <v>11005.7605284196</v>
      </c>
      <c r="AL6" s="39" t="n">
        <f aca="false">AL5-LN(AG6/AG5)*(AK5+AK6)/2</f>
        <v>3697.01809074177</v>
      </c>
      <c r="AM6" s="39" t="n">
        <f aca="false">Sheet1!M$10*10/Sheet1!M$11*1000*AL6/(Sheet1!M$10*10/Sheet1!M$11*1000-AL6)</f>
        <v>3699.61492828091</v>
      </c>
      <c r="AN6" s="41"/>
      <c r="AO6" s="37" t="n">
        <f aca="false">AO5+(AO$19-AO$4)/15</f>
        <v>5.03029299489689</v>
      </c>
      <c r="AP6" s="40" t="n">
        <f aca="false">10^AO6</f>
        <v>107224.24450141</v>
      </c>
      <c r="AQ6" s="39" t="n">
        <f aca="false">AS6-AR6*((Sheet1!R$19-Sheet1!R$20)*COS(RADIANS(38))+Sheet1!R$20)/2</f>
        <v>216.305964813415</v>
      </c>
      <c r="AR6" s="37" t="n">
        <f aca="false">(AV6-AV$4)/(AV$31-AV$4)*(AR$31-AR$4)+AR$4</f>
        <v>0.897388505971181</v>
      </c>
      <c r="AS6" s="39" t="n">
        <f aca="false">(AV6-AV$4)/(AV$19-AV$4)*(AS$19-AS$4)+AS$4</f>
        <v>225.104038927261</v>
      </c>
      <c r="AT6" s="39" t="n">
        <f aca="false">8314.4621*AS6/(Sheet1!R$22*Sheet1!R$12*9.80665)</f>
        <v>26179.9758441627</v>
      </c>
      <c r="AU6" s="39" t="n">
        <f aca="false">AU5-LN(AP6/AP5)*(AT5+AT6)/2</f>
        <v>9348.14682404913</v>
      </c>
      <c r="AV6" s="39" t="n">
        <f aca="false">Sheet1!R$10*10/Sheet1!R$11*1000*AU6/(Sheet1!R$10*10/Sheet1!R$11*1000-AU6)</f>
        <v>9367.44774467594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1260.76073414108</v>
      </c>
      <c r="T7" s="37" t="n">
        <v>0</v>
      </c>
      <c r="U7" s="39" t="n">
        <f aca="false">(X7-X$4)/(X$14-X$4)*(U$14-U$4)+U$4</f>
        <v>1260.76073414108</v>
      </c>
      <c r="V7" s="39" t="n">
        <f aca="false">8314.4621*U7/(Sheet1!H$20*Sheet1!H$12*9.80665)</f>
        <v>157648.397549328</v>
      </c>
      <c r="W7" s="39" t="n">
        <f aca="false">W6-LN(R7/R6)*(V6+V7)/2</f>
        <v>119842.288956779</v>
      </c>
      <c r="X7" s="39" t="n">
        <f aca="false">Sheet1!H$10*10/Sheet1!H$11*1000*W7/(Sheet1!H$10*10/Sheet1!H$11*1000-W7)</f>
        <v>120085.17857371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674971.064648936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172.582257102044</v>
      </c>
      <c r="AF7" s="37" t="n">
        <f aca="false">AF6+(AF$10-AF$4)/6</f>
        <v>4.58672245379393</v>
      </c>
      <c r="AG7" s="40" t="n">
        <f aca="false">10^AF7</f>
        <v>38612.0138940853</v>
      </c>
      <c r="AH7" s="39" t="n">
        <f aca="false">AJ7-AI7*((Sheet1!M$19-Sheet1!M$20)*COS(RADIANS(38))+Sheet1!M$20)/2</f>
        <v>274.074332439159</v>
      </c>
      <c r="AI7" s="37" t="n">
        <f aca="false">(AM7-AM$4)/(AM$13-AM$4)*(AI$13-AI$4)+AI$4</f>
        <v>0.515044874660189</v>
      </c>
      <c r="AJ7" s="39" t="n">
        <f aca="false">(AM7-AM$4)/(AM$10-AM$4)*(AJ$10-AJ$4)+AJ$4</f>
        <v>278.460493361895</v>
      </c>
      <c r="AK7" s="39" t="n">
        <f aca="false">8314.4621*AJ7/(Sheet1!M$21*Sheet1!M$12*9.80665)</f>
        <v>10634.1785272658</v>
      </c>
      <c r="AL7" s="39" t="n">
        <f aca="false">AL6-LN(AG7/AG6)*(AK6+AK7)/2</f>
        <v>5452.50008937027</v>
      </c>
      <c r="AM7" s="39" t="n">
        <f aca="false">Sheet1!M$10*10/Sheet1!M$11*1000*AL7/(Sheet1!M$10*10/Sheet1!M$11*1000-AL7)</f>
        <v>5458.1504721189</v>
      </c>
      <c r="AN7" s="41"/>
      <c r="AO7" s="37" t="n">
        <f aca="false">AO6+(AO$19-AO$4)/15</f>
        <v>4.95453555661063</v>
      </c>
      <c r="AP7" s="40" t="n">
        <f aca="false">10^AO7</f>
        <v>90060.7494378621</v>
      </c>
      <c r="AQ7" s="39" t="n">
        <f aca="false">AS7-AR7*((Sheet1!R$19-Sheet1!R$20)*COS(RADIANS(38))+Sheet1!R$20)/2</f>
        <v>211.642438691255</v>
      </c>
      <c r="AR7" s="37" t="n">
        <f aca="false">(AV7-AV$4)/(AV$31-AV$4)*(AR$31-AR$4)+AR$4</f>
        <v>0.847682109802296</v>
      </c>
      <c r="AS7" s="39" t="n">
        <f aca="false">(AV7-AV$4)/(AV$19-AV$4)*(AS$19-AS$4)+AS$4</f>
        <v>219.953187020877</v>
      </c>
      <c r="AT7" s="39" t="n">
        <f aca="false">8314.4621*AS7/(Sheet1!R$22*Sheet1!R$12*9.80665)</f>
        <v>25580.9231611073</v>
      </c>
      <c r="AU7" s="39" t="n">
        <f aca="false">AU6-LN(AP7/AP6)*(AT6+AT7)/2</f>
        <v>13862.6793307119</v>
      </c>
      <c r="AV7" s="39" t="n">
        <f aca="false">Sheet1!R$10*10/Sheet1!R$11*1000*AU7/(Sheet1!R$10*10/Sheet1!R$11*1000-AU7)</f>
        <v>13905.1661854329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1184.06787013764</v>
      </c>
      <c r="T8" s="37" t="n">
        <v>0</v>
      </c>
      <c r="U8" s="39" t="n">
        <f aca="false">(X8-X$4)/(X$14-X$4)*(U$14-U$4)+U$4</f>
        <v>1184.06787013764</v>
      </c>
      <c r="V8" s="39" t="n">
        <f aca="false">8314.4621*U8/(Sheet1!H$20*Sheet1!H$12*9.80665)</f>
        <v>148058.546924859</v>
      </c>
      <c r="W8" s="39" t="n">
        <f aca="false">W7-LN(R8/R7)*(V7+V8)/2</f>
        <v>155038.10161533</v>
      </c>
      <c r="X8" s="39" t="n">
        <f aca="false">Sheet1!H$10*10/Sheet1!H$11*1000*W8/(Sheet1!H$10*10/Sheet1!H$11*1000-W8)</f>
        <v>155444.848487758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725842.752940181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169.612230218027</v>
      </c>
      <c r="AF8" s="37" t="n">
        <f aca="false">AF7+(AF$10-AF$4)/6</f>
        <v>4.51626050442124</v>
      </c>
      <c r="AG8" s="40" t="n">
        <f aca="false">10^AF8</f>
        <v>32829.2154729153</v>
      </c>
      <c r="AH8" s="39" t="n">
        <f aca="false">AJ8-AI8*((Sheet1!M$19-Sheet1!M$20)*COS(RADIANS(38))+Sheet1!M$20)/2</f>
        <v>265.95324678222</v>
      </c>
      <c r="AI8" s="37" t="n">
        <f aca="false">(AM8-AM$4)/(AM$13-AM$4)*(AI$13-AI$4)+AI$4</f>
        <v>0.363977326415033</v>
      </c>
      <c r="AJ8" s="39" t="n">
        <f aca="false">(AM8-AM$4)/(AM$10-AM$4)*(AJ$10-AJ$4)+AJ$4</f>
        <v>269.052905092453</v>
      </c>
      <c r="AK8" s="39" t="n">
        <f aca="false">8314.4621*AJ8/(Sheet1!M$21*Sheet1!M$12*9.80665)</f>
        <v>10274.9104244177</v>
      </c>
      <c r="AL8" s="39" t="n">
        <f aca="false">AL7-LN(AG8/AG7)*(AK7+AK8)/2</f>
        <v>7148.69383409151</v>
      </c>
      <c r="AM8" s="39" t="n">
        <f aca="false">Sheet1!M$10*10/Sheet1!M$11*1000*AL8/(Sheet1!M$10*10/Sheet1!M$11*1000-AL8)</f>
        <v>7158.40966455114</v>
      </c>
      <c r="AN8" s="41"/>
      <c r="AO8" s="37" t="n">
        <f aca="false">AO7+(AO$19-AO$4)/15</f>
        <v>4.87877811832438</v>
      </c>
      <c r="AP8" s="40" t="n">
        <f aca="false">10^AO8</f>
        <v>75644.6326763598</v>
      </c>
      <c r="AQ8" s="39" t="n">
        <f aca="false">AS8-AR8*((Sheet1!R$19-Sheet1!R$20)*COS(RADIANS(38))+Sheet1!R$20)/2</f>
        <v>207.076726312274</v>
      </c>
      <c r="AR8" s="37" t="n">
        <f aca="false">(AV8-AV$4)/(AV$31-AV$4)*(AR$31-AR$4)+AR$4</f>
        <v>0.799018263355958</v>
      </c>
      <c r="AS8" s="39" t="n">
        <f aca="false">(AV8-AV$4)/(AV$19-AV$4)*(AS$19-AS$4)+AS$4</f>
        <v>214.910370104841</v>
      </c>
      <c r="AT8" s="39" t="n">
        <f aca="false">8314.4621*AS8/(Sheet1!R$22*Sheet1!R$12*9.80665)</f>
        <v>24994.4351279405</v>
      </c>
      <c r="AU8" s="39" t="n">
        <f aca="false">AU7-LN(AP8/AP7)*(AT7+AT8)/2</f>
        <v>18273.8101924224</v>
      </c>
      <c r="AV8" s="39" t="n">
        <f aca="false">Sheet1!R$10*10/Sheet1!R$11*1000*AU8/(Sheet1!R$10*10/Sheet1!R$11*1000-AU8)</f>
        <v>18347.7098103506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1111.95958425168</v>
      </c>
      <c r="T9" s="37" t="n">
        <v>0</v>
      </c>
      <c r="U9" s="39" t="n">
        <f aca="false">(X9-X$4)/(X$14-X$4)*(U$14-U$4)+U$4</f>
        <v>1111.95958425168</v>
      </c>
      <c r="V9" s="39" t="n">
        <f aca="false">8314.4621*U9/(Sheet1!H$20*Sheet1!H$12*9.80665)</f>
        <v>139041.962404009</v>
      </c>
      <c r="W9" s="39" t="n">
        <f aca="false">W8-LN(R9/R8)*(V8+V9)/2</f>
        <v>188091.769263912</v>
      </c>
      <c r="X9" s="39" t="n">
        <f aca="false">Sheet1!H$10*10/Sheet1!H$11*1000*W9/(Sheet1!H$10*10/Sheet1!H$11*1000-W9)</f>
        <v>188690.773512562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866417.950165415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251.152602664823</v>
      </c>
      <c r="AF9" s="37" t="n">
        <f aca="false">AF8+(AF$10-AF$4)/6</f>
        <v>4.44579855504856</v>
      </c>
      <c r="AG9" s="40" t="n">
        <f aca="false">10^AF9</f>
        <v>27912.4883649801</v>
      </c>
      <c r="AH9" s="39" t="n">
        <f aca="false">AJ9-AI9*((Sheet1!M$19-Sheet1!M$20)*COS(RADIANS(38))+Sheet1!M$20)/2</f>
        <v>258.099232742694</v>
      </c>
      <c r="AI9" s="37" t="n">
        <f aca="false">(AM9-AM$4)/(AM$13-AM$4)*(AI$13-AI$4)+AI$4</f>
        <v>0.21792313456634</v>
      </c>
      <c r="AJ9" s="39" t="n">
        <f aca="false">(AM9-AM$4)/(AM$10-AM$4)*(AJ$10-AJ$4)+AJ$4</f>
        <v>259.955082560879</v>
      </c>
      <c r="AK9" s="39" t="n">
        <f aca="false">8314.4621*AJ9/(Sheet1!M$21*Sheet1!M$12*9.80665)</f>
        <v>9927.47202178441</v>
      </c>
      <c r="AL9" s="39" t="n">
        <f aca="false">AL8-LN(AG9/AG8)*(AK8+AK9)/2</f>
        <v>8787.55790956119</v>
      </c>
      <c r="AM9" s="39" t="n">
        <f aca="false">Sheet1!M$10*10/Sheet1!M$11*1000*AL9/(Sheet1!M$10*10/Sheet1!M$11*1000-AL9)</f>
        <v>8802.24373195128</v>
      </c>
      <c r="AN9" s="41"/>
      <c r="AO9" s="37" t="n">
        <f aca="false">AO8+(AO$19-AO$4)/15</f>
        <v>4.80302068003812</v>
      </c>
      <c r="AP9" s="40" t="n">
        <f aca="false">10^AO9</f>
        <v>63536.1185472857</v>
      </c>
      <c r="AQ9" s="39" t="n">
        <f aca="false">AS9-AR9*((Sheet1!R$19-Sheet1!R$20)*COS(RADIANS(38))+Sheet1!R$20)/2</f>
        <v>202.607172243835</v>
      </c>
      <c r="AR9" s="37" t="n">
        <f aca="false">(AV9-AV$4)/(AV$31-AV$4)*(AR$31-AR$4)+AR$4</f>
        <v>0.751379322467056</v>
      </c>
      <c r="AS9" s="39" t="n">
        <f aca="false">(AV9-AV$4)/(AV$19-AV$4)*(AS$19-AS$4)+AS$4</f>
        <v>209.973759761604</v>
      </c>
      <c r="AT9" s="39" t="n">
        <f aca="false">8314.4621*AS9/(Sheet1!R$22*Sheet1!R$12*9.80665)</f>
        <v>24420.2990966463</v>
      </c>
      <c r="AU9" s="39" t="n">
        <f aca="false">AU8-LN(AP9/AP8)*(AT8+AT9)/2</f>
        <v>22583.7126139837</v>
      </c>
      <c r="AV9" s="39" t="n">
        <f aca="false">Sheet1!R$10*10/Sheet1!R$11*1000*AU9/(Sheet1!R$10*10/Sheet1!R$11*1000-AU9)</f>
        <v>22696.689362906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1044.17136819496</v>
      </c>
      <c r="T10" s="37" t="n">
        <v>0</v>
      </c>
      <c r="U10" s="39" t="n">
        <f aca="false">(X10-X$4)/(X$14-X$4)*(U$14-U$4)+U$4</f>
        <v>1044.17136819496</v>
      </c>
      <c r="V10" s="39" t="n">
        <f aca="false">8314.4621*U10/(Sheet1!H$20*Sheet1!H$12*9.80665)</f>
        <v>130565.56926717</v>
      </c>
      <c r="W10" s="39" t="n">
        <f aca="false">W9-LN(R10/R9)*(V9+V10)/2</f>
        <v>219131.483433161</v>
      </c>
      <c r="X10" s="39" t="n">
        <f aca="false">Sheet1!H$10*10/Sheet1!H$11*1000*W10/(Sheet1!H$10*10/Sheet1!H$11*1000-W10)</f>
        <v>219944.928401951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961205.618367275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250.263368000307</v>
      </c>
      <c r="AF10" s="37" t="n">
        <f aca="false">AF4+0.385*(AF18-AF4)</f>
        <v>4.37533660567587</v>
      </c>
      <c r="AG10" s="40" t="n">
        <f aca="false">10^AF10</f>
        <v>23732.1238263497</v>
      </c>
      <c r="AH10" s="39" t="n">
        <f aca="false">AJ10-AI10*((Sheet1!M$19-Sheet1!M$20)*COS(RADIANS(38))+Sheet1!M$20)/2</f>
        <v>250.51103175222</v>
      </c>
      <c r="AI10" s="37" t="n">
        <f aca="false">(AM10-AM$4)/(AM$13-AM$4)*(AI$13-AI$4)+AI$4</f>
        <v>0.0767212903175966</v>
      </c>
      <c r="AJ10" s="39" t="n">
        <f aca="false">AJ4+0.73*(AJ13-AJ4)</f>
        <v>251.164396035779</v>
      </c>
      <c r="AK10" s="39" t="n">
        <f aca="false">8314.4621*AJ10/(Sheet1!M$21*Sheet1!M$12*9.80665)</f>
        <v>9591.76289207439</v>
      </c>
      <c r="AL10" s="39" t="n">
        <f aca="false">AL9-LN(AG10/AG9)*(AK9+AK10)/2</f>
        <v>10371.0034742694</v>
      </c>
      <c r="AM10" s="39" t="n">
        <f aca="false">Sheet1!M$10*10/Sheet1!M$11*1000*AL10/(Sheet1!M$10*10/Sheet1!M$11*1000-AL10)</f>
        <v>10391.464821862</v>
      </c>
      <c r="AN10" s="41"/>
      <c r="AO10" s="37" t="n">
        <f aca="false">AO9+(AO$19-AO$4)/15</f>
        <v>4.72726324175186</v>
      </c>
      <c r="AP10" s="40" t="n">
        <f aca="false">10^AO10</f>
        <v>53365.826724628</v>
      </c>
      <c r="AQ10" s="39" t="n">
        <f aca="false">AS10-AR10*((Sheet1!R$19-Sheet1!R$20)*COS(RADIANS(38))+Sheet1!R$20)/2</f>
        <v>198.232131450063</v>
      </c>
      <c r="AR10" s="37" t="n">
        <f aca="false">(AV10-AV$4)/(AV$31-AV$4)*(AR$31-AR$4)+AR$4</f>
        <v>0.704747753773362</v>
      </c>
      <c r="AS10" s="39" t="n">
        <f aca="false">(AV10-AV$4)/(AV$19-AV$4)*(AS$19-AS$4)+AS$4</f>
        <v>205.141539056698</v>
      </c>
      <c r="AT10" s="39" t="n">
        <f aca="false">8314.4621*AS10/(Sheet1!R$22*Sheet1!R$12*9.80665)</f>
        <v>23858.3037547103</v>
      </c>
      <c r="AU10" s="39" t="n">
        <f aca="false">AU9-LN(AP10/AP9)*(AT9+AT10)/2</f>
        <v>26794.5228227964</v>
      </c>
      <c r="AV10" s="39" t="n">
        <f aca="false">Sheet1!R$10*10/Sheet1!R$11*1000*AU10/(Sheet1!R$10*10/Sheet1!R$11*1000-AU10)</f>
        <v>26953.705471333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980.452725302125</v>
      </c>
      <c r="T11" s="37" t="n">
        <v>0</v>
      </c>
      <c r="U11" s="39" t="n">
        <f aca="false">(X11-X$4)/(X$14-X$4)*(U$14-U$4)+U$4</f>
        <v>980.452725302125</v>
      </c>
      <c r="V11" s="39" t="n">
        <f aca="false">8314.4621*U11/(Sheet1!H$20*Sheet1!H$12*9.80665)</f>
        <v>122598.04484001</v>
      </c>
      <c r="W11" s="39" t="n">
        <f aca="false">W10-LN(R11/R10)*(V10+V11)/2</f>
        <v>248278.021629745</v>
      </c>
      <c r="X11" s="39" t="n">
        <f aca="false">Sheet1!H$10*10/Sheet1!H$11*1000*W11/(Sheet1!H$10*10/Sheet1!H$11*1000-W11)</f>
        <v>249322.765080181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1044107.27194167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296.838537121591</v>
      </c>
      <c r="AF11" s="37" t="n">
        <f aca="false">AF10+(AF$13-AF$10)/3</f>
        <v>4.29114830252929</v>
      </c>
      <c r="AG11" s="40" t="n">
        <f aca="false">10^AF11</f>
        <v>19550.0693599478</v>
      </c>
      <c r="AH11" s="39" t="n">
        <f aca="false">AJ11-AI11*((Sheet1!M$19-Sheet1!M$20)*COS(RADIANS(38))+Sheet1!M$20)/2</f>
        <v>244.609732458056</v>
      </c>
      <c r="AI11" s="37" t="n">
        <f aca="false">(AM11-AM$4)/(AM$13-AM$4)*(AI$13-AI$4)+AI$4</f>
        <v>-0.0867845303994095</v>
      </c>
      <c r="AJ11" s="39" t="n">
        <f aca="false">(AM11-AM$10)/(AM$13-AM$10)*(AJ$13-AJ$10)+AJ$10</f>
        <v>243.870668864447</v>
      </c>
      <c r="AK11" s="39" t="n">
        <f aca="false">8314.4621*AJ11/(Sheet1!M$21*Sheet1!M$12*9.80665)</f>
        <v>9313.22141592931</v>
      </c>
      <c r="AL11" s="39" t="n">
        <f aca="false">AL10-LN(AG11/AG10)*(AK10+AK11)/2</f>
        <v>12203.375995938</v>
      </c>
      <c r="AM11" s="39" t="n">
        <f aca="false">Sheet1!M$10*10/Sheet1!M$11*1000*AL11/(Sheet1!M$10*10/Sheet1!M$11*1000-AL11)</f>
        <v>12231.7162717573</v>
      </c>
      <c r="AN11" s="41"/>
      <c r="AO11" s="37" t="n">
        <f aca="false">AO10+(AO$19-AO$4)/15</f>
        <v>4.6515058034656</v>
      </c>
      <c r="AP11" s="40" t="n">
        <f aca="false">10^AO11</f>
        <v>44823.50397095</v>
      </c>
      <c r="AQ11" s="39" t="n">
        <f aca="false">AS11-AR11*((Sheet1!R$19-Sheet1!R$20)*COS(RADIANS(38))+Sheet1!R$20)/2</f>
        <v>193.950084340846</v>
      </c>
      <c r="AR11" s="37" t="n">
        <f aca="false">(AV11-AV$4)/(AV$31-AV$4)*(AR$31-AR$4)+AR$4</f>
        <v>0.659106130373774</v>
      </c>
      <c r="AS11" s="39" t="n">
        <f aca="false">(AV11-AV$4)/(AV$19-AV$4)*(AS$19-AS$4)+AS$4</f>
        <v>200.412017545175</v>
      </c>
      <c r="AT11" s="39" t="n">
        <f aca="false">8314.4621*AS11/(Sheet1!R$22*Sheet1!R$12*9.80665)</f>
        <v>23308.2525005606</v>
      </c>
      <c r="AU11" s="39" t="n">
        <f aca="false">AU10-LN(AP11/AP10)*(AT10+AT11)/2</f>
        <v>30908.341468413</v>
      </c>
      <c r="AV11" s="39" t="n">
        <f aca="false">Sheet1!R$10*10/Sheet1!R$11*1000*AU11/(Sheet1!R$10*10/Sheet1!R$11*1000-AU11)</f>
        <v>31120.3490449831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920.566813230568</v>
      </c>
      <c r="T12" s="37" t="n">
        <v>0</v>
      </c>
      <c r="U12" s="39" t="n">
        <f aca="false">(X12-X$4)/(X$14-X$4)*(U$14-U$4)+U$4</f>
        <v>920.566813230568</v>
      </c>
      <c r="V12" s="39" t="n">
        <f aca="false">8314.4621*U12/(Sheet1!H$20*Sheet1!H$12*9.80665)</f>
        <v>115109.773815855</v>
      </c>
      <c r="W12" s="39" t="n">
        <f aca="false">W11-LN(R12/R11)*(V11+V12)/2</f>
        <v>275645.145616002</v>
      </c>
      <c r="X12" s="39" t="n">
        <f aca="false">Sheet1!H$10*10/Sheet1!H$11*1000*W12/(Sheet1!H$10*10/Sheet1!H$11*1000-W12)</f>
        <v>276933.499850363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1407535.6122499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721.502458746239</v>
      </c>
      <c r="AF12" s="37" t="n">
        <f aca="false">AF11+(AF$13-AF$10)/3</f>
        <v>4.2069599993827</v>
      </c>
      <c r="AG12" s="40" t="n">
        <f aca="false">10^AF12</f>
        <v>16104.9729377532</v>
      </c>
      <c r="AH12" s="39" t="n">
        <f aca="false">AJ12-AI12*((Sheet1!M$19-Sheet1!M$20)*COS(RADIANS(38))+Sheet1!M$20)/2</f>
        <v>238.875942311598</v>
      </c>
      <c r="AI12" s="37" t="n">
        <f aca="false">(AM12-AM$4)/(AM$13-AM$4)*(AI$13-AI$4)+AI$4</f>
        <v>-0.24564976713324</v>
      </c>
      <c r="AJ12" s="39" t="n">
        <f aca="false">(AM12-AM$10)/(AM$13-AM$10)*(AJ$13-AJ$10)+AJ$10</f>
        <v>236.783970403345</v>
      </c>
      <c r="AK12" s="39" t="n">
        <f aca="false">8314.4621*AJ12/(Sheet1!M$21*Sheet1!M$12*9.80665)</f>
        <v>9042.5861969278</v>
      </c>
      <c r="AL12" s="39" t="n">
        <f aca="false">AL11-LN(AG12/AG11)*(AK11+AK12)/2</f>
        <v>13982.5193654776</v>
      </c>
      <c r="AM12" s="39" t="n">
        <f aca="false">Sheet1!M$10*10/Sheet1!M$11*1000*AL12/(Sheet1!M$10*10/Sheet1!M$11*1000-AL12)</f>
        <v>14019.7381351708</v>
      </c>
      <c r="AN12" s="41"/>
      <c r="AO12" s="37" t="n">
        <f aca="false">AO11+(AO$19-AO$4)/15</f>
        <v>4.57574836517934</v>
      </c>
      <c r="AP12" s="40" t="n">
        <f aca="false">10^AO12</f>
        <v>37648.5596035293</v>
      </c>
      <c r="AQ12" s="39" t="n">
        <f aca="false">AS12-AR12*((Sheet1!R$19-Sheet1!R$20)*COS(RADIANS(38))+Sheet1!R$20)/2</f>
        <v>189.759192590692</v>
      </c>
      <c r="AR12" s="37" t="n">
        <f aca="false">(AV12-AV$4)/(AV$31-AV$4)*(AR$31-AR$4)+AR$4</f>
        <v>0.614437164164943</v>
      </c>
      <c r="AS12" s="39" t="n">
        <f aca="false">(AV12-AV$4)/(AV$19-AV$4)*(AS$19-AS$4)+AS$4</f>
        <v>195.78318740749</v>
      </c>
      <c r="AT12" s="39" t="n">
        <f aca="false">8314.4621*AS12/(Sheet1!R$22*Sheet1!R$12*9.80665)</f>
        <v>22769.9118214291</v>
      </c>
      <c r="AU12" s="39" t="n">
        <f aca="false">AU11-LN(AP12/AP11)*(AT11+AT12)/2</f>
        <v>34927.2316862548</v>
      </c>
      <c r="AV12" s="39" t="n">
        <f aca="false">Sheet1!R$10*10/Sheet1!R$11*1000*AU12/(Sheet1!R$10*10/Sheet1!R$11*1000-AU12)</f>
        <v>35198.198322301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864.28965847882</v>
      </c>
      <c r="T13" s="37" t="n">
        <v>0</v>
      </c>
      <c r="U13" s="39" t="n">
        <f aca="false">(X13-X$4)/(X$14-X$4)*(U$14-U$4)+U$4</f>
        <v>864.28965847882</v>
      </c>
      <c r="V13" s="39" t="n">
        <f aca="false">8314.4621*U13/(Sheet1!H$20*Sheet1!H$12*9.80665)</f>
        <v>108072.750037277</v>
      </c>
      <c r="W13" s="39" t="n">
        <f aca="false">W12-LN(R13/R12)*(V12+V13)/2</f>
        <v>301339.983238052</v>
      </c>
      <c r="X13" s="39" t="n">
        <f aca="false">Sheet1!H$10*10/Sheet1!H$11*1000*W13/(Sheet1!H$10*10/Sheet1!H$11*1000-W13)</f>
        <v>302880.396936141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1765608.98881663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838.47498993054</v>
      </c>
      <c r="AF13" s="37" t="n">
        <f aca="false">AF4+0.615*(AF18-AF4)</f>
        <v>4.12277169623611</v>
      </c>
      <c r="AG13" s="40" t="n">
        <f aca="false">10^AF13</f>
        <v>13266.9684465229</v>
      </c>
      <c r="AH13" s="39" t="n">
        <f aca="false">AJ13-AI13*((Sheet1!M$19-Sheet1!M$20)*COS(RADIANS(38))+Sheet1!M$20)/2</f>
        <v>233.305102081676</v>
      </c>
      <c r="AI13" s="37" t="n">
        <v>-0.4</v>
      </c>
      <c r="AJ13" s="39" t="n">
        <f aca="false">IF(0.74*Sheet1!M16+0.78*Sheet1!M18&gt;AJ18,0.74*Sheet1!M16+0.78*Sheet1!M18,AJ18)</f>
        <v>229.898671971578</v>
      </c>
      <c r="AK13" s="39" t="n">
        <f aca="false">8314.4621*AJ13/(Sheet1!M$21*Sheet1!M$12*9.80665)</f>
        <v>8779.64228034946</v>
      </c>
      <c r="AL13" s="39" t="n">
        <f aca="false">AL12-LN(AG13/AG12)*(AK12+AK13)/2</f>
        <v>15709.9453820566</v>
      </c>
      <c r="AM13" s="39" t="n">
        <f aca="false">Sheet1!M$10*10/Sheet1!M$11*1000*AL13/(Sheet1!M$10*10/Sheet1!M$11*1000-AL13)</f>
        <v>15756.9438112693</v>
      </c>
      <c r="AN13" s="41"/>
      <c r="AO13" s="37" t="n">
        <f aca="false">AO12+(AO$19-AO$4)/15</f>
        <v>4.49999092689308</v>
      </c>
      <c r="AP13" s="40" t="n">
        <f aca="false">10^AO13</f>
        <v>31622.1159581616</v>
      </c>
      <c r="AQ13" s="39" t="n">
        <f aca="false">AS13-AR13*((Sheet1!R$19-Sheet1!R$20)*COS(RADIANS(38))+Sheet1!R$20)/2</f>
        <v>185.657948502667</v>
      </c>
      <c r="AR13" s="37" t="n">
        <f aca="false">(AV13-AV$4)/(AV$31-AV$4)*(AR$31-AR$4)+AR$4</f>
        <v>0.570723714907088</v>
      </c>
      <c r="AS13" s="39" t="n">
        <f aca="false">(AV13-AV$4)/(AV$19-AV$4)*(AS$19-AS$4)+AS$4</f>
        <v>191.253372902323</v>
      </c>
      <c r="AT13" s="39" t="n">
        <f aca="false">8314.4621*AS13/(Sheet1!R$22*Sheet1!R$12*9.80665)</f>
        <v>22243.0868258006</v>
      </c>
      <c r="AU13" s="39" t="n">
        <f aca="false">AU12-LN(AP13/AP12)*(AT12+AT13)/2</f>
        <v>38853.2192467606</v>
      </c>
      <c r="AV13" s="39" t="n">
        <f aca="false">Sheet1!R$10*10/Sheet1!R$11*1000*AU13/(Sheet1!R$10*10/Sheet1!R$11*1000-AU13)</f>
        <v>39188.8180432018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811.409627296852</v>
      </c>
      <c r="T14" s="37" t="n">
        <v>0</v>
      </c>
      <c r="U14" s="39" t="n">
        <f aca="false">600/1140*(U$44-U$4)+U$4</f>
        <v>811.409627296852</v>
      </c>
      <c r="V14" s="39" t="n">
        <f aca="false">8314.4621*U14/(Sheet1!H$20*Sheet1!H$12*9.80665)</f>
        <v>101460.510337509</v>
      </c>
      <c r="W14" s="39" t="n">
        <f aca="false">W13-LN(R14/R13)*(V13+V14)/2</f>
        <v>325463.391329323</v>
      </c>
      <c r="X14" s="39" t="n">
        <f aca="false">Sheet1!H$10*10/Sheet1!H$11*1000*W14/(Sheet1!H$10*10/Sheet1!H$11*1000-W14)</f>
        <v>327261.044495492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529.149651128798</v>
      </c>
      <c r="AA14" s="39" t="n">
        <f aca="false">IF(Y14=LOG(Sheet1!H$17*101325),(LOG(Sheet1!H$17*101325)-Q24)/(Q14-Q24)*(X14-X24)+X24,IF(Y14=0,0,X14))</f>
        <v>470632.914824052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2166614.64390058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882.700000569836</v>
      </c>
      <c r="AF14" s="37" t="n">
        <f aca="false">AF13+(AF$18-AF$13)/5</f>
        <v>4.03821735698889</v>
      </c>
      <c r="AG14" s="40" t="n">
        <f aca="false">10^AF14</f>
        <v>10919.8672045825</v>
      </c>
      <c r="AH14" s="39" t="n">
        <f aca="false">AJ14-AI14*((Sheet1!M$19-Sheet1!M$20)*COS(RADIANS(38))+Sheet1!M$20)/2</f>
        <v>232.969117886527</v>
      </c>
      <c r="AI14" s="37" t="n">
        <f aca="false">(AM14-AM$13)/(AM$30-AM$13)*(AI$30-AI$13)+AI$13</f>
        <v>-0.360547061376309</v>
      </c>
      <c r="AJ14" s="39" t="n">
        <f aca="false">(AM14-AM$13)/(AM$18-AM$13)*(AJ$18-AJ$13)+AJ$13</f>
        <v>229.898671971578</v>
      </c>
      <c r="AK14" s="39" t="n">
        <f aca="false">8314.4621*AJ14/(Sheet1!M$21*Sheet1!M$12*9.80665)</f>
        <v>8779.64228034946</v>
      </c>
      <c r="AL14" s="39" t="n">
        <f aca="false">AL13-LN(AG14/AG13)*(AK13+AK14)/2</f>
        <v>17419.2852027898</v>
      </c>
      <c r="AM14" s="39" t="n">
        <f aca="false">Sheet1!M$10*10/Sheet1!M$11*1000*AL14/(Sheet1!M$10*10/Sheet1!M$11*1000-AL14)</f>
        <v>17477.0862946219</v>
      </c>
      <c r="AN14" s="41"/>
      <c r="AO14" s="37" t="n">
        <f aca="false">AO13+(AO$19-AO$4)/15</f>
        <v>4.42423348860682</v>
      </c>
      <c r="AP14" s="40" t="n">
        <f aca="false">10^AO14</f>
        <v>26560.3313433983</v>
      </c>
      <c r="AQ14" s="39" t="n">
        <f aca="false">AS14-AR14*((Sheet1!R$19-Sheet1!R$20)*COS(RADIANS(38))+Sheet1!R$20)/2</f>
        <v>181.644756206477</v>
      </c>
      <c r="AR14" s="37" t="n">
        <f aca="false">(AV14-AV$4)/(AV$31-AV$4)*(AR$31-AR$4)+AR$4</f>
        <v>0.527948772906624</v>
      </c>
      <c r="AS14" s="39" t="n">
        <f aca="false">(AV14-AV$4)/(AV$19-AV$4)*(AS$19-AS$4)+AS$4</f>
        <v>186.820811394881</v>
      </c>
      <c r="AT14" s="39" t="n">
        <f aca="false">8314.4621*AS14/(Sheet1!R$22*Sheet1!R$12*9.80665)</f>
        <v>21727.5725163035</v>
      </c>
      <c r="AU14" s="39" t="n">
        <f aca="false">AU13-LN(AP14/AP13)*(AT13+AT14)/2</f>
        <v>42688.2950424711</v>
      </c>
      <c r="AV14" s="39" t="n">
        <f aca="false">Sheet1!R$10*10/Sheet1!R$11*1000*AU14/(Sheet1!R$10*10/Sheet1!R$11*1000-AU14)</f>
        <v>43093.7610299821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766.184960349807</v>
      </c>
      <c r="T15" s="37" t="n">
        <v>0</v>
      </c>
      <c r="U15" s="39" t="n">
        <f aca="false">(X15-X$14)/(X$24-X$14)*(U$24-U$14)+U$14</f>
        <v>766.184960349807</v>
      </c>
      <c r="V15" s="39" t="n">
        <f aca="false">8314.4621*U15/(Sheet1!H$20*Sheet1!H$12*9.80665)</f>
        <v>95805.5148408728</v>
      </c>
      <c r="W15" s="39" t="n">
        <f aca="false">W14-LN(R15/R14)*(V14+V15)/2</f>
        <v>348174.481775819</v>
      </c>
      <c r="X15" s="39" t="n">
        <f aca="false">Sheet1!H$10*10/Sheet1!H$11*1000*W15/(Sheet1!H$10*10/Sheet1!H$11*1000-W15)</f>
        <v>350232.564887308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2584183.21677387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882.700000569836</v>
      </c>
      <c r="AF15" s="37" t="n">
        <f aca="false">AF14+(AF$18-AF$13)/5</f>
        <v>3.95366301774167</v>
      </c>
      <c r="AG15" s="40" t="n">
        <f aca="false">10^AF15</f>
        <v>8987.99904788862</v>
      </c>
      <c r="AH15" s="39" t="n">
        <f aca="false">AJ15-AI15*((Sheet1!M$19-Sheet1!M$20)*COS(RADIANS(38))+Sheet1!M$20)/2</f>
        <v>232.63291481743</v>
      </c>
      <c r="AI15" s="37" t="n">
        <f aca="false">(AM15-AM$13)/(AM$30-AM$13)*(AI$30-AI$13)+AI$13</f>
        <v>-0.321068421482821</v>
      </c>
      <c r="AJ15" s="39" t="n">
        <f aca="false">(AM15-AM$13)/(AM$18-AM$13)*(AJ$18-AJ$13)+AJ$13</f>
        <v>229.898671971578</v>
      </c>
      <c r="AK15" s="39" t="n">
        <f aca="false">8314.4621*AJ15/(Sheet1!M$21*Sheet1!M$12*9.80665)</f>
        <v>8779.64228034946</v>
      </c>
      <c r="AL15" s="39" t="n">
        <f aca="false">AL14-LN(AG15/AG14)*(AK14+AK15)/2</f>
        <v>19128.625023523</v>
      </c>
      <c r="AM15" s="39" t="n">
        <f aca="false">Sheet1!M$10*10/Sheet1!M$11*1000*AL15/(Sheet1!M$10*10/Sheet1!M$11*1000-AL15)</f>
        <v>19198.3493496632</v>
      </c>
      <c r="AN15" s="41"/>
      <c r="AO15" s="37" t="n">
        <f aca="false">AO14+(AO$19-AO$4)/15</f>
        <v>4.34847605032056</v>
      </c>
      <c r="AP15" s="40" t="n">
        <f aca="false">10^AO15</f>
        <v>22308.791796364</v>
      </c>
      <c r="AQ15" s="39" t="n">
        <f aca="false">AS15-AR15*((Sheet1!R$19-Sheet1!R$20)*COS(RADIANS(38))+Sheet1!R$20)/2</f>
        <v>177.718033774138</v>
      </c>
      <c r="AR15" s="37" t="n">
        <f aca="false">(AV15-AV$4)/(AV$31-AV$4)*(AR$31-AR$4)+AR$4</f>
        <v>0.486095477074487</v>
      </c>
      <c r="AS15" s="39" t="n">
        <f aca="false">(AV15-AV$4)/(AV$19-AV$4)*(AS$19-AS$4)+AS$4</f>
        <v>182.483755649613</v>
      </c>
      <c r="AT15" s="39" t="n">
        <f aca="false">8314.4621*AS15/(Sheet1!R$22*Sheet1!R$12*9.80665)</f>
        <v>21223.1656865238</v>
      </c>
      <c r="AU15" s="39" t="n">
        <f aca="false">AU14-LN(AP15/AP14)*(AT14+AT15)/2</f>
        <v>46434.4143628115</v>
      </c>
      <c r="AV15" s="39" t="n">
        <f aca="false">Sheet1!R$10*10/Sheet1!R$11*1000*AU15/(Sheet1!R$10*10/Sheet1!R$11*1000-AU15)</f>
        <v>46914.5665387676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723.44980166097</v>
      </c>
      <c r="T16" s="37" t="n">
        <v>0</v>
      </c>
      <c r="U16" s="39" t="n">
        <f aca="false">(X16-X$14)/(X$24-X$14)*(U$24-U$14)+U$14</f>
        <v>723.44980166097</v>
      </c>
      <c r="V16" s="39" t="n">
        <f aca="false">8314.4621*U16/(Sheet1!H$20*Sheet1!H$12*9.80665)</f>
        <v>90461.8131345367</v>
      </c>
      <c r="W16" s="39" t="n">
        <f aca="false">W15-LN(R16/R15)*(V15+V16)/2</f>
        <v>369619.30041122</v>
      </c>
      <c r="X16" s="39" t="n">
        <f aca="false">Sheet1!H$10*10/Sheet1!H$11*1000*W16/(Sheet1!H$10*10/Sheet1!H$11*1000-W16)</f>
        <v>371939.559375846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3.86910867849445</v>
      </c>
      <c r="AG16" s="40" t="n">
        <f aca="false">10^AF16</f>
        <v>7397.90378137069</v>
      </c>
      <c r="AH16" s="39" t="n">
        <f aca="false">AJ16-AI16*((Sheet1!M$19-Sheet1!M$20)*COS(RADIANS(38))+Sheet1!M$20)/2</f>
        <v>232.29649266044</v>
      </c>
      <c r="AI16" s="37" t="n">
        <f aca="false">(AM16-AM$13)/(AM$30-AM$13)*(AI$30-AI$13)+AI$13</f>
        <v>-0.281564055197054</v>
      </c>
      <c r="AJ16" s="39" t="n">
        <f aca="false">(AM16-AM$13)/(AM$18-AM$13)*(AJ$18-AJ$13)+AJ$13</f>
        <v>229.898671971578</v>
      </c>
      <c r="AK16" s="39" t="n">
        <f aca="false">8314.4621*AJ16/(Sheet1!M$21*Sheet1!M$12*9.80665)</f>
        <v>8779.64228034946</v>
      </c>
      <c r="AL16" s="39" t="n">
        <f aca="false">AL15-LN(AG16/AG15)*(AK15+AK16)/2</f>
        <v>20837.9648442563</v>
      </c>
      <c r="AM16" s="39" t="n">
        <f aca="false">Sheet1!M$10*10/Sheet1!M$11*1000*AL16/(Sheet1!M$10*10/Sheet1!M$11*1000-AL16)</f>
        <v>20920.7340717297</v>
      </c>
      <c r="AN16" s="41"/>
      <c r="AO16" s="37" t="n">
        <f aca="false">AO15+(AO$19-AO$4)/15</f>
        <v>4.2727186120343</v>
      </c>
      <c r="AP16" s="40" t="n">
        <f aca="false">10^AO16</f>
        <v>18737.8005559866</v>
      </c>
      <c r="AQ16" s="39" t="n">
        <f aca="false">AS16-AR16*((Sheet1!R$19-Sheet1!R$20)*COS(RADIANS(38))+Sheet1!R$20)/2</f>
        <v>173.87621380109</v>
      </c>
      <c r="AR16" s="37" t="n">
        <f aca="false">(AV16-AV$4)/(AV$31-AV$4)*(AR$31-AR$4)+AR$4</f>
        <v>0.445147121119989</v>
      </c>
      <c r="AS16" s="39" t="n">
        <f aca="false">(AV16-AV$4)/(AV$19-AV$4)*(AS$19-AS$4)+AS$4</f>
        <v>178.240474472047</v>
      </c>
      <c r="AT16" s="39" t="n">
        <f aca="false">8314.4621*AS16/(Sheet1!R$22*Sheet1!R$12*9.80665)</f>
        <v>20729.6649956518</v>
      </c>
      <c r="AU16" s="39" t="n">
        <f aca="false">AU15-LN(AP16/AP15)*(AT15+AT16)/2</f>
        <v>50093.4972130131</v>
      </c>
      <c r="AV16" s="39" t="n">
        <f aca="false">Sheet1!R$10*10/Sheet1!R$11*1000*AU16/(Sheet1!R$10*10/Sheet1!R$11*1000-AU16)</f>
        <v>50652.7596940725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683.070531938316</v>
      </c>
      <c r="T17" s="37" t="n">
        <v>0</v>
      </c>
      <c r="U17" s="39" t="n">
        <f aca="false">(X17-X$14)/(X$24-X$14)*(U$24-U$14)+U$14</f>
        <v>683.070531938316</v>
      </c>
      <c r="V17" s="39" t="n">
        <f aca="false">8314.4621*U17/(Sheet1!H$20*Sheet1!H$12*9.80665)</f>
        <v>85412.697157487</v>
      </c>
      <c r="W17" s="39" t="n">
        <f aca="false">W16-LN(R17/R16)*(V16+V17)/2</f>
        <v>389867.601693022</v>
      </c>
      <c r="X17" s="39" t="n">
        <f aca="false">Sheet1!H$10*10/Sheet1!H$11*1000*W17/(Sheet1!H$10*10/Sheet1!H$11*1000-W17)</f>
        <v>392449.926366094</v>
      </c>
      <c r="Y17" s="37"/>
      <c r="Z17" s="39"/>
      <c r="AF17" s="37" t="n">
        <f aca="false">AF16+(AF$18-AF$13)/5</f>
        <v>3.78455433924722</v>
      </c>
      <c r="AG17" s="40" t="n">
        <f aca="false">10^AF17</f>
        <v>6089.11728481716</v>
      </c>
      <c r="AH17" s="39" t="n">
        <f aca="false">AJ17-AI17*((Sheet1!M$19-Sheet1!M$20)*COS(RADIANS(38))+Sheet1!M$20)/2</f>
        <v>231.959851201332</v>
      </c>
      <c r="AI17" s="37" t="n">
        <f aca="false">(AM17-AM$13)/(AM$30-AM$13)*(AI$30-AI$13)+AI$13</f>
        <v>-0.242033937363773</v>
      </c>
      <c r="AJ17" s="39" t="n">
        <f aca="false">(AM17-AM$13)/(AM$18-AM$13)*(AJ$18-AJ$13)+AJ$13</f>
        <v>229.898671971578</v>
      </c>
      <c r="AK17" s="39" t="n">
        <f aca="false">8314.4621*AJ17/(Sheet1!M$21*Sheet1!M$12*9.80665)</f>
        <v>8779.64228034946</v>
      </c>
      <c r="AL17" s="39" t="n">
        <f aca="false">AL16-LN(AG17/AG16)*(AK16+AK17)/2</f>
        <v>22547.3046649895</v>
      </c>
      <c r="AM17" s="39" t="n">
        <f aca="false">Sheet1!M$10*10/Sheet1!M$11*1000*AL17/(Sheet1!M$10*10/Sheet1!M$11*1000-AL17)</f>
        <v>22644.2415575861</v>
      </c>
      <c r="AN17" s="41"/>
      <c r="AO17" s="37" t="n">
        <f aca="false">AO16+(AO$19-AO$4)/15</f>
        <v>4.19696117374804</v>
      </c>
      <c r="AP17" s="40" t="n">
        <f aca="false">10^AO17</f>
        <v>15738.421555091</v>
      </c>
      <c r="AQ17" s="39" t="n">
        <f aca="false">AS17-AR17*((Sheet1!R$19-Sheet1!R$20)*COS(RADIANS(38))+Sheet1!R$20)/2</f>
        <v>170.117743947187</v>
      </c>
      <c r="AR17" s="37" t="n">
        <f aca="false">(AV17-AV$4)/(AV$31-AV$4)*(AR$31-AR$4)+AR$4</f>
        <v>0.40508715931707</v>
      </c>
      <c r="AS17" s="39" t="n">
        <f aca="false">(AV17-AV$4)/(AV$19-AV$4)*(AS$19-AS$4)+AS$4</f>
        <v>174.089253306316</v>
      </c>
      <c r="AT17" s="39" t="n">
        <f aca="false">8314.4621*AS17/(Sheet1!R$22*Sheet1!R$12*9.80665)</f>
        <v>20246.8710379756</v>
      </c>
      <c r="AU17" s="39" t="n">
        <f aca="false">AU16-LN(AP17/AP16)*(AT16+AT17)/2</f>
        <v>53667.428645607</v>
      </c>
      <c r="AV17" s="39" t="n">
        <f aca="false">Sheet1!R$10*10/Sheet1!R$11*1000*AU17/(Sheet1!R$10*10/Sheet1!R$11*1000-AU17)</f>
        <v>54309.8509623974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644.920198298846</v>
      </c>
      <c r="T18" s="37" t="n">
        <v>0</v>
      </c>
      <c r="U18" s="39" t="n">
        <f aca="false">(X18-X$14)/(X$24-X$14)*(U$24-U$14)+U$14</f>
        <v>644.920198298846</v>
      </c>
      <c r="V18" s="39" t="n">
        <f aca="false">8314.4621*U18/(Sheet1!H$20*Sheet1!H$12*9.80665)</f>
        <v>80642.2924316989</v>
      </c>
      <c r="W18" s="39" t="n">
        <f aca="false">W17-LN(R18/R17)*(V17+V18)/2</f>
        <v>408985.388875289</v>
      </c>
      <c r="X18" s="39" t="n">
        <f aca="false">Sheet1!H$10*10/Sheet1!H$11*1000*W18/(Sheet1!H$10*10/Sheet1!H$11*1000-W18)</f>
        <v>411828.103206519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231.622990225604</v>
      </c>
      <c r="AI18" s="37" t="n">
        <f aca="false">(AM18-AM$13)/(AM$30-AM$13)*(AI$30-AI$13)+AI$13</f>
        <v>-0.202478042794937</v>
      </c>
      <c r="AJ18" s="39" t="n">
        <f aca="false">0.77*Sheet1!M16+0.56*Sheet1!M18</f>
        <v>229.898671971578</v>
      </c>
      <c r="AK18" s="39" t="n">
        <f aca="false">8314.4621*AJ18/(Sheet1!M$21*Sheet1!M$12*9.80665)</f>
        <v>8779.64228034946</v>
      </c>
      <c r="AL18" s="39" t="n">
        <f aca="false">AL17-LN(AG18/AG17)*(AK17+AK18)/2</f>
        <v>24256.6444857227</v>
      </c>
      <c r="AM18" s="39" t="n">
        <f aca="false">Sheet1!M$10*10/Sheet1!M$11*1000*AL18/(Sheet1!M$10*10/Sheet1!M$11*1000-AL18)</f>
        <v>24368.8729054274</v>
      </c>
      <c r="AN18" s="41"/>
      <c r="AO18" s="37" t="n">
        <f aca="false">AO17+(AO$19-AO$4)/15</f>
        <v>4.12120373546178</v>
      </c>
      <c r="AP18" s="40" t="n">
        <f aca="false">10^AO18</f>
        <v>13219.156234781</v>
      </c>
      <c r="AQ18" s="39" t="n">
        <f aca="false">AS18-AR18*((Sheet1!R$19-Sheet1!R$20)*COS(RADIANS(38))+Sheet1!R$20)/2</f>
        <v>166.441087438755</v>
      </c>
      <c r="AR18" s="37" t="n">
        <f aca="false">(AV18-AV$4)/(AV$31-AV$4)*(AR$31-AR$4)+AR$4</f>
        <v>0.365899211855521</v>
      </c>
      <c r="AS18" s="39" t="n">
        <f aca="false">(AV18-AV$4)/(AV$19-AV$4)*(AS$19-AS$4)+AS$4</f>
        <v>170.028394789676</v>
      </c>
      <c r="AT18" s="39" t="n">
        <f aca="false">8314.4621*AS18/(Sheet1!R$22*Sheet1!R$12*9.80665)</f>
        <v>19774.5864073718</v>
      </c>
      <c r="AU18" s="39" t="n">
        <f aca="false">AU17-LN(AP18/AP17)*(AT17+AT18)/2</f>
        <v>57158.0591036028</v>
      </c>
      <c r="AV18" s="39" t="n">
        <f aca="false">Sheet1!R$10*10/Sheet1!R$11*1000*AU18/(Sheet1!R$10*10/Sheet1!R$11*1000-AU18)</f>
        <v>57887.3356637123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608.878485300047</v>
      </c>
      <c r="T19" s="37" t="n">
        <v>0</v>
      </c>
      <c r="U19" s="39" t="n">
        <f aca="false">(X19-X$14)/(X$24-X$14)*(U$24-U$14)+U$14</f>
        <v>608.878485300047</v>
      </c>
      <c r="V19" s="39" t="n">
        <f aca="false">8314.4621*U19/(Sheet1!H$20*Sheet1!H$12*9.80665)</f>
        <v>76135.5544398432</v>
      </c>
      <c r="W19" s="39" t="n">
        <f aca="false">W18-LN(R19/R18)*(V18+V19)/2</f>
        <v>427035.105531195</v>
      </c>
      <c r="X19" s="39" t="n">
        <f aca="false">Sheet1!H$10*10/Sheet1!H$11*1000*W19/(Sheet1!H$10*10/Sheet1!H$11*1000-W19)</f>
        <v>430135.222154833</v>
      </c>
      <c r="Y19" s="37"/>
      <c r="Z19" s="39"/>
      <c r="AC19" s="39" t="n">
        <f aca="false">AC4</f>
        <v>470632.914824052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233.528644418638</v>
      </c>
      <c r="AI19" s="37" t="n">
        <f aca="false">(AM19-AM$13)/(AM$30-AM$13)*(AI$30-AI$13)+AI$13</f>
        <v>-0.155428198880004</v>
      </c>
      <c r="AJ19" s="39" t="n">
        <f aca="false">(AM19-AM$18)/(AM$25-AM$18)*(AJ$25-AJ$18)+AJ$18</f>
        <v>232.205006177079</v>
      </c>
      <c r="AK19" s="39" t="n">
        <f aca="false">8314.4621*AJ19/(Sheet1!M$21*Sheet1!M$12*9.80665)</f>
        <v>8867.71929762663</v>
      </c>
      <c r="AL19" s="39" t="n">
        <f aca="false">AL18-LN(AG19/AG18)*(AK18+AK19)/2</f>
        <v>26288.3720707289</v>
      </c>
      <c r="AM19" s="39" t="n">
        <f aca="false">Sheet1!M$10*10/Sheet1!M$11*1000*AL19/(Sheet1!M$10*10/Sheet1!M$11*1000-AL19)</f>
        <v>26420.2393733383</v>
      </c>
      <c r="AN19" s="41"/>
      <c r="AO19" s="37" t="n">
        <f aca="false">AO4+0.2*(AO61-AO4)</f>
        <v>4.04544629717553</v>
      </c>
      <c r="AP19" s="40" t="n">
        <f aca="false">10^AO19</f>
        <v>11103.1523045603</v>
      </c>
      <c r="AQ19" s="39" t="n">
        <f aca="false">AS19-AR19*((Sheet1!R$19-Sheet1!R$20)*COS(RADIANS(38))+Sheet1!R$20)/2</f>
        <v>162.844737544977</v>
      </c>
      <c r="AR19" s="37" t="n">
        <f aca="false">(AV19-AV$4)/(AV$31-AV$4)*(AR$31-AR$4)+AR$4</f>
        <v>0.327567068192367</v>
      </c>
      <c r="AS19" s="39" t="n">
        <f aca="false">Sheet1!R16+0.36*(AS61-Sheet1!R16)+0.3*Sheet1!R18</f>
        <v>166.056233261754</v>
      </c>
      <c r="AT19" s="39" t="n">
        <f aca="false">8314.4621*AS19/(Sheet1!R$22*Sheet1!R$12*9.80665)</f>
        <v>19312.6173847558</v>
      </c>
      <c r="AU19" s="39" t="n">
        <f aca="false">AU18-LN(AP19/AP18)*(AT18+AT19)/2</f>
        <v>60567.2049164709</v>
      </c>
      <c r="AV19" s="39" t="n">
        <f aca="false">Sheet1!R$10*10/Sheet1!R$11*1000*AU19/(Sheet1!R$10*10/Sheet1!R$11*1000-AU19)</f>
        <v>61386.6936655085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574.831246268578</v>
      </c>
      <c r="T20" s="37" t="n">
        <v>0</v>
      </c>
      <c r="U20" s="39" t="n">
        <f aca="false">(X20-X$14)/(X$24-X$14)*(U$24-U$14)+U$14</f>
        <v>574.831246268578</v>
      </c>
      <c r="V20" s="39" t="n">
        <f aca="false">8314.4621*U20/(Sheet1!H$20*Sheet1!H$12*9.80665)</f>
        <v>71878.2100215569</v>
      </c>
      <c r="W20" s="39" t="n">
        <f aca="false">W19-LN(R20/R19)*(V19+V20)/2</f>
        <v>444075.819911532</v>
      </c>
      <c r="X20" s="39" t="n">
        <f aca="false">Sheet1!H$10*10/Sheet1!H$11*1000*W20/(Sheet1!H$10*10/Sheet1!H$11*1000-W20)</f>
        <v>447429.263132545</v>
      </c>
      <c r="Y20" s="37"/>
      <c r="Z20" s="39"/>
      <c r="AC20" s="39" t="n">
        <f aca="false">IF(AD20=0,AA44,IF(AD20=1,AA54,IF(AD20=2,AA100,AA170)))</f>
        <v>674971.064648936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235.454923909957</v>
      </c>
      <c r="AI20" s="37" t="n">
        <f aca="false">(AM20-AM$13)/(AM$30-AM$13)*(AI$30-AI$13)+AI$13</f>
        <v>-0.107869120782044</v>
      </c>
      <c r="AJ20" s="39" t="n">
        <f aca="false">(AM20-AM$18)/(AM$25-AM$18)*(AJ$25-AJ$18)+AJ$18</f>
        <v>234.536302357503</v>
      </c>
      <c r="AK20" s="39" t="n">
        <f aca="false">8314.4621*AJ20/(Sheet1!M$21*Sheet1!M$12*9.80665)</f>
        <v>8956.74959231313</v>
      </c>
      <c r="AL20" s="39" t="n">
        <f aca="false">AL19-LN(AG20/AG19)*(AK19+AK20)/2</f>
        <v>28340.4898885545</v>
      </c>
      <c r="AM20" s="39" t="n">
        <f aca="false">Sheet1!M$10*10/Sheet1!M$11*1000*AL20/(Sheet1!M$10*10/Sheet1!M$11*1000-AL20)</f>
        <v>28493.8083788234</v>
      </c>
      <c r="AN20" s="41"/>
      <c r="AO20" s="37" t="n">
        <f aca="false">AO19+(AO$31-AO$19)/12</f>
        <v>3.9507494993177</v>
      </c>
      <c r="AP20" s="40" t="n">
        <f aca="false">10^AO20</f>
        <v>8927.90374472916</v>
      </c>
      <c r="AQ20" s="39" t="n">
        <f aca="false">AS20-AR20*((Sheet1!R$19-Sheet1!R$20)*COS(RADIANS(38))+Sheet1!R$20)/2</f>
        <v>160.940961429749</v>
      </c>
      <c r="AR20" s="37" t="n">
        <f aca="false">(AV20-AV$4)/(AV$31-AV$4)*(AR$31-AR$4)+AR$4</f>
        <v>0.280475649060716</v>
      </c>
      <c r="AS20" s="39" t="n">
        <f aca="false">(AV20-AV$19)/(AV$31-AV$19)*(AS$31-AS$19)+AS$19</f>
        <v>163.690768822139</v>
      </c>
      <c r="AT20" s="39" t="n">
        <f aca="false">8314.4621*AS20/(Sheet1!R$22*Sheet1!R$12*9.80665)</f>
        <v>19037.509918073</v>
      </c>
      <c r="AU20" s="39" t="n">
        <f aca="false">AU19-LN(AP20/AP19)*(AT19+AT20)/2</f>
        <v>64748.2783635736</v>
      </c>
      <c r="AV20" s="39" t="n">
        <f aca="false">Sheet1!R$10*10/Sheet1!R$11*1000*AU20/(Sheet1!R$10*10/Sheet1!R$11*1000-AU20)</f>
        <v>65685.6897196394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542.670253370504</v>
      </c>
      <c r="T21" s="37" t="n">
        <v>0</v>
      </c>
      <c r="U21" s="39" t="n">
        <f aca="false">(X21-X$14)/(X$24-X$14)*(U$24-U$14)+U$14</f>
        <v>542.670253370504</v>
      </c>
      <c r="V21" s="39" t="n">
        <f aca="false">8314.4621*U21/(Sheet1!H$20*Sheet1!H$12*9.80665)</f>
        <v>67856.7261216552</v>
      </c>
      <c r="W21" s="39" t="n">
        <f aca="false">W20-LN(R21/R20)*(V20+V21)/2</f>
        <v>460163.398958224</v>
      </c>
      <c r="X21" s="39" t="n">
        <f aca="false">Sheet1!H$10*10/Sheet1!H$11*1000*W21/(Sheet1!H$10*10/Sheet1!H$11*1000-W21)</f>
        <v>463765.199634037</v>
      </c>
      <c r="Y21" s="37"/>
      <c r="Z21" s="39"/>
      <c r="AC21" s="39" t="n">
        <f aca="false">IF(AD21=0,0,IF(AD21=1,AA54,IF(AD21=2,AA100,AA170)))</f>
        <v>725842.752940181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237.40208299839</v>
      </c>
      <c r="AI21" s="37" t="n">
        <f aca="false">(AM21-AM$13)/(AM$30-AM$13)*(AI$30-AI$13)+AI$13</f>
        <v>-0.0597945297959795</v>
      </c>
      <c r="AJ21" s="39" t="n">
        <f aca="false">(AM21-AM$18)/(AM$25-AM$18)*(AJ$25-AJ$18)+AJ$18</f>
        <v>236.8928682816</v>
      </c>
      <c r="AK21" s="39" t="n">
        <f aca="false">8314.4621*AJ21/(Sheet1!M$21*Sheet1!M$12*9.80665)</f>
        <v>9046.74491784589</v>
      </c>
      <c r="AL21" s="39" t="n">
        <f aca="false">AL20-LN(AG21/AG20)*(AK20+AK21)/2</f>
        <v>30413.2187925991</v>
      </c>
      <c r="AM21" s="39" t="n">
        <f aca="false">Sheet1!M$10*10/Sheet1!M$11*1000*AL21/(Sheet1!M$10*10/Sheet1!M$11*1000-AL21)</f>
        <v>30589.8536725262</v>
      </c>
      <c r="AN21" s="41"/>
      <c r="AO21" s="37" t="n">
        <f aca="false">AO20+(AO$31-AO$19)/12</f>
        <v>3.85605270145988</v>
      </c>
      <c r="AP21" s="40" t="n">
        <f aca="false">10^AO21</f>
        <v>7178.81400603782</v>
      </c>
      <c r="AQ21" s="39" t="n">
        <f aca="false">AS21-AR21*((Sheet1!R$19-Sheet1!R$20)*COS(RADIANS(38))+Sheet1!R$20)/2</f>
        <v>159.060861178293</v>
      </c>
      <c r="AR21" s="37" t="n">
        <f aca="false">(AV21-AV$4)/(AV$31-AV$4)*(AR$31-AR$4)+AR$4</f>
        <v>0.233969400873441</v>
      </c>
      <c r="AS21" s="39" t="n">
        <f aca="false">(AV21-AV$19)/(AV$31-AV$19)*(AS$31-AS$19)+AS$19</f>
        <v>161.354717312575</v>
      </c>
      <c r="AT21" s="39" t="n">
        <f aca="false">8314.4621*AS21/(Sheet1!R$22*Sheet1!R$12*9.80665)</f>
        <v>18765.8232243</v>
      </c>
      <c r="AU21" s="39" t="n">
        <f aca="false">AU20-LN(AP21/AP20)*(AT20+AT21)/2</f>
        <v>68869.7382785682</v>
      </c>
      <c r="AV21" s="39" t="n">
        <f aca="false">Sheet1!R$10*10/Sheet1!R$11*1000*AU21/(Sheet1!R$10*10/Sheet1!R$11*1000-AU21)</f>
        <v>69931.2652647423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512.292919101137</v>
      </c>
      <c r="T22" s="37" t="n">
        <v>0</v>
      </c>
      <c r="U22" s="39" t="n">
        <f aca="false">(X22-X$14)/(X$24-X$14)*(U$24-U$14)+U$14</f>
        <v>512.292919101137</v>
      </c>
      <c r="V22" s="39" t="n">
        <f aca="false">8314.4621*U22/(Sheet1!H$20*Sheet1!H$12*9.80665)</f>
        <v>64058.2749645857</v>
      </c>
      <c r="W22" s="39" t="n">
        <f aca="false">W21-LN(R22/R21)*(V21+V22)/2</f>
        <v>475350.674710397</v>
      </c>
      <c r="X22" s="39" t="n">
        <f aca="false">Sheet1!H$10*10/Sheet1!H$11*1000*W22/(Sheet1!H$10*10/Sheet1!H$11*1000-W22)</f>
        <v>479195.140193423</v>
      </c>
      <c r="Y22" s="37"/>
      <c r="Z22" s="39"/>
      <c r="AC22" s="39" t="n">
        <f aca="false">IF(AD22=0,0,IF(AD22=2,AA100,AA170))</f>
        <v>1044107.27194167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239.37036959145</v>
      </c>
      <c r="AI22" s="37" t="n">
        <f aca="false">(AM22-AM$13)/(AM$30-AM$13)*(AI$30-AI$13)+AI$13</f>
        <v>-0.0111980547985951</v>
      </c>
      <c r="AJ22" s="39" t="n">
        <f aca="false">(AM22-AM$18)/(AM$25-AM$18)*(AJ$25-AJ$18)+AJ$18</f>
        <v>239.275006113849</v>
      </c>
      <c r="AK22" s="39" t="n">
        <f aca="false">8314.4621*AJ22/(Sheet1!M$21*Sheet1!M$12*9.80665)</f>
        <v>9137.71681363926</v>
      </c>
      <c r="AL22" s="39" t="n">
        <f aca="false">AL21-LN(AG22/AG21)*(AK21+AK22)/2</f>
        <v>32506.782317951</v>
      </c>
      <c r="AM22" s="39" t="n">
        <f aca="false">Sheet1!M$10*10/Sheet1!M$11*1000*AL22/(Sheet1!M$10*10/Sheet1!M$11*1000-AL22)</f>
        <v>32708.6530345081</v>
      </c>
      <c r="AN22" s="41"/>
      <c r="AO22" s="37" t="n">
        <f aca="false">AO21+(AO$31-AO$19)/12</f>
        <v>3.76135590360206</v>
      </c>
      <c r="AP22" s="40" t="n">
        <f aca="false">10^AO22</f>
        <v>5772.39316269625</v>
      </c>
      <c r="AQ22" s="39" t="n">
        <f aca="false">AS22-AR22*((Sheet1!R$19-Sheet1!R$20)*COS(RADIANS(38))+Sheet1!R$20)/2</f>
        <v>157.204209464298</v>
      </c>
      <c r="AR22" s="37" t="n">
        <f aca="false">(AV22-AV$4)/(AV$31-AV$4)*(AR$31-AR$4)+AR$4</f>
        <v>0.18804340740661</v>
      </c>
      <c r="AS22" s="39" t="n">
        <f aca="false">(AV22-AV$19)/(AV$31-AV$19)*(AS$31-AS$19)+AS$19</f>
        <v>159.047803207672</v>
      </c>
      <c r="AT22" s="39" t="n">
        <f aca="false">8314.4621*AS22/(Sheet1!R$22*Sheet1!R$12*9.80665)</f>
        <v>18497.5252593735</v>
      </c>
      <c r="AU22" s="39" t="n">
        <f aca="false">AU21-LN(AP22/AP21)*(AT21+AT22)/2</f>
        <v>72932.3270586511</v>
      </c>
      <c r="AV22" s="39" t="n">
        <f aca="false">Sheet1!R$10*10/Sheet1!R$11*1000*AU22/(Sheet1!R$10*10/Sheet1!R$11*1000-AU22)</f>
        <v>74123.8691050299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483.602067577371</v>
      </c>
      <c r="T23" s="37" t="n">
        <v>0</v>
      </c>
      <c r="U23" s="39" t="n">
        <f aca="false">(X23-X$14)/(X$24-X$14)*(U$24-U$14)+U$14</f>
        <v>483.602067577371</v>
      </c>
      <c r="V23" s="39" t="n">
        <f aca="false">8314.4621*U23/(Sheet1!H$20*Sheet1!H$12*9.80665)</f>
        <v>60470.7054563006</v>
      </c>
      <c r="W23" s="39" t="n">
        <f aca="false">W22-LN(R23/R22)*(V22+V23)/2</f>
        <v>489687.603408541</v>
      </c>
      <c r="X23" s="39" t="n">
        <f aca="false">Sheet1!H$10*10/Sheet1!H$11*1000*W23/(Sheet1!H$10*10/Sheet1!H$11*1000-W23)</f>
        <v>493768.46538652</v>
      </c>
      <c r="Y23" s="37"/>
      <c r="Z23" s="39"/>
      <c r="AC23" s="39" t="n">
        <f aca="false">IF(AD23=0,0,AA170)</f>
        <v>2584183.21677387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241.360063744464</v>
      </c>
      <c r="AI23" s="37" t="n">
        <f aca="false">(AM23-AM$13)/(AM$30-AM$13)*(AI$30-AI$13)+AI$13</f>
        <v>0.0379267713274424</v>
      </c>
      <c r="AJ23" s="39" t="n">
        <f aca="false">(AM23-AM$18)/(AM$25-AM$18)*(AJ$25-AJ$18)+AJ$18</f>
        <v>241.683050984036</v>
      </c>
      <c r="AK23" s="39" t="n">
        <f aca="false">8314.4621*AJ23/(Sheet1!M$21*Sheet1!M$12*9.80665)</f>
        <v>9229.67807802571</v>
      </c>
      <c r="AL23" s="39" t="n">
        <f aca="false">AL22-LN(AG23/AG22)*(AK22+AK23)/2</f>
        <v>34621.4068016851</v>
      </c>
      <c r="AM23" s="39" t="n">
        <f aca="false">Sheet1!M$10*10/Sheet1!M$11*1000*AL23/(Sheet1!M$10*10/Sheet1!M$11*1000-AL23)</f>
        <v>34850.4884301602</v>
      </c>
      <c r="AN23" s="41"/>
      <c r="AO23" s="37" t="n">
        <f aca="false">AO22+(AO$31-AO$19)/12</f>
        <v>3.66665910574423</v>
      </c>
      <c r="AP23" s="40" t="n">
        <f aca="false">10^AO23</f>
        <v>4641.50802579894</v>
      </c>
      <c r="AQ23" s="39" t="n">
        <f aca="false">AS23-AR23*((Sheet1!R$19-Sheet1!R$20)*COS(RADIANS(38))+Sheet1!R$20)/2</f>
        <v>155.370816192105</v>
      </c>
      <c r="AR23" s="37" t="n">
        <f aca="false">(AV23-AV$4)/(AV$31-AV$4)*(AR$31-AR$4)+AR$4</f>
        <v>0.142692731545196</v>
      </c>
      <c r="AS23" s="39" t="n">
        <f aca="false">(AV23-AV$19)/(AV$31-AV$19)*(AS$31-AS$19)+AS$19</f>
        <v>156.769788007866</v>
      </c>
      <c r="AT23" s="39" t="n">
        <f aca="false">8314.4621*AS23/(Sheet1!R$22*Sheet1!R$12*9.80665)</f>
        <v>18232.5882853958</v>
      </c>
      <c r="AU23" s="39" t="n">
        <f aca="false">AU22-LN(AP23/AP22)*(AT22+AT23)/2</f>
        <v>76936.7805833665</v>
      </c>
      <c r="AV23" s="39" t="n">
        <f aca="false">Sheet1!R$10*10/Sheet1!R$11*1000*AU23/(Sheet1!R$10*10/Sheet1!R$11*1000-AU23)</f>
        <v>78263.9519518718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456.505532744181</v>
      </c>
      <c r="T24" s="37" t="n">
        <v>0</v>
      </c>
      <c r="U24" s="39" t="n">
        <f aca="false">900/1140*(U$44-U$4)+U$4</f>
        <v>456.505532744181</v>
      </c>
      <c r="V24" s="39" t="n">
        <f aca="false">8314.4621*U24/(Sheet1!H$20*Sheet1!H$12*9.80665)</f>
        <v>57082.4929430817</v>
      </c>
      <c r="W24" s="39" t="n">
        <f aca="false">W23-LN(R24/R23)*(V23+V24)/2</f>
        <v>503221.415521951</v>
      </c>
      <c r="X24" s="39" t="n">
        <f aca="false">Sheet1!H$10*10/Sheet1!H$11*1000*W24/(Sheet1!H$10*10/Sheet1!H$11*1000-W24)</f>
        <v>507531.958261123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456.505532744181</v>
      </c>
      <c r="AA24" s="39" t="n">
        <f aca="false">IF(Y24=LOG(Sheet1!H$17*101325),(LOG(Sheet1!H$17*101325)-Q34)/(Q24-Q34)*(X24-X34)+X34,IF(Y24=0,0,X24))</f>
        <v>507531.958261123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243.37142352617</v>
      </c>
      <c r="AI24" s="37" t="n">
        <f aca="false">(AM24-AM$13)/(AM$30-AM$13)*(AI$30-AI$13)+AI$13</f>
        <v>0.0875865137102645</v>
      </c>
      <c r="AJ24" s="39" t="n">
        <f aca="false">(AM24-AM$18)/(AM$25-AM$18)*(AJ$25-AJ$18)+AJ$18</f>
        <v>244.117316870023</v>
      </c>
      <c r="AK24" s="39" t="n">
        <f aca="false">8314.4621*AJ24/(Sheet1!M$21*Sheet1!M$12*9.80665)</f>
        <v>9322.64070156305</v>
      </c>
      <c r="AL24" s="39" t="n">
        <f aca="false">AL23-LN(AG24/AG23)*(AK23+AK24)/2</f>
        <v>36757.3214348029</v>
      </c>
      <c r="AM24" s="39" t="n">
        <f aca="false">Sheet1!M$10*10/Sheet1!M$11*1000*AL24/(Sheet1!M$10*10/Sheet1!M$11*1000-AL24)</f>
        <v>37015.6460981303</v>
      </c>
      <c r="AN24" s="41"/>
      <c r="AO24" s="37" t="n">
        <f aca="false">AO23+(AO$31-AO$19)/12</f>
        <v>3.57196230788641</v>
      </c>
      <c r="AP24" s="40" t="n">
        <f aca="false">10^AO24</f>
        <v>3732.17765081911</v>
      </c>
      <c r="AQ24" s="39" t="n">
        <f aca="false">AS24-AR24*((Sheet1!R$19-Sheet1!R$20)*COS(RADIANS(38))+Sheet1!R$20)/2</f>
        <v>153.560480840946</v>
      </c>
      <c r="AR24" s="37" t="n">
        <f aca="false">(AV24-AV$4)/(AV$31-AV$4)*(AR$31-AR$4)+AR$4</f>
        <v>0.0979124133282976</v>
      </c>
      <c r="AS24" s="39" t="n">
        <f aca="false">(AV24-AV$19)/(AV$31-AV$19)*(AS$31-AS$19)+AS$19</f>
        <v>154.52042256451</v>
      </c>
      <c r="AT24" s="39" t="n">
        <f aca="false">8314.4621*AS24/(Sheet1!R$22*Sheet1!R$12*9.80665)</f>
        <v>17970.9833259628</v>
      </c>
      <c r="AU24" s="39" t="n">
        <f aca="false">AU23-LN(AP24/AP23)*(AT23+AT24)/2</f>
        <v>80883.8285490552</v>
      </c>
      <c r="AV24" s="39" t="n">
        <f aca="false">Sheet1!R$10*10/Sheet1!R$11*1000*AU24/(Sheet1!R$10*10/Sheet1!R$11*1000-AU24)</f>
        <v>82351.9666022476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432.740619329414</v>
      </c>
      <c r="T25" s="37" t="n">
        <v>0</v>
      </c>
      <c r="U25" s="39" t="n">
        <f aca="false">(X25-X$24)/(X$34-X$24)*(U$34-U$24)+U$24</f>
        <v>432.740619329414</v>
      </c>
      <c r="V25" s="39" t="n">
        <f aca="false">8314.4621*U25/(Sheet1!H$20*Sheet1!H$12*9.80665)</f>
        <v>54110.8739702804</v>
      </c>
      <c r="W25" s="39" t="n">
        <f aca="false">W24-LN(R25/R24)*(V24+V25)/2</f>
        <v>516023.024976677</v>
      </c>
      <c r="X25" s="39" t="n">
        <f aca="false">Sheet1!H$10*10/Sheet1!H$11*1000*W25/(Sheet1!H$10*10/Sheet1!H$11*1000-W25)</f>
        <v>520556.659781091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245.404715561225</v>
      </c>
      <c r="AI25" s="37" t="n">
        <f aca="false">(AM25-AM$13)/(AM$30-AM$13)*(AI$30-AI$13)+AI$13</f>
        <v>0.137787835116023</v>
      </c>
      <c r="AJ25" s="39" t="n">
        <f aca="false">0.86*Sheet1!M16+0.35*Sheet1!M18</f>
        <v>246.578127137087</v>
      </c>
      <c r="AK25" s="39" t="n">
        <f aca="false">8314.4621*AJ25/(Sheet1!M$21*Sheet1!M$12*9.80665)</f>
        <v>9416.61703330671</v>
      </c>
      <c r="AL25" s="39" t="n">
        <f aca="false">AL24-LN(AG25/AG24)*(AK24+AK25)/2</f>
        <v>38914.7582105071</v>
      </c>
      <c r="AM25" s="39" t="n">
        <f aca="false">Sheet1!M$10*10/Sheet1!M$11*1000*AL25/(Sheet1!M$10*10/Sheet1!M$11*1000-AL25)</f>
        <v>39204.4165340703</v>
      </c>
      <c r="AN25" s="41"/>
      <c r="AO25" s="37" t="n">
        <f aca="false">AO24+(AO$31-AO$19)/12</f>
        <v>3.47726551002859</v>
      </c>
      <c r="AP25" s="40" t="n">
        <f aca="false">10^AO25</f>
        <v>3000.99664588559</v>
      </c>
      <c r="AQ25" s="39" t="n">
        <f aca="false">AS25-AR25*((Sheet1!R$19-Sheet1!R$20)*COS(RADIANS(38))+Sheet1!R$20)/2</f>
        <v>151.773002106896</v>
      </c>
      <c r="AR25" s="37" t="n">
        <f aca="false">(AV25-AV$4)/(AV$31-AV$4)*(AR$31-AR$4)+AR$4</f>
        <v>0.0536974734200719</v>
      </c>
      <c r="AS25" s="39" t="n">
        <f aca="false">(AV25-AV$19)/(AV$31-AV$19)*(AS$31-AS$19)+AS$19</f>
        <v>152.299456755838</v>
      </c>
      <c r="AT25" s="39" t="n">
        <f aca="false">8314.4621*AS25/(Sheet1!R$22*Sheet1!R$12*9.80665)</f>
        <v>17712.6812914954</v>
      </c>
      <c r="AU25" s="39" t="n">
        <f aca="false">AU24-LN(AP25/AP24)*(AT24+AT25)/2</f>
        <v>84774.1943214881</v>
      </c>
      <c r="AV25" s="39" t="n">
        <f aca="false">Sheet1!R$10*10/Sheet1!R$11*1000*AU25/(Sheet1!R$10*10/Sheet1!R$11*1000-AU25)</f>
        <v>86388.3676218835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410.203600744645</v>
      </c>
      <c r="T26" s="37" t="n">
        <v>0</v>
      </c>
      <c r="U26" s="39" t="n">
        <f aca="false">(X26-X$24)/(X$34-X$24)*(U$34-U$24)+U$24</f>
        <v>410.203600744645</v>
      </c>
      <c r="V26" s="39" t="n">
        <f aca="false">8314.4621*U26/(Sheet1!H$20*Sheet1!H$12*9.80665)</f>
        <v>51292.7937674188</v>
      </c>
      <c r="W26" s="39" t="n">
        <f aca="false">W25-LN(R26/R25)*(V25+V26)/2</f>
        <v>528158.070680663</v>
      </c>
      <c r="X26" s="39" t="n">
        <f aca="false">Sheet1!H$10*10/Sheet1!H$11*1000*W26/(Sheet1!H$10*10/Sheet1!H$11*1000-W26)</f>
        <v>532908.424439231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248.531899627679</v>
      </c>
      <c r="AI26" s="37" t="n">
        <f aca="false">(AM26-AM$13)/(AM$30-AM$13)*(AI$30-AI$13)+AI$13</f>
        <v>0.188647371679254</v>
      </c>
      <c r="AJ26" s="39" t="n">
        <f aca="false">(AM26-AM$25)/(AM$35-AM$25)*(AJ$35-AJ$25)+AJ$25</f>
        <v>250.138434845377</v>
      </c>
      <c r="AK26" s="39" t="n">
        <f aca="false">8314.4621*AJ26/(Sheet1!M$21*Sheet1!M$12*9.80665)</f>
        <v>9552.58227320433</v>
      </c>
      <c r="AL26" s="39" t="n">
        <f aca="false">AL25-LN(AG26/AG25)*(AK25+AK26)/2</f>
        <v>41098.6679879674</v>
      </c>
      <c r="AM26" s="39" t="n">
        <f aca="false">Sheet1!M$10*10/Sheet1!M$11*1000*AL26/(Sheet1!M$10*10/Sheet1!M$11*1000-AL26)</f>
        <v>41421.8850567701</v>
      </c>
      <c r="AN26" s="41"/>
      <c r="AO26" s="37" t="n">
        <f aca="false">AO25+(AO$31-AO$19)/12</f>
        <v>3.38256871217076</v>
      </c>
      <c r="AP26" s="40" t="n">
        <f aca="false">10^AO26</f>
        <v>2413.06328669536</v>
      </c>
      <c r="AQ26" s="39" t="n">
        <f aca="false">AS26-AR26*((Sheet1!R$19-Sheet1!R$20)*COS(RADIANS(38))+Sheet1!R$20)/2</f>
        <v>150.008177986176</v>
      </c>
      <c r="AR26" s="37" t="n">
        <f aca="false">(AV26-AV$4)/(AV$31-AV$4)*(AR$31-AR$4)+AR$4</f>
        <v>0.0100429151706229</v>
      </c>
      <c r="AS26" s="39" t="n">
        <f aca="false">(AV26-AV$19)/(AV$31-AV$19)*(AS$31-AS$19)+AS$19</f>
        <v>150.10663959049</v>
      </c>
      <c r="AT26" s="39" t="n">
        <f aca="false">8314.4621*AS26/(Sheet1!R$22*Sheet1!R$12*9.80665)</f>
        <v>17457.6529912789</v>
      </c>
      <c r="AU26" s="39" t="n">
        <f aca="false">AU25-LN(AP26/AP25)*(AT25+AT26)/2</f>
        <v>88608.5949125022</v>
      </c>
      <c r="AV26" s="39" t="n">
        <f aca="false">Sheet1!R$10*10/Sheet1!R$11*1000*AU26/(Sheet1!R$10*10/Sheet1!R$11*1000-AU26)</f>
        <v>90373.6111571133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388.831903751953</v>
      </c>
      <c r="T27" s="37" t="n">
        <v>0</v>
      </c>
      <c r="U27" s="39" t="n">
        <f aca="false">(X27-X$24)/(X$34-X$24)*(U$34-U$24)+U$24</f>
        <v>388.831903751953</v>
      </c>
      <c r="V27" s="39" t="n">
        <f aca="false">8314.4621*U27/(Sheet1!H$20*Sheet1!H$12*9.80665)</f>
        <v>48620.4280341196</v>
      </c>
      <c r="W27" s="39" t="n">
        <f aca="false">W26-LN(R27/R26)*(V26+V27)/2</f>
        <v>539661.005436325</v>
      </c>
      <c r="X27" s="39" t="n">
        <f aca="false">Sheet1!H$10*10/Sheet1!H$11*1000*W27/(Sheet1!H$10*10/Sheet1!H$11*1000-W27)</f>
        <v>544621.503325225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251.706927366251</v>
      </c>
      <c r="AI27" s="37" t="n">
        <f aca="false">(AM27-AM$13)/(AM$30-AM$13)*(AI$30-AI$13)+AI$13</f>
        <v>0.240285028192541</v>
      </c>
      <c r="AJ27" s="39" t="n">
        <f aca="false">(AM27-AM$25)/(AM$35-AM$25)*(AJ$35-AJ$25)+AJ$25</f>
        <v>253.753212753854</v>
      </c>
      <c r="AK27" s="39" t="n">
        <f aca="false">8314.4621*AJ27/(Sheet1!M$21*Sheet1!M$12*9.80665)</f>
        <v>9690.62768550345</v>
      </c>
      <c r="AL27" s="39" t="n">
        <f aca="false">AL26-LN(AG27/AG26)*(AK26+AK27)/2</f>
        <v>43314.1244075811</v>
      </c>
      <c r="AM27" s="39" t="n">
        <f aca="false">Sheet1!M$10*10/Sheet1!M$11*1000*AL27/(Sheet1!M$10*10/Sheet1!M$11*1000-AL27)</f>
        <v>43673.2794980435</v>
      </c>
      <c r="AN27" s="41"/>
      <c r="AO27" s="37" t="n">
        <f aca="false">AO26+(AO$31-AO$19)/12</f>
        <v>3.28787191431294</v>
      </c>
      <c r="AP27" s="40" t="n">
        <f aca="false">10^AO27</f>
        <v>1940.31354003021</v>
      </c>
      <c r="AQ27" s="39" t="n">
        <f aca="false">AS27-AR27*((Sheet1!R$19-Sheet1!R$20)*COS(RADIANS(38))+Sheet1!R$20)/2</f>
        <v>148.265805856762</v>
      </c>
      <c r="AR27" s="37" t="n">
        <f aca="false">(AV27-AV$4)/(AV$31-AV$4)*(AR$31-AR$4)+AR$4</f>
        <v>-0.0330562733654318</v>
      </c>
      <c r="AS27" s="39" t="n">
        <f aca="false">(AV27-AV$19)/(AV$31-AV$19)*(AS$31-AS$19)+AS$19</f>
        <v>147.941719308894</v>
      </c>
      <c r="AT27" s="39" t="n">
        <f aca="false">8314.4621*AS27/(Sheet1!R$22*Sheet1!R$12*9.80665)</f>
        <v>17205.8691452546</v>
      </c>
      <c r="AU27" s="39" t="n">
        <f aca="false">AU26-LN(AP27/AP26)*(AT26+AT27)/2</f>
        <v>92387.7409592332</v>
      </c>
      <c r="AV27" s="39" t="n">
        <f aca="false">Sheet1!R$10*10/Sheet1!R$11*1000*AU27/(Sheet1!R$10*10/Sheet1!R$11*1000-AU27)</f>
        <v>94308.1547506024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368.566120606876</v>
      </c>
      <c r="T28" s="37" t="n">
        <v>0</v>
      </c>
      <c r="U28" s="39" t="n">
        <f aca="false">(X28-X$24)/(X$34-X$24)*(U$34-U$24)+U$24</f>
        <v>368.566120606876</v>
      </c>
      <c r="V28" s="39" t="n">
        <f aca="false">8314.4621*U28/(Sheet1!H$20*Sheet1!H$12*9.80665)</f>
        <v>46086.3482905272</v>
      </c>
      <c r="W28" s="39" t="n">
        <f aca="false">W27-LN(R28/R27)*(V27+V28)/2</f>
        <v>550564.526004857</v>
      </c>
      <c r="X28" s="39" t="n">
        <f aca="false">Sheet1!H$10*10/Sheet1!H$11*1000*W28/(Sheet1!H$10*10/Sheet1!H$11*1000-W28)</f>
        <v>555728.455532772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254.930560662991</v>
      </c>
      <c r="AI28" s="37" t="n">
        <f aca="false">(AM28-AM$13)/(AM$30-AM$13)*(AI$30-AI$13)+AI$13</f>
        <v>0.292713999089138</v>
      </c>
      <c r="AJ28" s="39" t="n">
        <f aca="false">(AM28-AM$25)/(AM$35-AM$25)*(AJ$35-AJ$25)+AJ$25</f>
        <v>257.423335113353</v>
      </c>
      <c r="AK28" s="39" t="n">
        <f aca="false">8314.4621*AJ28/(Sheet1!M$21*Sheet1!M$12*9.80665)</f>
        <v>9830.78665712855</v>
      </c>
      <c r="AL28" s="39" t="n">
        <f aca="false">AL27-LN(AG28/AG27)*(AK27+AK28)/2</f>
        <v>45561.6102905564</v>
      </c>
      <c r="AM28" s="39" t="n">
        <f aca="false">Sheet1!M$10*10/Sheet1!M$11*1000*AL28/(Sheet1!M$10*10/Sheet1!M$11*1000-AL28)</f>
        <v>45959.1751332939</v>
      </c>
      <c r="AN28" s="41"/>
      <c r="AO28" s="37" t="n">
        <f aca="false">AO27+(AO$31-AO$19)/12</f>
        <v>3.19317511645512</v>
      </c>
      <c r="AP28" s="40" t="n">
        <f aca="false">10^AO28</f>
        <v>1560.18147322625</v>
      </c>
      <c r="AQ28" s="39" t="n">
        <f aca="false">AS28-AR28*((Sheet1!R$19-Sheet1!R$20)*COS(RADIANS(38))+Sheet1!R$20)/2</f>
        <v>146.545682558259</v>
      </c>
      <c r="AR28" s="37" t="n">
        <f aca="false">(AV28-AV$4)/(AV$31-AV$4)*(AR$31-AR$4)+AR$4</f>
        <v>-0.0756051174529735</v>
      </c>
      <c r="AS28" s="39" t="n">
        <f aca="false">(AV28-AV$19)/(AV$31-AV$19)*(AS$31-AS$19)+AS$19</f>
        <v>145.804443482528</v>
      </c>
      <c r="AT28" s="39" t="n">
        <f aca="false">8314.4621*AS28/(Sheet1!R$22*Sheet1!R$12*9.80665)</f>
        <v>16957.3003955635</v>
      </c>
      <c r="AU28" s="39" t="n">
        <f aca="false">AU27-LN(AP28/AP27)*(AT27+AT28)/2</f>
        <v>96112.3367058931</v>
      </c>
      <c r="AV28" s="39" t="n">
        <f aca="false">Sheet1!R$10*10/Sheet1!R$11*1000*AU28/(Sheet1!R$10*10/Sheet1!R$11*1000-AU28)</f>
        <v>98192.4571609588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349.349829450647</v>
      </c>
      <c r="T29" s="37" t="n">
        <v>0</v>
      </c>
      <c r="U29" s="39" t="n">
        <f aca="false">(X29-X$24)/(X$34-X$24)*(U$34-U$24)+U$24</f>
        <v>349.349829450647</v>
      </c>
      <c r="V29" s="39" t="n">
        <f aca="false">8314.4621*U29/(Sheet1!H$20*Sheet1!H$12*9.80665)</f>
        <v>43683.499418743</v>
      </c>
      <c r="W29" s="39" t="n">
        <f aca="false">W28-LN(R29/R28)*(V28+V29)/2</f>
        <v>560899.661661643</v>
      </c>
      <c r="X29" s="39" t="n">
        <f aca="false">Sheet1!H$10*10/Sheet1!H$11*1000*W29/(Sheet1!H$10*10/Sheet1!H$11*1000-W29)</f>
        <v>566260.228112117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258.203710001041</v>
      </c>
      <c r="AI29" s="37" t="n">
        <f aca="false">(AM29-AM$13)/(AM$30-AM$13)*(AI$30-AI$13)+AI$13</f>
        <v>0.345947744824665</v>
      </c>
      <c r="AJ29" s="39" t="n">
        <f aca="false">(AM29-AM$25)/(AM$35-AM$25)*(AJ$35-AJ$25)+AJ$25</f>
        <v>261.149827037269</v>
      </c>
      <c r="AK29" s="39" t="n">
        <f aca="false">8314.4621*AJ29/(Sheet1!M$21*Sheet1!M$12*9.80665)</f>
        <v>9973.09833632192</v>
      </c>
      <c r="AL29" s="39" t="n">
        <f aca="false">AL28-LN(AG29/AG28)*(AK28+AK29)/2</f>
        <v>47841.6168090207</v>
      </c>
      <c r="AM29" s="39" t="n">
        <f aca="false">Sheet1!M$10*10/Sheet1!M$11*1000*AL29/(Sheet1!M$10*10/Sheet1!M$11*1000-AL29)</f>
        <v>48280.1588364619</v>
      </c>
      <c r="AN29" s="41"/>
      <c r="AO29" s="37" t="n">
        <f aca="false">AO28+(AO$31-AO$19)/12</f>
        <v>3.09847831859729</v>
      </c>
      <c r="AP29" s="40" t="n">
        <f aca="false">10^AO29</f>
        <v>1254.52210644293</v>
      </c>
      <c r="AQ29" s="39" t="n">
        <f aca="false">AS29-AR29*((Sheet1!R$19-Sheet1!R$20)*COS(RADIANS(38))+Sheet1!R$20)/2</f>
        <v>144.847604470054</v>
      </c>
      <c r="AR29" s="37" t="n">
        <f aca="false">(AV29-AV$4)/(AV$31-AV$4)*(AR$31-AR$4)+AR$4</f>
        <v>-0.117608653743185</v>
      </c>
      <c r="AS29" s="39" t="n">
        <f aca="false">(AV29-AV$19)/(AV$31-AV$19)*(AS$31-AS$19)+AS$19</f>
        <v>143.694559111018</v>
      </c>
      <c r="AT29" s="39" t="n">
        <f aca="false">8314.4621*AS29/(Sheet1!R$22*Sheet1!R$12*9.80665)</f>
        <v>16711.9173178393</v>
      </c>
      <c r="AU29" s="39" t="n">
        <f aca="false">AU28-LN(AP29/AP28)*(AT28+AT29)/2</f>
        <v>99783.0799880371</v>
      </c>
      <c r="AV29" s="39" t="n">
        <f aca="false">Sheet1!R$10*10/Sheet1!R$11*1000*AU29/(Sheet1!R$10*10/Sheet1!R$11*1000-AU29)</f>
        <v>102026.978186251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331.129350674608</v>
      </c>
      <c r="T30" s="37" t="n">
        <v>0</v>
      </c>
      <c r="U30" s="39" t="n">
        <f aca="false">(X30-X$24)/(X$34-X$24)*(U$34-U$24)+U$24</f>
        <v>331.129350674608</v>
      </c>
      <c r="V30" s="39" t="n">
        <f aca="false">8314.4621*U30/(Sheet1!H$20*Sheet1!H$12*9.80665)</f>
        <v>41405.1691980758</v>
      </c>
      <c r="W30" s="39" t="n">
        <f aca="false">W29-LN(R30/R29)*(V29+V30)/2</f>
        <v>570695.856658633</v>
      </c>
      <c r="X30" s="39" t="n">
        <f aca="false">Sheet1!H$10*10/Sheet1!H$11*1000*W30/(Sheet1!H$10*10/Sheet1!H$11*1000-W30)</f>
        <v>576246.230856995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261.527186619589</v>
      </c>
      <c r="AI30" s="37" t="n">
        <v>0.4</v>
      </c>
      <c r="AJ30" s="39" t="n">
        <f aca="false">(AM30-AM$25)/(AM$35-AM$25)*(AJ$35-AJ$25)+AJ$25</f>
        <v>264.933616729687</v>
      </c>
      <c r="AK30" s="39" t="n">
        <f aca="false">8314.4621*AJ30/(Sheet1!M$21*Sheet1!M$12*9.80665)</f>
        <v>10117.5981704385</v>
      </c>
      <c r="AL30" s="39" t="n">
        <f aca="false">AL29-LN(AG30/AG29)*(AK29+AK30)/2</f>
        <v>50154.6437232374</v>
      </c>
      <c r="AM30" s="39" t="n">
        <f aca="false">Sheet1!M$10*10/Sheet1!M$11*1000*AL30/(Sheet1!M$10*10/Sheet1!M$11*1000-AL30)</f>
        <v>50636.8294341821</v>
      </c>
      <c r="AN30" s="41"/>
      <c r="AO30" s="37" t="n">
        <f aca="false">AO29+(AO$31-AO$19)/12</f>
        <v>3.00378152073947</v>
      </c>
      <c r="AP30" s="40" t="n">
        <f aca="false">10^AO30</f>
        <v>1008.74529185348</v>
      </c>
      <c r="AQ30" s="39" t="n">
        <f aca="false">AS30-AR30*((Sheet1!R$19-Sheet1!R$20)*COS(RADIANS(38))+Sheet1!R$20)/2</f>
        <v>143.171367587728</v>
      </c>
      <c r="AR30" s="37" t="n">
        <f aca="false">(AV30-AV$4)/(AV$31-AV$4)*(AR$31-AR$4)+AR$4</f>
        <v>-0.159071928383291</v>
      </c>
      <c r="AS30" s="39" t="n">
        <f aca="false">(AV30-AV$19)/(AV$31-AV$19)*(AS$31-AS$19)+AS$19</f>
        <v>141.611812717083</v>
      </c>
      <c r="AT30" s="39" t="n">
        <f aca="false">8314.4621*AS30/(Sheet1!R$22*Sheet1!R$12*9.80665)</f>
        <v>16469.6904322508</v>
      </c>
      <c r="AU30" s="39" t="n">
        <f aca="false">AU29-LN(AP30/AP29)*(AT29+AT30)/2</f>
        <v>103400.662219266</v>
      </c>
      <c r="AV30" s="39" t="n">
        <f aca="false">Sheet1!R$10*10/Sheet1!R$11*1000*AU30/(Sheet1!R$10*10/Sheet1!R$11*1000-AU30)</f>
        <v>105812.178491445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313.853697664642</v>
      </c>
      <c r="T31" s="37" t="n">
        <v>0</v>
      </c>
      <c r="U31" s="39" t="n">
        <f aca="false">(X31-X$24)/(X$34-X$24)*(U$34-U$24)+U$24</f>
        <v>313.853697664642</v>
      </c>
      <c r="V31" s="39" t="n">
        <f aca="false">8314.4621*U31/(Sheet1!H$20*Sheet1!H$12*9.80665)</f>
        <v>39244.9821460141</v>
      </c>
      <c r="W31" s="39" t="n">
        <f aca="false">W30-LN(R31/R30)*(V30+V31)/2</f>
        <v>579981.048470263</v>
      </c>
      <c r="X31" s="39" t="n">
        <f aca="false">Sheet1!H$10*10/Sheet1!H$11*1000*W31/(Sheet1!H$10*10/Sheet1!H$11*1000-W31)</f>
        <v>585714.407732594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265.712710113467</v>
      </c>
      <c r="AI31" s="37" t="n">
        <f aca="false">(AM31-AM$30)/(AM$50-AM$30)*(AI$50-AI$30)+AI$30</f>
        <v>0.359669741098483</v>
      </c>
      <c r="AJ31" s="39" t="n">
        <f aca="false">(AM31-AM$25)/(AM$35-AM$25)*(AJ$35-AJ$25)+AJ$25</f>
        <v>268.77568470289</v>
      </c>
      <c r="AK31" s="39" t="n">
        <f aca="false">8314.4621*AJ31/(Sheet1!M$21*Sheet1!M$12*9.80665)</f>
        <v>10264.3236044404</v>
      </c>
      <c r="AL31" s="39" t="n">
        <f aca="false">AL30-LN(AG31/AG30)*(AK30+AK31)/2</f>
        <v>52501.1991855078</v>
      </c>
      <c r="AM31" s="39" t="n">
        <f aca="false">Sheet1!M$10*10/Sheet1!M$11*1000*AL31/(Sheet1!M$10*10/Sheet1!M$11*1000-AL31)</f>
        <v>53029.7976225207</v>
      </c>
      <c r="AN31" s="41"/>
      <c r="AO31" s="37" t="n">
        <f aca="false">AO4+0.4*(AO61-AO4)</f>
        <v>2.90908472288165</v>
      </c>
      <c r="AP31" s="40" t="n">
        <f aca="false">10^AO31</f>
        <v>811.119276902797</v>
      </c>
      <c r="AQ31" s="39" t="n">
        <f aca="false">AS31-AR31*((Sheet1!R$19-Sheet1!R$20)*COS(RADIANS(38))+Sheet1!R$20)/2</f>
        <v>141.516800803936</v>
      </c>
      <c r="AR31" s="37" t="n">
        <f aca="false">ROUND(-MIN(Sheet1!R21+Sheet1!R19,5.7*LOG(Sheet1!R15)+4.8)/(Sheet1!R21+Sheet1!R19)/2/0.05,0)*0.05</f>
        <v>-0.2</v>
      </c>
      <c r="AS31" s="39" t="n">
        <f aca="false">Sheet1!R16+0.64*(AS61-Sheet1!R16)+0.1*Sheet1!R18</f>
        <v>139.555983598165</v>
      </c>
      <c r="AT31" s="39" t="n">
        <f aca="false">8314.4621*AS31/(Sheet1!R$22*Sheet1!R$12*9.80665)</f>
        <v>16230.5940707219</v>
      </c>
      <c r="AU31" s="39" t="n">
        <f aca="false">AU30-LN(AP31/AP30)*(AT30+AT31)/2</f>
        <v>106965.76880075</v>
      </c>
      <c r="AV31" s="39" t="n">
        <f aca="false">Sheet1!R$10*10/Sheet1!R$11*1000*AU31/(Sheet1!R$10*10/Sheet1!R$11*1000-AU31)</f>
        <v>109548.519880766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297.474431690312</v>
      </c>
      <c r="T32" s="37" t="n">
        <v>0</v>
      </c>
      <c r="U32" s="39" t="n">
        <f aca="false">(X32-X$24)/(X$34-X$24)*(U$34-U$24)+U$24</f>
        <v>297.474431690312</v>
      </c>
      <c r="V32" s="39" t="n">
        <f aca="false">8314.4621*U32/(Sheet1!H$20*Sheet1!H$12*9.80665)</f>
        <v>37196.8813732323</v>
      </c>
      <c r="W32" s="39" t="n">
        <f aca="false">W31-LN(R32/R31)*(V31+V32)/2</f>
        <v>588781.743241268</v>
      </c>
      <c r="X32" s="39" t="n">
        <f aca="false">Sheet1!H$10*10/Sheet1!H$11*1000*W32/(Sheet1!H$10*10/Sheet1!H$11*1000-W32)</f>
        <v>594691.306298551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269.962799287757</v>
      </c>
      <c r="AI32" s="37" t="n">
        <f aca="false">(AM32-AM$30)/(AM$50-AM$30)*(AI$50-AI$30)+AI$30</f>
        <v>0.318717236084329</v>
      </c>
      <c r="AJ32" s="39" t="n">
        <f aca="false">(AM32-AM$25)/(AM$35-AM$25)*(AJ$35-AJ$25)+AJ$25</f>
        <v>272.67701926177</v>
      </c>
      <c r="AK32" s="39" t="n">
        <f aca="false">8314.4621*AJ32/(Sheet1!M$21*Sheet1!M$12*9.80665)</f>
        <v>10413.3123808835</v>
      </c>
      <c r="AL32" s="39" t="n">
        <f aca="false">AL31-LN(AG32/AG31)*(AK31+AK32)/2</f>
        <v>54881.800004416</v>
      </c>
      <c r="AM32" s="39" t="n">
        <f aca="false">Sheet1!M$10*10/Sheet1!M$11*1000*AL32/(Sheet1!M$10*10/Sheet1!M$11*1000-AL32)</f>
        <v>55459.6863562119</v>
      </c>
      <c r="AN32" s="41"/>
      <c r="AO32" s="37" t="n">
        <f aca="false">AO31+(AO$41-AO$31)/10</f>
        <v>2.79544856545226</v>
      </c>
      <c r="AP32" s="40" t="n">
        <f aca="false">10^AO32</f>
        <v>624.379399136437</v>
      </c>
      <c r="AQ32" s="39" t="n">
        <f aca="false">AS32-AR32*((Sheet1!R$19-Sheet1!R$20)*COS(RADIANS(38))+Sheet1!R$20)/2</f>
        <v>140.006808047728</v>
      </c>
      <c r="AR32" s="37" t="n">
        <f aca="false">(AV32-AV$31)/(AV$51-AV$31)*(AR$51-AR$31)+AR$31</f>
        <v>-0.189293066082408</v>
      </c>
      <c r="AS32" s="39" t="n">
        <f aca="false">(AV32-AV$31)/(AV$41-AV$31)*(AS$41-AS$31)+AS$31</f>
        <v>138.15096254319</v>
      </c>
      <c r="AT32" s="39" t="n">
        <f aca="false">8314.4621*AS32/(Sheet1!R$22*Sheet1!R$12*9.80665)</f>
        <v>16067.1877744373</v>
      </c>
      <c r="AU32" s="39" t="n">
        <f aca="false">AU31-LN(AP32/AP31)*(AT31+AT32)/2</f>
        <v>111191.237895237</v>
      </c>
      <c r="AV32" s="39" t="n">
        <f aca="false">Sheet1!R$10*10/Sheet1!R$11*1000*AU32/(Sheet1!R$10*10/Sheet1!R$11*1000-AU32)</f>
        <v>113984.736676869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281.945540964096</v>
      </c>
      <c r="T33" s="37" t="n">
        <v>0</v>
      </c>
      <c r="U33" s="39" t="n">
        <f aca="false">(X33-X$24)/(X$34-X$24)*(U$34-U$24)+U$24</f>
        <v>281.945540964096</v>
      </c>
      <c r="V33" s="39" t="n">
        <f aca="false">8314.4621*U33/(Sheet1!H$20*Sheet1!H$12*9.80665)</f>
        <v>35255.1134608817</v>
      </c>
      <c r="W33" s="39" t="n">
        <f aca="false">W32-LN(R33/R32)*(V32+V33)/2</f>
        <v>597123.087404404</v>
      </c>
      <c r="X33" s="39" t="n">
        <f aca="false">Sheet1!H$10*10/Sheet1!H$11*1000*W33/(Sheet1!H$10*10/Sheet1!H$11*1000-W33)</f>
        <v>603202.143992297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274.27858745126</v>
      </c>
      <c r="AI33" s="37" t="n">
        <f aca="false">(AM33-AM$30)/(AM$50-AM$30)*(AI$50-AI$30)+AI$30</f>
        <v>0.277131772533688</v>
      </c>
      <c r="AJ33" s="39" t="n">
        <f aca="false">(AM33-AM$25)/(AM$35-AM$25)*(AJ$35-AJ$25)+AJ$25</f>
        <v>276.63866248732</v>
      </c>
      <c r="AK33" s="39" t="n">
        <f aca="false">8314.4621*AJ33/(Sheet1!M$21*Sheet1!M$12*9.80665)</f>
        <v>10564.6042959886</v>
      </c>
      <c r="AL33" s="39" t="n">
        <f aca="false">AL32-LN(AG33/AG32)*(AK32+AK33)/2</f>
        <v>57296.9719155278</v>
      </c>
      <c r="AM33" s="39" t="n">
        <f aca="false">Sheet1!M$10*10/Sheet1!M$11*1000*AL33/(Sheet1!M$10*10/Sheet1!M$11*1000-AL33)</f>
        <v>57927.1312495611</v>
      </c>
      <c r="AN33" s="41"/>
      <c r="AO33" s="37" t="n">
        <f aca="false">AO32+(AO$41-AO$31)/10</f>
        <v>2.68181240802287</v>
      </c>
      <c r="AP33" s="40" t="n">
        <f aca="false">10^AO33</f>
        <v>480.63169643137</v>
      </c>
      <c r="AQ33" s="39" t="n">
        <f aca="false">AS33-AR33*((Sheet1!R$19-Sheet1!R$20)*COS(RADIANS(38))+Sheet1!R$20)/2</f>
        <v>138.509189483054</v>
      </c>
      <c r="AR33" s="37" t="n">
        <f aca="false">(AV33-AV$31)/(AV$51-AV$31)*(AR$51-AR$31)+AR$31</f>
        <v>-0.17867387324648</v>
      </c>
      <c r="AS33" s="39" t="n">
        <f aca="false">(AV33-AV$31)/(AV$41-AV$31)*(AS$41-AS$31)+AS$31</f>
        <v>136.757455458637</v>
      </c>
      <c r="AT33" s="39" t="n">
        <f aca="false">8314.4621*AS33/(Sheet1!R$22*Sheet1!R$12*9.80665)</f>
        <v>15905.1205721511</v>
      </c>
      <c r="AU33" s="39" t="n">
        <f aca="false">AU32-LN(AP33/AP32)*(AT32+AT33)/2</f>
        <v>115374.125792789</v>
      </c>
      <c r="AV33" s="39" t="n">
        <f aca="false">Sheet1!R$10*10/Sheet1!R$11*1000*AU33/(Sheet1!R$10*10/Sheet1!R$11*1000-AU33)</f>
        <v>118384.599605171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267.223348982756</v>
      </c>
      <c r="T34" s="37" t="n">
        <v>0</v>
      </c>
      <c r="U34" s="39" t="n">
        <f aca="false">1060/1140*(U$44-U$4)+U$4</f>
        <v>267.223348982756</v>
      </c>
      <c r="V34" s="39" t="n">
        <f aca="false">8314.4621*U34/(Sheet1!H$20*Sheet1!H$12*9.80665)</f>
        <v>33414.216999387</v>
      </c>
      <c r="W34" s="39" t="n">
        <f aca="false">W33-LN(R34/R33)*(V33+V34)/2</f>
        <v>605028.936237589</v>
      </c>
      <c r="X34" s="39" t="n">
        <f aca="false">Sheet1!H$10*10/Sheet1!H$11*1000*W34/(Sheet1!H$10*10/Sheet1!H$11*1000-W34)</f>
        <v>611270.87198185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267.223348982756</v>
      </c>
      <c r="AA34" s="39" t="n">
        <f aca="false">IF(Y34=LOG(Sheet1!H$17*101325),(LOG(Sheet1!H$17*101325)-Q44)/(Q34-Q44)*(X34-X44)+X44,IF(Y34=0,0,X34))</f>
        <v>611270.87198185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278.661199268044</v>
      </c>
      <c r="AI34" s="37" t="n">
        <f aca="false">(AM34-AM$30)/(AM$50-AM$30)*(AI$50-AI$30)+AI$30</f>
        <v>0.234902419204138</v>
      </c>
      <c r="AJ34" s="39" t="n">
        <f aca="false">(AM34-AM$25)/(AM$35-AM$25)*(AJ$35-AJ$25)+AJ$25</f>
        <v>280.661645952324</v>
      </c>
      <c r="AK34" s="39" t="n">
        <f aca="false">8314.4621*AJ34/(Sheet1!M$21*Sheet1!M$12*9.80665)</f>
        <v>10718.2387446768</v>
      </c>
      <c r="AL34" s="39" t="n">
        <f aca="false">AL33-LN(AG34/AG33)*(AK33+AK34)/2</f>
        <v>59747.2497716262</v>
      </c>
      <c r="AM34" s="39" t="n">
        <f aca="false">Sheet1!M$10*10/Sheet1!M$11*1000*AL34/(Sheet1!M$10*10/Sheet1!M$11*1000-AL34)</f>
        <v>60432.7809003229</v>
      </c>
      <c r="AN34" s="41"/>
      <c r="AO34" s="37" t="n">
        <f aca="false">AO33+(AO$41-AO$31)/10</f>
        <v>2.56817625059348</v>
      </c>
      <c r="AP34" s="40" t="n">
        <f aca="false">10^AO34</f>
        <v>369.97829834552</v>
      </c>
      <c r="AQ34" s="39" t="n">
        <f aca="false">AS34-AR34*((Sheet1!R$19-Sheet1!R$20)*COS(RADIANS(38))+Sheet1!R$20)/2</f>
        <v>137.023897982088</v>
      </c>
      <c r="AR34" s="37" t="n">
        <f aca="false">(AV34-AV$31)/(AV$51-AV$31)*(AR$51-AR$31)+AR$31</f>
        <v>-0.168142087480911</v>
      </c>
      <c r="AS34" s="39" t="n">
        <f aca="false">(AV34-AV$31)/(AV$41-AV$31)*(AS$41-AS$31)+AS$31</f>
        <v>135.375418491354</v>
      </c>
      <c r="AT34" s="39" t="n">
        <f aca="false">8314.4621*AS34/(Sheet1!R$22*Sheet1!R$12*9.80665)</f>
        <v>15744.3873636684</v>
      </c>
      <c r="AU34" s="39" t="n">
        <f aca="false">AU33-LN(AP34/AP33)*(AT33+AT34)/2</f>
        <v>119514.782209371</v>
      </c>
      <c r="AV34" s="39" t="n">
        <f aca="false">Sheet1!R$10*10/Sheet1!R$11*1000*AU34/(Sheet1!R$10*10/Sheet1!R$11*1000-AU34)</f>
        <v>122748.247056979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255.803041705831</v>
      </c>
      <c r="T35" s="37" t="n">
        <v>0</v>
      </c>
      <c r="U35" s="39" t="n">
        <f aca="false">(X35-X$34)/(X$44-X$34)*(U$44-U$34)+U$34</f>
        <v>255.803041705831</v>
      </c>
      <c r="V35" s="39" t="n">
        <f aca="false">8314.4621*U35/(Sheet1!H$20*Sheet1!H$12*9.80665)</f>
        <v>31986.1957317714</v>
      </c>
      <c r="W35" s="39" t="n">
        <f aca="false">W34-LN(R35/R34)*(V34+V35)/2</f>
        <v>612558.43700911</v>
      </c>
      <c r="X35" s="39" t="n">
        <f aca="false">Sheet1!H$10*10/Sheet1!H$11*1000*W35/(Sheet1!H$10*10/Sheet1!H$11*1000-W35)</f>
        <v>618957.521093001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283.111797540062</v>
      </c>
      <c r="AI35" s="37" t="n">
        <f aca="false">(AM35-AM$30)/(AM$50-AM$30)*(AI$50-AI$30)+AI$30</f>
        <v>0.192018021822318</v>
      </c>
      <c r="AJ35" s="39" t="n">
        <f aca="false">1.04*Sheet1!M16+0.06*Sheet1!M18</f>
        <v>284.747037468105</v>
      </c>
      <c r="AK35" s="39" t="n">
        <f aca="false">8314.4621*AJ35/(Sheet1!M$21*Sheet1!M$12*9.80665)</f>
        <v>10874.2565057892</v>
      </c>
      <c r="AL35" s="39" t="n">
        <f aca="false">AL34-LN(AG35/AG34)*(AK34+AK35)/2</f>
        <v>62233.1776558396</v>
      </c>
      <c r="AM35" s="39" t="n">
        <f aca="false">Sheet1!M$10*10/Sheet1!M$11*1000*AL35/(Sheet1!M$10*10/Sheet1!M$11*1000-AL35)</f>
        <v>62977.2971396398</v>
      </c>
      <c r="AN35" s="41"/>
      <c r="AO35" s="37" t="n">
        <f aca="false">AO34+(AO$41-AO$31)/10</f>
        <v>2.45454009316409</v>
      </c>
      <c r="AP35" s="40" t="n">
        <f aca="false">10^AO35</f>
        <v>284.800070954522</v>
      </c>
      <c r="AQ35" s="39" t="n">
        <f aca="false">AS35-AR35*((Sheet1!R$19-Sheet1!R$20)*COS(RADIANS(38))+Sheet1!R$20)/2</f>
        <v>135.550885543506</v>
      </c>
      <c r="AR35" s="37" t="n">
        <f aca="false">(AV35-AV$31)/(AV$51-AV$31)*(AR$51-AR$31)+AR$31</f>
        <v>-0.157697368579452</v>
      </c>
      <c r="AS35" s="39" t="n">
        <f aca="false">(AV35-AV$31)/(AV$41-AV$31)*(AS$41-AS$31)+AS$31</f>
        <v>134.004806975429</v>
      </c>
      <c r="AT35" s="39" t="n">
        <f aca="false">8314.4621*AS35/(Sheet1!R$22*Sheet1!R$12*9.80665)</f>
        <v>15584.9829542688</v>
      </c>
      <c r="AU35" s="39" t="n">
        <f aca="false">AU34-LN(AP35/AP34)*(AT34+AT35)/2</f>
        <v>123613.555514078</v>
      </c>
      <c r="AV35" s="39" t="n">
        <f aca="false">Sheet1!R$10*10/Sheet1!R$11*1000*AU35/(Sheet1!R$10*10/Sheet1!R$11*1000-AU35)</f>
        <v>127075.819990356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244.868208185737</v>
      </c>
      <c r="T36" s="37" t="n">
        <v>0</v>
      </c>
      <c r="U36" s="39" t="n">
        <f aca="false">(X36-X$34)/(X$44-X$34)*(U$44-U$34)+U$34</f>
        <v>244.868208185737</v>
      </c>
      <c r="V36" s="39" t="n">
        <f aca="false">8314.4621*U36/(Sheet1!H$20*Sheet1!H$12*9.80665)</f>
        <v>30618.879209905</v>
      </c>
      <c r="W36" s="39" t="n">
        <f aca="false">W35-LN(R36/R35)*(V35+V36)/2</f>
        <v>619766.112624434</v>
      </c>
      <c r="X36" s="39" t="n">
        <f aca="false">Sheet1!H$10*10/Sheet1!H$11*1000*W36/(Sheet1!H$10*10/Sheet1!H$11*1000-W36)</f>
        <v>626317.477738991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283.728230450468</v>
      </c>
      <c r="AI36" s="37" t="n">
        <f aca="false">(AM36-AM$30)/(AM$50-AM$30)*(AI$50-AI$30)+AI$30</f>
        <v>0.148763487814783</v>
      </c>
      <c r="AJ36" s="39" t="n">
        <f aca="false">(AM36-AM$35)/(AM$37-AM$35)*(AJ$37-AJ$35)+AJ$35</f>
        <v>284.995111510907</v>
      </c>
      <c r="AK36" s="39" t="n">
        <f aca="false">8314.4621*AJ36/(Sheet1!M$21*Sheet1!M$12*9.80665)</f>
        <v>10883.7302506184</v>
      </c>
      <c r="AL36" s="39" t="n">
        <f aca="false">AL35-LN(AG36/AG35)*(AK35+AK36)/2</f>
        <v>64738.1584537829</v>
      </c>
      <c r="AM36" s="39" t="n">
        <f aca="false">Sheet1!M$10*10/Sheet1!M$11*1000*AL36/(Sheet1!M$10*10/Sheet1!M$11*1000-AL36)</f>
        <v>65543.7751812065</v>
      </c>
      <c r="AN36" s="41"/>
      <c r="AO36" s="37" t="n">
        <f aca="false">AO35+(AO$41-AO$31)/10</f>
        <v>2.34090393573471</v>
      </c>
      <c r="AP36" s="40" t="n">
        <f aca="false">10^AO36</f>
        <v>219.231994899203</v>
      </c>
      <c r="AQ36" s="39" t="n">
        <f aca="false">AS36-AR36*((Sheet1!R$19-Sheet1!R$20)*COS(RADIANS(38))+Sheet1!R$20)/2</f>
        <v>134.090103313732</v>
      </c>
      <c r="AR36" s="37" t="n">
        <f aca="false">(AV36-AV$31)/(AV$51-AV$31)*(AR$51-AR$31)+AR$31</f>
        <v>-0.147339370291715</v>
      </c>
      <c r="AS36" s="39" t="n">
        <f aca="false">(AV36-AV$31)/(AV$41-AV$31)*(AS$41-AS$31)+AS$31</f>
        <v>132.645575451955</v>
      </c>
      <c r="AT36" s="39" t="n">
        <f aca="false">8314.4621*AS36/(Sheet1!R$22*Sheet1!R$12*9.80665)</f>
        <v>15426.9020570057</v>
      </c>
      <c r="AU36" s="39" t="n">
        <f aca="false">AU35-LN(AP36/AP35)*(AT35+AT36)/2</f>
        <v>127670.792704704</v>
      </c>
      <c r="AV36" s="39" t="n">
        <f aca="false">Sheet1!R$10*10/Sheet1!R$11*1000*AU36/(Sheet1!R$10*10/Sheet1!R$11*1000-AU36)</f>
        <v>131367.461867641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234.398276139321</v>
      </c>
      <c r="T37" s="37" t="n">
        <v>0</v>
      </c>
      <c r="U37" s="39" t="n">
        <f aca="false">(X37-X$34)/(X$44-X$34)*(U$44-U$34)+U$34</f>
        <v>234.398276139321</v>
      </c>
      <c r="V37" s="39" t="n">
        <f aca="false">8314.4621*U37/(Sheet1!H$20*Sheet1!H$12*9.80665)</f>
        <v>29309.6950285843</v>
      </c>
      <c r="W37" s="39" t="n">
        <f aca="false">W36-LN(R37/R36)*(V36+V37)/2</f>
        <v>626665.64470873</v>
      </c>
      <c r="X37" s="39" t="n">
        <f aca="false">Sheet1!H$10*10/Sheet1!H$11*1000*W37/(Sheet1!H$10*10/Sheet1!H$11*1000-W37)</f>
        <v>633364.475898182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284.345797856353</v>
      </c>
      <c r="AI37" s="37" t="n">
        <f aca="false">(AM37-AM$30)/(AM$50-AM$30)*(AI$50-AI$30)+AI$30</f>
        <v>0.10542952149129</v>
      </c>
      <c r="AJ37" s="39" t="n">
        <f aca="false">1.05*Sheet1!M16</f>
        <v>285.243643597606</v>
      </c>
      <c r="AK37" s="39" t="n">
        <f aca="false">8314.4621*AJ37/(Sheet1!M$21*Sheet1!M$12*9.80665)</f>
        <v>10893.2214877696</v>
      </c>
      <c r="AL37" s="39" t="n">
        <f aca="false">AL36-LN(AG37/AG36)*(AK36+AK37)/2</f>
        <v>67245.3226759661</v>
      </c>
      <c r="AM37" s="39" t="n">
        <f aca="false">Sheet1!M$10*10/Sheet1!M$11*1000*AL37/(Sheet1!M$10*10/Sheet1!M$11*1000-AL37)</f>
        <v>68114.9662846376</v>
      </c>
      <c r="AN37" s="41"/>
      <c r="AO37" s="37" t="n">
        <f aca="false">AO36+(AO$41-AO$31)/10</f>
        <v>2.22726777830532</v>
      </c>
      <c r="AP37" s="40" t="n">
        <f aca="false">10^AO37</f>
        <v>168.759324484715</v>
      </c>
      <c r="AQ37" s="39" t="n">
        <f aca="false">AS37-AR37*((Sheet1!R$19-Sheet1!R$20)*COS(RADIANS(38))+Sheet1!R$20)/2</f>
        <v>132.641501608134</v>
      </c>
      <c r="AR37" s="37" t="n">
        <f aca="false">(AV37-AV$31)/(AV$51-AV$31)*(AR$51-AR$31)+AR$31</f>
        <v>-0.137067740473545</v>
      </c>
      <c r="AS37" s="39" t="n">
        <f aca="false">(AV37-AV$31)/(AV$41-AV$31)*(AS$41-AS$31)+AS$31</f>
        <v>131.297677688751</v>
      </c>
      <c r="AT37" s="39" t="n">
        <f aca="false">8314.4621*AS37/(Sheet1!R$22*Sheet1!R$12*9.80665)</f>
        <v>15270.139294999</v>
      </c>
      <c r="AU37" s="39" t="n">
        <f aca="false">AU36-LN(AP37/AP36)*(AT36+AT37)/2</f>
        <v>131686.839383913</v>
      </c>
      <c r="AV37" s="39" t="n">
        <f aca="false">Sheet1!R$10*10/Sheet1!R$11*1000*AU37/(Sheet1!R$10*10/Sheet1!R$11*1000-AU37)</f>
        <v>135623.318593146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224.373764185326</v>
      </c>
      <c r="T38" s="37" t="n">
        <v>0</v>
      </c>
      <c r="U38" s="39" t="n">
        <f aca="false">(X38-X$34)/(X$44-X$34)*(U$44-U$34)+U$34</f>
        <v>224.373764185326</v>
      </c>
      <c r="V38" s="39" t="n">
        <f aca="false">8314.4621*U38/(Sheet1!H$20*Sheet1!H$12*9.80665)</f>
        <v>28056.2071914666</v>
      </c>
      <c r="W38" s="39" t="n">
        <f aca="false">W37-LN(R38/R37)*(V37+V38)/2</f>
        <v>633270.138273633</v>
      </c>
      <c r="X38" s="39" t="n">
        <f aca="false">Sheet1!H$10*10/Sheet1!H$11*1000*W38/(Sheet1!H$10*10/Sheet1!H$11*1000-W38)</f>
        <v>640111.683622742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279.626542503489</v>
      </c>
      <c r="AI38" s="37" t="n">
        <f aca="false">(AM38-AM$30)/(AM$50-AM$30)*(AI$50-AI$30)+AI$30</f>
        <v>0.0624218682826042</v>
      </c>
      <c r="AJ38" s="39" t="n">
        <f aca="false">(AM38-AM$37)/(AM$50-AM$37)*(AJ$50-AJ$37)+AJ$37</f>
        <v>280.158131832605</v>
      </c>
      <c r="AK38" s="39" t="n">
        <f aca="false">8314.4621*AJ38/(Sheet1!M$21*Sheet1!M$12*9.80665)</f>
        <v>10699.0099521991</v>
      </c>
      <c r="AL38" s="39" t="n">
        <f aca="false">AL37-LN(AG38/AG37)*(AK37+AK38)/2</f>
        <v>69731.2201878735</v>
      </c>
      <c r="AM38" s="39" t="n">
        <f aca="false">Sheet1!M$10*10/Sheet1!M$11*1000*AL38/(Sheet1!M$10*10/Sheet1!M$11*1000-AL38)</f>
        <v>70666.7967906802</v>
      </c>
      <c r="AN38" s="41"/>
      <c r="AO38" s="37" t="n">
        <f aca="false">AO37+(AO$41-AO$31)/10</f>
        <v>2.11363162087593</v>
      </c>
      <c r="AP38" s="40" t="n">
        <f aca="false">10^AO38</f>
        <v>129.90672102232</v>
      </c>
      <c r="AQ38" s="39" t="n">
        <f aca="false">AS38-AR38*((Sheet1!R$19-Sheet1!R$20)*COS(RADIANS(38))+Sheet1!R$20)/2</f>
        <v>131.205029932137</v>
      </c>
      <c r="AR38" s="37" t="n">
        <f aca="false">(AV38-AV$31)/(AV$51-AV$31)*(AR$51-AR$31)+AR$31</f>
        <v>-0.126882121236903</v>
      </c>
      <c r="AS38" s="39" t="n">
        <f aca="false">(AV38-AV$31)/(AV$41-AV$31)*(AS$41-AS$31)+AS$31</f>
        <v>129.961066700007</v>
      </c>
      <c r="AT38" s="39" t="n">
        <f aca="false">8314.4621*AS38/(Sheet1!R$22*Sheet1!R$12*9.80665)</f>
        <v>15114.6892037207</v>
      </c>
      <c r="AU38" s="39" t="n">
        <f aca="false">AU37-LN(AP38/AP37)*(AT37+AT38)/2</f>
        <v>135662.039736003</v>
      </c>
      <c r="AV38" s="39" t="n">
        <f aca="false">Sheet1!R$10*10/Sheet1!R$11*1000*AU38/(Sheet1!R$10*10/Sheet1!R$11*1000-AU38)</f>
        <v>139843.538451051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214.775899272247</v>
      </c>
      <c r="T39" s="37" t="n">
        <v>0</v>
      </c>
      <c r="U39" s="39" t="n">
        <f aca="false">(X39-X$34)/(X$44-X$34)*(U$44-U$34)+U$34</f>
        <v>214.775899272247</v>
      </c>
      <c r="V39" s="39" t="n">
        <f aca="false">8314.4621*U39/(Sheet1!H$20*Sheet1!H$12*9.80665)</f>
        <v>26856.068273377</v>
      </c>
      <c r="W39" s="39" t="n">
        <f aca="false">W38-LN(R39/R38)*(V38+V39)/2</f>
        <v>639592.147619019</v>
      </c>
      <c r="X39" s="39" t="n">
        <f aca="false">Sheet1!H$10*10/Sheet1!H$11*1000*W39/(Sheet1!H$10*10/Sheet1!H$11*1000-W39)</f>
        <v>646571.727465183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274.986243161342</v>
      </c>
      <c r="AI39" s="37" t="n">
        <f aca="false">(AM39-AM$30)/(AM$50-AM$30)*(AI$50-AI$30)+AI$30</f>
        <v>0.0201348274491587</v>
      </c>
      <c r="AJ39" s="39" t="n">
        <f aca="false">(AM39-AM$37)/(AM$50-AM$37)*(AJ$50-AJ$37)+AJ$37</f>
        <v>275.157712867553</v>
      </c>
      <c r="AK39" s="39" t="n">
        <f aca="false">8314.4621*AJ39/(Sheet1!M$21*Sheet1!M$12*9.80665)</f>
        <v>10508.048041073</v>
      </c>
      <c r="AL39" s="39" t="n">
        <f aca="false">AL37-LN(AG39/AG37)*(AK37+AK39)/2</f>
        <v>72173.1470947922</v>
      </c>
      <c r="AM39" s="39" t="n">
        <f aca="false">Sheet1!M$10*10/Sheet1!M$11*1000*AL39/(Sheet1!M$10*10/Sheet1!M$11*1000-AL39)</f>
        <v>73175.8683228641</v>
      </c>
      <c r="AN39" s="41"/>
      <c r="AO39" s="37" t="n">
        <f aca="false">AO38+(AO$41-AO$31)/10</f>
        <v>1.99999546344654</v>
      </c>
      <c r="AP39" s="40" t="n">
        <f aca="false">10^AO39</f>
        <v>99.9989554254188</v>
      </c>
      <c r="AQ39" s="39" t="n">
        <f aca="false">AS39-AR39*((Sheet1!R$19-Sheet1!R$20)*COS(RADIANS(38))+Sheet1!R$20)/2</f>
        <v>129.780637002271</v>
      </c>
      <c r="AR39" s="37" t="n">
        <f aca="false">(AV39-AV$31)/(AV$51-AV$31)*(AR$51-AR$31)+AR$31</f>
        <v>-0.116782149099201</v>
      </c>
      <c r="AS39" s="39" t="n">
        <f aca="false">(AV39-AV$31)/(AV$41-AV$31)*(AS$41-AS$31)+AS$31</f>
        <v>128.635694765868</v>
      </c>
      <c r="AT39" s="39" t="n">
        <f aca="false">8314.4621*AS39/(Sheet1!R$22*Sheet1!R$12*9.80665)</f>
        <v>14960.5462332719</v>
      </c>
      <c r="AU39" s="39" t="n">
        <f aca="false">AU38-LN(AP39/AP38)*(AT38+AT39)/2</f>
        <v>139596.736504273</v>
      </c>
      <c r="AV39" s="39" t="n">
        <f aca="false">Sheet1!R$10*10/Sheet1!R$11*1000*AU39/(Sheet1!R$10*10/Sheet1!R$11*1000-AU39)</f>
        <v>144028.272043534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205.586696364433</v>
      </c>
      <c r="T40" s="37" t="n">
        <v>0</v>
      </c>
      <c r="U40" s="39" t="n">
        <f aca="false">(X40-X$34)/(X$44-X$34)*(U$44-U$34)+U$34</f>
        <v>205.586696364433</v>
      </c>
      <c r="V40" s="39" t="n">
        <f aca="false">8314.4621*U40/(Sheet1!H$20*Sheet1!H$12*9.80665)</f>
        <v>25707.0293844402</v>
      </c>
      <c r="W40" s="39" t="n">
        <f aca="false">W39-LN(R40/R39)*(V39+V40)/2</f>
        <v>645643.697874443</v>
      </c>
      <c r="X40" s="39" t="n">
        <f aca="false">Sheet1!H$10*10/Sheet1!H$11*1000*W40/(Sheet1!H$10*10/Sheet1!H$11*1000-W40)</f>
        <v>652756.712622895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270.425308208385</v>
      </c>
      <c r="AI40" s="37" t="n">
        <f aca="false">(AM40-AM$30)/(AM$50-AM$30)*(AI$50-AI$30)+AI$30</f>
        <v>-0.0214294936083322</v>
      </c>
      <c r="AJ40" s="39" t="n">
        <f aca="false">(AM40-AM$37)/(AM$50-AM$37)*(AJ$50-AJ$37)+AJ$37</f>
        <v>270.242813027706</v>
      </c>
      <c r="AK40" s="39" t="n">
        <f aca="false">8314.4621*AJ40/(Sheet1!M$21*Sheet1!M$12*9.80665)</f>
        <v>10320.3520354043</v>
      </c>
      <c r="AL40" s="39" t="n">
        <f aca="false">AL39-LN(AG40/AG39)*(AK39+AK40)/2</f>
        <v>74571.1052711428</v>
      </c>
      <c r="AM40" s="39" t="n">
        <f aca="false">Sheet1!M$10*10/Sheet1!M$11*1000*AL40/(Sheet1!M$10*10/Sheet1!M$11*1000-AL40)</f>
        <v>75642.0587409159</v>
      </c>
      <c r="AN40" s="41"/>
      <c r="AO40" s="37" t="n">
        <f aca="false">AO39+(AO$41-AO$31)/10</f>
        <v>1.88635930601715</v>
      </c>
      <c r="AP40" s="40" t="n">
        <f aca="false">10^AO40</f>
        <v>76.9767030333773</v>
      </c>
      <c r="AQ40" s="39" t="n">
        <f aca="false">AS40-AR40*((Sheet1!R$19-Sheet1!R$20)*COS(RADIANS(38))+Sheet1!R$20)/2</f>
        <v>128.368270767124</v>
      </c>
      <c r="AR40" s="37" t="n">
        <f aca="false">(AV40-AV$31)/(AV$51-AV$31)*(AR$51-AR$31)+AR$31</f>
        <v>-0.10676745513203</v>
      </c>
      <c r="AS40" s="39" t="n">
        <f aca="false">(AV40-AV$31)/(AV$41-AV$31)*(AS$41-AS$31)+AS$31</f>
        <v>127.321513451928</v>
      </c>
      <c r="AT40" s="39" t="n">
        <f aca="false">8314.4621*AS40/(Sheet1!R$22*Sheet1!R$12*9.80665)</f>
        <v>14807.70475065</v>
      </c>
      <c r="AU40" s="39" t="n">
        <f aca="false">AU39-LN(AP40/AP39)*(AT39+AT40)/2</f>
        <v>143491.270968978</v>
      </c>
      <c r="AV40" s="39" t="n">
        <f aca="false">Sheet1!R$10*10/Sheet1!R$11*1000*AU40/(Sheet1!R$10*10/Sheet1!R$11*1000-AU40)</f>
        <v>148177.672229146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196.788914083612</v>
      </c>
      <c r="T41" s="37" t="n">
        <v>0</v>
      </c>
      <c r="U41" s="39" t="n">
        <f aca="false">(X41-X$34)/(X$44-X$34)*(U$44-U$34)+U$34</f>
        <v>196.788914083612</v>
      </c>
      <c r="V41" s="39" t="n">
        <f aca="false">8314.4621*U41/(Sheet1!H$20*Sheet1!H$12*9.80665)</f>
        <v>24606.9346233958</v>
      </c>
      <c r="W41" s="39" t="n">
        <f aca="false">W40-LN(R41/R40)*(V40+V41)/2</f>
        <v>651436.307049137</v>
      </c>
      <c r="X41" s="39" t="n">
        <f aca="false">Sheet1!H$10*10/Sheet1!H$11*1000*W41/(Sheet1!H$10*10/Sheet1!H$11*1000-W41)</f>
        <v>658678.24375913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265.941775341698</v>
      </c>
      <c r="AI41" s="37" t="n">
        <f aca="false">(AM41-AM$30)/(AM$50-AM$30)*(AI$50-AI$30)+AI$30</f>
        <v>-0.0622884382560293</v>
      </c>
      <c r="AJ41" s="39" t="n">
        <f aca="false">(AM41-AM$37)/(AM$50-AM$37)*(AJ$50-AJ$37)+AJ$37</f>
        <v>265.411322312732</v>
      </c>
      <c r="AK41" s="39" t="n">
        <f aca="false">8314.4621*AJ41/(Sheet1!M$21*Sheet1!M$12*9.80665)</f>
        <v>10135.8413560058</v>
      </c>
      <c r="AL41" s="39" t="n">
        <f aca="false">AL40-LN(AG41/AG40)*(AK40+AK41)/2</f>
        <v>76926.211569266</v>
      </c>
      <c r="AM41" s="39" t="n">
        <f aca="false">Sheet1!M$10*10/Sheet1!M$11*1000*AL41/(Sheet1!M$10*10/Sheet1!M$11*1000-AL41)</f>
        <v>78066.3961345781</v>
      </c>
      <c r="AN41" s="41"/>
      <c r="AO41" s="37" t="n">
        <f aca="false">AO4+0.6*(AO61-AO4)</f>
        <v>1.77272314858776</v>
      </c>
      <c r="AP41" s="40" t="n">
        <f aca="false">10^AO41</f>
        <v>59.2547470589136</v>
      </c>
      <c r="AQ41" s="39" t="n">
        <f aca="false">AS41-AR41*((Sheet1!R$19-Sheet1!R$20)*COS(RADIANS(38))+Sheet1!R$20)/2</f>
        <v>126.968067136844</v>
      </c>
      <c r="AR41" s="37" t="n">
        <f aca="false">(AV41-AV$31)/(AV$51-AV$31)*(AR$51-AR$31)+AR$31</f>
        <v>-0.0968376577033522</v>
      </c>
      <c r="AS41" s="39" t="n">
        <f aca="false">Sheet1!R16+0.84*(AS61-Sheet1!R16)+0.03*Sheet1!R18</f>
        <v>126.018662409888</v>
      </c>
      <c r="AT41" s="39" t="n">
        <f aca="false">8314.4621*AS41/(Sheet1!R$22*Sheet1!R$12*9.80665)</f>
        <v>14656.1809975815</v>
      </c>
      <c r="AU41" s="39" t="n">
        <f aca="false">AU40-LN(AP41/AP40)*(AT40+AT41)/2</f>
        <v>147345.985798296</v>
      </c>
      <c r="AV41" s="39" t="n">
        <f aca="false">Sheet1!R$10*10/Sheet1!R$11*1000*AU41/(Sheet1!R$10*10/Sheet1!R$11*1000-AU41)</f>
        <v>152291.897129948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188.366025174293</v>
      </c>
      <c r="T42" s="37" t="n">
        <v>0</v>
      </c>
      <c r="U42" s="39" t="n">
        <f aca="false">(X42-X$34)/(X$44-X$34)*(U$44-U$34)+U$34</f>
        <v>188.366025174293</v>
      </c>
      <c r="V42" s="39" t="n">
        <f aca="false">8314.4621*U42/(Sheet1!H$20*Sheet1!H$12*9.80665)</f>
        <v>23553.7173845238</v>
      </c>
      <c r="W42" s="39" t="n">
        <f aca="false">W41-LN(R42/R41)*(V41+V42)/2</f>
        <v>656981.007018253</v>
      </c>
      <c r="X42" s="39" t="n">
        <f aca="false">Sheet1!H$10*10/Sheet1!H$11*1000*W42/(Sheet1!H$10*10/Sheet1!H$11*1000-W42)</f>
        <v>664347.444881832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261.534757705595</v>
      </c>
      <c r="AI42" s="37" t="n">
        <f aca="false">(AM42-AM$30)/(AM$50-AM$30)*(AI$50-AI$30)+AI$30</f>
        <v>-0.102452700412895</v>
      </c>
      <c r="AJ42" s="39" t="n">
        <f aca="false">(AM42-AM$37)/(AM$50-AM$37)*(AJ$50-AJ$37)+AJ$37</f>
        <v>260.662262796726</v>
      </c>
      <c r="AK42" s="39" t="n">
        <f aca="false">8314.4621*AJ42/(Sheet1!M$21*Sheet1!M$12*9.80665)</f>
        <v>9954.47865668675</v>
      </c>
      <c r="AL42" s="39" t="n">
        <f aca="false">AL41-LN(AG42/AG41)*(AK41+AK42)/2</f>
        <v>79239.1951380013</v>
      </c>
      <c r="AM42" s="39" t="n">
        <f aca="false">Sheet1!M$10*10/Sheet1!M$11*1000*AL42/(Sheet1!M$10*10/Sheet1!M$11*1000-AL42)</f>
        <v>80449.5150201812</v>
      </c>
      <c r="AN42" s="41"/>
      <c r="AO42" s="37" t="n">
        <f aca="false">AO41+(AO$51-AO$41)/10</f>
        <v>1.65908699115838</v>
      </c>
      <c r="AP42" s="40" t="n">
        <f aca="false">10^AO42</f>
        <v>45.6128271367168</v>
      </c>
      <c r="AQ42" s="39" t="n">
        <f aca="false">AS42-AR42*((Sheet1!R$19-Sheet1!R$20)*COS(RADIANS(38))+Sheet1!R$20)/2</f>
        <v>126.133895342027</v>
      </c>
      <c r="AR42" s="37" t="n">
        <f aca="false">(AV42-AV$31)/(AV$51-AV$31)*(AR$51-AR$31)+AR$31</f>
        <v>-0.0869705859493181</v>
      </c>
      <c r="AS42" s="39" t="n">
        <f aca="false">(AV42-AV$41)/(AV$51-AV$41)*(AS$51-AS$41)+AS$41</f>
        <v>125.2812282354</v>
      </c>
      <c r="AT42" s="39" t="n">
        <f aca="false">8314.4621*AS42/(Sheet1!R$22*Sheet1!R$12*9.80665)</f>
        <v>14570.4161709407</v>
      </c>
      <c r="AU42" s="39" t="n">
        <f aca="false">AU41-LN(AP42/AP41)*(AT41+AT42)/2</f>
        <v>151169.656527904</v>
      </c>
      <c r="AV42" s="39" t="n">
        <f aca="false">Sheet1!R$10*10/Sheet1!R$11*1000*AU42/(Sheet1!R$10*10/Sheet1!R$11*1000-AU42)</f>
        <v>156380.132826601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180.302188039399</v>
      </c>
      <c r="T43" s="37" t="n">
        <v>0</v>
      </c>
      <c r="U43" s="39" t="n">
        <f aca="false">(X43-X$34)/(X$44-X$34)*(U$44-U$34)+U$34</f>
        <v>180.302188039399</v>
      </c>
      <c r="V43" s="39" t="n">
        <f aca="false">8314.4621*U43/(Sheet1!H$20*Sheet1!H$12*9.80665)</f>
        <v>22545.3967983971</v>
      </c>
      <c r="W43" s="39" t="n">
        <f aca="false">W42-LN(R43/R42)*(V42+V43)/2</f>
        <v>662288.363674144</v>
      </c>
      <c r="X43" s="39" t="n">
        <f aca="false">Sheet1!H$10*10/Sheet1!H$11*1000*W43/(Sheet1!H$10*10/Sheet1!H$11*1000-W43)</f>
        <v>669774.97850212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257.202578429922</v>
      </c>
      <c r="AI43" s="37" t="n">
        <f aca="false">(AM43-AM$30)/(AM$50-AM$30)*(AI$50-AI$30)+AI$30</f>
        <v>-0.141932840069457</v>
      </c>
      <c r="AJ43" s="39" t="n">
        <f aca="false">(AM43-AM$37)/(AM$50-AM$37)*(AJ$50-AJ$37)+AJ$37</f>
        <v>255.993867679861</v>
      </c>
      <c r="AK43" s="39" t="n">
        <f aca="false">8314.4621*AJ43/(Sheet1!M$21*Sheet1!M$12*9.80665)</f>
        <v>9776.1964648067</v>
      </c>
      <c r="AL43" s="39" t="n">
        <f aca="false">AL42-LN(AG43/AG42)*(AK42+AK43)/2</f>
        <v>81510.7730584742</v>
      </c>
      <c r="AM43" s="39" t="n">
        <f aca="false">Sheet1!M$10*10/Sheet1!M$11*1000*AL43/(Sheet1!M$10*10/Sheet1!M$11*1000-AL43)</f>
        <v>82792.0419675042</v>
      </c>
      <c r="AN43" s="41"/>
      <c r="AO43" s="37" t="n">
        <f aca="false">AO42+(AO$51-AO$41)/10</f>
        <v>1.54545083372899</v>
      </c>
      <c r="AP43" s="40" t="n">
        <f aca="false">10^AO43</f>
        <v>35.1116172571871</v>
      </c>
      <c r="AQ43" s="39" t="n">
        <f aca="false">AS43-AR43*((Sheet1!R$19-Sheet1!R$20)*COS(RADIANS(38))+Sheet1!R$20)/2</f>
        <v>125.303757999687</v>
      </c>
      <c r="AR43" s="37" t="n">
        <f aca="false">(AV43-AV$31)/(AV$51-AV$31)*(AR$51-AR$31)+AR$31</f>
        <v>-0.0771442121812349</v>
      </c>
      <c r="AS43" s="39" t="n">
        <f aca="false">(AV43-AV$41)/(AV$51-AV$41)*(AS$51-AS$41)+AS$41</f>
        <v>124.547429506834</v>
      </c>
      <c r="AT43" s="39" t="n">
        <f aca="false">8314.4621*AS43/(Sheet1!R$22*Sheet1!R$12*9.80665)</f>
        <v>14485.0741527348</v>
      </c>
      <c r="AU43" s="39" t="n">
        <f aca="false">AU42-LN(AP43/AP42)*(AT42+AT43)/2</f>
        <v>154970.941612324</v>
      </c>
      <c r="AV43" s="39" t="n">
        <f aca="false">Sheet1!R$10*10/Sheet1!R$11*1000*AU43/(Sheet1!R$10*10/Sheet1!R$11*1000-AU43)</f>
        <v>160451.506077829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172.582257102044</v>
      </c>
      <c r="T44" s="37" t="n">
        <v>0</v>
      </c>
      <c r="U44" s="39" t="n">
        <f aca="false">Sheet1!H16*1.03</f>
        <v>172.582257102044</v>
      </c>
      <c r="V44" s="39" t="n">
        <f aca="false">8314.4621*U44/(Sheet1!H$20*Sheet1!H$12*9.80665)</f>
        <v>21580.0790275397</v>
      </c>
      <c r="W44" s="39" t="n">
        <f aca="false">W43-LN(R44/R43)*(V43+V44)/2</f>
        <v>667368.496817047</v>
      </c>
      <c r="X44" s="39" t="n">
        <f aca="false">Sheet1!H$10*10/Sheet1!H$11*1000*W44/(Sheet1!H$10*10/Sheet1!H$11*1000-W44)</f>
        <v>674971.064648936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172.582257102044</v>
      </c>
      <c r="AA44" s="39" t="n">
        <f aca="false">IF(Y44=LOG(Sheet1!H$17*101325),(LOG(Sheet1!H$17*101325)-Q54)/(Q44-Q54)*(X44-X54)+X54,IF(Y44=0,0,X44))</f>
        <v>674971.064648936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252.944333155814</v>
      </c>
      <c r="AI44" s="37" t="n">
        <f aca="false">(AM44-AM$30)/(AM$50-AM$30)*(AI$50-AI$30)+AI$30</f>
        <v>-0.180739202376338</v>
      </c>
      <c r="AJ44" s="39" t="n">
        <f aca="false">(AM44-AM$37)/(AM$50-AM$37)*(AJ$50-AJ$37)+AJ$37</f>
        <v>251.405144503189</v>
      </c>
      <c r="AK44" s="39" t="n">
        <f aca="false">8314.4621*AJ44/(Sheet1!M$21*Sheet1!M$12*9.80665)</f>
        <v>9600.95687917</v>
      </c>
      <c r="AL44" s="39" t="n">
        <f aca="false">AL43-LN(AG44/AG43)*(AK43+AK44)/2</f>
        <v>83741.6458424651</v>
      </c>
      <c r="AM44" s="39" t="n">
        <f aca="false">Sheet1!M$10*10/Sheet1!M$11*1000*AL44/(Sheet1!M$10*10/Sheet1!M$11*1000-AL44)</f>
        <v>85094.5907989479</v>
      </c>
      <c r="AN44" s="41"/>
      <c r="AO44" s="37" t="n">
        <f aca="false">AO43+(AO$51-AO$41)/10</f>
        <v>1.4318146762996</v>
      </c>
      <c r="AP44" s="40" t="n">
        <f aca="false">10^AO44</f>
        <v>27.0280476743968</v>
      </c>
      <c r="AQ44" s="39" t="n">
        <f aca="false">AS44-AR44*((Sheet1!R$19-Sheet1!R$20)*COS(RADIANS(38))+Sheet1!R$20)/2</f>
        <v>124.475880642386</v>
      </c>
      <c r="AR44" s="37" t="n">
        <f aca="false">(AV44-AV$31)/(AV$51-AV$31)*(AR$51-AR$31)+AR$31</f>
        <v>-0.0673585763943436</v>
      </c>
      <c r="AS44" s="39" t="n">
        <f aca="false">(AV44-AV$41)/(AV$51-AV$41)*(AS$51-AS$41)+AS$41</f>
        <v>123.815491364634</v>
      </c>
      <c r="AT44" s="39" t="n">
        <f aca="false">8314.4621*AS44/(Sheet1!R$22*Sheet1!R$12*9.80665)</f>
        <v>14399.9485238321</v>
      </c>
      <c r="AU44" s="39" t="n">
        <f aca="false">AU43-LN(AP44/AP43)*(AT43+AT44)/2</f>
        <v>158749.924676812</v>
      </c>
      <c r="AV44" s="39" t="n">
        <f aca="false">Sheet1!R$10*10/Sheet1!R$11*1000*AU44/(Sheet1!R$10*10/Sheet1!R$11*1000-AU44)</f>
        <v>164506.000312357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172.285481158448</v>
      </c>
      <c r="T45" s="37" t="n">
        <f aca="false">(X45-X$44)/(X$54-X$44)*(T$54-T$44)+T$44</f>
        <v>0.0999236556385141</v>
      </c>
      <c r="U45" s="39" t="n">
        <f aca="false">(X45-X$44)/(X$54-X$44)*(U$54-U$44)+U$44</f>
        <v>172.582257102044</v>
      </c>
      <c r="V45" s="39" t="n">
        <f aca="false">8314.4621*U45/(Sheet1!H$20*Sheet1!H$12*9.80665)</f>
        <v>21580.0790275397</v>
      </c>
      <c r="W45" s="39" t="n">
        <f aca="false">W44-LN(R45/R44)*(V44+V45)/2</f>
        <v>672337.493644492</v>
      </c>
      <c r="X45" s="39" t="n">
        <f aca="false">Sheet1!H$10*10/Sheet1!H$11*1000*W45/(Sheet1!H$10*10/Sheet1!H$11*1000-W45)</f>
        <v>680054.3497115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248.758872232204</v>
      </c>
      <c r="AI45" s="37" t="n">
        <f aca="false">(AM45-AM$30)/(AM$50-AM$30)*(AI$50-AI$30)+AI$30</f>
        <v>-0.218882264406166</v>
      </c>
      <c r="AJ45" s="39" t="n">
        <f aca="false">(AM45-AM$37)/(AM$50-AM$37)*(AJ$50-AJ$37)+AJ$37</f>
        <v>246.894854392105</v>
      </c>
      <c r="AK45" s="39" t="n">
        <f aca="false">8314.4621*AJ45/(Sheet1!M$21*Sheet1!M$12*9.80665)</f>
        <v>9428.71258816855</v>
      </c>
      <c r="AL45" s="39" t="n">
        <f aca="false">AL44-LN(AG45/AG44)*(AK44+AK45)/2</f>
        <v>85932.5175044699</v>
      </c>
      <c r="AM45" s="39" t="n">
        <f aca="false">Sheet1!M$10*10/Sheet1!M$11*1000*AL45/(Sheet1!M$10*10/Sheet1!M$11*1000-AL45)</f>
        <v>87357.7831644145</v>
      </c>
      <c r="AN45" s="41"/>
      <c r="AO45" s="37" t="n">
        <f aca="false">AO44+(AO$51-AO$41)/10</f>
        <v>1.31817851887021</v>
      </c>
      <c r="AP45" s="40" t="n">
        <f aca="false">10^AO45</f>
        <v>20.8055173231855</v>
      </c>
      <c r="AQ45" s="39" t="n">
        <f aca="false">AS45-AR45*((Sheet1!R$19-Sheet1!R$20)*COS(RADIANS(38))+Sheet1!R$20)/2</f>
        <v>123.652040468154</v>
      </c>
      <c r="AR45" s="37" t="n">
        <f aca="false">(AV45-AV$31)/(AV$51-AV$31)*(AR$51-AR$31)+AR$31</f>
        <v>-0.0576137166488927</v>
      </c>
      <c r="AS45" s="39" t="n">
        <f aca="false">(AV45-AV$41)/(AV$51-AV$41)*(AS$51-AS$41)+AS$41</f>
        <v>123.087190633686</v>
      </c>
      <c r="AT45" s="39" t="n">
        <f aca="false">8314.4621*AS45/(Sheet1!R$22*Sheet1!R$12*9.80665)</f>
        <v>14315.2459319356</v>
      </c>
      <c r="AU45" s="39" t="n">
        <f aca="false">AU44-LN(AP45/AP44)*(AT44+AT45)/2</f>
        <v>162506.689376528</v>
      </c>
      <c r="AV45" s="39" t="n">
        <f aca="false">Sheet1!R$10*10/Sheet1!R$11*1000*AU45/(Sheet1!R$10*10/Sheet1!R$11*1000-AU45)</f>
        <v>168543.599760637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171.988654861315</v>
      </c>
      <c r="T46" s="37" t="n">
        <f aca="false">(X46-X$44)/(X$54-X$44)*(T$54-T$44)+T$44</f>
        <v>0.199864265176704</v>
      </c>
      <c r="U46" s="39" t="n">
        <f aca="false">(X46-X$44)/(X$54-X$44)*(U$54-U$44)+U$44</f>
        <v>172.582257102044</v>
      </c>
      <c r="V46" s="39" t="n">
        <f aca="false">8314.4621*U46/(Sheet1!H$20*Sheet1!H$12*9.80665)</f>
        <v>21580.0790275397</v>
      </c>
      <c r="W46" s="39" t="n">
        <f aca="false">W45-LN(R46/R45)*(V45+V46)/2</f>
        <v>677306.490471937</v>
      </c>
      <c r="X46" s="39" t="n">
        <f aca="false">Sheet1!H$10*10/Sheet1!H$11*1000*W46/(Sheet1!H$10*10/Sheet1!H$11*1000-W46)</f>
        <v>685138.497247564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244.645084278465</v>
      </c>
      <c r="AI46" s="37" t="n">
        <f aca="false">(AM46-AM$30)/(AM$50-AM$30)*(AI$50-AI$30)+AI$30</f>
        <v>-0.256372153972131</v>
      </c>
      <c r="AJ46" s="39" t="n">
        <f aca="false">(AM46-AM$37)/(AM$50-AM$37)*(AJ$50-AJ$37)+AJ$37</f>
        <v>242.461799716761</v>
      </c>
      <c r="AK46" s="39" t="n">
        <f aca="false">8314.4621*AJ46/(Sheet1!M$21*Sheet1!M$12*9.80665)</f>
        <v>9259.4178552979</v>
      </c>
      <c r="AL46" s="39" t="n">
        <f aca="false">AL45-LN(AG46/AG45)*(AK45+AK46)/2</f>
        <v>88084.0680332227</v>
      </c>
      <c r="AM46" s="39" t="n">
        <f aca="false">Sheet1!M$10*10/Sheet1!M$11*1000*AL46/(Sheet1!M$10*10/Sheet1!M$11*1000-AL46)</f>
        <v>89582.2199907376</v>
      </c>
      <c r="AN46" s="41"/>
      <c r="AO46" s="37" t="n">
        <f aca="false">AO45+(AO$51-AO$41)/10</f>
        <v>1.20454236144082</v>
      </c>
      <c r="AP46" s="40" t="n">
        <f aca="false">10^AO46</f>
        <v>16.0155685789848</v>
      </c>
      <c r="AQ46" s="39" t="n">
        <f aca="false">AS46-AR46*((Sheet1!R$19-Sheet1!R$20)*COS(RADIANS(38))+Sheet1!R$20)/2</f>
        <v>122.833114059957</v>
      </c>
      <c r="AR46" s="37" t="n">
        <f aca="false">(AV46-AV$31)/(AV$51-AV$31)*(AR$51-AR$31)+AR$31</f>
        <v>-0.047909564123407</v>
      </c>
      <c r="AS46" s="39" t="n">
        <f aca="false">(AV46-AV$41)/(AV$51-AV$41)*(AS$51-AS$41)+AS$41</f>
        <v>122.363404571686</v>
      </c>
      <c r="AT46" s="39" t="n">
        <f aca="false">8314.4621*AS46/(Sheet1!R$22*Sheet1!R$12*9.80665)</f>
        <v>14231.0684035812</v>
      </c>
      <c r="AU46" s="39" t="n">
        <f aca="false">AU45-LN(AP46/AP45)*(AT45+AT46)/2</f>
        <v>166241.359750008</v>
      </c>
      <c r="AV46" s="39" t="n">
        <f aca="false">Sheet1!R$10*10/Sheet1!R$11*1000*AU46/(Sheet1!R$10*10/Sheet1!R$11*1000-AU46)</f>
        <v>172564.332937553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171.691778197827</v>
      </c>
      <c r="T47" s="37" t="n">
        <f aca="false">(X47-X$44)/(X$54-X$44)*(T$54-T$44)+T$44</f>
        <v>0.299821832929752</v>
      </c>
      <c r="U47" s="39" t="n">
        <f aca="false">(X47-X$44)/(X$54-X$44)*(U$54-U$44)+U$44</f>
        <v>172.582257102044</v>
      </c>
      <c r="V47" s="39" t="n">
        <f aca="false">8314.4621*U47/(Sheet1!H$20*Sheet1!H$12*9.80665)</f>
        <v>21580.0790275397</v>
      </c>
      <c r="W47" s="39" t="n">
        <f aca="false">W46-LN(R47/R46)*(V46+V47)/2</f>
        <v>682275.487299381</v>
      </c>
      <c r="X47" s="39" t="n">
        <f aca="false">Sheet1!H$10*10/Sheet1!H$11*1000*W47/(Sheet1!H$10*10/Sheet1!H$11*1000-W47)</f>
        <v>690223.507476648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240.601862273899</v>
      </c>
      <c r="AI47" s="37" t="n">
        <f aca="false">(AM47-AM$30)/(AM$50-AM$30)*(AI$50-AI$30)+AI$30</f>
        <v>-0.29321895957057</v>
      </c>
      <c r="AJ47" s="39" t="n">
        <f aca="false">(AM47-AM$37)/(AM$50-AM$37)*(AJ$50-AJ$37)+AJ$37</f>
        <v>238.104787542066</v>
      </c>
      <c r="AK47" s="39" t="n">
        <f aca="false">8314.4621*AJ47/(Sheet1!M$21*Sheet1!M$12*9.80665)</f>
        <v>9093.02712334238</v>
      </c>
      <c r="AL47" s="39" t="n">
        <f aca="false">AL46-LN(AG47/AG46)*(AK46+AK47)/2</f>
        <v>90196.9713446132</v>
      </c>
      <c r="AM47" s="39" t="n">
        <f aca="false">Sheet1!M$10*10/Sheet1!M$11*1000*AL47/(Sheet1!M$10*10/Sheet1!M$11*1000-AL47)</f>
        <v>91768.4998719124</v>
      </c>
      <c r="AN47" s="41"/>
      <c r="AO47" s="37" t="n">
        <f aca="false">AO46+(AO$51-AO$41)/10</f>
        <v>1.09090620401144</v>
      </c>
      <c r="AP47" s="40" t="n">
        <f aca="false">10^AO47</f>
        <v>12.3283854433326</v>
      </c>
      <c r="AQ47" s="39" t="n">
        <f aca="false">AS47-AR47*((Sheet1!R$19-Sheet1!R$20)*COS(RADIANS(38))+Sheet1!R$20)/2</f>
        <v>122.016448334579</v>
      </c>
      <c r="AR47" s="37" t="n">
        <f aca="false">(AV47-AV$31)/(AV$51-AV$31)*(AR$51-AR$31)+AR$31</f>
        <v>-0.0382461178080442</v>
      </c>
      <c r="AS47" s="39" t="n">
        <f aca="false">(AV47-AV$41)/(AV$51-AV$41)*(AS$51-AS$41)+AS$41</f>
        <v>121.641480105319</v>
      </c>
      <c r="AT47" s="39" t="n">
        <f aca="false">8314.4621*AS47/(Sheet1!R$22*Sheet1!R$12*9.80665)</f>
        <v>14147.1073819093</v>
      </c>
      <c r="AU47" s="39" t="n">
        <f aca="false">AU46-LN(AP47/AP46)*(AT46+AT47)/2</f>
        <v>169954.032815742</v>
      </c>
      <c r="AV47" s="39" t="n">
        <f aca="false">Sheet1!R$10*10/Sheet1!R$11*1000*AU47/(Sheet1!R$10*10/Sheet1!R$11*1000-AU47)</f>
        <v>176568.200261513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171.394851155165</v>
      </c>
      <c r="T48" s="37" t="n">
        <f aca="false">(X48-X$44)/(X$54-X$44)*(T$54-T$44)+T$44</f>
        <v>0.399796363214304</v>
      </c>
      <c r="U48" s="39" t="n">
        <f aca="false">(X48-X$44)/(X$54-X$44)*(U$54-U$44)+U$44</f>
        <v>172.582257102044</v>
      </c>
      <c r="V48" s="39" t="n">
        <f aca="false">8314.4621*U48/(Sheet1!H$20*Sheet1!H$12*9.80665)</f>
        <v>21580.0790275397</v>
      </c>
      <c r="W48" s="39" t="n">
        <f aca="false">W47-LN(R48/R47)*(V47+V48)/2</f>
        <v>687244.484126826</v>
      </c>
      <c r="X48" s="39" t="n">
        <f aca="false">Sheet1!H$10*10/Sheet1!H$11*1000*W48/(Sheet1!H$10*10/Sheet1!H$11*1000-W48)</f>
        <v>695309.380618347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236.628112067166</v>
      </c>
      <c r="AI48" s="37" t="n">
        <f aca="false">(AM48-AM$30)/(AM$50-AM$30)*(AI$50-AI$30)+AI$30</f>
        <v>-0.329432652416979</v>
      </c>
      <c r="AJ48" s="39" t="n">
        <f aca="false">(AM48-AM$37)/(AM$50-AM$37)*(AJ$50-AJ$37)+AJ$37</f>
        <v>233.822638801058</v>
      </c>
      <c r="AK48" s="39" t="n">
        <f aca="false">8314.4621*AJ48/(Sheet1!M$21*Sheet1!M$12*9.80665)</f>
        <v>8929.49536469897</v>
      </c>
      <c r="AL48" s="39" t="n">
        <f aca="false">AL47-LN(AG48/AG47)*(AK47+AK48)/2</f>
        <v>92271.8909255689</v>
      </c>
      <c r="AM48" s="39" t="n">
        <f aca="false">Sheet1!M$10*10/Sheet1!M$11*1000*AL48/(Sheet1!M$10*10/Sheet1!M$11*1000-AL48)</f>
        <v>93917.2144431561</v>
      </c>
      <c r="AN48" s="41"/>
      <c r="AO48" s="37" t="n">
        <f aca="false">AO47+(AO$51-AO$41)/10</f>
        <v>0.977270046582047</v>
      </c>
      <c r="AP48" s="40" t="n">
        <f aca="false">10^AO48</f>
        <v>9.49008378252718</v>
      </c>
      <c r="AQ48" s="39" t="n">
        <f aca="false">AS48-AR48*((Sheet1!R$19-Sheet1!R$20)*COS(RADIANS(38))+Sheet1!R$20)/2</f>
        <v>121.203227381026</v>
      </c>
      <c r="AR48" s="37" t="n">
        <f aca="false">(AV48-AV$31)/(AV$51-AV$31)*(AR$51-AR$31)+AR$31</f>
        <v>-0.0286234329433725</v>
      </c>
      <c r="AS48" s="39" t="n">
        <f aca="false">(AV48-AV$41)/(AV$51-AV$41)*(AS$51-AS$41)+AS$41</f>
        <v>120.922600782008</v>
      </c>
      <c r="AT48" s="39" t="n">
        <f aca="false">8314.4621*AS48/(Sheet1!R$22*Sheet1!R$12*9.80665)</f>
        <v>14063.5005154629</v>
      </c>
      <c r="AU48" s="39" t="n">
        <f aca="false">AU47-LN(AP48/AP47)*(AT47+AT48)/2</f>
        <v>173644.783232551</v>
      </c>
      <c r="AV48" s="39" t="n">
        <f aca="false">Sheet1!R$10*10/Sheet1!R$11*1000*AU48/(Sheet1!R$10*10/Sheet1!R$11*1000-AU48)</f>
        <v>180555.178844627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171.097873720504</v>
      </c>
      <c r="T49" s="37" t="n">
        <f aca="false">(X49-X$44)/(X$54-X$44)*(T$54-T$44)+T$44</f>
        <v>0.499787860348465</v>
      </c>
      <c r="U49" s="39" t="n">
        <f aca="false">(X49-X$44)/(X$54-X$44)*(U$54-U$44)+U$44</f>
        <v>172.582257102044</v>
      </c>
      <c r="V49" s="39" t="n">
        <f aca="false">8314.4621*U49/(Sheet1!H$20*Sheet1!H$12*9.80665)</f>
        <v>21580.0790275397</v>
      </c>
      <c r="W49" s="39" t="n">
        <f aca="false">W48-LN(R49/R48)*(V48+V49)/2</f>
        <v>692213.48095427</v>
      </c>
      <c r="X49" s="39" t="n">
        <f aca="false">Sheet1!H$10*10/Sheet1!H$11*1000*W49/(Sheet1!H$10*10/Sheet1!H$11*1000-W49)</f>
        <v>700396.116892331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232.722752380339</v>
      </c>
      <c r="AI49" s="37" t="n">
        <f aca="false">(AM49-AM$30)/(AM$50-AM$30)*(AI$50-AI$30)+AI$30</f>
        <v>-0.365023086409036</v>
      </c>
      <c r="AJ49" s="39" t="n">
        <f aca="false">(AM49-AM$37)/(AM$50-AM$37)*(AJ$50-AJ$37)+AJ$37</f>
        <v>229.614188299276</v>
      </c>
      <c r="AK49" s="39" t="n">
        <f aca="false">8314.4621*AJ49/(Sheet1!M$21*Sheet1!M$12*9.80665)</f>
        <v>8768.77808154403</v>
      </c>
      <c r="AL49" s="39" t="n">
        <f aca="false">AL48-LN(AG49/AG48)*(AK48+AK49)/2</f>
        <v>94309.4799560214</v>
      </c>
      <c r="AM49" s="39" t="n">
        <f aca="false">Sheet1!M$10*10/Sheet1!M$11*1000*AL49/(Sheet1!M$10*10/Sheet1!M$11*1000-AL49)</f>
        <v>96028.9483787137</v>
      </c>
      <c r="AN49" s="41"/>
      <c r="AO49" s="37" t="n">
        <f aca="false">AO48+(AO$51-AO$41)/10</f>
        <v>0.863633889152659</v>
      </c>
      <c r="AP49" s="40" t="n">
        <f aca="false">10^AO49</f>
        <v>7.30522991946949</v>
      </c>
      <c r="AQ49" s="39" t="n">
        <f aca="false">AS49-AR49*((Sheet1!R$19-Sheet1!R$20)*COS(RADIANS(38))+Sheet1!R$20)/2</f>
        <v>120.393451741587</v>
      </c>
      <c r="AR49" s="37" t="n">
        <f aca="false">(AV49-AV$31)/(AV$51-AV$31)*(AR$51-AR$31)+AR$31</f>
        <v>-0.0190415159771827</v>
      </c>
      <c r="AS49" s="39" t="n">
        <f aca="false">(AV49-AV$41)/(AV$51-AV$41)*(AS$51-AS$41)+AS$41</f>
        <v>120.206767080827</v>
      </c>
      <c r="AT49" s="39" t="n">
        <f aca="false">8314.4621*AS49/(Sheet1!R$22*Sheet1!R$12*9.80665)</f>
        <v>13980.2478599589</v>
      </c>
      <c r="AU49" s="39" t="n">
        <f aca="false">AU48-LN(AP49/AP48)*(AT48+AT49)/2</f>
        <v>177313.70367489</v>
      </c>
      <c r="AV49" s="39" t="n">
        <f aca="false">Sheet1!R$10*10/Sheet1!R$11*1000*AU49/(Sheet1!R$10*10/Sheet1!R$11*1000-AU49)</f>
        <v>184525.266015375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170.800845881013</v>
      </c>
      <c r="T50" s="37" t="n">
        <f aca="false">(X50-X$44)/(X$54-X$44)*(T$54-T$44)+T$44</f>
        <v>0.599796328651822</v>
      </c>
      <c r="U50" s="39" t="n">
        <f aca="false">(X50-X$44)/(X$54-X$44)*(U$54-U$44)+U$44</f>
        <v>172.582257102044</v>
      </c>
      <c r="V50" s="39" t="n">
        <f aca="false">8314.4621*U50/(Sheet1!H$20*Sheet1!H$12*9.80665)</f>
        <v>21580.0790275397</v>
      </c>
      <c r="W50" s="39" t="n">
        <f aca="false">W49-LN(R50/R49)*(V49+V50)/2</f>
        <v>697182.477781715</v>
      </c>
      <c r="X50" s="39" t="n">
        <f aca="false">Sheet1!H$10*10/Sheet1!H$11*1000*W50/(Sheet1!H$10*10/Sheet1!H$11*1000-W50)</f>
        <v>705483.716518345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228.884738858682</v>
      </c>
      <c r="AI50" s="37" t="n">
        <v>-0.4</v>
      </c>
      <c r="AJ50" s="39" t="n">
        <f aca="false">0.83*Sheet1!M16</f>
        <v>225.478308748584</v>
      </c>
      <c r="AK50" s="39" t="n">
        <f aca="false">8314.4621*AJ50/(Sheet1!M$21*Sheet1!M$12*9.80665)</f>
        <v>8610.83222366546</v>
      </c>
      <c r="AL50" s="39" t="n">
        <f aca="false">AL49-LN(AG50/AG49)*(AK49+AK50)/2</f>
        <v>96310.3815365625</v>
      </c>
      <c r="AM50" s="39" t="n">
        <f aca="false">Sheet1!M$10*10/Sheet1!M$11*1000*AL50/(Sheet1!M$10*10/Sheet1!M$11*1000-AL50)</f>
        <v>98104.2795030149</v>
      </c>
      <c r="AN50" s="41"/>
      <c r="AO50" s="37" t="n">
        <f aca="false">AO49+(AO$51-AO$41)/10</f>
        <v>0.74999773172327</v>
      </c>
      <c r="AP50" s="40" t="n">
        <f aca="false">10^AO50</f>
        <v>5.62338388145408</v>
      </c>
      <c r="AQ50" s="39" t="n">
        <f aca="false">AS50-AR50*((Sheet1!R$19-Sheet1!R$20)*COS(RADIANS(38))+Sheet1!R$20)/2</f>
        <v>119.587121785013</v>
      </c>
      <c r="AR50" s="37" t="n">
        <f aca="false">(AV50-AV$31)/(AV$51-AV$31)*(AR$51-AR$31)+AR$31</f>
        <v>-0.0095003713040086</v>
      </c>
      <c r="AS50" s="39" t="n">
        <f aca="false">(AV50-AV$41)/(AV$51-AV$41)*(AS$51-AS$41)+AS$41</f>
        <v>119.493979327442</v>
      </c>
      <c r="AT50" s="39" t="n">
        <f aca="false">8314.4621*AS50/(Sheet1!R$22*Sheet1!R$12*9.80665)</f>
        <v>13897.3494532731</v>
      </c>
      <c r="AU50" s="39" t="n">
        <f aca="false">AU49-LN(AP50/AP49)*(AT49+AT50)/2</f>
        <v>180960.886829459</v>
      </c>
      <c r="AV50" s="39" t="n">
        <f aca="false">Sheet1!R$10*10/Sheet1!R$11*1000*AU50/(Sheet1!R$10*10/Sheet1!R$11*1000-AU50)</f>
        <v>188478.459952963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170.503767623861</v>
      </c>
      <c r="T51" s="37" t="n">
        <f aca="false">(X51-X$44)/(X$54-X$44)*(T$54-T$44)+T$44</f>
        <v>0.699821772445405</v>
      </c>
      <c r="U51" s="39" t="n">
        <f aca="false">(X51-X$44)/(X$54-X$44)*(U$54-U$44)+U$44</f>
        <v>172.582257102044</v>
      </c>
      <c r="V51" s="39" t="n">
        <f aca="false">8314.4621*U51/(Sheet1!H$20*Sheet1!H$12*9.80665)</f>
        <v>21580.0790275397</v>
      </c>
      <c r="W51" s="39" t="n">
        <f aca="false">W50-LN(R51/R50)*(V50+V51)/2</f>
        <v>702151.47460916</v>
      </c>
      <c r="X51" s="39" t="n">
        <f aca="false">Sheet1!H$10*10/Sheet1!H$11*1000*W51/(Sheet1!H$10*10/Sheet1!H$11*1000-W51)</f>
        <v>710572.179716205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226.300017550702</v>
      </c>
      <c r="AI51" s="37" t="n">
        <f aca="false">(AM51-AM$50)/(AM$62-AM$50)*(AI$62-AI$50)+AI$50</f>
        <v>-0.347540352711221</v>
      </c>
      <c r="AJ51" s="39" t="n">
        <f aca="false">(AM51-AM$50)/(AM$62-AM$50)*(AJ$62-AJ$50)+AJ$50</f>
        <v>223.340337745827</v>
      </c>
      <c r="AK51" s="39" t="n">
        <f aca="false">8314.4621*AJ51/(Sheet1!M$21*Sheet1!M$12*9.80665)</f>
        <v>8529.18485942021</v>
      </c>
      <c r="AL51" s="39" t="n">
        <f aca="false">AL50-LN(AG51/AG50)*(AK50+AK51)/2</f>
        <v>98283.6989280213</v>
      </c>
      <c r="AM51" s="39" t="n">
        <f aca="false">Sheet1!M$10*10/Sheet1!M$11*1000*AL51/(Sheet1!M$10*10/Sheet1!M$11*1000-AL51)</f>
        <v>100152.574082375</v>
      </c>
      <c r="AN51" s="41"/>
      <c r="AO51" s="37" t="n">
        <f aca="false">AO4+0.8*(AO61-AO4)</f>
        <v>0.636361574293882</v>
      </c>
      <c r="AP51" s="40" t="n">
        <f aca="false">10^AO51</f>
        <v>4.32874072777904</v>
      </c>
      <c r="AQ51" s="39" t="n">
        <f aca="false">AS51-AR51*((Sheet1!R$19-Sheet1!R$20)*COS(RADIANS(38))+Sheet1!R$20)/2</f>
        <v>118.784269696921</v>
      </c>
      <c r="AR51" s="37" t="n">
        <v>0</v>
      </c>
      <c r="AS51" s="39" t="n">
        <f aca="false">Sheet1!R16+0.96*(AS61-Sheet1!R16)</f>
        <v>118.784269696921</v>
      </c>
      <c r="AT51" s="39" t="n">
        <f aca="false">8314.4621*AS51/(Sheet1!R$22*Sheet1!R$12*9.80665)</f>
        <v>13814.8090374193</v>
      </c>
      <c r="AU51" s="39" t="n">
        <f aca="false">AU50-LN(AP51/AP50)*(AT50+AT51)/2</f>
        <v>184586.425877475</v>
      </c>
      <c r="AV51" s="39" t="n">
        <f aca="false">Sheet1!R$10*10/Sheet1!R$11*1000*AU51/(Sheet1!R$10*10/Sheet1!R$11*1000-AU51)</f>
        <v>192414.76021151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170.206638936208</v>
      </c>
      <c r="T52" s="37" t="n">
        <f aca="false">(X52-X$44)/(X$54-X$44)*(T$54-T$44)+T$44</f>
        <v>0.799864196051734</v>
      </c>
      <c r="U52" s="39" t="n">
        <f aca="false">(X52-X$44)/(X$54-X$44)*(U$54-U$44)+U$44</f>
        <v>172.582257102044</v>
      </c>
      <c r="V52" s="39" t="n">
        <f aca="false">8314.4621*U52/(Sheet1!H$20*Sheet1!H$12*9.80665)</f>
        <v>21580.0790275397</v>
      </c>
      <c r="W52" s="39" t="n">
        <f aca="false">W51-LN(R52/R51)*(V51+V52)/2</f>
        <v>707120.471436604</v>
      </c>
      <c r="X52" s="39" t="n">
        <f aca="false">Sheet1!H$10*10/Sheet1!H$11*1000*W52/(Sheet1!H$10*10/Sheet1!H$11*1000-W52)</f>
        <v>715661.506705807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223.738423338028</v>
      </c>
      <c r="AI52" s="37" t="n">
        <f aca="false">(AM52-AM$50)/(AM$62-AM$50)*(AI$62-AI$50)+AI$50</f>
        <v>-0.295538743619237</v>
      </c>
      <c r="AJ52" s="39" t="n">
        <f aca="false">(AM52-AM$50)/(AM$62-AM$50)*(AJ$62-AJ$50)+AJ$50</f>
        <v>221.221593150615</v>
      </c>
      <c r="AK52" s="39" t="n">
        <f aca="false">8314.4621*AJ52/(Sheet1!M$21*Sheet1!M$12*9.80665)</f>
        <v>8448.27173595647</v>
      </c>
      <c r="AL52" s="39" t="n">
        <f aca="false">AL51-LN(AG52/AG51)*(AK51+AK52)/2</f>
        <v>100238.300851695</v>
      </c>
      <c r="AM52" s="39" t="n">
        <f aca="false">Sheet1!M$10*10/Sheet1!M$11*1000*AL52/(Sheet1!M$10*10/Sheet1!M$11*1000-AL52)</f>
        <v>102182.984493538</v>
      </c>
      <c r="AN52" s="41"/>
      <c r="AO52" s="37" t="n">
        <f aca="false">AO51+(AO$61-AO$51)/10</f>
        <v>0.522725416864494</v>
      </c>
      <c r="AP52" s="40" t="n">
        <f aca="false">10^AO52</f>
        <v>3.33215670196924</v>
      </c>
      <c r="AQ52" s="39" t="n">
        <f aca="false">AS52-AR52*((Sheet1!R$19-Sheet1!R$20)*COS(RADIANS(38))+Sheet1!R$20)/2</f>
        <v>118.576248220503</v>
      </c>
      <c r="AR52" s="37" t="n">
        <f aca="false">(AV52-AV$51)/(AV$116-AV$51)*(AR$116-AR$51)+AR$51</f>
        <v>0.00418612214904756</v>
      </c>
      <c r="AS52" s="39" t="n">
        <f aca="false">(AV52-AV$51)/(AV$61-AV$51)*(AS$61-AS$51)+AS$51</f>
        <v>118.61728932218</v>
      </c>
      <c r="AT52" s="39" t="n">
        <f aca="false">8314.4621*AS52/(Sheet1!R$22*Sheet1!R$12*9.80665)</f>
        <v>13795.3889408364</v>
      </c>
      <c r="AU52" s="39" t="n">
        <f aca="false">AU51-LN(AP52/AP51)*(AT51+AT52)/2</f>
        <v>188198.62558856</v>
      </c>
      <c r="AV52" s="39" t="n">
        <f aca="false">Sheet1!R$10*10/Sheet1!R$11*1000*AU52/(Sheet1!R$10*10/Sheet1!R$11*1000-AU52)</f>
        <v>196343.104865501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169.909459805212</v>
      </c>
      <c r="T53" s="37" t="n">
        <f aca="false">(X53-X$44)/(X$54-X$44)*(T$54-T$44)+T$44</f>
        <v>0.899923603794785</v>
      </c>
      <c r="U53" s="39" t="n">
        <f aca="false">(X53-X$44)/(X$54-X$44)*(U$54-U$44)+U$44</f>
        <v>172.582257102044</v>
      </c>
      <c r="V53" s="39" t="n">
        <f aca="false">8314.4621*U53/(Sheet1!H$20*Sheet1!H$12*9.80665)</f>
        <v>21580.0790275397</v>
      </c>
      <c r="W53" s="39" t="n">
        <f aca="false">W52-LN(R53/R52)*(V52+V53)/2</f>
        <v>712089.468264049</v>
      </c>
      <c r="X53" s="39" t="n">
        <f aca="false">Sheet1!H$10*10/Sheet1!H$11*1000*W53/(Sheet1!H$10*10/Sheet1!H$11*1000-W53)</f>
        <v>720751.697707118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221.198950917317</v>
      </c>
      <c r="AI53" s="37" t="n">
        <f aca="false">(AM53-AM$50)/(AM$62-AM$50)*(AI$62-AI$50)+AI$50</f>
        <v>-0.243991869482431</v>
      </c>
      <c r="AJ53" s="39" t="n">
        <f aca="false">(AM53-AM$50)/(AM$62-AM$50)*(AJ$62-AJ$50)+AJ$50</f>
        <v>219.121097790256</v>
      </c>
      <c r="AK53" s="39" t="n">
        <f aca="false">8314.4621*AJ53/(Sheet1!M$21*Sheet1!M$12*9.80665)</f>
        <v>8368.05553584825</v>
      </c>
      <c r="AL53" s="39" t="n">
        <f aca="false">AL52-LN(AG53/AG52)*(AK52+AK53)/2</f>
        <v>102174.352076443</v>
      </c>
      <c r="AM53" s="39" t="n">
        <f aca="false">Sheet1!M$10*10/Sheet1!M$11*1000*AL53/(Sheet1!M$10*10/Sheet1!M$11*1000-AL53)</f>
        <v>104195.639712055</v>
      </c>
      <c r="AN53" s="41"/>
      <c r="AO53" s="37" t="n">
        <f aca="false">AO52+(AO$61-AO$51)/10</f>
        <v>0.409089259435105</v>
      </c>
      <c r="AP53" s="40" t="n">
        <f aca="false">10^AO53</f>
        <v>2.56501116253625</v>
      </c>
      <c r="AQ53" s="39" t="n">
        <f aca="false">AS53-AR53*((Sheet1!R$19-Sheet1!R$20)*COS(RADIANS(38))+Sheet1!R$20)/2</f>
        <v>118.36817427577</v>
      </c>
      <c r="AR53" s="37" t="n">
        <f aca="false">(AV53-AV$51)/(AV$116-AV$51)*(AR$116-AR$51)+AR$51</f>
        <v>0.00837330003888022</v>
      </c>
      <c r="AS53" s="39" t="n">
        <f aca="false">(AV53-AV$51)/(AV$61-AV$51)*(AS$61-AS$51)+AS$51</f>
        <v>118.450266829696</v>
      </c>
      <c r="AT53" s="39" t="n">
        <f aca="false">8314.4621*AS53/(Sheet1!R$22*Sheet1!R$12*9.80665)</f>
        <v>13775.9639458896</v>
      </c>
      <c r="AU53" s="39" t="n">
        <f aca="false">AU52-LN(AP53/AP52)*(AT52+AT53)/2</f>
        <v>191805.743256101</v>
      </c>
      <c r="AV53" s="39" t="n">
        <f aca="false">Sheet1!R$10*10/Sheet1!R$11*1000*AU53/(Sheet1!R$10*10/Sheet1!R$11*1000-AU53)</f>
        <v>200272.440248745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169.612230218027</v>
      </c>
      <c r="T54" s="37" t="n">
        <v>1</v>
      </c>
      <c r="U54" s="39" t="n">
        <f aca="false">Sheet1!H16*1.03</f>
        <v>172.582257102044</v>
      </c>
      <c r="V54" s="39" t="n">
        <f aca="false">8314.4621*U54/(Sheet1!H$20*Sheet1!H$12*9.80665)</f>
        <v>21580.0790275397</v>
      </c>
      <c r="W54" s="39" t="n">
        <f aca="false">W53-LN(R54/R53)*(V53+V54)/2</f>
        <v>717058.465091494</v>
      </c>
      <c r="X54" s="39" t="n">
        <f aca="false">Sheet1!H$10*10/Sheet1!H$11*1000*W54/(Sheet1!H$10*10/Sheet1!H$11*1000-W54)</f>
        <v>725842.752940181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169.612230218027</v>
      </c>
      <c r="AA54" s="39" t="n">
        <f aca="false">IF(Y54=LOG(Sheet1!H$17*101325),(LOG(Sheet1!H$17*101325)-Q64)/(Q54-Q64)*(X54-X64)+X64,IF(Y54=0,0,X54))</f>
        <v>725842.752940181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218.681722124502</v>
      </c>
      <c r="AI54" s="37" t="n">
        <f aca="false">(AM54-AM$50)/(AM$62-AM$50)*(AI$62-AI$50)+AI$50</f>
        <v>-0.192896502684984</v>
      </c>
      <c r="AJ54" s="39" t="n">
        <f aca="false">(AM54-AM$50)/(AM$62-AM$50)*(AJ$62-AJ$50)+AJ$50</f>
        <v>217.039000987305</v>
      </c>
      <c r="AK54" s="39" t="n">
        <f aca="false">8314.4621*AJ54/(Sheet1!M$21*Sheet1!M$12*9.80665)</f>
        <v>8288.54196160181</v>
      </c>
      <c r="AL54" s="39" t="n">
        <f aca="false">AL53-LN(AG54/AG53)*(AK53+AK54)/2</f>
        <v>104092.013731325</v>
      </c>
      <c r="AM54" s="39" t="n">
        <f aca="false">Sheet1!M$10*10/Sheet1!M$11*1000*AL54/(Sheet1!M$10*10/Sheet1!M$11*1000-AL54)</f>
        <v>106190.665760658</v>
      </c>
      <c r="AN54" s="41"/>
      <c r="AO54" s="37" t="n">
        <f aca="false">AO53+(AO$61-AO$51)/10</f>
        <v>0.295453102005717</v>
      </c>
      <c r="AP54" s="40" t="n">
        <f aca="false">10^AO54</f>
        <v>1.97448165029194</v>
      </c>
      <c r="AQ54" s="39" t="n">
        <f aca="false">AS54-AR54*((Sheet1!R$19-Sheet1!R$20)*COS(RADIANS(38))+Sheet1!R$20)/2</f>
        <v>118.1600485336</v>
      </c>
      <c r="AR54" s="37" t="n">
        <f aca="false">(AV54-AV$51)/(AV$116-AV$51)*(AR$116-AR$51)+AR$51</f>
        <v>0.0125615201150531</v>
      </c>
      <c r="AS54" s="39" t="n">
        <f aca="false">(AV54-AV$51)/(AV$61-AV$51)*(AS$61-AS$51)+AS$51</f>
        <v>118.283202757461</v>
      </c>
      <c r="AT54" s="39" t="n">
        <f aca="false">8314.4621*AS54/(Sheet1!R$22*Sheet1!R$12*9.80665)</f>
        <v>13756.5341151483</v>
      </c>
      <c r="AU54" s="39" t="n">
        <f aca="false">AU53-LN(AP54/AP53)*(AT53+AT54)/2</f>
        <v>195407.777606592</v>
      </c>
      <c r="AV54" s="39" t="n">
        <f aca="false">Sheet1!R$10*10/Sheet1!R$11*1000*AU54/(Sheet1!R$10*10/Sheet1!R$11*1000-AU54)</f>
        <v>204202.753641466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172.591618476721</v>
      </c>
      <c r="T55" s="37" t="n">
        <f aca="false">(X55-X$54)/(X$100-X$54)*(T$100-T$54)+T$54</f>
        <v>1.01613935179206</v>
      </c>
      <c r="U55" s="39" t="n">
        <f aca="false">(X55-X$54)/(X$77-X$54)*(U$77-U$54)+U$54</f>
        <v>175.60957966945</v>
      </c>
      <c r="V55" s="39" t="n">
        <f aca="false">8314.4621*U55/(Sheet1!H$20*Sheet1!H$12*9.80665)</f>
        <v>21958.6223456275</v>
      </c>
      <c r="W55" s="39" t="n">
        <f aca="false">W54-LN(R55/R54)*(V54+V55)/2</f>
        <v>722071.043329002</v>
      </c>
      <c r="X55" s="39" t="n">
        <f aca="false">Sheet1!H$10*10/Sheet1!H$11*1000*W55/(Sheet1!H$10*10/Sheet1!H$11*1000-W55)</f>
        <v>730979.335975278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216.186576817754</v>
      </c>
      <c r="AI55" s="37" t="n">
        <f aca="false">(AM55-AM$50)/(AM$62-AM$50)*(AI$62-AI$50)+AI$50</f>
        <v>-0.142249392751356</v>
      </c>
      <c r="AJ55" s="39" t="n">
        <f aca="false">(AM55-AM$50)/(AM$62-AM$50)*(AJ$62-AJ$50)+AJ$50</f>
        <v>214.975170281225</v>
      </c>
      <c r="AK55" s="39" t="n">
        <f aca="false">8314.4621*AJ55/(Sheet1!M$21*Sheet1!M$12*9.80665)</f>
        <v>8209.72595465758</v>
      </c>
      <c r="AL55" s="39" t="n">
        <f aca="false">AL54-LN(AG55/AG54)*(AK54+AK55)/2</f>
        <v>105991.447019535</v>
      </c>
      <c r="AM55" s="39" t="n">
        <f aca="false">Sheet1!M$10*10/Sheet1!M$11*1000*AL55/(Sheet1!M$10*10/Sheet1!M$11*1000-AL55)</f>
        <v>108168.189554636</v>
      </c>
      <c r="AN55" s="41"/>
      <c r="AO55" s="37" t="n">
        <f aca="false">AO54+(AO$61-AO$51)/10</f>
        <v>0.181816944576329</v>
      </c>
      <c r="AP55" s="40" t="n">
        <f aca="false">10^AO55</f>
        <v>1.51990675295335</v>
      </c>
      <c r="AQ55" s="39" t="n">
        <f aca="false">AS55-AR55*((Sheet1!R$19-Sheet1!R$20)*COS(RADIANS(38))+Sheet1!R$20)/2</f>
        <v>117.951871666743</v>
      </c>
      <c r="AR55" s="37" t="n">
        <f aca="false">(AV55-AV$51)/(AV$116-AV$51)*(AR$116-AR$51)+AR$51</f>
        <v>0.0167507687849352</v>
      </c>
      <c r="AS55" s="39" t="n">
        <f aca="false">(AV55-AV$51)/(AV$61-AV$51)*(AS$61-AS$51)+AS$51</f>
        <v>118.11609764496</v>
      </c>
      <c r="AT55" s="39" t="n">
        <f aca="false">8314.4621*AS55/(Sheet1!R$22*Sheet1!R$12*9.80665)</f>
        <v>13737.0995113555</v>
      </c>
      <c r="AU55" s="39" t="n">
        <f aca="false">AU54-LN(AP55/AP54)*(AT54+AT55)/2</f>
        <v>199004.727382923</v>
      </c>
      <c r="AV55" s="39" t="n">
        <f aca="false">Sheet1!R$10*10/Sheet1!R$11*1000*AU55/(Sheet1!R$10*10/Sheet1!R$11*1000-AU55)</f>
        <v>208134.032288057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175.623993157271</v>
      </c>
      <c r="T56" s="37" t="n">
        <f aca="false">(X56-X$54)/(X$100-X$54)*(T$100-T$54)+T$54</f>
        <v>1.03256468114617</v>
      </c>
      <c r="U56" s="39" t="n">
        <f aca="false">(X56-X$54)/(X$77-X$54)*(U$77-U$54)+U$54</f>
        <v>178.690738019761</v>
      </c>
      <c r="V56" s="39" t="n">
        <f aca="false">8314.4621*U56/(Sheet1!H$20*Sheet1!H$12*9.80665)</f>
        <v>22343.8974127901</v>
      </c>
      <c r="W56" s="39" t="n">
        <f aca="false">W55-LN(R56/R55)*(V55+V56)/2</f>
        <v>727171.559407893</v>
      </c>
      <c r="X56" s="39" t="n">
        <f aca="false">Sheet1!H$10*10/Sheet1!H$11*1000*W56/(Sheet1!H$10*10/Sheet1!H$11*1000-W56)</f>
        <v>736206.935521603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213.713355366248</v>
      </c>
      <c r="AI56" s="37" t="n">
        <f aca="false">(AM56-AM$50)/(AM$62-AM$50)*(AI$62-AI$50)+AI$50</f>
        <v>-0.0920472995775037</v>
      </c>
      <c r="AJ56" s="39" t="n">
        <f aca="false">(AM56-AM$50)/(AM$62-AM$50)*(AJ$62-AJ$50)+AJ$50</f>
        <v>212.929473634163</v>
      </c>
      <c r="AK56" s="39" t="n">
        <f aca="false">8314.4621*AJ56/(Sheet1!M$21*Sheet1!M$12*9.80665)</f>
        <v>8131.60247259788</v>
      </c>
      <c r="AL56" s="39" t="n">
        <f aca="false">AL55-LN(AG56/AG55)*(AK55+AK56)/2</f>
        <v>107872.811981351</v>
      </c>
      <c r="AM56" s="39" t="n">
        <f aca="false">Sheet1!M$10*10/Sheet1!M$11*1000*AL56/(Sheet1!M$10*10/Sheet1!M$11*1000-AL56)</f>
        <v>110128.337604326</v>
      </c>
      <c r="AN56" s="41"/>
      <c r="AO56" s="37" t="n">
        <f aca="false">AO55+(AO$61-AO$51)/10</f>
        <v>0.0681807871469409</v>
      </c>
      <c r="AP56" s="40" t="n">
        <f aca="false">10^AO56</f>
        <v>1.16998632898494</v>
      </c>
      <c r="AQ56" s="39" t="n">
        <f aca="false">AS56-AR56*((Sheet1!R$19-Sheet1!R$20)*COS(RADIANS(38))+Sheet1!R$20)/2</f>
        <v>117.743644349808</v>
      </c>
      <c r="AR56" s="37" t="n">
        <f aca="false">(AV56-AV$51)/(AV$116-AV$51)*(AR$116-AR$51)+AR$51</f>
        <v>0.0209410324178389</v>
      </c>
      <c r="AS56" s="39" t="n">
        <f aca="false">(AV56-AV$51)/(AV$61-AV$51)*(AS$61-AS$51)+AS$51</f>
        <v>117.948952033166</v>
      </c>
      <c r="AT56" s="39" t="n">
        <f aca="false">8314.4621*AS56/(Sheet1!R$22*Sheet1!R$12*9.80665)</f>
        <v>13717.6601974272</v>
      </c>
      <c r="AU56" s="39" t="n">
        <f aca="false">AU55-LN(AP56/AP55)*(AT55+AT56)/2</f>
        <v>202596.591344423</v>
      </c>
      <c r="AV56" s="39" t="n">
        <f aca="false">Sheet1!R$10*10/Sheet1!R$11*1000*AU56/(Sheet1!R$10*10/Sheet1!R$11*1000-AU56)</f>
        <v>212066.263397194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178.710021004239</v>
      </c>
      <c r="T57" s="37" t="n">
        <f aca="false">(X57-X$54)/(X$100-X$54)*(T$100-T$54)+T$54</f>
        <v>1.04928116148559</v>
      </c>
      <c r="U57" s="39" t="n">
        <f aca="false">(X57-X$54)/(X$77-X$54)*(U$77-U$54)+U$54</f>
        <v>181.826414262743</v>
      </c>
      <c r="V57" s="39" t="n">
        <f aca="false">8314.4621*U57/(Sheet1!H$20*Sheet1!H$12*9.80665)</f>
        <v>22735.9895215885</v>
      </c>
      <c r="W57" s="39" t="n">
        <f aca="false">W56-LN(R57/R56)*(V56+V57)/2</f>
        <v>732361.573190341</v>
      </c>
      <c r="X57" s="39" t="n">
        <f aca="false">Sheet1!H$10*10/Sheet1!H$11*1000*W57/(Sheet1!H$10*10/Sheet1!H$11*1000-W57)</f>
        <v>741527.198096226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211.261898661414</v>
      </c>
      <c r="AI57" s="37" t="n">
        <f aca="false">(AM57-AM$50)/(AM$62-AM$50)*(AI$62-AI$50)+AI$50</f>
        <v>-0.042286993659324</v>
      </c>
      <c r="AJ57" s="39" t="n">
        <f aca="false">(AM57-AM$50)/(AM$62-AM$50)*(AJ$62-AJ$50)+AJ$50</f>
        <v>210.901779440247</v>
      </c>
      <c r="AK57" s="39" t="n">
        <f aca="false">8314.4621*AJ57/(Sheet1!M$21*Sheet1!M$12*9.80665)</f>
        <v>8054.16648950217</v>
      </c>
      <c r="AL57" s="39" t="n">
        <f aca="false">AL56-LN(AG57/AG56)*(AK56+AK57)/2</f>
        <v>109736.267497889</v>
      </c>
      <c r="AM57" s="39" t="n">
        <f aca="false">Sheet1!M$10*10/Sheet1!M$11*1000*AL57/(Sheet1!M$10*10/Sheet1!M$11*1000-AL57)</f>
        <v>112071.236006185</v>
      </c>
      <c r="AN57" s="41"/>
      <c r="AO57" s="37" t="n">
        <f aca="false">AO56+(AO$61-AO$51)/10</f>
        <v>-0.0454553702824473</v>
      </c>
      <c r="AP57" s="40" t="n">
        <f aca="false">10^AO57</f>
        <v>0.900626309707356</v>
      </c>
      <c r="AQ57" s="39" t="n">
        <f aca="false">AS57-AR57*((Sheet1!R$19-Sheet1!R$20)*COS(RADIANS(38))+Sheet1!R$20)/2</f>
        <v>117.53536725926</v>
      </c>
      <c r="AR57" s="37" t="n">
        <f aca="false">(AV57-AV$51)/(AV$116-AV$51)*(AR$116-AR$51)+AR$51</f>
        <v>0.0251322973451516</v>
      </c>
      <c r="AS57" s="39" t="n">
        <f aca="false">(AV57-AV$51)/(AV$61-AV$51)*(AS$61-AS$51)+AS$51</f>
        <v>117.781766464534</v>
      </c>
      <c r="AT57" s="39" t="n">
        <f aca="false">8314.4621*AS57/(Sheet1!R$22*Sheet1!R$12*9.80665)</f>
        <v>13698.216236452</v>
      </c>
      <c r="AU57" s="39" t="n">
        <f aca="false">AU56-LN(AP57/AP56)*(AT56+AT57)/2</f>
        <v>206183.368266906</v>
      </c>
      <c r="AV57" s="39" t="n">
        <f aca="false">Sheet1!R$10*10/Sheet1!R$11*1000*AU57/(Sheet1!R$10*10/Sheet1!R$11*1000-AU57)</f>
        <v>215999.434141964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181.850769463626</v>
      </c>
      <c r="T58" s="37" t="n">
        <f aca="false">(X58-X$54)/(X$100-X$54)*(T$100-T$54)+T$54</f>
        <v>1.06629405436268</v>
      </c>
      <c r="U58" s="39" t="n">
        <f aca="false">(X58-X$54)/(X$77-X$54)*(U$77-U$54)+U$54</f>
        <v>185.01769147135</v>
      </c>
      <c r="V58" s="39" t="n">
        <f aca="false">8314.4621*U58/(Sheet1!H$20*Sheet1!H$12*9.80665)</f>
        <v>23135.034101935</v>
      </c>
      <c r="W58" s="39" t="n">
        <f aca="false">W57-LN(R58/R57)*(V57+V58)/2</f>
        <v>737642.669950136</v>
      </c>
      <c r="X58" s="39" t="n">
        <f aca="false">Sheet1!H$10*10/Sheet1!H$11*1000*W58/(Sheet1!H$10*10/Sheet1!H$11*1000-W58)</f>
        <v>746941.798264579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208.832048127896</v>
      </c>
      <c r="AI58" s="37" t="n">
        <f aca="false">(AM58-AM$50)/(AM$62-AM$50)*(AI$62-AI$50)+AI$50</f>
        <v>0.00703474368482926</v>
      </c>
      <c r="AJ58" s="39" t="n">
        <f aca="false">(AM58-AM$50)/(AM$62-AM$50)*(AJ$62-AJ$50)+AJ$50</f>
        <v>208.891956534658</v>
      </c>
      <c r="AK58" s="39" t="n">
        <f aca="false">8314.4621*AJ58/(Sheet1!M$21*Sheet1!M$12*9.80665)</f>
        <v>7977.41299629317</v>
      </c>
      <c r="AL58" s="39" t="n">
        <f aca="false">AL57-LN(AG58/AG57)*(AK57+AK58)/2</f>
        <v>111581.971294946</v>
      </c>
      <c r="AM58" s="39" t="n">
        <f aca="false">Sheet1!M$10*10/Sheet1!M$11*1000*AL58/(Sheet1!M$10*10/Sheet1!M$11*1000-AL58)</f>
        <v>113997.010434109</v>
      </c>
      <c r="AN58" s="41"/>
      <c r="AO58" s="37" t="n">
        <f aca="false">AO57+(AO$61-AO$51)/10</f>
        <v>-0.159091527711835</v>
      </c>
      <c r="AP58" s="40" t="n">
        <f aca="false">10^AO58</f>
        <v>0.693279681687228</v>
      </c>
      <c r="AQ58" s="39" t="n">
        <f aca="false">AS58-AR58*((Sheet1!R$19-Sheet1!R$20)*COS(RADIANS(38))+Sheet1!R$20)/2</f>
        <v>117.327159980801</v>
      </c>
      <c r="AR58" s="37" t="n">
        <f aca="false">(AV58-AV$51)/(AV$116-AV$51)*(AR$116-AR$51)+AR$51</f>
        <v>0.0293245519802541</v>
      </c>
      <c r="AS58" s="39" t="n">
        <f aca="false">(AV58-AV$51)/(AV$61-AV$51)*(AS$61-AS$51)+AS$51</f>
        <v>117.614660411173</v>
      </c>
      <c r="AT58" s="39" t="n">
        <f aca="false">8314.4621*AS58/(Sheet1!R$22*Sheet1!R$12*9.80665)</f>
        <v>13678.7815232356</v>
      </c>
      <c r="AU58" s="39" t="n">
        <f aca="false">AU57-LN(AP58/AP57)*(AT57+AT58)/2</f>
        <v>209765.058752277</v>
      </c>
      <c r="AV58" s="39" t="n">
        <f aca="false">Sheet1!R$10*10/Sheet1!R$11*1000*AU58/(Sheet1!R$10*10/Sheet1!R$11*1000-AU58)</f>
        <v>219933.533649242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185.047228950928</v>
      </c>
      <c r="T59" s="37" t="n">
        <f aca="false">(X59-X$54)/(X$100-X$54)*(T$100-T$54)+T$54</f>
        <v>1.08360872473629</v>
      </c>
      <c r="U59" s="39" t="n">
        <f aca="false">(X59-X$54)/(X$77-X$54)*(U$77-U$54)+U$54</f>
        <v>188.26557599515</v>
      </c>
      <c r="V59" s="39" t="n">
        <f aca="false">8314.4621*U59/(Sheet1!H$20*Sheet1!H$12*9.80665)</f>
        <v>23541.1569900745</v>
      </c>
      <c r="W59" s="39" t="n">
        <f aca="false">W58-LN(R59/R58)*(V58+V59)/2</f>
        <v>743016.465040446</v>
      </c>
      <c r="X59" s="39" t="n">
        <f aca="false">Sheet1!H$10*10/Sheet1!H$11*1000*W59/(Sheet1!H$10*10/Sheet1!H$11*1000-W59)</f>
        <v>752452.443502706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206.423645734216</v>
      </c>
      <c r="AI59" s="37" t="n">
        <f aca="false">(AM59-AM$50)/(AM$62-AM$50)*(AI$62-AI$50)+AI$50</f>
        <v>0.0559211200975152</v>
      </c>
      <c r="AJ59" s="39" t="n">
        <f aca="false">(AM59-AM$50)/(AM$62-AM$50)*(AJ$62-AJ$50)+AJ$50</f>
        <v>206.899874202442</v>
      </c>
      <c r="AK59" s="39" t="n">
        <f aca="false">8314.4621*AJ59/(Sheet1!M$21*Sheet1!M$12*9.80665)</f>
        <v>7901.33700107377</v>
      </c>
      <c r="AL59" s="39" t="n">
        <f aca="false">AL58-LN(AG59/AG58)*(AK58+AK59)/2</f>
        <v>113410.079946912</v>
      </c>
      <c r="AM59" s="39" t="n">
        <f aca="false">Sheet1!M$10*10/Sheet1!M$11*1000*AL59/(Sheet1!M$10*10/Sheet1!M$11*1000-AL59)</f>
        <v>115905.786130968</v>
      </c>
      <c r="AN59" s="41"/>
      <c r="AO59" s="37" t="n">
        <f aca="false">AO58+(AO$61-AO$51)/10</f>
        <v>-0.272727685141224</v>
      </c>
      <c r="AP59" s="40" t="n">
        <f aca="false">10^AO59</f>
        <v>0.533669416338192</v>
      </c>
      <c r="AQ59" s="39" t="n">
        <f aca="false">AS59-AR59*((Sheet1!R$19-Sheet1!R$20)*COS(RADIANS(38))+Sheet1!R$20)/2</f>
        <v>117.118802236329</v>
      </c>
      <c r="AR59" s="37" t="n">
        <f aca="false">(AV59-AV$51)/(AV$116-AV$51)*(AR$116-AR$51)+AR$51</f>
        <v>0.0335177828913559</v>
      </c>
      <c r="AS59" s="39" t="n">
        <f aca="false">(AV59-AV$51)/(AV$61-AV$51)*(AS$61-AS$51)+AS$51</f>
        <v>117.447413463292</v>
      </c>
      <c r="AT59" s="39" t="n">
        <f aca="false">8314.4621*AS59/(Sheet1!R$22*Sheet1!R$12*9.80665)</f>
        <v>13659.3304237511</v>
      </c>
      <c r="AU59" s="39" t="n">
        <f aca="false">AU58-LN(AP59/AP58)*(AT58+AT59)/2</f>
        <v>213341.661866615</v>
      </c>
      <c r="AV59" s="39" t="n">
        <f aca="false">Sheet1!R$10*10/Sheet1!R$11*1000*AU59/(Sheet1!R$10*10/Sheet1!R$11*1000-AU59)</f>
        <v>223868.549314355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188.300408523824</v>
      </c>
      <c r="T60" s="37" t="n">
        <f aca="false">(X60-X$54)/(X$100-X$54)*(T$100-T$54)+T$54</f>
        <v>1.10123063854811</v>
      </c>
      <c r="U60" s="39" t="n">
        <f aca="false">(X60-X$54)/(X$77-X$54)*(U$77-U$54)+U$54</f>
        <v>191.571093125815</v>
      </c>
      <c r="V60" s="39" t="n">
        <f aca="false">8314.4621*U60/(Sheet1!H$20*Sheet1!H$12*9.80665)</f>
        <v>23954.4863908162</v>
      </c>
      <c r="W60" s="39" t="n">
        <f aca="false">W59-LN(R60/R59)*(V59+V60)/2</f>
        <v>748484.603061996</v>
      </c>
      <c r="X60" s="39" t="n">
        <f aca="false">Sheet1!H$10*10/Sheet1!H$11*1000*W60/(Sheet1!H$10*10/Sheet1!H$11*1000-W60)</f>
        <v>758060.87342591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204.036534003159</v>
      </c>
      <c r="AI60" s="37" t="n">
        <f aca="false">(AM60-AM$50)/(AM$62-AM$50)*(AI$62-AI$50)+AI$50</f>
        <v>0.104375331971365</v>
      </c>
      <c r="AJ60" s="39" t="n">
        <f aca="false">(AM60-AM$50)/(AM$62-AM$50)*(AJ$62-AJ$50)+AJ$50</f>
        <v>204.925402187106</v>
      </c>
      <c r="AK60" s="39" t="n">
        <f aca="false">8314.4621*AJ60/(Sheet1!M$21*Sheet1!M$12*9.80665)</f>
        <v>7825.93352945495</v>
      </c>
      <c r="AL60" s="39" t="n">
        <f aca="false">AL59-LN(AG60/AG59)*(AK59+AK60)/2</f>
        <v>115220.748880766</v>
      </c>
      <c r="AM60" s="39" t="n">
        <f aca="false">Sheet1!M$10*10/Sheet1!M$11*1000*AL60/(Sheet1!M$10*10/Sheet1!M$11*1000-AL60)</f>
        <v>117797.68790038</v>
      </c>
      <c r="AN60" s="41"/>
      <c r="AO60" s="37" t="n">
        <f aca="false">AO59+(AO$61-AO$51)/10</f>
        <v>-0.386363842570612</v>
      </c>
      <c r="AP60" s="40" t="n">
        <f aca="false">10^AO60</f>
        <v>0.41080541296353</v>
      </c>
      <c r="AQ60" s="39" t="n">
        <f aca="false">AS60-AR60*((Sheet1!R$19-Sheet1!R$20)*COS(RADIANS(38))+Sheet1!R$20)/2</f>
        <v>116.910396756374</v>
      </c>
      <c r="AR60" s="37" t="n">
        <f aca="false">(AV60-AV$51)/(AV$116-AV$51)*(AR$116-AR$51)+AR$51</f>
        <v>0.0377119744844249</v>
      </c>
      <c r="AS60" s="39" t="n">
        <f aca="false">(AV60-AV$51)/(AV$61-AV$51)*(AS$61-AS$51)+AS$51</f>
        <v>117.280128198537</v>
      </c>
      <c r="AT60" s="39" t="n">
        <f aca="false">8314.4621*AS60/(Sheet1!R$22*Sheet1!R$12*9.80665)</f>
        <v>13639.8748679502</v>
      </c>
      <c r="AU60" s="39" t="n">
        <f aca="false">AU59-LN(AP60/AP59)*(AT59+AT60)/2</f>
        <v>216913.174883117</v>
      </c>
      <c r="AV60" s="39" t="n">
        <f aca="false">Sheet1!R$10*10/Sheet1!R$11*1000*AU60/(Sheet1!R$10*10/Sheet1!R$11*1000-AU60)</f>
        <v>227804.466503535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191.611336258502</v>
      </c>
      <c r="T61" s="37" t="n">
        <f aca="false">(X61-X$54)/(X$100-X$54)*(T$100-T$54)+T$54</f>
        <v>1.1191653647612</v>
      </c>
      <c r="U61" s="39" t="n">
        <f aca="false">(X61-X$54)/(X$77-X$54)*(U$77-U$54)+U$54</f>
        <v>194.935287479504</v>
      </c>
      <c r="V61" s="39" t="n">
        <f aca="false">8314.4621*U61/(Sheet1!H$20*Sheet1!H$12*9.80665)</f>
        <v>24375.1529253469</v>
      </c>
      <c r="W61" s="39" t="n">
        <f aca="false">W60-LN(R61/R60)*(V60+V61)/2</f>
        <v>754048.758413955</v>
      </c>
      <c r="X61" s="39" t="n">
        <f aca="false">Sheet1!H$10*10/Sheet1!H$11*1000*W61/(Sheet1!H$10*10/Sheet1!H$11*1000-W61)</f>
        <v>763768.860437542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201.670556021871</v>
      </c>
      <c r="AI61" s="37" t="n">
        <f aca="false">(AM61-AM$50)/(AM$62-AM$50)*(AI$62-AI$50)+AI$50</f>
        <v>0.152400564244002</v>
      </c>
      <c r="AJ61" s="39" t="n">
        <f aca="false">(AM61-AM$50)/(AM$62-AM$50)*(AJ$62-AJ$50)+AJ$50</f>
        <v>202.968410698963</v>
      </c>
      <c r="AK61" s="39" t="n">
        <f aca="false">8314.4621*AJ61/(Sheet1!M$21*Sheet1!M$12*9.80665)</f>
        <v>7751.19762487475</v>
      </c>
      <c r="AL61" s="39" t="n">
        <f aca="false">AL60-LN(AG61/AG60)*(AK60+AK61)/2</f>
        <v>117014.132380145</v>
      </c>
      <c r="AM61" s="39" t="n">
        <f aca="false">Sheet1!M$10*10/Sheet1!M$11*1000*AL61/(Sheet1!M$10*10/Sheet1!M$11*1000-AL61)</f>
        <v>119672.840098698</v>
      </c>
      <c r="AN61" s="41"/>
      <c r="AO61" s="37" t="n">
        <f aca="false">IF(Sheet1!R24="Y",-0.5,-1.5)</f>
        <v>-0.5</v>
      </c>
      <c r="AP61" s="40" t="n">
        <f aca="false">10^AO61</f>
        <v>0.316227766016838</v>
      </c>
      <c r="AQ61" s="39" t="n">
        <f aca="false">AS61-AR61*((Sheet1!R$19-Sheet1!R$20)*COS(RADIANS(38))+Sheet1!R$20)/2</f>
        <v>116.701944518694</v>
      </c>
      <c r="AR61" s="37" t="n">
        <f aca="false">(AV61-AV$51)/(AV$116-AV$51)*(AR$116-AR$51)+AR$51</f>
        <v>0.0419071129489174</v>
      </c>
      <c r="AS61" s="39" t="n">
        <f aca="false">MIN(IF(Sheet1!R15&gt;1,36*LOG(Sheet1!R15)+30,30),(Sheet1!R15*(1-MAX(Sheet1!R14,0.56707137))/(4*0.000000056704))^0.25)</f>
        <v>117.112805459266</v>
      </c>
      <c r="AT61" s="39" t="n">
        <f aca="false">8314.4621*AS61/(Sheet1!R$22*Sheet1!R$12*9.80665)</f>
        <v>13620.4149538003</v>
      </c>
      <c r="AU61" s="39" t="n">
        <f aca="false">AU60-LN(AP61/AP60)*(AT60+AT61)/2</f>
        <v>220479.596648574</v>
      </c>
      <c r="AV61" s="39" t="n">
        <f aca="false">Sheet1!R$10*10/Sheet1!R$11*1000*AU61/(Sheet1!R$10*10/Sheet1!R$11*1000-AU61)</f>
        <v>231741.272256681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194.981059634478</v>
      </c>
      <c r="T62" s="37" t="n">
        <f aca="false">(X62-X$54)/(X$100-X$54)*(T$100-T$54)+T$54</f>
        <v>1.1374185774445</v>
      </c>
      <c r="U62" s="39" t="n">
        <f aca="false">(X62-X$54)/(X$77-X$54)*(U$77-U$54)+U$54</f>
        <v>198.359223387869</v>
      </c>
      <c r="V62" s="39" t="n">
        <f aca="false">8314.4621*U62/(Sheet1!H$20*Sheet1!H$12*9.80665)</f>
        <v>24803.2896801238</v>
      </c>
      <c r="W62" s="39" t="n">
        <f aca="false">W61-LN(R62/R61)*(V61+V62)/2</f>
        <v>759710.635855956</v>
      </c>
      <c r="X62" s="39" t="n">
        <f aca="false">Sheet1!H$10*10/Sheet1!H$11*1000*W62/(Sheet1!H$10*10/Sheet1!H$11*1000-W62)</f>
        <v>769578.210392424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199.325638528025</v>
      </c>
      <c r="AI62" s="37" t="n">
        <v>0.2</v>
      </c>
      <c r="AJ62" s="39" t="n">
        <f aca="false">0.74*Sheet1!M16</f>
        <v>201.028853583075</v>
      </c>
      <c r="AK62" s="39" t="n">
        <f aca="false">8314.4621*AJ62/(Sheet1!M$21*Sheet1!M$12*9.80665)</f>
        <v>7677.12752471378</v>
      </c>
      <c r="AL62" s="39" t="n">
        <f aca="false">AL61-LN(AG62/AG61)*(AK61+AK62)/2</f>
        <v>118790.38395511</v>
      </c>
      <c r="AM62" s="39" t="n">
        <f aca="false">Sheet1!M$10*10/Sheet1!M$11*1000*AL62/(Sheet1!M$10*10/Sheet1!M$11*1000-AL62)</f>
        <v>121531.367009923</v>
      </c>
      <c r="AN62" s="41"/>
      <c r="AO62" s="37" t="n">
        <f aca="false">AO61+(AO$69-AO$61)/8</f>
        <v>-0.5625</v>
      </c>
      <c r="AP62" s="40" t="n">
        <f aca="false">10^AO62</f>
        <v>0.273841963426436</v>
      </c>
      <c r="AQ62" s="39" t="n">
        <f aca="false">AS62-AR62*((Sheet1!R$19-Sheet1!R$20)*COS(RADIANS(38))+Sheet1!R$20)/2</f>
        <v>116.679310446753</v>
      </c>
      <c r="AR62" s="37" t="n">
        <f aca="false">(AV62-AV$51)/(AV$116-AV$51)*(AR$116-AR$51)+AR$51</f>
        <v>0.0442157495596554</v>
      </c>
      <c r="AS62" s="39" t="n">
        <f aca="false">(AV62-AV$61)/(AV$69-AV$61)*(AS$69-AS$61)+AS$61</f>
        <v>117.112805459266</v>
      </c>
      <c r="AT62" s="39" t="n">
        <f aca="false">8314.4621*AS62/(Sheet1!R$22*Sheet1!R$12*9.80665)</f>
        <v>13620.4149538003</v>
      </c>
      <c r="AU62" s="39" t="n">
        <f aca="false">AU61-LN(AP62/AP61)*(AT61+AT62)/2</f>
        <v>222439.731925638</v>
      </c>
      <c r="AV62" s="39" t="n">
        <f aca="false">Sheet1!R$10*10/Sheet1!R$11*1000*AU62/(Sheet1!R$10*10/Sheet1!R$11*1000-AU62)</f>
        <v>233907.745179566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198.410645928125</v>
      </c>
      <c r="T63" s="37" t="n">
        <f aca="false">(X63-X$54)/(X$100-X$54)*(T$100-T$54)+T$54</f>
        <v>1.15599605790453</v>
      </c>
      <c r="U63" s="39" t="n">
        <f aca="false">(X63-X$54)/(X$77-X$54)*(U$77-U$54)+U$54</f>
        <v>201.843985297919</v>
      </c>
      <c r="V63" s="39" t="n">
        <f aca="false">8314.4621*U63/(Sheet1!H$20*Sheet1!H$12*9.80665)</f>
        <v>25239.0322568743</v>
      </c>
      <c r="W63" s="39" t="n">
        <f aca="false">W62-LN(R63/R62)*(V62+V63)/2</f>
        <v>765471.971081503</v>
      </c>
      <c r="X63" s="39" t="n">
        <f aca="false">Sheet1!H$10*10/Sheet1!H$11*1000*W63/(Sheet1!H$10*10/Sheet1!H$11*1000-W63)</f>
        <v>775490.763275295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200.950299872955</v>
      </c>
      <c r="AI63" s="37" t="n">
        <f aca="false">(AM63-AM$62)/(AM$95-AM$62)*(AI$95-AI$62)+AI$62</f>
        <v>0.2</v>
      </c>
      <c r="AJ63" s="39" t="n">
        <f aca="false">(AM63-AM$62)/(AM$70-AM$62)*(AJ$70-AJ$62)+AJ$62</f>
        <v>202.653514928004</v>
      </c>
      <c r="AK63" s="39" t="n">
        <f aca="false">8314.4621*AJ63/(Sheet1!M$21*Sheet1!M$12*9.80665)</f>
        <v>7739.17201289141</v>
      </c>
      <c r="AL63" s="39" t="n">
        <f aca="false">AL62-LN(AG63/AG62)*(AK62+AK63)/2</f>
        <v>120565.251030331</v>
      </c>
      <c r="AM63" s="39" t="n">
        <f aca="false">Sheet1!M$10*10/Sheet1!M$11*1000*AL63/(Sheet1!M$10*10/Sheet1!M$11*1000-AL63)</f>
        <v>123389.726704276</v>
      </c>
      <c r="AN63" s="41"/>
      <c r="AO63" s="37" t="n">
        <f aca="false">AO62+(AO$69-AO$61)/8</f>
        <v>-0.625</v>
      </c>
      <c r="AP63" s="40" t="n">
        <f aca="false">10^AO63</f>
        <v>0.237137370566165</v>
      </c>
      <c r="AQ63" s="39" t="n">
        <f aca="false">AS63-AR63*((Sheet1!R$19-Sheet1!R$20)*COS(RADIANS(38))+Sheet1!R$20)/2</f>
        <v>116.656655799826</v>
      </c>
      <c r="AR63" s="37" t="n">
        <f aca="false">(AV63-AV$51)/(AV$116-AV$51)*(AR$116-AR$51)+AR$51</f>
        <v>0.0465264847837233</v>
      </c>
      <c r="AS63" s="39" t="n">
        <f aca="false">(AV63-AV$61)/(AV$69-AV$61)*(AS$69-AS$61)+AS$61</f>
        <v>117.112805459266</v>
      </c>
      <c r="AT63" s="39" t="n">
        <f aca="false">8314.4621*AS63/(Sheet1!R$22*Sheet1!R$12*9.80665)</f>
        <v>13620.4149538003</v>
      </c>
      <c r="AU63" s="39" t="n">
        <f aca="false">AU62-LN(AP63/AP62)*(AT62+AT63)/2</f>
        <v>224399.867202701</v>
      </c>
      <c r="AV63" s="39" t="n">
        <f aca="false">Sheet1!R$10*10/Sheet1!R$11*1000*AU63/(Sheet1!R$10*10/Sheet1!R$11*1000-AU63)</f>
        <v>236076.187485131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201.900956402282</v>
      </c>
      <c r="T64" s="37" t="n">
        <f aca="false">(X64-X$54)/(X$100-X$54)*(T$100-T$54)+T$54</f>
        <v>1.17490368636011</v>
      </c>
      <c r="U64" s="39" t="n">
        <f aca="false">(X64-X$54)/(X$77-X$54)*(U$77-U$54)+U$54</f>
        <v>205.390451936902</v>
      </c>
      <c r="V64" s="39" t="n">
        <f aca="false">8314.4621*U64/(Sheet1!H$20*Sheet1!H$12*9.80665)</f>
        <v>25682.4905336572</v>
      </c>
      <c r="W64" s="39" t="n">
        <f aca="false">W63-LN(R64/R63)*(V63+V64)/2</f>
        <v>771334.528046005</v>
      </c>
      <c r="X64" s="39" t="n">
        <f aca="false">Sheet1!H$10*10/Sheet1!H$11*1000*W64/(Sheet1!H$10*10/Sheet1!H$11*1000-W64)</f>
        <v>781508.39055117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202.589594880511</v>
      </c>
      <c r="AI64" s="37" t="n">
        <f aca="false">(AM64-AM$62)/(AM$95-AM$62)*(AI$95-AI$62)+AI$62</f>
        <v>0.2</v>
      </c>
      <c r="AJ64" s="39" t="n">
        <f aca="false">(AM64-AM$62)/(AM$70-AM$62)*(AJ$70-AJ$62)+AJ$62</f>
        <v>204.292809935561</v>
      </c>
      <c r="AK64" s="39" t="n">
        <f aca="false">8314.4621*AJ64/(Sheet1!M$21*Sheet1!M$12*9.80665)</f>
        <v>7801.77534867792</v>
      </c>
      <c r="AL64" s="39" t="n">
        <f aca="false">AL63-LN(AG64/AG63)*(AK63+AK64)/2</f>
        <v>122354.468716619</v>
      </c>
      <c r="AM64" s="39" t="n">
        <f aca="false">Sheet1!M$10*10/Sheet1!M$11*1000*AL64/(Sheet1!M$10*10/Sheet1!M$11*1000-AL64)</f>
        <v>125264.409921294</v>
      </c>
      <c r="AN64" s="41"/>
      <c r="AO64" s="37" t="n">
        <f aca="false">AO63+(AO$69-AO$61)/8</f>
        <v>-0.6875</v>
      </c>
      <c r="AP64" s="40" t="n">
        <f aca="false">10^AO64</f>
        <v>0.205352502645715</v>
      </c>
      <c r="AQ64" s="39" t="n">
        <f aca="false">AS64-AR64*((Sheet1!R$19-Sheet1!R$20)*COS(RADIANS(38))+Sheet1!R$20)/2</f>
        <v>116.633980549846</v>
      </c>
      <c r="AR64" s="37" t="n">
        <f aca="false">(AV64-AV$51)/(AV$116-AV$51)*(AR$116-AR$51)+AR$51</f>
        <v>0.048839321483967</v>
      </c>
      <c r="AS64" s="39" t="n">
        <f aca="false">(AV64-AV$61)/(AV$69-AV$61)*(AS$69-AS$61)+AS$61</f>
        <v>117.112805459266</v>
      </c>
      <c r="AT64" s="39" t="n">
        <f aca="false">8314.4621*AS64/(Sheet1!R$22*Sheet1!R$12*9.80665)</f>
        <v>13620.4149538003</v>
      </c>
      <c r="AU64" s="39" t="n">
        <f aca="false">AU63-LN(AP64/AP63)*(AT63+AT64)/2</f>
        <v>226360.002479764</v>
      </c>
      <c r="AV64" s="39" t="n">
        <f aca="false">Sheet1!R$10*10/Sheet1!R$11*1000*AU64/(Sheet1!R$10*10/Sheet1!R$11*1000-AU64)</f>
        <v>238246.601859929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205.453523471982</v>
      </c>
      <c r="T65" s="37" t="n">
        <f aca="false">(X65-X$54)/(X$100-X$54)*(T$100-T$54)+T$54</f>
        <v>1.19414746386861</v>
      </c>
      <c r="U65" s="39" t="n">
        <f aca="false">(X65-X$54)/(X$77-X$54)*(U$77-U$54)+U$54</f>
        <v>209.000173543152</v>
      </c>
      <c r="V65" s="39" t="n">
        <f aca="false">8314.4621*U65/(Sheet1!H$20*Sheet1!H$12*9.80665)</f>
        <v>26133.8583558096</v>
      </c>
      <c r="W65" s="39" t="n">
        <f aca="false">W64-LN(R65/R64)*(V64+V65)/2</f>
        <v>777300.105672318</v>
      </c>
      <c r="X65" s="39" t="n">
        <f aca="false">Sheet1!H$10*10/Sheet1!H$11*1000*W65/(Sheet1!H$10*10/Sheet1!H$11*1000-W65)</f>
        <v>787633.002143682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204.243126585102</v>
      </c>
      <c r="AI65" s="37" t="n">
        <f aca="false">(AM65-AM$62)/(AM$95-AM$62)*(AI$95-AI$62)+AI$62</f>
        <v>0.2</v>
      </c>
      <c r="AJ65" s="39" t="n">
        <f aca="false">(AM65-AM$62)/(AM$70-AM$62)*(AJ$70-AJ$62)+AJ$62</f>
        <v>205.946341640152</v>
      </c>
      <c r="AK65" s="39" t="n">
        <f aca="false">8314.4621*AJ65/(Sheet1!M$21*Sheet1!M$12*9.80665)</f>
        <v>7864.92237228195</v>
      </c>
      <c r="AL65" s="39" t="n">
        <f aca="false">AL64-LN(AG65/AG64)*(AK64+AK65)/2</f>
        <v>124158.163948055</v>
      </c>
      <c r="AM65" s="39" t="n">
        <f aca="false">Sheet1!M$10*10/Sheet1!M$11*1000*AL65/(Sheet1!M$10*10/Sheet1!M$11*1000-AL65)</f>
        <v>127155.58252836</v>
      </c>
      <c r="AN65" s="41"/>
      <c r="AO65" s="37" t="n">
        <f aca="false">AO64+(AO$69-AO$61)/8</f>
        <v>-0.75</v>
      </c>
      <c r="AP65" s="40" t="n">
        <f aca="false">10^AO65</f>
        <v>0.177827941003892</v>
      </c>
      <c r="AQ65" s="39" t="n">
        <f aca="false">AS65-AR65*((Sheet1!R$19-Sheet1!R$20)*COS(RADIANS(38))+Sheet1!R$20)/2</f>
        <v>116.611284668695</v>
      </c>
      <c r="AR65" s="37" t="n">
        <f aca="false">(AV65-AV$51)/(AV$116-AV$51)*(AR$116-AR$51)+AR$51</f>
        <v>0.0511542625284419</v>
      </c>
      <c r="AS65" s="39" t="n">
        <f aca="false">(AV65-AV$61)/(AV$69-AV$61)*(AS$69-AS$61)+AS$61</f>
        <v>117.112805459266</v>
      </c>
      <c r="AT65" s="39" t="n">
        <f aca="false">8314.4621*AS65/(Sheet1!R$22*Sheet1!R$12*9.80665)</f>
        <v>13620.4149538003</v>
      </c>
      <c r="AU65" s="39" t="n">
        <f aca="false">AU64-LN(AP65/AP64)*(AT64+AT65)/2</f>
        <v>228320.137756828</v>
      </c>
      <c r="AV65" s="39" t="n">
        <f aca="false">Sheet1!R$10*10/Sheet1!R$11*1000*AU65/(Sheet1!R$10*10/Sheet1!R$11*1000-AU65)</f>
        <v>240418.990995406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209.069277389344</v>
      </c>
      <c r="T66" s="37" t="n">
        <f aca="false">(X66-X$54)/(X$100-X$54)*(T$100-T$54)+T$54</f>
        <v>1.21373351588899</v>
      </c>
      <c r="U66" s="39" t="n">
        <f aca="false">(X66-X$54)/(X$77-X$54)*(U$77-U$54)+U$54</f>
        <v>212.674098561567</v>
      </c>
      <c r="V66" s="39" t="n">
        <f aca="false">8314.4621*U66/(Sheet1!H$20*Sheet1!H$12*9.80665)</f>
        <v>26593.2543190445</v>
      </c>
      <c r="W66" s="39" t="n">
        <f aca="false">W65-LN(R66/R65)*(V65+V66)/2</f>
        <v>783370.538854405</v>
      </c>
      <c r="X66" s="39" t="n">
        <f aca="false">Sheet1!H$10*10/Sheet1!H$11*1000*W66/(Sheet1!H$10*10/Sheet1!H$11*1000-W66)</f>
        <v>793866.547569089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205.91122099317</v>
      </c>
      <c r="AI66" s="37" t="n">
        <f aca="false">(AM66-AM$62)/(AM$95-AM$62)*(AI$95-AI$62)+AI$62</f>
        <v>0.2</v>
      </c>
      <c r="AJ66" s="39" t="n">
        <f aca="false">(AM66-AM$62)/(AM$70-AM$62)*(AJ$70-AJ$62)+AJ$62</f>
        <v>207.61443604822</v>
      </c>
      <c r="AK66" s="39" t="n">
        <f aca="false">8314.4621*AJ66/(Sheet1!M$21*Sheet1!M$12*9.80665)</f>
        <v>7928.62553362296</v>
      </c>
      <c r="AL66" s="39" t="n">
        <f aca="false">AL65-LN(AG66/AG65)*(AK65+AK66)/2</f>
        <v>125976.463346737</v>
      </c>
      <c r="AM66" s="39" t="n">
        <f aca="false">Sheet1!M$10*10/Sheet1!M$11*1000*AL66/(Sheet1!M$10*10/Sheet1!M$11*1000-AL66)</f>
        <v>129063.410761819</v>
      </c>
      <c r="AN66" s="41"/>
      <c r="AO66" s="37" t="n">
        <f aca="false">AO65+(AO$69-AO$61)/8</f>
        <v>-0.8125</v>
      </c>
      <c r="AP66" s="40" t="n">
        <f aca="false">10^AO66</f>
        <v>0.153992652605949</v>
      </c>
      <c r="AQ66" s="39" t="n">
        <f aca="false">AS66-AR66*((Sheet1!R$19-Sheet1!R$20)*COS(RADIANS(38))+Sheet1!R$20)/2</f>
        <v>116.588568128201</v>
      </c>
      <c r="AR66" s="37" t="n">
        <f aca="false">(AV66-AV$51)/(AV$116-AV$51)*(AR$116-AR$51)+AR$51</f>
        <v>0.053471310790425</v>
      </c>
      <c r="AS66" s="39" t="n">
        <f aca="false">(AV66-AV$61)/(AV$69-AV$61)*(AS$69-AS$61)+AS$61</f>
        <v>117.112805459266</v>
      </c>
      <c r="AT66" s="39" t="n">
        <f aca="false">8314.4621*AS66/(Sheet1!R$22*Sheet1!R$12*9.80665)</f>
        <v>13620.4149538003</v>
      </c>
      <c r="AU66" s="39" t="n">
        <f aca="false">AU65-LN(AP66/AP65)*(AT65+AT66)/2</f>
        <v>230280.273033891</v>
      </c>
      <c r="AV66" s="39" t="n">
        <f aca="false">Sheet1!R$10*10/Sheet1!R$11*1000*AU66/(Sheet1!R$10*10/Sheet1!R$11*1000-AU66)</f>
        <v>242593.357587903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212.749368727868</v>
      </c>
      <c r="T67" s="37" t="n">
        <f aca="false">(X67-X$54)/(X$100-X$54)*(T$100-T$54)+T$54</f>
        <v>1.23366807491042</v>
      </c>
      <c r="U67" s="39" t="n">
        <f aca="false">(X67-X$54)/(X$77-X$54)*(U$77-U$54)+U$54</f>
        <v>216.413396076305</v>
      </c>
      <c r="V67" s="39" t="n">
        <f aca="false">8314.4621*U67/(Sheet1!H$20*Sheet1!H$12*9.80665)</f>
        <v>27060.8246083114</v>
      </c>
      <c r="W67" s="39" t="n">
        <f aca="false">W66-LN(R67/R66)*(V66+V67)/2</f>
        <v>789547.692970227</v>
      </c>
      <c r="X67" s="39" t="n">
        <f aca="false">Sheet1!H$10*10/Sheet1!H$11*1000*W67/(Sheet1!H$10*10/Sheet1!H$11*1000-W67)</f>
        <v>800211.010407551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207.594025979307</v>
      </c>
      <c r="AI67" s="37" t="n">
        <f aca="false">(AM67-AM$62)/(AM$95-AM$62)*(AI$95-AI$62)+AI$62</f>
        <v>0.2</v>
      </c>
      <c r="AJ67" s="39" t="n">
        <f aca="false">(AM67-AM$62)/(AM$70-AM$62)*(AJ$70-AJ$62)+AJ$62</f>
        <v>209.297241034357</v>
      </c>
      <c r="AK67" s="39" t="n">
        <f aca="false">8314.4621*AJ67/(Sheet1!M$21*Sheet1!M$12*9.80665)</f>
        <v>7992.89047991068</v>
      </c>
      <c r="AL67" s="39" t="n">
        <f aca="false">AL66-LN(AG67/AG66)*(AK66+AK67)/2</f>
        <v>127809.495618268</v>
      </c>
      <c r="AM67" s="39" t="n">
        <f aca="false">Sheet1!M$10*10/Sheet1!M$11*1000*AL67/(Sheet1!M$10*10/Sheet1!M$11*1000-AL67)</f>
        <v>130988.063751959</v>
      </c>
      <c r="AN67" s="41"/>
      <c r="AO67" s="37" t="n">
        <f aca="false">AO66+(AO$69-AO$61)/8</f>
        <v>-0.875</v>
      </c>
      <c r="AP67" s="40" t="n">
        <f aca="false">10^AO67</f>
        <v>0.133352143216332</v>
      </c>
      <c r="AQ67" s="39" t="n">
        <f aca="false">AS67-AR67*((Sheet1!R$19-Sheet1!R$20)*COS(RADIANS(38))+Sheet1!R$20)/2</f>
        <v>116.565830900145</v>
      </c>
      <c r="AR67" s="37" t="n">
        <f aca="false">(AV67-AV$51)/(AV$116-AV$51)*(AR$116-AR$51)+AR$51</f>
        <v>0.0557904691484263</v>
      </c>
      <c r="AS67" s="39" t="n">
        <f aca="false">(AV67-AV$61)/(AV$69-AV$61)*(AS$69-AS$61)+AS$61</f>
        <v>117.112805459266</v>
      </c>
      <c r="AT67" s="39" t="n">
        <f aca="false">8314.4621*AS67/(Sheet1!R$22*Sheet1!R$12*9.80665)</f>
        <v>13620.4149538003</v>
      </c>
      <c r="AU67" s="39" t="n">
        <f aca="false">AU66-LN(AP67/AP66)*(AT66+AT67)/2</f>
        <v>232240.408310954</v>
      </c>
      <c r="AV67" s="39" t="n">
        <f aca="false">Sheet1!R$10*10/Sheet1!R$11*1000*AU67/(Sheet1!R$10*10/Sheet1!R$11*1000-AU67)</f>
        <v>244769.704338674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216.494969964542</v>
      </c>
      <c r="T68" s="37" t="n">
        <f aca="false">(X68-X$54)/(X$100-X$54)*(T$100-T$54)+T$54</f>
        <v>1.25395749206994</v>
      </c>
      <c r="U68" s="39" t="n">
        <f aca="false">(X68-X$54)/(X$77-X$54)*(U$77-U$54)+U$54</f>
        <v>220.219257427404</v>
      </c>
      <c r="V68" s="39" t="n">
        <f aca="false">8314.4621*U68/(Sheet1!H$20*Sheet1!H$12*9.80665)</f>
        <v>27536.7181914855</v>
      </c>
      <c r="W68" s="39" t="n">
        <f aca="false">W67-LN(R68/R67)*(V67+V68)/2</f>
        <v>795833.467378473</v>
      </c>
      <c r="X68" s="39" t="n">
        <f aca="false">Sheet1!H$10*10/Sheet1!H$11*1000*W68/(Sheet1!H$10*10/Sheet1!H$11*1000-W68)</f>
        <v>806668.412000647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209.291691251738</v>
      </c>
      <c r="AI68" s="37" t="n">
        <f aca="false">(AM68-AM$62)/(AM$95-AM$62)*(AI$95-AI$62)+AI$62</f>
        <v>0.2</v>
      </c>
      <c r="AJ68" s="39" t="n">
        <f aca="false">(AM68-AM$62)/(AM$70-AM$62)*(AJ$70-AJ$62)+AJ$62</f>
        <v>210.994906306787</v>
      </c>
      <c r="AK68" s="39" t="n">
        <f aca="false">8314.4621*AJ68/(Sheet1!M$21*Sheet1!M$12*9.80665)</f>
        <v>8057.72292837979</v>
      </c>
      <c r="AL68" s="39" t="n">
        <f aca="false">AL67-LN(AG68/AG67)*(AK67+AK68)/2</f>
        <v>129657.390776635</v>
      </c>
      <c r="AM68" s="39" t="n">
        <f aca="false">Sheet1!M$10*10/Sheet1!M$11*1000*AL68/(Sheet1!M$10*10/Sheet1!M$11*1000-AL68)</f>
        <v>132929.712726279</v>
      </c>
      <c r="AN68" s="41"/>
      <c r="AO68" s="37" t="n">
        <f aca="false">AO67+(AO$69-AO$61)/8</f>
        <v>-0.9375</v>
      </c>
      <c r="AP68" s="40" t="n">
        <f aca="false">10^AO68</f>
        <v>0.115478198468946</v>
      </c>
      <c r="AQ68" s="39" t="n">
        <f aca="false">AS68-AR68*((Sheet1!R$19-Sheet1!R$20)*COS(RADIANS(38))+Sheet1!R$20)/2</f>
        <v>116.543072956253</v>
      </c>
      <c r="AR68" s="37" t="n">
        <f aca="false">(AV68-AV$51)/(AV$116-AV$51)*(AR$116-AR$51)+AR$51</f>
        <v>0.0581117404862012</v>
      </c>
      <c r="AS68" s="39" t="n">
        <f aca="false">(AV68-AV$61)/(AV$69-AV$61)*(AS$69-AS$61)+AS$61</f>
        <v>117.112805459266</v>
      </c>
      <c r="AT68" s="39" t="n">
        <f aca="false">8314.4621*AS68/(Sheet1!R$22*Sheet1!R$12*9.80665)</f>
        <v>13620.4149538003</v>
      </c>
      <c r="AU68" s="39" t="n">
        <f aca="false">AU67-LN(AP68/AP67)*(AT67+AT68)/2</f>
        <v>234200.543588018</v>
      </c>
      <c r="AV68" s="39" t="n">
        <f aca="false">Sheet1!R$10*10/Sheet1!R$11*1000*AU68/(Sheet1!R$10*10/Sheet1!R$11*1000-AU68)</f>
        <v>246948.033953897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220.307275930713</v>
      </c>
      <c r="T69" s="37" t="n">
        <f aca="false">(X69-X$54)/(X$100-X$54)*(T$100-T$54)+T$54</f>
        <v>1.27460823959482</v>
      </c>
      <c r="U69" s="39" t="n">
        <f aca="false">(X69-X$54)/(X$77-X$54)*(U$77-U$54)+U$54</f>
        <v>224.092896668899</v>
      </c>
      <c r="V69" s="39" t="n">
        <f aca="false">8314.4621*U69/(Sheet1!H$20*Sheet1!H$12*9.80665)</f>
        <v>28021.0868766524</v>
      </c>
      <c r="W69" s="39" t="n">
        <f aca="false">W68-LN(R69/R68)*(V68+V69)/2</f>
        <v>802229.796065941</v>
      </c>
      <c r="X69" s="39" t="n">
        <f aca="false">Sheet1!H$10*10/Sheet1!H$11*1000*W69/(Sheet1!H$10*10/Sheet1!H$11*1000-W69)</f>
        <v>813240.812228673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211.00436838074</v>
      </c>
      <c r="AI69" s="37" t="n">
        <f aca="false">(AM69-AM$62)/(AM$95-AM$62)*(AI$95-AI$62)+AI$62</f>
        <v>0.2</v>
      </c>
      <c r="AJ69" s="39" t="n">
        <f aca="false">(AM69-AM$62)/(AM$70-AM$62)*(AJ$70-AJ$62)+AJ$62</f>
        <v>212.707583435789</v>
      </c>
      <c r="AK69" s="39" t="n">
        <f aca="false">8314.4621*AJ69/(Sheet1!M$21*Sheet1!M$12*9.80665)</f>
        <v>8123.12866737523</v>
      </c>
      <c r="AL69" s="39" t="n">
        <f aca="false">AL68-LN(AG69/AG68)*(AK68+AK69)/2</f>
        <v>131520.280160452</v>
      </c>
      <c r="AM69" s="39" t="n">
        <f aca="false">Sheet1!M$10*10/Sheet1!M$11*1000*AL69/(Sheet1!M$10*10/Sheet1!M$11*1000-AL69)</f>
        <v>134888.531041992</v>
      </c>
      <c r="AN69" s="41"/>
      <c r="AO69" s="37" t="n">
        <f aca="false">IF(Sheet1!R24="Y",-1,-2.5)</f>
        <v>-1</v>
      </c>
      <c r="AP69" s="40" t="n">
        <f aca="false">10^AO69</f>
        <v>0.1</v>
      </c>
      <c r="AQ69" s="39" t="n">
        <f aca="false">AS69-AR69*((Sheet1!R$19-Sheet1!R$20)*COS(RADIANS(38))+Sheet1!R$20)/2</f>
        <v>116.520294268201</v>
      </c>
      <c r="AR69" s="37" t="n">
        <f aca="false">(AV69-AV$51)/(AV$116-AV$51)*(AR$116-AR$51)+AR$51</f>
        <v>0.0604351276927622</v>
      </c>
      <c r="AS69" s="39" t="n">
        <f aca="false">MIN(IF(Sheet1!R15&gt;1,36*LOG(Sheet1!R15)+30,30),(Sheet1!R15*(1-MAX(Sheet1!R14,0.56707137))/(4*0.000000056704))^0.25)</f>
        <v>117.112805459266</v>
      </c>
      <c r="AT69" s="39" t="n">
        <f aca="false">8314.4621*AS69/(Sheet1!R$22*Sheet1!R$12*9.80665)</f>
        <v>13620.4149538003</v>
      </c>
      <c r="AU69" s="39" t="n">
        <f aca="false">AU68-LN(AP69/AP68)*(AT68+AT69)/2</f>
        <v>236160.678865081</v>
      </c>
      <c r="AV69" s="39" t="n">
        <f aca="false">Sheet1!R$10*10/Sheet1!R$11*1000*AU69/(Sheet1!R$10*10/Sheet1!R$11*1000-AU69)</f>
        <v>249128.349144681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224.187504273437</v>
      </c>
      <c r="T70" s="37" t="n">
        <f aca="false">(X70-X$54)/(X$100-X$54)*(T$100-T$54)+T$54</f>
        <v>1.29562691330157</v>
      </c>
      <c r="U70" s="39" t="n">
        <f aca="false">(X70-X$54)/(X$77-X$54)*(U$77-U$54)+U$54</f>
        <v>228.035551037598</v>
      </c>
      <c r="V70" s="39" t="n">
        <f aca="false">8314.4621*U70/(Sheet1!H$20*Sheet1!H$12*9.80665)</f>
        <v>28514.0853707241</v>
      </c>
      <c r="W70" s="39" t="n">
        <f aca="false">W69-LN(R70/R69)*(V69+V70)/2</f>
        <v>808738.648308274</v>
      </c>
      <c r="X70" s="39" t="n">
        <f aca="false">Sheet1!H$10*10/Sheet1!H$11*1000*W70/(Sheet1!H$10*10/Sheet1!H$11*1000-W70)</f>
        <v>819930.310306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212.732190514078</v>
      </c>
      <c r="AI70" s="37" t="n">
        <f aca="false">(AM70-AM$62)/(AM$95-AM$62)*(AI$95-AI$62)+AI$62</f>
        <v>0.2</v>
      </c>
      <c r="AJ70" s="39" t="n">
        <f aca="false">0.016*(320*LOG(Sheet1!M15)-AJ62)+AJ62</f>
        <v>214.435405569127</v>
      </c>
      <c r="AK70" s="39" t="n">
        <f aca="false">8314.4621*AJ70/(Sheet1!M$21*Sheet1!M$12*9.80665)</f>
        <v>8189.11278170128</v>
      </c>
      <c r="AL70" s="39" t="n">
        <f aca="false">AL69-LN(AG70/AG69)*(AK69+AK70)/2</f>
        <v>133398.29636015</v>
      </c>
      <c r="AM70" s="39" t="n">
        <f aca="false">Sheet1!M$10*10/Sheet1!M$11*1000*AL70/(Sheet1!M$10*10/Sheet1!M$11*1000-AL70)</f>
        <v>136864.694125129</v>
      </c>
      <c r="AN70" s="41"/>
      <c r="AO70" s="37" t="n">
        <f aca="false">AO69+(AO$77-AO$69)/8</f>
        <v>-1.125</v>
      </c>
      <c r="AP70" s="40" t="n">
        <f aca="false">10^AO70</f>
        <v>0.0749894209332456</v>
      </c>
      <c r="AQ70" s="39" t="n">
        <f aca="false">AS70-AR70*((Sheet1!R$19-Sheet1!R$20)*COS(RADIANS(38))+Sheet1!R$20)/2</f>
        <v>117.488551375282</v>
      </c>
      <c r="AR70" s="37" t="n">
        <f aca="false">(AV70-AV$51)/(AV$116-AV$51)*(AR$116-AR$51)+AR$51</f>
        <v>0.06510842539144</v>
      </c>
      <c r="AS70" s="39" t="n">
        <f aca="false">(AV70-AV$69)/(AV$77-AV$69)*(AS$77-AS$69)+AS$69</f>
        <v>118.126879979023</v>
      </c>
      <c r="AT70" s="39" t="n">
        <f aca="false">8314.4621*AS70/(Sheet1!R$22*Sheet1!R$12*9.80665)</f>
        <v>13738.3535148227</v>
      </c>
      <c r="AU70" s="39" t="n">
        <f aca="false">AU69-LN(AP70/AP69)*(AT69+AT70)/2</f>
        <v>240097.922142489</v>
      </c>
      <c r="AV70" s="39" t="n">
        <f aca="false">Sheet1!R$10*10/Sheet1!R$11*1000*AU70/(Sheet1!R$10*10/Sheet1!R$11*1000-AU70)</f>
        <v>253513.869532634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228.136895927574</v>
      </c>
      <c r="T71" s="37" t="n">
        <f aca="false">(X71-X$54)/(X$100-X$54)*(T$100-T$54)+T$54</f>
        <v>1.31702023515325</v>
      </c>
      <c r="U71" s="39" t="n">
        <f aca="false">(X71-X$54)/(X$77-X$54)*(U$77-U$54)+U$54</f>
        <v>232.048481432773</v>
      </c>
      <c r="V71" s="39" t="n">
        <f aca="false">8314.4621*U71/(Sheet1!H$20*Sheet1!H$12*9.80665)</f>
        <v>29015.8713394212</v>
      </c>
      <c r="W71" s="39" t="n">
        <f aca="false">W70-LN(R71/R70)*(V70+V71)/2</f>
        <v>815362.029344343</v>
      </c>
      <c r="X71" s="39" t="n">
        <f aca="false">Sheet1!H$10*10/Sheet1!H$11*1000*W71/(Sheet1!H$10*10/Sheet1!H$11*1000-W71)</f>
        <v>826739.04559497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219.338996011249</v>
      </c>
      <c r="AI71" s="37" t="n">
        <f aca="false">(AM71-AM$62)/(AM$95-AM$62)*(AI$95-AI$62)+AI$62</f>
        <v>0.2</v>
      </c>
      <c r="AJ71" s="39" t="n">
        <f aca="false">(AM71-AM$70)/(AM$75-AM$70)*(AJ$75-AJ$70)+AJ$70</f>
        <v>221.042211066298</v>
      </c>
      <c r="AK71" s="39" t="n">
        <f aca="false">8314.4621*AJ71/(Sheet1!M$21*Sheet1!M$12*9.80665)</f>
        <v>8441.42128084814</v>
      </c>
      <c r="AL71" s="39" t="n">
        <f aca="false">AL70-LN(AG71/AG70)*(AK70+AK71)/2</f>
        <v>135312.957351198</v>
      </c>
      <c r="AM71" s="39" t="n">
        <f aca="false">Sheet1!M$10*10/Sheet1!M$11*1000*AL71/(Sheet1!M$10*10/Sheet1!M$11*1000-AL71)</f>
        <v>138880.906112484</v>
      </c>
      <c r="AN71" s="41"/>
      <c r="AO71" s="37" t="n">
        <f aca="false">AO70+(AO$77-AO$69)/8</f>
        <v>-1.25</v>
      </c>
      <c r="AP71" s="40" t="n">
        <f aca="false">10^AO71</f>
        <v>0.0562341325190349</v>
      </c>
      <c r="AQ71" s="39" t="n">
        <f aca="false">AS71-AR71*((Sheet1!R$19-Sheet1!R$20)*COS(RADIANS(38))+Sheet1!R$20)/2</f>
        <v>118.466999573626</v>
      </c>
      <c r="AR71" s="37" t="n">
        <f aca="false">(AV71-AV$51)/(AV$116-AV$51)*(AR$116-AR$51)+AR$51</f>
        <v>0.0698309105167984</v>
      </c>
      <c r="AS71" s="39" t="n">
        <f aca="false">(AV71-AV$69)/(AV$77-AV$69)*(AS$77-AS$69)+AS$69</f>
        <v>119.151627827806</v>
      </c>
      <c r="AT71" s="39" t="n">
        <f aca="false">8314.4621*AS71/(Sheet1!R$22*Sheet1!R$12*9.80665)</f>
        <v>13857.5334018445</v>
      </c>
      <c r="AU71" s="39" t="n">
        <f aca="false">AU70-LN(AP71/AP70)*(AT70+AT71)/2</f>
        <v>244069.289507631</v>
      </c>
      <c r="AV71" s="39" t="n">
        <f aca="false">Sheet1!R$10*10/Sheet1!R$11*1000*AU71/(Sheet1!R$10*10/Sheet1!R$11*1000-AU71)</f>
        <v>257945.548431439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232.156715598945</v>
      </c>
      <c r="T72" s="37" t="n">
        <f aca="false">(X72-X$54)/(X$100-X$54)*(T$100-T$54)+T$54</f>
        <v>1.33879505587665</v>
      </c>
      <c r="U72" s="39" t="n">
        <f aca="false">(X72-X$54)/(X$77-X$54)*(U$77-U$54)+U$54</f>
        <v>236.132972907087</v>
      </c>
      <c r="V72" s="39" t="n">
        <f aca="false">8314.4621*U72/(Sheet1!H$20*Sheet1!H$12*9.80665)</f>
        <v>29526.6054686597</v>
      </c>
      <c r="W72" s="39" t="n">
        <f aca="false">W71-LN(R72/R71)*(V71+V72)/2</f>
        <v>822101.981064605</v>
      </c>
      <c r="X72" s="39" t="n">
        <f aca="false">Sheet1!H$10*10/Sheet1!H$11*1000*W72/(Sheet1!H$10*10/Sheet1!H$11*1000-W72)</f>
        <v>833669.198438848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226.154459380274</v>
      </c>
      <c r="AI72" s="37" t="n">
        <f aca="false">(AM72-AM$62)/(AM$95-AM$62)*(AI$95-AI$62)+AI$62</f>
        <v>0.2</v>
      </c>
      <c r="AJ72" s="39" t="n">
        <f aca="false">(AM72-AM$70)/(AM$75-AM$70)*(AJ$75-AJ$70)+AJ$70</f>
        <v>227.857674435323</v>
      </c>
      <c r="AK72" s="39" t="n">
        <f aca="false">8314.4621*AJ72/(Sheet1!M$21*Sheet1!M$12*9.80665)</f>
        <v>8701.69825348877</v>
      </c>
      <c r="AL72" s="39" t="n">
        <f aca="false">AL71-LN(AG72/AG71)*(AK71+AK72)/2</f>
        <v>137286.631925557</v>
      </c>
      <c r="AM72" s="39" t="n">
        <f aca="false">Sheet1!M$10*10/Sheet1!M$11*1000*AL72/(Sheet1!M$10*10/Sheet1!M$11*1000-AL72)</f>
        <v>140960.837081495</v>
      </c>
      <c r="AN72" s="41"/>
      <c r="AO72" s="37" t="n">
        <f aca="false">AO71+(AO$77-AO$69)/8</f>
        <v>-1.375</v>
      </c>
      <c r="AP72" s="40" t="n">
        <f aca="false">10^AO72</f>
        <v>0.0421696503428582</v>
      </c>
      <c r="AQ72" s="39" t="n">
        <f aca="false">AS72-AR72*((Sheet1!R$19-Sheet1!R$20)*COS(RADIANS(38))+Sheet1!R$20)/2</f>
        <v>119.455779397067</v>
      </c>
      <c r="AR72" s="37" t="n">
        <f aca="false">(AV72-AV$51)/(AV$116-AV$51)*(AR$116-AR$51)+AR$51</f>
        <v>0.074603261407916</v>
      </c>
      <c r="AS72" s="39" t="n">
        <f aca="false">(AV72-AV$69)/(AV$77-AV$69)*(AS$77-AS$69)+AS$69</f>
        <v>120.187196189943</v>
      </c>
      <c r="AT72" s="39" t="n">
        <f aca="false">8314.4621*AS72/(Sheet1!R$22*Sheet1!R$12*9.80665)</f>
        <v>13977.9717326489</v>
      </c>
      <c r="AU72" s="39" t="n">
        <f aca="false">AU71-LN(AP72/AP71)*(AT71+AT72)/2</f>
        <v>248075.140706296</v>
      </c>
      <c r="AV72" s="39" t="n">
        <f aca="false">Sheet1!R$10*10/Sheet1!R$11*1000*AU72/(Sheet1!R$10*10/Sheet1!R$11*1000-AU72)</f>
        <v>262424.022408687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236.248252258835</v>
      </c>
      <c r="T73" s="37" t="n">
        <f aca="false">(X73-X$54)/(X$100-X$54)*(T$100-T$54)+T$54</f>
        <v>1.36095835764095</v>
      </c>
      <c r="U73" s="39" t="n">
        <f aca="false">(X73-X$54)/(X$77-X$54)*(U$77-U$54)+U$54</f>
        <v>240.290335169056</v>
      </c>
      <c r="V73" s="39" t="n">
        <f aca="false">8314.4621*U73/(Sheet1!H$20*Sheet1!H$12*9.80665)</f>
        <v>30046.4515273791</v>
      </c>
      <c r="W73" s="39" t="n">
        <f aca="false">W72-LN(R73/R72)*(V72+V73)/2</f>
        <v>828960.582713763</v>
      </c>
      <c r="X73" s="39" t="n">
        <f aca="false">Sheet1!H$10*10/Sheet1!H$11*1000*W73/(Sheet1!H$10*10/Sheet1!H$11*1000-W73)</f>
        <v>840722.991014347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233.185714386595</v>
      </c>
      <c r="AI73" s="37" t="n">
        <f aca="false">(AM73-AM$62)/(AM$95-AM$62)*(AI$95-AI$62)+AI$62</f>
        <v>0.2</v>
      </c>
      <c r="AJ73" s="39" t="n">
        <f aca="false">(AM73-AM$70)/(AM$75-AM$70)*(AJ$75-AJ$70)+AJ$70</f>
        <v>234.888929441644</v>
      </c>
      <c r="AK73" s="39" t="n">
        <f aca="false">8314.4621*AJ73/(Sheet1!M$21*Sheet1!M$12*9.80665)</f>
        <v>8970.2161322917</v>
      </c>
      <c r="AL73" s="39" t="n">
        <f aca="false">AL72-LN(AG73/AG72)*(AK72+AK73)/2</f>
        <v>139321.186257025</v>
      </c>
      <c r="AM73" s="39" t="n">
        <f aca="false">Sheet1!M$10*10/Sheet1!M$11*1000*AL73/(Sheet1!M$10*10/Sheet1!M$11*1000-AL73)</f>
        <v>143106.601382489</v>
      </c>
      <c r="AN73" s="41"/>
      <c r="AO73" s="37" t="n">
        <f aca="false">AO72+(AO$77-AO$69)/8</f>
        <v>-1.5</v>
      </c>
      <c r="AP73" s="40" t="n">
        <f aca="false">10^AO73</f>
        <v>0.0316227766016838</v>
      </c>
      <c r="AQ73" s="39" t="n">
        <f aca="false">AS73-AR73*((Sheet1!R$19-Sheet1!R$20)*COS(RADIANS(38))+Sheet1!R$20)/2</f>
        <v>120.455033962443</v>
      </c>
      <c r="AR73" s="37" t="n">
        <f aca="false">(AV73-AV$51)/(AV$116-AV$51)*(AR$116-AR$51)+AR$51</f>
        <v>0.0794261688721903</v>
      </c>
      <c r="AS73" s="39" t="n">
        <f aca="false">(AV73-AV$69)/(AV$77-AV$69)*(AS$77-AS$69)+AS$69</f>
        <v>121.233734955008</v>
      </c>
      <c r="AT73" s="39" t="n">
        <f aca="false">8314.4621*AS73/(Sheet1!R$22*Sheet1!R$12*9.80665)</f>
        <v>14099.6859396439</v>
      </c>
      <c r="AU73" s="39" t="n">
        <f aca="false">AU72-LN(AP73/AP72)*(AT72+AT73)/2</f>
        <v>252115.840456447</v>
      </c>
      <c r="AV73" s="39" t="n">
        <f aca="false">Sheet1!R$10*10/Sheet1!R$11*1000*AU73/(Sheet1!R$10*10/Sheet1!R$11*1000-AU73)</f>
        <v>266949.939732501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240.412819650165</v>
      </c>
      <c r="T74" s="37" t="n">
        <f aca="false">(X74-X$54)/(X$100-X$54)*(T$100-T$54)+T$54</f>
        <v>1.38351725679955</v>
      </c>
      <c r="U74" s="39" t="n">
        <f aca="false">(X74-X$54)/(X$77-X$54)*(U$77-U$54)+U$54</f>
        <v>244.521903097361</v>
      </c>
      <c r="V74" s="39" t="n">
        <f aca="false">8314.4621*U74/(Sheet1!H$20*Sheet1!H$12*9.80665)</f>
        <v>30575.5764318542</v>
      </c>
      <c r="W74" s="39" t="n">
        <f aca="false">W73-LN(R74/R73)*(V73+V74)/2</f>
        <v>835939.951608063</v>
      </c>
      <c r="X74" s="39" t="n">
        <f aca="false">Sheet1!H$10*10/Sheet1!H$11*1000*W74/(Sheet1!H$10*10/Sheet1!H$11*1000-W74)</f>
        <v>847902.688204263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240.43987392067</v>
      </c>
      <c r="AI74" s="37" t="n">
        <f aca="false">(AM74-AM$62)/(AM$95-AM$62)*(AI$95-AI$62)+AI$62</f>
        <v>0.2</v>
      </c>
      <c r="AJ74" s="39" t="n">
        <f aca="false">(AM74-AM$70)/(AM$75-AM$70)*(AJ$75-AJ$70)+AJ$70</f>
        <v>242.14308897572</v>
      </c>
      <c r="AK74" s="39" t="n">
        <f aca="false">8314.4621*AJ74/(Sheet1!M$21*Sheet1!M$12*9.80665)</f>
        <v>9247.24655272684</v>
      </c>
      <c r="AL74" s="39" t="n">
        <f aca="false">AL73-LN(AG74/AG73)*(AK73+AK74)/2</f>
        <v>141418.54915756</v>
      </c>
      <c r="AM74" s="39" t="n">
        <f aca="false">Sheet1!M$10*10/Sheet1!M$11*1000*AL74/(Sheet1!M$10*10/Sheet1!M$11*1000-AL74)</f>
        <v>145320.390585237</v>
      </c>
      <c r="AN74" s="41"/>
      <c r="AO74" s="37" t="n">
        <f aca="false">AO73+(AO$77-AO$69)/8</f>
        <v>-1.625</v>
      </c>
      <c r="AP74" s="40" t="n">
        <f aca="false">10^AO74</f>
        <v>0.0237137370566166</v>
      </c>
      <c r="AQ74" s="39" t="n">
        <f aca="false">AS74-AR74*((Sheet1!R$19-Sheet1!R$20)*COS(RADIANS(38))+Sheet1!R$20)/2</f>
        <v>121.464909030613</v>
      </c>
      <c r="AR74" s="37" t="n">
        <f aca="false">(AV74-AV$51)/(AV$116-AV$51)*(AR$116-AR$51)+AR$51</f>
        <v>0.0843003364797966</v>
      </c>
      <c r="AS74" s="39" t="n">
        <f aca="false">(AV74-AV$69)/(AV$77-AV$69)*(AS$77-AS$69)+AS$69</f>
        <v>122.291396781723</v>
      </c>
      <c r="AT74" s="39" t="n">
        <f aca="false">8314.4621*AS74/(Sheet1!R$22*Sheet1!R$12*9.80665)</f>
        <v>14222.6937772936</v>
      </c>
      <c r="AU74" s="39" t="n">
        <f aca="false">AU73-LN(AP74/AP73)*(AT73+AT74)/2</f>
        <v>256191.758539843</v>
      </c>
      <c r="AV74" s="39" t="n">
        <f aca="false">Sheet1!R$10*10/Sheet1!R$11*1000*AU74/(Sheet1!R$10*10/Sheet1!R$11*1000-AU74)</f>
        <v>271523.960647861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244.65175680565</v>
      </c>
      <c r="T75" s="37" t="n">
        <f aca="false">(X75-X$54)/(X$100-X$54)*(T$100-T$54)+T$54</f>
        <v>1.4064790066969</v>
      </c>
      <c r="U75" s="39" t="n">
        <f aca="false">(X75-X$54)/(X$77-X$54)*(U$77-U$54)+U$54</f>
        <v>248.829037267345</v>
      </c>
      <c r="V75" s="39" t="n">
        <f aca="false">8314.4621*U75/(Sheet1!H$20*Sheet1!H$12*9.80665)</f>
        <v>31114.150311529</v>
      </c>
      <c r="W75" s="39" t="n">
        <f aca="false">W74-LN(R75/R74)*(V74+V75)/2</f>
        <v>843042.243867573</v>
      </c>
      <c r="X75" s="39" t="n">
        <f aca="false">Sheet1!H$10*10/Sheet1!H$11*1000*W75/(Sheet1!H$10*10/Sheet1!H$11*1000-W75)</f>
        <v>855210.598490773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247.924389477467</v>
      </c>
      <c r="AI75" s="37" t="n">
        <f aca="false">(AM75-AM$62)/(AM$95-AM$62)*(AI$95-AI$62)+AI$62</f>
        <v>0.2</v>
      </c>
      <c r="AJ75" s="39" t="n">
        <f aca="false">0.058*(320*LOG(Sheet1!M15)-AJ62)+AJ62</f>
        <v>249.627604532516</v>
      </c>
      <c r="AK75" s="39" t="n">
        <f aca="false">8314.4621*AJ75/(Sheet1!M$21*Sheet1!M$12*9.80665)</f>
        <v>9533.07408129346</v>
      </c>
      <c r="AL75" s="39" t="n">
        <f aca="false">AL74-LN(AG75/AG74)*(AK74+AK75)/2</f>
        <v>143580.713474237</v>
      </c>
      <c r="AM75" s="39" t="n">
        <f aca="false">Sheet1!M$10*10/Sheet1!M$11*1000*AL75/(Sheet1!M$10*10/Sheet1!M$11*1000-AL75)</f>
        <v>147604.475756584</v>
      </c>
      <c r="AN75" s="41"/>
      <c r="AO75" s="37" t="n">
        <f aca="false">AO74+(AO$77-AO$69)/8</f>
        <v>-1.75</v>
      </c>
      <c r="AP75" s="40" t="n">
        <f aca="false">10^AO75</f>
        <v>0.0177827941003892</v>
      </c>
      <c r="AQ75" s="39" t="n">
        <f aca="false">AS75-AR75*((Sheet1!R$19-Sheet1!R$20)*COS(RADIANS(38))+Sheet1!R$20)/2</f>
        <v>122.485553069237</v>
      </c>
      <c r="AR75" s="37" t="n">
        <f aca="false">(AV75-AV$51)/(AV$116-AV$51)*(AR$116-AR$51)+AR$51</f>
        <v>0.0892264808666818</v>
      </c>
      <c r="AS75" s="39" t="n">
        <f aca="false">(AV75-AV$69)/(AV$77-AV$69)*(AS$77-AS$69)+AS$69</f>
        <v>123.360337163705</v>
      </c>
      <c r="AT75" s="39" t="n">
        <f aca="false">8314.4621*AS75/(Sheet1!R$22*Sheet1!R$12*9.80665)</f>
        <v>14347.013329766</v>
      </c>
      <c r="AU75" s="39" t="n">
        <f aca="false">AU74-LN(AP75/AP74)*(AT74+AT75)/2</f>
        <v>260303.269895838</v>
      </c>
      <c r="AV75" s="39" t="n">
        <f aca="false">Sheet1!R$10*10/Sheet1!R$11*1000*AU75/(Sheet1!R$10*10/Sheet1!R$11*1000-AU75)</f>
        <v>276146.757660942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248.966428578278</v>
      </c>
      <c r="T76" s="37" t="n">
        <f aca="false">(X76-X$54)/(X$100-X$54)*(T$100-T$54)+T$54</f>
        <v>1.42985100054197</v>
      </c>
      <c r="U76" s="39" t="n">
        <f aca="false">(X76-X$54)/(X$77-X$54)*(U$77-U$54)+U$54</f>
        <v>253.213124490026</v>
      </c>
      <c r="V76" s="39" t="n">
        <f aca="false">8314.4621*U76/(Sheet1!H$20*Sheet1!H$12*9.80665)</f>
        <v>31662.3465764158</v>
      </c>
      <c r="W76" s="39" t="n">
        <f aca="false">W75-LN(R76/R75)*(V75+V76)/2</f>
        <v>850269.655163801</v>
      </c>
      <c r="X76" s="39" t="n">
        <f aca="false">Sheet1!H$10*10/Sheet1!H$11*1000*W76/(Sheet1!H$10*10/Sheet1!H$11*1000-W76)</f>
        <v>862649.074869981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265.923610508516</v>
      </c>
      <c r="AI76" s="37" t="n">
        <f aca="false">(AM76-AM$62)/(AM$95-AM$62)*(AI$95-AI$62)+AI$62</f>
        <v>0.2</v>
      </c>
      <c r="AJ76" s="39" t="n">
        <f aca="false">(AM76-AM$75)/(AM$80-AM$75)*(AJ$80-AJ$75)+AJ$75</f>
        <v>267.626825563565</v>
      </c>
      <c r="AK76" s="39" t="n">
        <f aca="false">8314.4621*AJ76/(Sheet1!M$21*Sheet1!M$12*9.80665)</f>
        <v>10220.4496134022</v>
      </c>
      <c r="AL76" s="39" t="n">
        <f aca="false">AL74-LN(AG76/AG74)*(AK74+AK76)/2</f>
        <v>145901.151856266</v>
      </c>
      <c r="AM76" s="39" t="n">
        <f aca="false">Sheet1!M$10*10/Sheet1!M$11*1000*AL76/(Sheet1!M$10*10/Sheet1!M$11*1000-AL76)</f>
        <v>150057.905464079</v>
      </c>
      <c r="AN76" s="41"/>
      <c r="AO76" s="37" t="n">
        <f aca="false">AO75+(AO$77-AO$69)/8</f>
        <v>-1.875</v>
      </c>
      <c r="AP76" s="40" t="n">
        <f aca="false">10^AO76</f>
        <v>0.0133352143216332</v>
      </c>
      <c r="AQ76" s="39" t="n">
        <f aca="false">AS76-AR76*((Sheet1!R$19-Sheet1!R$20)*COS(RADIANS(38))+Sheet1!R$20)/2</f>
        <v>123.517117317383</v>
      </c>
      <c r="AR76" s="37" t="n">
        <f aca="false">(AV76-AV$51)/(AV$116-AV$51)*(AR$116-AR$51)+AR$51</f>
        <v>0.094205332046391</v>
      </c>
      <c r="AS76" s="39" t="n">
        <f aca="false">(AV76-AV$69)/(AV$77-AV$69)*(AS$77-AS$69)+AS$69</f>
        <v>124.440714497143</v>
      </c>
      <c r="AT76" s="39" t="n">
        <f aca="false">8314.4621*AS76/(Sheet1!R$22*Sheet1!R$12*9.80665)</f>
        <v>14472.6630188021</v>
      </c>
      <c r="AU76" s="39" t="n">
        <f aca="false">AU75-LN(AP76/AP75)*(AT75+AT76)/2</f>
        <v>264450.754717408</v>
      </c>
      <c r="AV76" s="39" t="n">
        <f aca="false">Sheet1!R$10*10/Sheet1!R$11*1000*AU76/(Sheet1!R$10*10/Sheet1!R$11*1000-AU76)</f>
        <v>280819.015831735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251.152602664823</v>
      </c>
      <c r="T77" s="37" t="n">
        <f aca="false">(X77-X$54)/(X$100-X$54)*(T$100-T$54)+T$54</f>
        <v>1.44169295926001</v>
      </c>
      <c r="U77" s="39" t="n">
        <f aca="false">70/610*(U$170-U$54)+U$54</f>
        <v>255.434469512323</v>
      </c>
      <c r="V77" s="39" t="n">
        <f aca="false">8314.4621*U77/(Sheet1!H$20*Sheet1!H$12*9.80665)</f>
        <v>31940.1086241114</v>
      </c>
      <c r="W77" s="39" t="n">
        <f aca="false">W76-LN(R77/R76)*(V76+V77)/2</f>
        <v>853930.906794366</v>
      </c>
      <c r="X77" s="39" t="n">
        <f aca="false">Sheet1!H$10*10/Sheet1!H$11*1000*W77/(Sheet1!H$10*10/Sheet1!H$11*1000-W77)</f>
        <v>866417.950165415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251.152602664823</v>
      </c>
      <c r="AA77" s="39" t="n">
        <f aca="false">IF(Y77=LOG(Sheet1!H$17*101325),(LOG(Sheet1!H$17*101325)-Q87)/(Q77-Q87)*(X77-X87)+X87,IF(Y77=0,0,X77))</f>
        <v>866417.950165415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284.840808831876</v>
      </c>
      <c r="AI77" s="37" t="n">
        <f aca="false">(AM77-AM$62)/(AM$95-AM$62)*(AI$95-AI$62)+AI$62</f>
        <v>0.2</v>
      </c>
      <c r="AJ77" s="39" t="n">
        <f aca="false">(AM77-AM$75)/(AM$80-AM$75)*(AJ$80-AJ$75)+AJ$75</f>
        <v>286.544023886926</v>
      </c>
      <c r="AK77" s="39" t="n">
        <f aca="false">8314.4621*AJ77/(Sheet1!M$21*Sheet1!M$12*9.80665)</f>
        <v>10942.881947618</v>
      </c>
      <c r="AL77" s="39" t="n">
        <f aca="false">AL76-LN(AG77/AG76)*(AK76+AK77)/2</f>
        <v>148337.670444791</v>
      </c>
      <c r="AM77" s="39" t="n">
        <f aca="false">Sheet1!M$10*10/Sheet1!M$11*1000*AL77/(Sheet1!M$10*10/Sheet1!M$11*1000-AL77)</f>
        <v>152636.462405717</v>
      </c>
      <c r="AN77" s="41"/>
      <c r="AO77" s="37" t="n">
        <f aca="false">AO69+0.2*(AO116-AO69)</f>
        <v>-2</v>
      </c>
      <c r="AP77" s="40" t="n">
        <f aca="false">10^AO77</f>
        <v>0.01</v>
      </c>
      <c r="AQ77" s="39" t="n">
        <f aca="false">AS77-AR77*((Sheet1!R$19-Sheet1!R$20)*COS(RADIANS(38))+Sheet1!R$20)/2</f>
        <v>124.559686305567</v>
      </c>
      <c r="AR77" s="37" t="n">
        <f aca="false">(AV77-AV$51)/(AV$116-AV$51)*(AR$116-AR$51)+AR$51</f>
        <v>0.0992376323293148</v>
      </c>
      <c r="AS77" s="39" t="n">
        <f aca="false">AS69+0.05*(AS116-AS69)</f>
        <v>125.532620590223</v>
      </c>
      <c r="AT77" s="39" t="n">
        <f aca="false">8314.4621*AS77/(Sheet1!R$22*Sheet1!R$12*9.80665)</f>
        <v>14599.6535218475</v>
      </c>
      <c r="AU77" s="39" t="n">
        <f aca="false">AU76-LN(AP77/AP76)*(AT76+AT77)/2</f>
        <v>268634.59738524</v>
      </c>
      <c r="AV77" s="39" t="n">
        <f aca="false">Sheet1!R$10*10/Sheet1!R$11*1000*AU77/(Sheet1!R$10*10/Sheet1!R$11*1000-AU77)</f>
        <v>285541.431759851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251.117086731438</v>
      </c>
      <c r="T78" s="37" t="n">
        <f aca="false">(X78-X$54)/(X$100-X$54)*(T$100-T$54)+T$54</f>
        <v>1.45358812407896</v>
      </c>
      <c r="U78" s="39" t="n">
        <f aca="false">(X78-X$77)/(X$90-X$77)*(U$90-U$77)+U$77</f>
        <v>255.43428253824</v>
      </c>
      <c r="V78" s="39" t="n">
        <f aca="false">8314.4621*U78/(Sheet1!H$20*Sheet1!H$12*9.80665)</f>
        <v>31940.0852444456</v>
      </c>
      <c r="W78" s="39" t="n">
        <f aca="false">W77-LN(R78/R77)*(V77+V78)/2</f>
        <v>857608.146347848</v>
      </c>
      <c r="X78" s="39" t="n">
        <f aca="false">Sheet1!H$10*10/Sheet1!H$11*1000*W78/(Sheet1!H$10*10/Sheet1!H$11*1000-W78)</f>
        <v>870203.75907496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305.115849644681</v>
      </c>
      <c r="AI78" s="37" t="n">
        <f aca="false">(AM78-AM$62)/(AM$95-AM$62)*(AI$95-AI$62)+AI$62</f>
        <v>0.2</v>
      </c>
      <c r="AJ78" s="39" t="n">
        <f aca="false">(AM78-AM$75)/(AM$80-AM$75)*(AJ$80-AJ$75)+AJ$75</f>
        <v>306.819064699731</v>
      </c>
      <c r="AK78" s="39" t="n">
        <f aca="false">8314.4621*AJ78/(Sheet1!M$21*Sheet1!M$12*9.80665)</f>
        <v>11717.1691761145</v>
      </c>
      <c r="AL78" s="39" t="n">
        <f aca="false">AL77-LN(AG78/AG77)*(AK77+AK78)/2</f>
        <v>150946.505240991</v>
      </c>
      <c r="AM78" s="39" t="n">
        <f aca="false">Sheet1!M$10*10/Sheet1!M$11*1000*AL78/(Sheet1!M$10*10/Sheet1!M$11*1000-AL78)</f>
        <v>155400.103599141</v>
      </c>
      <c r="AN78" s="41"/>
      <c r="AO78" s="37" t="n">
        <f aca="false">AO77+(AO$86-AO$77)/9</f>
        <v>-2.11111111111111</v>
      </c>
      <c r="AP78" s="40" t="n">
        <f aca="false">10^AO78</f>
        <v>0.00774263682681127</v>
      </c>
      <c r="AQ78" s="39" t="n">
        <f aca="false">AS78-AR78*((Sheet1!R$19-Sheet1!R$20)*COS(RADIANS(38))+Sheet1!R$20)/2</f>
        <v>128.292656254187</v>
      </c>
      <c r="AR78" s="37" t="n">
        <f aca="false">(AV78-AV$51)/(AV$116-AV$51)*(AR$116-AR$51)+AR$51</f>
        <v>0.103806456885043</v>
      </c>
      <c r="AS78" s="39" t="n">
        <f aca="false">(AV78-AV$77)/(AV$86-AV$77)*(AS$86-AS$77)+AS$77</f>
        <v>129.310383687838</v>
      </c>
      <c r="AT78" s="39" t="n">
        <f aca="false">8314.4621*AS78/(Sheet1!R$22*Sheet1!R$12*9.80665)</f>
        <v>15039.0136822065</v>
      </c>
      <c r="AU78" s="39" t="n">
        <f aca="false">AU77-LN(AP78/AP77)*(AT77+AT78)/2</f>
        <v>272426.017011921</v>
      </c>
      <c r="AV78" s="39" t="n">
        <f aca="false">Sheet1!R$10*10/Sheet1!R$11*1000*AU78/(Sheet1!R$10*10/Sheet1!R$11*1000-AU78)</f>
        <v>289828.912363494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251.046041521455</v>
      </c>
      <c r="T79" s="37" t="n">
        <f aca="false">(X79-X$54)/(X$100-X$54)*(T$100-T$54)+T$54</f>
        <v>1.47738292268914</v>
      </c>
      <c r="U79" s="39" t="n">
        <f aca="false">(X79-X$77)/(X$90-X$77)*(U$90-U$77)+U$77</f>
        <v>255.433908519829</v>
      </c>
      <c r="V79" s="39" t="n">
        <f aca="false">8314.4621*U79/(Sheet1!H$20*Sheet1!H$12*9.80665)</f>
        <v>31940.0384763306</v>
      </c>
      <c r="W79" s="39" t="n">
        <f aca="false">W78-LN(R79/R78)*(V78+V79)/2</f>
        <v>864962.617378751</v>
      </c>
      <c r="X79" s="39" t="n">
        <f aca="false">Sheet1!H$10*10/Sheet1!H$11*1000*W79/(Sheet1!H$10*10/Sheet1!H$11*1000-W79)</f>
        <v>877776.799209366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326.849243555646</v>
      </c>
      <c r="AI79" s="37" t="n">
        <f aca="false">(AM79-AM$62)/(AM$95-AM$62)*(AI$95-AI$62)+AI$62</f>
        <v>0.2</v>
      </c>
      <c r="AJ79" s="39" t="n">
        <f aca="false">(AM79-AM$75)/(AM$80-AM$75)*(AJ$80-AJ$75)+AJ$75</f>
        <v>328.552458610695</v>
      </c>
      <c r="AK79" s="39" t="n">
        <f aca="false">8314.4621*AJ79/(Sheet1!M$21*Sheet1!M$12*9.80665)</f>
        <v>12547.149716845</v>
      </c>
      <c r="AL79" s="39" t="n">
        <f aca="false">AL78-LN(AG79/AG78)*(AK78+AK79)/2</f>
        <v>153740.03818972</v>
      </c>
      <c r="AM79" s="39" t="n">
        <f aca="false">Sheet1!M$10*10/Sheet1!M$11*1000*AL79/(Sheet1!M$10*10/Sheet1!M$11*1000-AL79)</f>
        <v>158362.529422144</v>
      </c>
      <c r="AN79" s="41"/>
      <c r="AO79" s="37" t="n">
        <f aca="false">AO78+(AO$86-AO$77)/9</f>
        <v>-2.22222222222222</v>
      </c>
      <c r="AP79" s="40" t="n">
        <f aca="false">10^AO79</f>
        <v>0.00599484250318941</v>
      </c>
      <c r="AQ79" s="39" t="n">
        <f aca="false">AS79-AR79*((Sheet1!R$19-Sheet1!R$20)*COS(RADIANS(38))+Sheet1!R$20)/2</f>
        <v>132.144176338974</v>
      </c>
      <c r="AR79" s="37" t="n">
        <f aca="false">(AV79-AV$51)/(AV$116-AV$51)*(AR$116-AR$51)+AR$51</f>
        <v>0.108521390253321</v>
      </c>
      <c r="AS79" s="39" t="n">
        <f aca="false">(AV79-AV$77)/(AV$86-AV$77)*(AS$86-AS$77)+AS$77</f>
        <v>133.208129384989</v>
      </c>
      <c r="AT79" s="39" t="n">
        <f aca="false">8314.4621*AS79/(Sheet1!R$22*Sheet1!R$12*9.80665)</f>
        <v>15492.3280193653</v>
      </c>
      <c r="AU79" s="39" t="n">
        <f aca="false">AU78-LN(AP79/AP78)*(AT78+AT79)/2</f>
        <v>276331.628804763</v>
      </c>
      <c r="AV79" s="39" t="n">
        <f aca="false">Sheet1!R$10*10/Sheet1!R$11*1000*AU79/(Sheet1!R$10*10/Sheet1!R$11*1000-AU79)</f>
        <v>294253.504535371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250.974978514972</v>
      </c>
      <c r="T80" s="37" t="n">
        <f aca="false">(X80-X$54)/(X$100-X$54)*(T$100-T$54)+T$54</f>
        <v>1.50118368178819</v>
      </c>
      <c r="U80" s="39" t="n">
        <f aca="false">(X80-X$77)/(X$90-X$77)*(U$90-U$77)+U$77</f>
        <v>255.433534407731</v>
      </c>
      <c r="V80" s="39" t="n">
        <f aca="false">8314.4621*U80/(Sheet1!H$20*Sheet1!H$12*9.80665)</f>
        <v>31939.9916965006</v>
      </c>
      <c r="W80" s="39" t="n">
        <f aca="false">W79-LN(R80/R79)*(V79+V80)/2</f>
        <v>872317.07763955</v>
      </c>
      <c r="X80" s="39" t="n">
        <f aca="false">Sheet1!H$10*10/Sheet1!H$11*1000*W80/(Sheet1!H$10*10/Sheet1!H$11*1000-W80)</f>
        <v>885351.736355895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350.14934837112</v>
      </c>
      <c r="AI80" s="37" t="n">
        <f aca="false">(AM80-AM$62)/(AM$95-AM$62)*(AI$95-AI$62)+AI$62</f>
        <v>0.2</v>
      </c>
      <c r="AJ80" s="39" t="n">
        <f aca="false">0.18*(320*LOG(Sheet1!M15)-AJ62)+AJ62</f>
        <v>351.852563426169</v>
      </c>
      <c r="AK80" s="39" t="n">
        <f aca="false">8314.4621*AJ80/(Sheet1!M$21*Sheet1!M$12*9.80665)</f>
        <v>13436.9616658231</v>
      </c>
      <c r="AL80" s="39" t="n">
        <f aca="false">AL79-LN(AG80/AG79)*(AK79+AK80)/2</f>
        <v>156731.569565941</v>
      </c>
      <c r="AM80" s="39" t="n">
        <f aca="false">Sheet1!M$10*10/Sheet1!M$11*1000*AL80/(Sheet1!M$10*10/Sheet1!M$11*1000-AL80)</f>
        <v>161538.515665349</v>
      </c>
      <c r="AN80" s="41"/>
      <c r="AO80" s="37" t="n">
        <f aca="false">AO79+(AO$86-AO$77)/9</f>
        <v>-2.33333333333333</v>
      </c>
      <c r="AP80" s="40" t="n">
        <f aca="false">10^AO80</f>
        <v>0.00464158883361278</v>
      </c>
      <c r="AQ80" s="39" t="n">
        <f aca="false">AS80-AR80*((Sheet1!R$19-Sheet1!R$20)*COS(RADIANS(38))+Sheet1!R$20)/2</f>
        <v>136.119720591736</v>
      </c>
      <c r="AR80" s="37" t="n">
        <f aca="false">(AV80-AV$51)/(AV$116-AV$51)*(AR$116-AR$51)+AR$51</f>
        <v>0.113387635555817</v>
      </c>
      <c r="AS80" s="39" t="n">
        <f aca="false">(AV80-AV$77)/(AV$86-AV$77)*(AS$86-AS$77)+AS$77</f>
        <v>137.231382725334</v>
      </c>
      <c r="AT80" s="39" t="n">
        <f aca="false">8314.4621*AS80/(Sheet1!R$22*Sheet1!R$12*9.80665)</f>
        <v>15960.2391051332</v>
      </c>
      <c r="AU80" s="39" t="n">
        <f aca="false">AU79-LN(AP80/AP79)*(AT79+AT80)/2</f>
        <v>280355.085037944</v>
      </c>
      <c r="AV80" s="39" t="n">
        <f aca="false">Sheet1!R$10*10/Sheet1!R$11*1000*AU80/(Sheet1!R$10*10/Sheet1!R$11*1000-AU80)</f>
        <v>298820.090993775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250.903897705327</v>
      </c>
      <c r="T81" s="37" t="n">
        <f aca="false">(X81-X$54)/(X$100-X$54)*(T$100-T$54)+T$54</f>
        <v>1.52499040360719</v>
      </c>
      <c r="U81" s="39" t="n">
        <f aca="false">(X81-X$77)/(X$90-X$77)*(U$90-U$77)+U$77</f>
        <v>255.433160201908</v>
      </c>
      <c r="V81" s="39" t="n">
        <f aca="false">8314.4621*U81/(Sheet1!H$20*Sheet1!H$12*9.80665)</f>
        <v>31939.9449049511</v>
      </c>
      <c r="W81" s="39" t="n">
        <f aca="false">W80-LN(R81/R80)*(V80+V81)/2</f>
        <v>879671.527127545</v>
      </c>
      <c r="X81" s="39" t="n">
        <f aca="false">Sheet1!H$10*10/Sheet1!H$11*1000*W81/(Sheet1!H$10*10/Sheet1!H$11*1000-W81)</f>
        <v>892928.571224621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372.272904487933</v>
      </c>
      <c r="AI81" s="37" t="n">
        <f aca="false">(AM81-AM$62)/(AM$95-AM$62)*(AI$95-AI$62)+AI$62</f>
        <v>0.2</v>
      </c>
      <c r="AJ81" s="39" t="n">
        <f aca="false">(AM81-AM$80)/(AM$95-AM$80)*(AJ$95-AJ$80)+AJ$80</f>
        <v>373.976119542983</v>
      </c>
      <c r="AK81" s="39" t="n">
        <f aca="false">8314.4621*AJ81/(Sheet1!M$21*Sheet1!M$12*9.80665)</f>
        <v>14281.8421821354</v>
      </c>
      <c r="AL81" s="39" t="n">
        <f aca="false">AL80-LN(AG81/AG80)*(AK80+AK81)/2</f>
        <v>159922.814792738</v>
      </c>
      <c r="AM81" s="39" t="n">
        <f aca="false">Sheet1!M$10*10/Sheet1!M$11*1000*AL81/(Sheet1!M$10*10/Sheet1!M$11*1000-AL81)</f>
        <v>164930.631546578</v>
      </c>
      <c r="AN81" s="41"/>
      <c r="AO81" s="37" t="n">
        <f aca="false">AO80+(AO$86-AO$77)/9</f>
        <v>-2.44444444444444</v>
      </c>
      <c r="AP81" s="40" t="n">
        <f aca="false">10^AO81</f>
        <v>0.00359381366380463</v>
      </c>
      <c r="AQ81" s="39" t="n">
        <f aca="false">AS81-AR81*((Sheet1!R$19-Sheet1!R$20)*COS(RADIANS(38))+Sheet1!R$20)/2</f>
        <v>140.223323769956</v>
      </c>
      <c r="AR81" s="37" t="n">
        <f aca="false">(AV81-AV$51)/(AV$116-AV$51)*(AR$116-AR$51)+AR$51</f>
        <v>0.118410630420677</v>
      </c>
      <c r="AS81" s="39" t="n">
        <f aca="false">(AV81-AV$77)/(AV$86-AV$77)*(AS$86-AS$77)+AS$77</f>
        <v>141.384231777331</v>
      </c>
      <c r="AT81" s="39" t="n">
        <f aca="false">8314.4621*AS81/(Sheet1!R$22*Sheet1!R$12*9.80665)</f>
        <v>16443.2223887022</v>
      </c>
      <c r="AU81" s="39" t="n">
        <f aca="false">AU80-LN(AP81/AP80)*(AT80+AT81)/2</f>
        <v>284500.18100445</v>
      </c>
      <c r="AV81" s="39" t="n">
        <f aca="false">Sheet1!R$10*10/Sheet1!R$11*1000*AU81/(Sheet1!R$10*10/Sheet1!R$11*1000-AU81)</f>
        <v>303533.774522788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250.832799085855</v>
      </c>
      <c r="T82" s="37" t="n">
        <f aca="false">(X82-X$54)/(X$100-X$54)*(T$100-T$54)+T$54</f>
        <v>1.54880309037833</v>
      </c>
      <c r="U82" s="39" t="n">
        <f aca="false">(X82-X$77)/(X$90-X$77)*(U$90-U$77)+U$77</f>
        <v>255.432785902327</v>
      </c>
      <c r="V82" s="39" t="n">
        <f aca="false">8314.4621*U82/(Sheet1!H$20*Sheet1!H$12*9.80665)</f>
        <v>31939.8981016778</v>
      </c>
      <c r="W82" s="39" t="n">
        <f aca="false">W81-LN(R82/R81)*(V81+V82)/2</f>
        <v>887025.965840038</v>
      </c>
      <c r="X82" s="39" t="n">
        <f aca="false">Sheet1!H$10*10/Sheet1!H$11*1000*W82/(Sheet1!H$10*10/Sheet1!H$11*1000-W82)</f>
        <v>900507.304525972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395.820218268317</v>
      </c>
      <c r="AI82" s="37" t="n">
        <f aca="false">(AM82-AM$62)/(AM$95-AM$62)*(AI$95-AI$62)+AI$62</f>
        <v>0.2</v>
      </c>
      <c r="AJ82" s="39" t="n">
        <f aca="false">(AM82-AM$80)/(AM$95-AM$80)*(AJ$95-AJ$80)+AJ$80</f>
        <v>397.523433323367</v>
      </c>
      <c r="AK82" s="39" t="n">
        <f aca="false">8314.4621*AJ82/(Sheet1!M$21*Sheet1!M$12*9.80665)</f>
        <v>15181.0948393255</v>
      </c>
      <c r="AL82" s="39" t="n">
        <f aca="false">AL81-LN(AG82/AG81)*(AK81+AK82)/2</f>
        <v>163314.86077181</v>
      </c>
      <c r="AM82" s="39" t="n">
        <f aca="false">Sheet1!M$10*10/Sheet1!M$11*1000*AL82/(Sheet1!M$10*10/Sheet1!M$11*1000-AL82)</f>
        <v>168540.838280475</v>
      </c>
      <c r="AN82" s="41"/>
      <c r="AO82" s="37" t="n">
        <f aca="false">AO81+(AO$86-AO$77)/9</f>
        <v>-2.55555555555556</v>
      </c>
      <c r="AP82" s="40" t="n">
        <f aca="false">10^AO82</f>
        <v>0.00278255940220712</v>
      </c>
      <c r="AQ82" s="39" t="n">
        <f aca="false">AS82-AR82*((Sheet1!R$19-Sheet1!R$20)*COS(RADIANS(38))+Sheet1!R$20)/2</f>
        <v>144.459611396458</v>
      </c>
      <c r="AR82" s="37" t="n">
        <f aca="false">(AV82-AV$51)/(AV$116-AV$51)*(AR$116-AR$51)+AR$51</f>
        <v>0.123596036561185</v>
      </c>
      <c r="AS82" s="39" t="n">
        <f aca="false">(AV82-AV$77)/(AV$86-AV$77)*(AS$86-AS$77)+AS$77</f>
        <v>145.671357571729</v>
      </c>
      <c r="AT82" s="39" t="n">
        <f aca="false">8314.4621*AS82/(Sheet1!R$22*Sheet1!R$12*9.80665)</f>
        <v>16941.8222817699</v>
      </c>
      <c r="AU82" s="39" t="n">
        <f aca="false">AU81-LN(AP82/AP81)*(AT81+AT82)/2</f>
        <v>288770.842459293</v>
      </c>
      <c r="AV82" s="39" t="n">
        <f aca="false">Sheet1!R$10*10/Sheet1!R$11*1000*AU82/(Sheet1!R$10*10/Sheet1!R$11*1000-AU82)</f>
        <v>308399.86819267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250.761868385576</v>
      </c>
      <c r="T83" s="37" t="n">
        <f aca="false">(X83-X$54)/(X$100-X$54)*(T$100-T$54)+T$54</f>
        <v>1.57262175299697</v>
      </c>
      <c r="U83" s="39" t="n">
        <f aca="false">(X83-X$77)/(X$90-X$77)*(U$90-U$77)+U$77</f>
        <v>255.432597270367</v>
      </c>
      <c r="V83" s="39" t="n">
        <f aca="false">8314.4621*U83/(Sheet1!H$20*Sheet1!H$12*9.80665)</f>
        <v>31939.8745147073</v>
      </c>
      <c r="W83" s="39" t="n">
        <f aca="false">W82-LN(R83/R82)*(V82+V83)/2</f>
        <v>894380.396448555</v>
      </c>
      <c r="X83" s="39" t="n">
        <f aca="false">Sheet1!H$10*10/Sheet1!H$11*1000*W83/(Sheet1!H$10*10/Sheet1!H$11*1000-W83)</f>
        <v>908087.939727554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420.882632856862</v>
      </c>
      <c r="AI83" s="37" t="n">
        <f aca="false">(AM83-AM$62)/(AM$95-AM$62)*(AI$95-AI$62)+AI$62</f>
        <v>0.2</v>
      </c>
      <c r="AJ83" s="39" t="n">
        <f aca="false">(AM83-AM$80)/(AM$95-AM$80)*(AJ$95-AJ$80)+AJ$80</f>
        <v>422.585847911911</v>
      </c>
      <c r="AK83" s="39" t="n">
        <f aca="false">8314.4621*AJ83/(Sheet1!M$21*Sheet1!M$12*9.80665)</f>
        <v>16138.2079573884</v>
      </c>
      <c r="AL83" s="39" t="n">
        <f aca="false">AL82-LN(AG83/AG82)*(AK82+AK83)/2</f>
        <v>166920.628758944</v>
      </c>
      <c r="AM83" s="39" t="n">
        <f aca="false">Sheet1!M$10*10/Sheet1!M$11*1000*AL83/(Sheet1!M$10*10/Sheet1!M$11*1000-AL83)</f>
        <v>172383.778305674</v>
      </c>
      <c r="AN83" s="41"/>
      <c r="AO83" s="37" t="n">
        <f aca="false">AO82+(AO$86-AO$77)/9</f>
        <v>-2.66666666666667</v>
      </c>
      <c r="AP83" s="40" t="n">
        <f aca="false">10^AO83</f>
        <v>0.00215443469003188</v>
      </c>
      <c r="AQ83" s="39" t="n">
        <f aca="false">AS83-AR83*((Sheet1!R$19-Sheet1!R$20)*COS(RADIANS(38))+Sheet1!R$20)/2</f>
        <v>148.833407906798</v>
      </c>
      <c r="AR83" s="37" t="n">
        <f aca="false">(AV83-AV$51)/(AV$116-AV$51)*(AR$116-AR$51)+AR$51</f>
        <v>0.128949759161149</v>
      </c>
      <c r="AS83" s="39" t="n">
        <f aca="false">(AV83-AV$77)/(AV$86-AV$77)*(AS$86-AS$77)+AS$77</f>
        <v>150.097642439014</v>
      </c>
      <c r="AT83" s="39" t="n">
        <f aca="false">8314.4621*AS83/(Sheet1!R$22*Sheet1!R$12*9.80665)</f>
        <v>17456.6066075293</v>
      </c>
      <c r="AU83" s="39" t="n">
        <f aca="false">AU82-LN(AP83/AP82)*(AT82+AT83)/2</f>
        <v>293171.137436122</v>
      </c>
      <c r="AV83" s="39" t="n">
        <f aca="false">Sheet1!R$10*10/Sheet1!R$11*1000*AU83/(Sheet1!R$10*10/Sheet1!R$11*1000-AU83)</f>
        <v>313423.913551524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250.690707559546</v>
      </c>
      <c r="T84" s="37" t="n">
        <f aca="false">(X84-X$54)/(X$100-X$54)*(T$100-T$54)+T$54</f>
        <v>1.5964463924672</v>
      </c>
      <c r="U84" s="39" t="n">
        <f aca="false">(X84-X$77)/(X$90-X$77)*(U$90-U$77)+U$77</f>
        <v>255.432196264066</v>
      </c>
      <c r="V84" s="39" t="n">
        <f aca="false">8314.4621*U84/(Sheet1!H$20*Sheet1!H$12*9.80665)</f>
        <v>31939.8243719648</v>
      </c>
      <c r="W84" s="39" t="n">
        <f aca="false">W83-LN(R84/R83)*(V83+V84)/2</f>
        <v>901734.818568625</v>
      </c>
      <c r="X84" s="39" t="n">
        <f aca="false">Sheet1!H$10*10/Sheet1!H$11*1000*W84/(Sheet1!H$10*10/Sheet1!H$11*1000-W84)</f>
        <v>915670.477148928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447.569315411754</v>
      </c>
      <c r="AI84" s="37" t="n">
        <f aca="false">(AM84-AM$62)/(AM$95-AM$62)*(AI$95-AI$62)+AI$62</f>
        <v>0.2</v>
      </c>
      <c r="AJ84" s="39" t="n">
        <f aca="false">(AM84-AM$80)/(AM$95-AM$80)*(AJ$95-AJ$80)+AJ$80</f>
        <v>449.272530466804</v>
      </c>
      <c r="AK84" s="39" t="n">
        <f aca="false">8314.4621*AJ84/(Sheet1!M$21*Sheet1!M$12*9.80665)</f>
        <v>17157.3505408226</v>
      </c>
      <c r="AL84" s="39" t="n">
        <f aca="false">AL83-LN(AG84/AG83)*(AK83+AK84)/2</f>
        <v>170753.921591989</v>
      </c>
      <c r="AM84" s="39" t="n">
        <f aca="false">Sheet1!M$10*10/Sheet1!M$11*1000*AL84/(Sheet1!M$10*10/Sheet1!M$11*1000-AL84)</f>
        <v>176475.172349988</v>
      </c>
      <c r="AN84" s="41"/>
      <c r="AO84" s="37" t="n">
        <f aca="false">AO83+(AO$86-AO$77)/9</f>
        <v>-2.77777777777778</v>
      </c>
      <c r="AP84" s="40" t="n">
        <f aca="false">10^AO84</f>
        <v>0.00166810053720006</v>
      </c>
      <c r="AQ84" s="39" t="n">
        <f aca="false">AS84-AR84*((Sheet1!R$19-Sheet1!R$20)*COS(RADIANS(38))+Sheet1!R$20)/2</f>
        <v>153.349931162143</v>
      </c>
      <c r="AR84" s="37" t="n">
        <f aca="false">(AV84-AV$51)/(AV$116-AV$51)*(AR$116-AR$51)+AR$51</f>
        <v>0.134477963183446</v>
      </c>
      <c r="AS84" s="39" t="n">
        <f aca="false">(AV84-AV$77)/(AV$86-AV$77)*(AS$86-AS$77)+AS$77</f>
        <v>154.668364682178</v>
      </c>
      <c r="AT84" s="39" t="n">
        <f aca="false">8314.4621*AS84/(Sheet1!R$22*Sheet1!R$12*9.80665)</f>
        <v>17988.189241438</v>
      </c>
      <c r="AU84" s="39" t="n">
        <f aca="false">AU83-LN(AP84/AP83)*(AT83+AT84)/2</f>
        <v>297705.285133124</v>
      </c>
      <c r="AV84" s="39" t="n">
        <f aca="false">Sheet1!R$10*10/Sheet1!R$11*1000*AU84/(Sheet1!R$10*10/Sheet1!R$11*1000-AU84)</f>
        <v>318611.695929567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250.619528904383</v>
      </c>
      <c r="T85" s="37" t="n">
        <f aca="false">(X85-X$54)/(X$100-X$54)*(T$100-T$54)+T$54</f>
        <v>1.6202770011262</v>
      </c>
      <c r="U85" s="39" t="n">
        <f aca="false">(X85-X$77)/(X$90-X$77)*(U$90-U$77)+U$77</f>
        <v>255.431795157282</v>
      </c>
      <c r="V85" s="39" t="n">
        <f aca="false">8314.4621*U85/(Sheet1!H$20*Sheet1!H$12*9.80665)</f>
        <v>31939.7742166579</v>
      </c>
      <c r="W85" s="39" t="n">
        <f aca="false">W84-LN(R85/R84)*(V84+V85)/2</f>
        <v>909089.229141456</v>
      </c>
      <c r="X85" s="39" t="n">
        <f aca="false">Sheet1!H$10*10/Sheet1!H$11*1000*W85/(Sheet1!H$10*10/Sheet1!H$11*1000-W85)</f>
        <v>923254.914351297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475.984807244808</v>
      </c>
      <c r="AI85" s="37" t="n">
        <f aca="false">(AM85-AM$62)/(AM$95-AM$62)*(AI$95-AI$62)+AI$62</f>
        <v>0.2</v>
      </c>
      <c r="AJ85" s="39" t="n">
        <f aca="false">(AM85-AM$80)/(AM$95-AM$80)*(AJ$95-AJ$80)+AJ$80</f>
        <v>477.688022299858</v>
      </c>
      <c r="AK85" s="39" t="n">
        <f aca="false">8314.4621*AJ85/(Sheet1!M$21*Sheet1!M$12*9.80665)</f>
        <v>18242.5149368364</v>
      </c>
      <c r="AL85" s="39" t="n">
        <f aca="false">AL84-LN(AG85/AG84)*(AK84+AK85)/2</f>
        <v>174829.481719131</v>
      </c>
      <c r="AM85" s="39" t="n">
        <f aca="false">Sheet1!M$10*10/Sheet1!M$11*1000*AL85/(Sheet1!M$10*10/Sheet1!M$11*1000-AL85)</f>
        <v>180831.902016812</v>
      </c>
      <c r="AN85" s="41"/>
      <c r="AO85" s="37" t="n">
        <f aca="false">AO84+(AO$86-AO$77)/9</f>
        <v>-2.88888888888889</v>
      </c>
      <c r="AP85" s="40" t="n">
        <f aca="false">10^AO85</f>
        <v>0.00129154966501488</v>
      </c>
      <c r="AQ85" s="39" t="n">
        <f aca="false">AS85-AR85*((Sheet1!R$19-Sheet1!R$20)*COS(RADIANS(38))+Sheet1!R$20)/2</f>
        <v>158.014101345161</v>
      </c>
      <c r="AR85" s="37" t="n">
        <f aca="false">(AV85-AV$51)/(AV$116-AV$51)*(AR$116-AR$51)+AR$51</f>
        <v>0.140187081139979</v>
      </c>
      <c r="AS85" s="39" t="n">
        <f aca="false">(AV85-AV$77)/(AV$86-AV$77)*(AS$86-AS$77)+AS$77</f>
        <v>159.388507548791</v>
      </c>
      <c r="AT85" s="39" t="n">
        <f aca="false">8314.4621*AS85/(Sheet1!R$22*Sheet1!R$12*9.80665)</f>
        <v>18537.1497435143</v>
      </c>
      <c r="AU85" s="39" t="n">
        <f aca="false">AU84-LN(AP85/AP84)*(AT84+AT85)/2</f>
        <v>302377.657414419</v>
      </c>
      <c r="AV85" s="39" t="n">
        <f aca="false">Sheet1!R$10*10/Sheet1!R$11*1000*AU85/(Sheet1!R$10*10/Sheet1!R$11*1000-AU85)</f>
        <v>323969.251730621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250.548332413415</v>
      </c>
      <c r="T86" s="37" t="n">
        <f aca="false">(X86-X$54)/(X$100-X$54)*(T$100-T$54)+T$54</f>
        <v>1.64411358120812</v>
      </c>
      <c r="U86" s="39" t="n">
        <f aca="false">(X86-X$77)/(X$90-X$77)*(U$90-U$77)+U$77</f>
        <v>255.43139394998</v>
      </c>
      <c r="V86" s="39" t="n">
        <f aca="false">8314.4621*U86/(Sheet1!H$20*Sheet1!H$12*9.80665)</f>
        <v>31939.7240487818</v>
      </c>
      <c r="W86" s="39" t="n">
        <f aca="false">W85-LN(R86/R85)*(V85+V86)/2</f>
        <v>916443.628164153</v>
      </c>
      <c r="X86" s="39" t="n">
        <f aca="false">Sheet1!H$10*10/Sheet1!H$11*1000*W86/(Sheet1!H$10*10/Sheet1!H$11*1000-W86)</f>
        <v>930841.252045713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506.250088267824</v>
      </c>
      <c r="AI86" s="37" t="n">
        <f aca="false">(AM86-AM$62)/(AM$95-AM$62)*(AI$95-AI$62)+AI$62</f>
        <v>0.2</v>
      </c>
      <c r="AJ86" s="39" t="n">
        <f aca="false">(AM86-AM$80)/(AM$95-AM$80)*(AJ$95-AJ$80)+AJ$80</f>
        <v>507.953303322874</v>
      </c>
      <c r="AK86" s="39" t="n">
        <f aca="false">8314.4621*AJ86/(Sheet1!M$21*Sheet1!M$12*9.80665)</f>
        <v>19398.3212693287</v>
      </c>
      <c r="AL86" s="39" t="n">
        <f aca="false">AL85-LN(AG86/AG85)*(AK85+AK86)/2</f>
        <v>179163.043135938</v>
      </c>
      <c r="AM86" s="39" t="n">
        <f aca="false">Sheet1!M$10*10/Sheet1!M$11*1000*AL86/(Sheet1!M$10*10/Sheet1!M$11*1000-AL86)</f>
        <v>185472.088865563</v>
      </c>
      <c r="AN86" s="41"/>
      <c r="AO86" s="37" t="n">
        <f aca="false">AO69+0.4*(AO116-AO69)</f>
        <v>-3</v>
      </c>
      <c r="AP86" s="40" t="n">
        <f aca="false">10^AO86</f>
        <v>0.001</v>
      </c>
      <c r="AQ86" s="39" t="n">
        <f aca="false">AS86-AR86*((Sheet1!R$19-Sheet1!R$20)*COS(RADIANS(38))+Sheet1!R$20)/2</f>
        <v>162.831551784238</v>
      </c>
      <c r="AR86" s="37" t="n">
        <f aca="false">(AV86-AV$51)/(AV$116-AV$51)*(AR$116-AR$51)+AR$51</f>
        <v>0.146083827107704</v>
      </c>
      <c r="AS86" s="39" t="n">
        <f aca="false">AS69+0.28*(AS116-AS69)</f>
        <v>164.263770192626</v>
      </c>
      <c r="AT86" s="39" t="n">
        <f aca="false">8314.4621*AS86/(Sheet1!R$22*Sheet1!R$12*9.80665)</f>
        <v>19104.1509348647</v>
      </c>
      <c r="AU86" s="39" t="n">
        <f aca="false">AU85-LN(AP86/AP85)*(AT85+AT86)/2</f>
        <v>307192.785071249</v>
      </c>
      <c r="AV86" s="39" t="n">
        <f aca="false">Sheet1!R$10*10/Sheet1!R$11*1000*AU86/(Sheet1!R$10*10/Sheet1!R$11*1000-AU86)</f>
        <v>329502.88158505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250.477118079964</v>
      </c>
      <c r="T87" s="37" t="n">
        <f aca="false">(X87-X$54)/(X$100-X$54)*(T$100-T$54)+T$54</f>
        <v>1.66795613494825</v>
      </c>
      <c r="U87" s="39" t="n">
        <f aca="false">(X87-X$77)/(X$90-X$77)*(U$90-U$77)+U$77</f>
        <v>255.430992642121</v>
      </c>
      <c r="V87" s="39" t="n">
        <f aca="false">8314.4621*U87/(Sheet1!H$20*Sheet1!H$12*9.80665)</f>
        <v>31939.6738683318</v>
      </c>
      <c r="W87" s="39" t="n">
        <f aca="false">W86-LN(R87/R86)*(V86+V87)/2</f>
        <v>923798.015633822</v>
      </c>
      <c r="X87" s="39" t="n">
        <f aca="false">Sheet1!H$10*10/Sheet1!H$11*1000*W87/(Sheet1!H$10*10/Sheet1!H$11*1000-W87)</f>
        <v>938429.490943583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538.490393724158</v>
      </c>
      <c r="AI87" s="37" t="n">
        <f aca="false">(AM87-AM$62)/(AM$95-AM$62)*(AI$95-AI$62)+AI$62</f>
        <v>0.2</v>
      </c>
      <c r="AJ87" s="39" t="n">
        <f aca="false">(AM87-AM$80)/(AM$95-AM$80)*(AJ$95-AJ$80)+AJ$80</f>
        <v>540.193608779208</v>
      </c>
      <c r="AK87" s="39" t="n">
        <f aca="false">8314.4621*AJ87/(Sheet1!M$21*Sheet1!M$12*9.80665)</f>
        <v>20629.5521698308</v>
      </c>
      <c r="AL87" s="39" t="n">
        <f aca="false">AL86-LN(AG87/AG86)*(AK86+AK87)/2</f>
        <v>183771.422370202</v>
      </c>
      <c r="AM87" s="39" t="n">
        <f aca="false">Sheet1!M$10*10/Sheet1!M$11*1000*AL87/(Sheet1!M$10*10/Sheet1!M$11*1000-AL87)</f>
        <v>190415.218761454</v>
      </c>
      <c r="AN87" s="41"/>
      <c r="AO87" s="37" t="n">
        <f aca="false">AO86+(AO$96-AO$86)/10</f>
        <v>-3.1</v>
      </c>
      <c r="AP87" s="40" t="n">
        <f aca="false">10^AO87</f>
        <v>0.000794328234724281</v>
      </c>
      <c r="AQ87" s="39" t="n">
        <f aca="false">AS87-AR87*((Sheet1!R$19-Sheet1!R$20)*COS(RADIANS(38))+Sheet1!R$20)/2</f>
        <v>168.94093636665</v>
      </c>
      <c r="AR87" s="37" t="n">
        <f aca="false">(AV87-AV$51)/(AV$116-AV$51)*(AR$116-AR$51)+AR$51</f>
        <v>0.151583977718439</v>
      </c>
      <c r="AS87" s="39" t="n">
        <f aca="false">(AV87-AV$86)/(AV$96-AV$86)*(AS$96-AS$86)+AS$86</f>
        <v>170.427078724797</v>
      </c>
      <c r="AT87" s="39" t="n">
        <f aca="false">8314.4621*AS87/(Sheet1!R$22*Sheet1!R$12*9.80665)</f>
        <v>19820.9540151706</v>
      </c>
      <c r="AU87" s="39" t="n">
        <f aca="false">AU86-LN(AP87/AP86)*(AT86+AT87)/2</f>
        <v>311674.203391308</v>
      </c>
      <c r="AV87" s="39" t="n">
        <f aca="false">Sheet1!R$10*10/Sheet1!R$11*1000*AU87/(Sheet1!R$10*10/Sheet1!R$11*1000-AU87)</f>
        <v>334664.338054433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250.40588589735</v>
      </c>
      <c r="T88" s="37" t="n">
        <f aca="false">(X88-X$54)/(X$100-X$54)*(T$100-T$54)+T$54</f>
        <v>1.69180466458296</v>
      </c>
      <c r="U88" s="39" t="n">
        <f aca="false">(X88-X$77)/(X$90-X$77)*(U$90-U$77)+U$77</f>
        <v>255.430591233667</v>
      </c>
      <c r="V88" s="39" t="n">
        <f aca="false">8314.4621*U88/(Sheet1!H$20*Sheet1!H$12*9.80665)</f>
        <v>31939.6236753033</v>
      </c>
      <c r="W88" s="39" t="n">
        <f aca="false">W87-LN(R88/R87)*(V87+V88)/2</f>
        <v>931152.391547567</v>
      </c>
      <c r="X88" s="39" t="n">
        <f aca="false">Sheet1!H$10*10/Sheet1!H$11*1000*W88/(Sheet1!H$10*10/Sheet1!H$11*1000-W88)</f>
        <v>946019.631756666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572.841811740291</v>
      </c>
      <c r="AI88" s="37" t="n">
        <f aca="false">(AM88-AM$62)/(AM$95-AM$62)*(AI$95-AI$62)+AI$62</f>
        <v>0.2</v>
      </c>
      <c r="AJ88" s="39" t="n">
        <f aca="false">(AM88-AM$80)/(AM$95-AM$80)*(AJ$95-AJ$80)+AJ$80</f>
        <v>574.54502679534</v>
      </c>
      <c r="AK88" s="39" t="n">
        <f aca="false">8314.4621*AJ88/(Sheet1!M$21*Sheet1!M$12*9.80665)</f>
        <v>21941.4047326054</v>
      </c>
      <c r="AL88" s="39" t="n">
        <f aca="false">AL87-LN(AG88/AG87)*(AK87+AK88)/2</f>
        <v>188672.584908104</v>
      </c>
      <c r="AM88" s="39" t="n">
        <f aca="false">Sheet1!M$10*10/Sheet1!M$11*1000*AL88/(Sheet1!M$10*10/Sheet1!M$11*1000-AL88)</f>
        <v>195682.244070708</v>
      </c>
      <c r="AN88" s="41"/>
      <c r="AO88" s="37" t="n">
        <f aca="false">AO87+(AO$96-AO$86)/10</f>
        <v>-3.2</v>
      </c>
      <c r="AP88" s="40" t="n">
        <f aca="false">10^AO88</f>
        <v>0.000630957344480193</v>
      </c>
      <c r="AQ88" s="39" t="n">
        <f aca="false">AS88-AR88*((Sheet1!R$19-Sheet1!R$20)*COS(RADIANS(38))+Sheet1!R$20)/2</f>
        <v>175.29154670191</v>
      </c>
      <c r="AR88" s="37" t="n">
        <f aca="false">(AV88-AV$51)/(AV$116-AV$51)*(AR$116-AR$51)+AR$51</f>
        <v>0.157303043665556</v>
      </c>
      <c r="AS88" s="39" t="n">
        <f aca="false">(AV88-AV$86)/(AV$96-AV$86)*(AS$96-AS$86)+AS$86</f>
        <v>176.833759274608</v>
      </c>
      <c r="AT88" s="39" t="n">
        <f aca="false">8314.4621*AS88/(Sheet1!R$22*Sheet1!R$12*9.80665)</f>
        <v>20566.0616677681</v>
      </c>
      <c r="AU88" s="39" t="n">
        <f aca="false">AU87-LN(AP88/AP87)*(AT87+AT88)/2</f>
        <v>316323.930404411</v>
      </c>
      <c r="AV88" s="39" t="n">
        <f aca="false">Sheet1!R$10*10/Sheet1!R$11*1000*AU88/(Sheet1!R$10*10/Sheet1!R$11*1000-AU88)</f>
        <v>340031.229258095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250.334514460435</v>
      </c>
      <c r="T89" s="37" t="n">
        <f aca="false">(X89-X$54)/(X$100-X$54)*(T$100-T$54)+T$54</f>
        <v>1.71565916667957</v>
      </c>
      <c r="U89" s="39" t="n">
        <f aca="false">(X89-X$77)/(X$90-X$77)*(U$90-U$77)+U$77</f>
        <v>255.430068309284</v>
      </c>
      <c r="V89" s="39" t="n">
        <f aca="false">8314.4621*U89/(Sheet1!H$20*Sheet1!H$12*9.80665)</f>
        <v>31939.5582876458</v>
      </c>
      <c r="W89" s="39" t="n">
        <f aca="false">W88-LN(R89/R88)*(V88+V89)/2</f>
        <v>938506.754154594</v>
      </c>
      <c r="X89" s="39" t="n">
        <f aca="false">Sheet1!H$10*10/Sheet1!H$11*1000*W89/(Sheet1!H$10*10/Sheet1!H$11*1000-W89)</f>
        <v>953611.673392463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609.454162873657</v>
      </c>
      <c r="AI89" s="37" t="n">
        <f aca="false">(AM89-AM$62)/(AM$95-AM$62)*(AI$95-AI$62)+AI$62</f>
        <v>0.2</v>
      </c>
      <c r="AJ89" s="39" t="n">
        <f aca="false">(AM89-AM$80)/(AM$95-AM$80)*(AJ$95-AJ$80)+AJ$80</f>
        <v>611.157377928707</v>
      </c>
      <c r="AK89" s="39" t="n">
        <f aca="false">8314.4621*AJ89/(Sheet1!M$21*Sheet1!M$12*9.80665)</f>
        <v>23339.6004822235</v>
      </c>
      <c r="AL89" s="39" t="n">
        <f aca="false">AL88-LN(AG89/AG88)*(AK88+AK89)/2</f>
        <v>193885.753288276</v>
      </c>
      <c r="AM89" s="39" t="n">
        <f aca="false">Sheet1!M$10*10/Sheet1!M$11*1000*AL89/(Sheet1!M$10*10/Sheet1!M$11*1000-AL89)</f>
        <v>201295.735303274</v>
      </c>
      <c r="AN89" s="41"/>
      <c r="AO89" s="37" t="n">
        <f aca="false">AO88+(AO$96-AO$86)/10</f>
        <v>-3.3</v>
      </c>
      <c r="AP89" s="40" t="n">
        <f aca="false">10^AO89</f>
        <v>0.000501187233627272</v>
      </c>
      <c r="AQ89" s="39" t="n">
        <f aca="false">AS89-AR89*((Sheet1!R$19-Sheet1!R$20)*COS(RADIANS(38))+Sheet1!R$20)/2</f>
        <v>181.896983080971</v>
      </c>
      <c r="AR89" s="37" t="n">
        <f aca="false">(AV89-AV$51)/(AV$116-AV$51)*(AR$116-AR$51)+AR$51</f>
        <v>0.163250703980827</v>
      </c>
      <c r="AS89" s="39" t="n">
        <f aca="false">(AV89-AV$86)/(AV$96-AV$86)*(AS$96-AS$86)+AS$86</f>
        <v>183.49750702707</v>
      </c>
      <c r="AT89" s="39" t="n">
        <f aca="false">8314.4621*AS89/(Sheet1!R$22*Sheet1!R$12*9.80665)</f>
        <v>21341.0666655568</v>
      </c>
      <c r="AU89" s="39" t="n">
        <f aca="false">AU88-LN(AP89/AP88)*(AT88+AT89)/2</f>
        <v>321148.666853936</v>
      </c>
      <c r="AV89" s="39" t="n">
        <f aca="false">Sheet1!R$10*10/Sheet1!R$11*1000*AU89/(Sheet1!R$10*10/Sheet1!R$11*1000-AU89)</f>
        <v>345612.638202066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250.263368000307</v>
      </c>
      <c r="T90" s="37" t="n">
        <f aca="false">(X90-X$54)/(X$100-X$54)*(T$100-T$54)+T$54</f>
        <v>1.7395196491444</v>
      </c>
      <c r="U90" s="39" t="n">
        <f aca="false">70/610*(U$170-U$54)+U$54</f>
        <v>255.429788123542</v>
      </c>
      <c r="V90" s="39" t="n">
        <f aca="false">8314.4621*U90/(Sheet1!H$20*Sheet1!H$12*9.80665)</f>
        <v>31939.5232525816</v>
      </c>
      <c r="W90" s="39" t="n">
        <f aca="false">W89-LN(R90/R89)*(V89+V90)/2</f>
        <v>945861.105200028</v>
      </c>
      <c r="X90" s="39" t="n">
        <f aca="false">Sheet1!H$10*10/Sheet1!H$11*1000*W90/(Sheet1!H$10*10/Sheet1!H$11*1000-W90)</f>
        <v>961205.618367275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250.263368000307</v>
      </c>
      <c r="AA90" s="39" t="n">
        <f aca="false">IF(Y90=LOG(Sheet1!H$17*101325),(LOG(Sheet1!H$17*101325)-Q100)/(Q90-Q100)*(X90-X100)+X100,IF(Y90=0,0,X90))</f>
        <v>961205.618367275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648.484928535144</v>
      </c>
      <c r="AI90" s="37" t="n">
        <f aca="false">(AM90-AM$62)/(AM$95-AM$62)*(AI$95-AI$62)+AI$62</f>
        <v>0.2</v>
      </c>
      <c r="AJ90" s="39" t="n">
        <f aca="false">(AM90-AM$80)/(AM$95-AM$80)*(AJ$95-AJ$80)+AJ$80</f>
        <v>650.188143590193</v>
      </c>
      <c r="AK90" s="39" t="n">
        <f aca="false">8314.4621*AJ90/(Sheet1!M$21*Sheet1!M$12*9.80665)</f>
        <v>24830.1535049847</v>
      </c>
      <c r="AL90" s="39" t="n">
        <f aca="false">AL89-LN(AG90/AG89)*(AK89+AK90)/2</f>
        <v>199431.501161483</v>
      </c>
      <c r="AM90" s="39" t="n">
        <f aca="false">Sheet1!M$10*10/Sheet1!M$11*1000*AL90/(Sheet1!M$10*10/Sheet1!M$11*1000-AL90)</f>
        <v>207280.02332051</v>
      </c>
      <c r="AN90" s="41"/>
      <c r="AO90" s="37" t="n">
        <f aca="false">AO89+(AO$96-AO$86)/10</f>
        <v>-3.4</v>
      </c>
      <c r="AP90" s="40" t="n">
        <f aca="false">10^AO90</f>
        <v>0.000398107170553497</v>
      </c>
      <c r="AQ90" s="39" t="n">
        <f aca="false">AS90-AR90*((Sheet1!R$19-Sheet1!R$20)*COS(RADIANS(38))+Sheet1!R$20)/2</f>
        <v>188.767643390021</v>
      </c>
      <c r="AR90" s="37" t="n">
        <f aca="false">(AV90-AV$51)/(AV$116-AV$51)*(AR$116-AR$51)+AR$51</f>
        <v>0.169437176162045</v>
      </c>
      <c r="AS90" s="39" t="n">
        <f aca="false">(AV90-AV$86)/(AV$96-AV$86)*(AS$96-AS$86)+AS$86</f>
        <v>190.4288200416</v>
      </c>
      <c r="AT90" s="39" t="n">
        <f aca="false">8314.4621*AS90/(Sheet1!R$22*Sheet1!R$12*9.80665)</f>
        <v>22147.1899503876</v>
      </c>
      <c r="AU90" s="39" t="n">
        <f aca="false">AU89-LN(AP90/AP89)*(AT89+AT90)/2</f>
        <v>326155.437424145</v>
      </c>
      <c r="AV90" s="39" t="n">
        <f aca="false">Sheet1!R$10*10/Sheet1!R$11*1000*AU90/(Sheet1!R$10*10/Sheet1!R$11*1000-AU90)</f>
        <v>351418.15320016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254.567396599358</v>
      </c>
      <c r="T91" s="37" t="n">
        <f aca="false">(X91-X$54)/(X$100-X$54)*(T$100-T$54)+T$54</f>
        <v>1.76359058150832</v>
      </c>
      <c r="U91" s="39" t="n">
        <f aca="false">(X91-X$90)/(X$100-X$90)*(U$100-U$90)+U$90</f>
        <v>259.805308038836</v>
      </c>
      <c r="V91" s="39" t="n">
        <f aca="false">8314.4621*U91/(Sheet1!H$20*Sheet1!H$12*9.80665)</f>
        <v>32486.6482418138</v>
      </c>
      <c r="W91" s="39" t="n">
        <f aca="false">W90-LN(R91/R90)*(V90+V91)/2</f>
        <v>953278.442304111</v>
      </c>
      <c r="X91" s="39" t="n">
        <f aca="false">Sheet1!H$10*10/Sheet1!H$11*1000*W91/(Sheet1!H$10*10/Sheet1!H$11*1000-W91)</f>
        <v>968866.542077998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690.105247804744</v>
      </c>
      <c r="AI91" s="37" t="n">
        <f aca="false">(AM91-AM$62)/(AM$95-AM$62)*(AI$95-AI$62)+AI$62</f>
        <v>0.2</v>
      </c>
      <c r="AJ91" s="39" t="n">
        <f aca="false">(AM91-AM$80)/(AM$95-AM$80)*(AJ$95-AJ$80)+AJ$80</f>
        <v>691.808462859793</v>
      </c>
      <c r="AK91" s="39" t="n">
        <f aca="false">8314.4621*AJ91/(Sheet1!M$21*Sheet1!M$12*9.80665)</f>
        <v>26419.5994624028</v>
      </c>
      <c r="AL91" s="39" t="n">
        <f aca="false">AL90-LN(AG91/AG90)*(AK90+AK91)/2</f>
        <v>205331.8470216</v>
      </c>
      <c r="AM91" s="39" t="n">
        <f aca="false">Sheet1!M$10*10/Sheet1!M$11*1000*AL91/(Sheet1!M$10*10/Sheet1!M$11*1000-AL91)</f>
        <v>213661.34751967</v>
      </c>
      <c r="AN91" s="41"/>
      <c r="AO91" s="37" t="n">
        <f aca="false">AO90+(AO$96-AO$86)/10</f>
        <v>-3.5</v>
      </c>
      <c r="AP91" s="40" t="n">
        <f aca="false">10^AO91</f>
        <v>0.000316227766016838</v>
      </c>
      <c r="AQ91" s="39" t="n">
        <f aca="false">AS91-AR91*((Sheet1!R$19-Sheet1!R$20)*COS(RADIANS(38))+Sheet1!R$20)/2</f>
        <v>195.915881246391</v>
      </c>
      <c r="AR91" s="37" t="n">
        <f aca="false">(AV91-AV$51)/(AV$116-AV$51)*(AR$116-AR$51)+AR$51</f>
        <v>0.175873209274241</v>
      </c>
      <c r="AS91" s="39" t="n">
        <f aca="false">(AV91-AV$86)/(AV$96-AV$86)*(AS$96-AS$86)+AS$86</f>
        <v>197.640157320286</v>
      </c>
      <c r="AT91" s="39" t="n">
        <f aca="false">8314.4621*AS91/(Sheet1!R$22*Sheet1!R$12*9.80665)</f>
        <v>22985.8805250207</v>
      </c>
      <c r="AU91" s="39" t="n">
        <f aca="false">AU90-LN(AP91/AP90)*(AT90+AT91)/2</f>
        <v>331351.574188031</v>
      </c>
      <c r="AV91" s="39" t="n">
        <f aca="false">Sheet1!R$10*10/Sheet1!R$11*1000*AU91/(Sheet1!R$10*10/Sheet1!R$11*1000-AU91)</f>
        <v>357457.861400017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258.946286978061</v>
      </c>
      <c r="T92" s="37" t="n">
        <f aca="false">(X92-X$54)/(X$100-X$54)*(T$100-T$54)+T$54</f>
        <v>1.78808018788739</v>
      </c>
      <c r="U92" s="39" t="n">
        <f aca="false">(X92-X$90)/(X$100-X$90)*(U$100-U$90)+U$90</f>
        <v>264.256933206864</v>
      </c>
      <c r="V92" s="39" t="n">
        <f aca="false">8314.4621*U92/(Sheet1!H$20*Sheet1!H$12*9.80665)</f>
        <v>33043.2896054172</v>
      </c>
      <c r="W92" s="39" t="n">
        <f aca="false">W91-LN(R92/R91)*(V91+V92)/2</f>
        <v>960822.855205704</v>
      </c>
      <c r="X92" s="39" t="n">
        <f aca="false">Sheet1!H$10*10/Sheet1!H$11*1000*W92/(Sheet1!H$10*10/Sheet1!H$11*1000-W92)</f>
        <v>976660.714872766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734.499907538449</v>
      </c>
      <c r="AI92" s="37" t="n">
        <f aca="false">(AM92-AM$62)/(AM$95-AM$62)*(AI$95-AI$62)+AI$62</f>
        <v>0.2</v>
      </c>
      <c r="AJ92" s="39" t="n">
        <f aca="false">(AM92-AM$80)/(AM$95-AM$80)*(AJ$95-AJ$80)+AJ$80</f>
        <v>736.203122593498</v>
      </c>
      <c r="AK92" s="39" t="n">
        <f aca="false">8314.4621*AJ92/(Sheet1!M$21*Sheet1!M$12*9.80665)</f>
        <v>28114.9952133968</v>
      </c>
      <c r="AL92" s="39" t="n">
        <f aca="false">AL91-LN(AG92/AG91)*(AK91+AK92)/2</f>
        <v>211610.374259248</v>
      </c>
      <c r="AM92" s="39" t="n">
        <f aca="false">Sheet1!M$10*10/Sheet1!M$11*1000*AL92/(Sheet1!M$10*10/Sheet1!M$11*1000-AL92)</f>
        <v>220468.039802204</v>
      </c>
      <c r="AN92" s="41"/>
      <c r="AO92" s="37" t="n">
        <f aca="false">AO91+(AO$96-AO$86)/10</f>
        <v>-3.6</v>
      </c>
      <c r="AP92" s="40" t="n">
        <f aca="false">10^AO92</f>
        <v>0.000251188643150958</v>
      </c>
      <c r="AQ92" s="39" t="n">
        <f aca="false">AS92-AR92*((Sheet1!R$19-Sheet1!R$20)*COS(RADIANS(38))+Sheet1!R$20)/2</f>
        <v>203.353527233804</v>
      </c>
      <c r="AR92" s="37" t="n">
        <f aca="false">(AV92-AV$51)/(AV$116-AV$51)*(AR$116-AR$51)+AR$51</f>
        <v>0.182570122436341</v>
      </c>
      <c r="AS92" s="39" t="n">
        <f aca="false">(AV92-AV$86)/(AV$96-AV$86)*(AS$96-AS$86)+AS$86</f>
        <v>205.143460420469</v>
      </c>
      <c r="AT92" s="39" t="n">
        <f aca="false">8314.4621*AS92/(Sheet1!R$22*Sheet1!R$12*9.80665)</f>
        <v>23858.5272125271</v>
      </c>
      <c r="AU92" s="39" t="n">
        <f aca="false">AU91-LN(AP92/AP91)*(AT91+AT92)/2</f>
        <v>336744.735935362</v>
      </c>
      <c r="AV92" s="39" t="n">
        <f aca="false">Sheet1!R$10*10/Sheet1!R$11*1000*AU92/(Sheet1!R$10*10/Sheet1!R$11*1000-AU92)</f>
        <v>363742.384899782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263.40127827566</v>
      </c>
      <c r="T93" s="37" t="n">
        <f aca="false">(X93-X$54)/(X$100-X$54)*(T$100-T$54)+T$54</f>
        <v>1.81299596567056</v>
      </c>
      <c r="U93" s="39" t="n">
        <f aca="false">(X93-X$90)/(X$100-X$90)*(U$100-U$90)+U$90</f>
        <v>268.785925034316</v>
      </c>
      <c r="V93" s="39" t="n">
        <f aca="false">8314.4621*U93/(Sheet1!H$20*Sheet1!H$12*9.80665)</f>
        <v>33609.6050725611</v>
      </c>
      <c r="W93" s="39" t="n">
        <f aca="false">W92-LN(R93/R92)*(V92+V93)/2</f>
        <v>968496.553290225</v>
      </c>
      <c r="X93" s="39" t="n">
        <f aca="false">Sheet1!H$10*10/Sheet1!H$11*1000*W93/(Sheet1!H$10*10/Sheet1!H$11*1000-W93)</f>
        <v>984590.522904475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781.86911315666</v>
      </c>
      <c r="AI93" s="37" t="n">
        <f aca="false">(AM93-AM$62)/(AM$95-AM$62)*(AI$95-AI$62)+AI$62</f>
        <v>0.2</v>
      </c>
      <c r="AJ93" s="39" t="n">
        <f aca="false">(AM93-AM$80)/(AM$95-AM$80)*(AJ$95-AJ$80)+AJ$80</f>
        <v>783.57232821171</v>
      </c>
      <c r="AK93" s="39" t="n">
        <f aca="false">8314.4621*AJ93/(Sheet1!M$21*Sheet1!M$12*9.80665)</f>
        <v>29923.9864392514</v>
      </c>
      <c r="AL93" s="39" t="n">
        <f aca="false">AL92-LN(AG93/AG92)*(AK92+AK93)/2</f>
        <v>218292.358957545</v>
      </c>
      <c r="AM93" s="39" t="n">
        <f aca="false">Sheet1!M$10*10/Sheet1!M$11*1000*AL93/(Sheet1!M$10*10/Sheet1!M$11*1000-AL93)</f>
        <v>227730.725638134</v>
      </c>
      <c r="AN93" s="41"/>
      <c r="AO93" s="37" t="n">
        <f aca="false">AO92+(AO$96-AO$86)/10</f>
        <v>-3.7</v>
      </c>
      <c r="AP93" s="40" t="n">
        <f aca="false">10^AO93</f>
        <v>0.000199526231496888</v>
      </c>
      <c r="AQ93" s="39" t="n">
        <f aca="false">AS93-AR93*((Sheet1!R$19-Sheet1!R$20)*COS(RADIANS(38))+Sheet1!R$20)/2</f>
        <v>211.094153236919</v>
      </c>
      <c r="AR93" s="37" t="n">
        <f aca="false">(AV93-AV$51)/(AV$116-AV$51)*(AR$116-AR$51)+AR$51</f>
        <v>0.189539841269602</v>
      </c>
      <c r="AS93" s="39" t="n">
        <f aca="false">(AV93-AV$86)/(AV$96-AV$86)*(AS$96-AS$86)+AS$86</f>
        <v>212.952418146622</v>
      </c>
      <c r="AT93" s="39" t="n">
        <f aca="false">8314.4621*AS93/(Sheet1!R$22*Sheet1!R$12*9.80665)</f>
        <v>24766.7220437396</v>
      </c>
      <c r="AU93" s="39" t="n">
        <f aca="false">AU92-LN(AP93/AP92)*(AT92+AT93)/2</f>
        <v>342342.924639391</v>
      </c>
      <c r="AV93" s="39" t="n">
        <f aca="false">Sheet1!R$10*10/Sheet1!R$11*1000*AU93/(Sheet1!R$10*10/Sheet1!R$11*1000-AU93)</f>
        <v>370282.914952086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267.933904264193</v>
      </c>
      <c r="T94" s="37" t="n">
        <f aca="false">(X94-X$54)/(X$100-X$54)*(T$100-T$54)+T$54</f>
        <v>1.83834555734985</v>
      </c>
      <c r="U94" s="39" t="n">
        <f aca="false">(X94-X$90)/(X$100-X$90)*(U$100-U$90)+U$90</f>
        <v>273.393839991635</v>
      </c>
      <c r="V94" s="39" t="n">
        <f aca="false">8314.4621*U94/(Sheet1!H$20*Sheet1!H$12*9.80665)</f>
        <v>34185.7892678595</v>
      </c>
      <c r="W94" s="39" t="n">
        <f aca="false">W93-LN(R94/R93)*(V93+V94)/2</f>
        <v>976301.786509321</v>
      </c>
      <c r="X94" s="39" t="n">
        <f aca="false">Sheet1!H$10*10/Sheet1!H$11*1000*W94/(Sheet1!H$10*10/Sheet1!H$11*1000-W94)</f>
        <v>992658.398507168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832.428118155193</v>
      </c>
      <c r="AI94" s="37" t="n">
        <f aca="false">(AM94-AM$62)/(AM$95-AM$62)*(AI$95-AI$62)+AI$62</f>
        <v>0.2</v>
      </c>
      <c r="AJ94" s="39" t="n">
        <f aca="false">(AM94-AM$80)/(AM$95-AM$80)*(AJ$95-AJ$80)+AJ$80</f>
        <v>834.131333210242</v>
      </c>
      <c r="AK94" s="39" t="n">
        <f aca="false">8314.4621*AJ94/(Sheet1!M$21*Sheet1!M$12*9.80665)</f>
        <v>31854.7934949459</v>
      </c>
      <c r="AL94" s="39" t="n">
        <f aca="false">AL93-LN(AG94/AG93)*(AK93+AK94)/2</f>
        <v>225404.903844537</v>
      </c>
      <c r="AM94" s="39" t="n">
        <f aca="false">Sheet1!M$10*10/Sheet1!M$11*1000*AL94/(Sheet1!M$10*10/Sheet1!M$11*1000-AL94)</f>
        <v>235482.541915058</v>
      </c>
      <c r="AN94" s="41"/>
      <c r="AO94" s="37" t="n">
        <f aca="false">AO93+(AO$96-AO$86)/10</f>
        <v>-3.8</v>
      </c>
      <c r="AP94" s="40" t="n">
        <f aca="false">10^AO94</f>
        <v>0.000158489319246111</v>
      </c>
      <c r="AQ94" s="39" t="n">
        <f aca="false">AS94-AR94*((Sheet1!R$19-Sheet1!R$20)*COS(RADIANS(38))+Sheet1!R$20)/2</f>
        <v>219.151737052343</v>
      </c>
      <c r="AR94" s="37" t="n">
        <f aca="false">(AV94-AV$51)/(AV$116-AV$51)*(AR$116-AR$51)+AR$51</f>
        <v>0.196794951526215</v>
      </c>
      <c r="AS94" s="39" t="n">
        <f aca="false">(AV94-AV$86)/(AV$96-AV$86)*(AS$96-AS$86)+AS$86</f>
        <v>221.08113168715</v>
      </c>
      <c r="AT94" s="39" t="n">
        <f aca="false">8314.4621*AS94/(Sheet1!R$22*Sheet1!R$12*9.80665)</f>
        <v>25712.1050104304</v>
      </c>
      <c r="AU94" s="39" t="n">
        <f aca="false">AU93-LN(AP94/AP93)*(AT93+AT94)/2</f>
        <v>348154.514373729</v>
      </c>
      <c r="AV94" s="39" t="n">
        <f aca="false">Sheet1!R$10*10/Sheet1!R$11*1000*AU94/(Sheet1!R$10*10/Sheet1!R$11*1000-AU94)</f>
        <v>377091.262290246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272.545491515139</v>
      </c>
      <c r="T95" s="37" t="n">
        <f aca="false">(X95-X$54)/(X$100-X$54)*(T$100-T$54)+T$54</f>
        <v>1.86413675517023</v>
      </c>
      <c r="U95" s="39" t="n">
        <f aca="false">(X95-X$90)/(X$100-X$90)*(U$100-U$90)+U$90</f>
        <v>278.082027793478</v>
      </c>
      <c r="V95" s="39" t="n">
        <f aca="false">8314.4621*U95/(Sheet1!H$20*Sheet1!H$12*9.80665)</f>
        <v>34772.0109627114</v>
      </c>
      <c r="W95" s="39" t="n">
        <f aca="false">W94-LN(R95/R94)*(V94+V95)/2</f>
        <v>984240.846652149</v>
      </c>
      <c r="X95" s="39" t="n">
        <f aca="false">Sheet1!H$10*10/Sheet1!H$11*1000*W95/(Sheet1!H$10*10/Sheet1!H$11*1000-W95)</f>
        <v>1000866.82167594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886.411427813235</v>
      </c>
      <c r="AI95" s="37" t="n">
        <v>0.2</v>
      </c>
      <c r="AJ95" s="39" t="n">
        <f aca="false">0.82*(320*LOG(Sheet1!M15)-AJ62)+AJ62</f>
        <v>888.114642868284</v>
      </c>
      <c r="AK95" s="39" t="n">
        <f aca="false">8314.4621*AJ95/(Sheet1!M$21*Sheet1!M$12*9.80665)</f>
        <v>33916.3719453231</v>
      </c>
      <c r="AL95" s="39" t="n">
        <f aca="false">AL94-LN(AG95/AG94)*(AK94+AK95)/2</f>
        <v>232977.089099118</v>
      </c>
      <c r="AM95" s="39" t="n">
        <f aca="false">Sheet1!M$10*10/Sheet1!M$11*1000*AL95/(Sheet1!M$10*10/Sheet1!M$11*1000-AL95)</f>
        <v>243759.384890335</v>
      </c>
      <c r="AN95" s="41"/>
      <c r="AO95" s="37" t="n">
        <f aca="false">AO94+(AO$96-AO$86)/10</f>
        <v>-3.9</v>
      </c>
      <c r="AP95" s="40" t="n">
        <f aca="false">10^AO95</f>
        <v>0.000125892541179416</v>
      </c>
      <c r="AQ95" s="39" t="n">
        <f aca="false">AS95-AR95*((Sheet1!R$19-Sheet1!R$20)*COS(RADIANS(38))+Sheet1!R$20)/2</f>
        <v>227.541033483068</v>
      </c>
      <c r="AR95" s="37" t="n">
        <f aca="false">(AV95-AV$51)/(AV$116-AV$51)*(AR$116-AR$51)+AR$51</f>
        <v>0.20434873858336</v>
      </c>
      <c r="AS95" s="39" t="n">
        <f aca="false">(AV95-AV$86)/(AV$96-AV$86)*(AS$96-AS$86)+AS$86</f>
        <v>229.544486096027</v>
      </c>
      <c r="AT95" s="39" t="n">
        <f aca="false">8314.4621*AS95/(Sheet1!R$22*Sheet1!R$12*9.80665)</f>
        <v>26696.4072692477</v>
      </c>
      <c r="AU95" s="39" t="n">
        <f aca="false">AU94-LN(AP95/AP94)*(AT94+AT95)/2</f>
        <v>354188.267329788</v>
      </c>
      <c r="AV95" s="39" t="n">
        <f aca="false">Sheet1!R$10*10/Sheet1!R$11*1000*AU95/(Sheet1!R$10*10/Sheet1!R$11*1000-AU95)</f>
        <v>384179.894190315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277.237459243651</v>
      </c>
      <c r="T96" s="37" t="n">
        <f aca="false">(X96-X$54)/(X$100-X$54)*(T$100-T$54)+T$54</f>
        <v>1.89037749635192</v>
      </c>
      <c r="U96" s="39" t="n">
        <f aca="false">(X96-X$90)/(X$100-X$90)*(U$100-U$90)+U$90</f>
        <v>282.851931228757</v>
      </c>
      <c r="V96" s="39" t="n">
        <f aca="false">8314.4621*U96/(Sheet1!H$20*Sheet1!H$12*9.80665)</f>
        <v>35368.4505667327</v>
      </c>
      <c r="W96" s="39" t="n">
        <f aca="false">W95-LN(R96/R95)*(V95+V96)/2</f>
        <v>992316.06570882</v>
      </c>
      <c r="X96" s="39" t="n">
        <f aca="false">Sheet1!H$10*10/Sheet1!H$11*1000*W96/(Sheet1!H$10*10/Sheet1!H$11*1000-W96)</f>
        <v>1009218.31854638</v>
      </c>
      <c r="Y96" s="37"/>
      <c r="Z96" s="39"/>
      <c r="AJ96" s="39"/>
      <c r="AO96" s="37" t="n">
        <f aca="false">AO69+0.6*(AO116-AO69)</f>
        <v>-4</v>
      </c>
      <c r="AP96" s="40" t="n">
        <f aca="false">10^AO96</f>
        <v>0.0001</v>
      </c>
      <c r="AQ96" s="39" t="n">
        <f aca="false">AS96-AR96*((Sheet1!R$19-Sheet1!R$20)*COS(RADIANS(38))+Sheet1!R$20)/2</f>
        <v>236.277566924189</v>
      </c>
      <c r="AR96" s="37" t="n">
        <f aca="false">(AV96-AV$51)/(AV$116-AV$51)*(AR$116-AR$51)+AR$51</f>
        <v>0.212215235029224</v>
      </c>
      <c r="AS96" s="39" t="n">
        <f aca="false">AS69+0.72*(AS116-AS69)</f>
        <v>238.358143345049</v>
      </c>
      <c r="AT96" s="39" t="n">
        <f aca="false">8314.4621*AS96/(Sheet1!R$22*Sheet1!R$12*9.80665)</f>
        <v>27721.4503336801</v>
      </c>
      <c r="AU96" s="39" t="n">
        <f aca="false">AU95-LN(AP96/AP95)*(AT95+AT96)/2</f>
        <v>360453.354715247</v>
      </c>
      <c r="AV96" s="39" t="n">
        <f aca="false">Sheet1!R$10*10/Sheet1!R$11*1000*AU96/(Sheet1!R$10*10/Sheet1!R$11*1000-AU96)</f>
        <v>391561.979126795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282.011253694427</v>
      </c>
      <c r="T97" s="37" t="n">
        <f aca="false">(X97-X$54)/(X$100-X$54)*(T$100-T$54)+T$54</f>
        <v>1.91707586928243</v>
      </c>
      <c r="U97" s="39" t="n">
        <f aca="false">(X97-X$90)/(X$100-X$90)*(U$100-U$90)+U$90</f>
        <v>287.705020564895</v>
      </c>
      <c r="V97" s="39" t="n">
        <f aca="false">8314.4621*U97/(Sheet1!H$20*Sheet1!H$12*9.80665)</f>
        <v>35975.2919255153</v>
      </c>
      <c r="W97" s="39" t="n">
        <f aca="false">W96-LN(R97/R96)*(V96+V97)/2</f>
        <v>1000529.81760587</v>
      </c>
      <c r="X97" s="39" t="n">
        <f aca="false">Sheet1!H$10*10/Sheet1!H$11*1000*W97/(Sheet1!H$10*10/Sheet1!H$11*1000-W97)</f>
        <v>1017715.46336523</v>
      </c>
      <c r="Y97" s="37"/>
      <c r="Z97" s="39"/>
      <c r="AO97" s="37" t="n">
        <f aca="false">AO96+(AO$106-AO$96)/10</f>
        <v>-4.1</v>
      </c>
      <c r="AP97" s="40" t="n">
        <f aca="false">10^AO97</f>
        <v>7.94328234724282E-005</v>
      </c>
      <c r="AQ97" s="39" t="n">
        <f aca="false">AS97-AR97*((Sheet1!R$19-Sheet1!R$20)*COS(RADIANS(38))+Sheet1!R$20)/2</f>
        <v>239.761177668237</v>
      </c>
      <c r="AR97" s="37" t="n">
        <f aca="false">(AV97-AV$51)/(AV$116-AV$51)*(AR$116-AR$51)+AR$51</f>
        <v>0.220314394208727</v>
      </c>
      <c r="AS97" s="39" t="n">
        <f aca="false">(AV97-AV$96)/(AV$106-AV$96)*(AS$106-AS$96)+AS$96</f>
        <v>241.921158942454</v>
      </c>
      <c r="AT97" s="39" t="n">
        <f aca="false">8314.4621*AS97/(Sheet1!R$22*Sheet1!R$12*9.80665)</f>
        <v>28135.8350009521</v>
      </c>
      <c r="AU97" s="39" t="n">
        <f aca="false">AU96-LN(AP97/AP96)*(AT96+AT97)/2</f>
        <v>366884.162342579</v>
      </c>
      <c r="AV97" s="39" t="n">
        <f aca="false">Sheet1!R$10*10/Sheet1!R$11*1000*AU97/(Sheet1!R$10*10/Sheet1!R$11*1000-AU97)</f>
        <v>399162.39964292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286.868348709359</v>
      </c>
      <c r="T98" s="37" t="n">
        <f aca="false">(X98-X$54)/(X$100-X$54)*(T$100-T$54)+T$54</f>
        <v>1.94424011669122</v>
      </c>
      <c r="U98" s="39" t="n">
        <f aca="false">(X98-X$90)/(X$100-X$90)*(U$100-U$90)+U$90</f>
        <v>292.642794124916</v>
      </c>
      <c r="V98" s="39" t="n">
        <f aca="false">8314.4621*U98/(Sheet1!H$20*Sheet1!H$12*9.80665)</f>
        <v>36592.7223927872</v>
      </c>
      <c r="W98" s="39" t="n">
        <f aca="false">W97-LN(R98/R97)*(V97+V98)/2</f>
        <v>1008884.51900575</v>
      </c>
      <c r="X98" s="39" t="n">
        <f aca="false">Sheet1!H$10*10/Sheet1!H$11*1000*W98/(Sheet1!H$10*10/Sheet1!H$11*1000-W98)</f>
        <v>1026360.87950083</v>
      </c>
      <c r="Y98" s="37"/>
      <c r="Z98" s="39"/>
      <c r="AO98" s="37" t="n">
        <f aca="false">AO97+(AO$106-AO$96)/10</f>
        <v>-4.2</v>
      </c>
      <c r="AP98" s="40" t="n">
        <f aca="false">10^AO98</f>
        <v>6.30957344480194E-005</v>
      </c>
      <c r="AQ98" s="39" t="n">
        <f aca="false">AS98-AR98*((Sheet1!R$19-Sheet1!R$20)*COS(RADIANS(38))+Sheet1!R$20)/2</f>
        <v>243.307948086891</v>
      </c>
      <c r="AR98" s="37" t="n">
        <f aca="false">(AV98-AV$51)/(AV$116-AV$51)*(AR$116-AR$51)+AR$51</f>
        <v>0.228560395659521</v>
      </c>
      <c r="AS98" s="39" t="n">
        <f aca="false">(AV98-AV$96)/(AV$106-AV$96)*(AS$106-AS$96)+AS$96</f>
        <v>245.548773868726</v>
      </c>
      <c r="AT98" s="39" t="n">
        <f aca="false">8314.4621*AS98/(Sheet1!R$22*Sheet1!R$12*9.80665)</f>
        <v>28557.7326781075</v>
      </c>
      <c r="AU98" s="39" t="n">
        <f aca="false">AU97-LN(AP98/AP97)*(AT97+AT98)/2</f>
        <v>373411.250532902</v>
      </c>
      <c r="AV98" s="39" t="n">
        <f aca="false">Sheet1!R$10*10/Sheet1!R$11*1000*AU98/(Sheet1!R$10*10/Sheet1!R$11*1000-AU98)</f>
        <v>406900.620020316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291.810246706128</v>
      </c>
      <c r="T99" s="37" t="n">
        <f aca="false">(X99-X$54)/(X$100-X$54)*(T$100-T$54)+T$54</f>
        <v>1.97187863891991</v>
      </c>
      <c r="U99" s="39" t="n">
        <f aca="false">(X99-X$90)/(X$100-X$90)*(U$100-U$90)+U$90</f>
        <v>297.666779275739</v>
      </c>
      <c r="V99" s="39" t="n">
        <f aca="false">8314.4621*U99/(Sheet1!H$20*Sheet1!H$12*9.80665)</f>
        <v>37220.9329539912</v>
      </c>
      <c r="W99" s="39" t="n">
        <f aca="false">W98-LN(R99/R98)*(V98+V99)/2</f>
        <v>1017382.63012879</v>
      </c>
      <c r="X99" s="39" t="n">
        <f aca="false">Sheet1!H$10*10/Sheet1!H$11*1000*W99/(Sheet1!H$10*10/Sheet1!H$11*1000-W99)</f>
        <v>1035157.24048385</v>
      </c>
      <c r="Y99" s="37"/>
      <c r="Z99" s="39"/>
      <c r="AO99" s="37" t="n">
        <f aca="false">AO98+(AO$106-AO$96)/10</f>
        <v>-4.3</v>
      </c>
      <c r="AP99" s="40" t="n">
        <f aca="false">10^AO99</f>
        <v>5.01187233627274E-005</v>
      </c>
      <c r="AQ99" s="39" t="n">
        <f aca="false">AS99-AR99*((Sheet1!R$19-Sheet1!R$20)*COS(RADIANS(38))+Sheet1!R$20)/2</f>
        <v>246.919377736239</v>
      </c>
      <c r="AR99" s="37" t="n">
        <f aca="false">(AV99-AV$51)/(AV$116-AV$51)*(AR$116-AR$51)+AR$51</f>
        <v>0.236956726031305</v>
      </c>
      <c r="AS99" s="39" t="n">
        <f aca="false">(AV99-AV$96)/(AV$106-AV$96)*(AS$106-AS$96)+AS$96</f>
        <v>249.242521863365</v>
      </c>
      <c r="AT99" s="39" t="n">
        <f aca="false">8314.4621*AS99/(Sheet1!R$22*Sheet1!R$12*9.80665)</f>
        <v>28987.3217416131</v>
      </c>
      <c r="AU99" s="39" t="n">
        <f aca="false">AU98-LN(AP99/AP98)*(AT98+AT99)/2</f>
        <v>380036.369757021</v>
      </c>
      <c r="AV99" s="39" t="n">
        <f aca="false">Sheet1!R$10*10/Sheet1!R$11*1000*AU99/(Sheet1!R$10*10/Sheet1!R$11*1000-AU99)</f>
        <v>414779.912204048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296.838537121591</v>
      </c>
      <c r="T100" s="37" t="n">
        <v>2</v>
      </c>
      <c r="U100" s="39" t="n">
        <f aca="false">110/610*(U$170-U$54)+U$54</f>
        <v>302.778590889625</v>
      </c>
      <c r="V100" s="39" t="n">
        <f aca="false">8314.4621*U100/(Sheet1!H$20*Sheet1!H$12*9.80665)</f>
        <v>37860.1255364381</v>
      </c>
      <c r="W100" s="39" t="n">
        <f aca="false">W99-LN(R100/R99)*(V99+V100)/2</f>
        <v>1026026.65643111</v>
      </c>
      <c r="X100" s="39" t="n">
        <f aca="false">Sheet1!H$10*10/Sheet1!H$11*1000*W100/(Sheet1!H$10*10/Sheet1!H$11*1000-W100)</f>
        <v>1044107.27194167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296.838537121591</v>
      </c>
      <c r="AA100" s="39" t="n">
        <f aca="false">IF(Y100=LOG(Sheet1!H$17*101325),(LOG(Sheet1!H$17*101325)-Q110)/(Q100-Q110)*(X100-X110)+X110,IF(Y100=0,0,X100))</f>
        <v>1044107.27194167</v>
      </c>
      <c r="AB100" s="32" t="n">
        <f aca="false">IF(Y100=0,0,AB90+1)</f>
        <v>8</v>
      </c>
      <c r="AJ100" s="39"/>
      <c r="AO100" s="37" t="n">
        <f aca="false">AO99+(AO$106-AO$96)/10</f>
        <v>-4.4</v>
      </c>
      <c r="AP100" s="40" t="n">
        <f aca="false">10^AO100</f>
        <v>3.98107170553499E-005</v>
      </c>
      <c r="AQ100" s="39" t="n">
        <f aca="false">AS100-AR100*((Sheet1!R$19-Sheet1!R$20)*COS(RADIANS(38))+Sheet1!R$20)/2</f>
        <v>250.596726873809</v>
      </c>
      <c r="AR100" s="37" t="n">
        <f aca="false">(AV100-AV$51)/(AV$116-AV$51)*(AR$116-AR$51)+AR$51</f>
        <v>0.245506977661772</v>
      </c>
      <c r="AS100" s="39" t="n">
        <f aca="false">(AV100-AV$96)/(AV$106-AV$96)*(AS$106-AS$96)+AS$96</f>
        <v>253.003698403489</v>
      </c>
      <c r="AT100" s="39" t="n">
        <f aca="false">8314.4621*AS100/(Sheet1!R$22*Sheet1!R$12*9.80665)</f>
        <v>29424.752857622</v>
      </c>
      <c r="AU100" s="39" t="n">
        <f aca="false">AU99-LN(AP100/AP99)*(AT99+AT100)/2</f>
        <v>386761.308368173</v>
      </c>
      <c r="AV100" s="39" t="n">
        <f aca="false">Sheet1!R$10*10/Sheet1!R$11*1000*AU100/(Sheet1!R$10*10/Sheet1!R$11*1000-AU100)</f>
        <v>422803.647319008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307.576484577872</v>
      </c>
      <c r="T101" s="37" t="n">
        <f aca="false">(X101-X$100)/(X$170-X$100)*(T$170-T$100)+T$100</f>
        <v>2.01193392457289</v>
      </c>
      <c r="U101" s="39" t="n">
        <f aca="false">(X101-X$100)/(X$125-X$100)*(U$125-U$100)+U$100</f>
        <v>313.551982422719</v>
      </c>
      <c r="V101" s="39" t="n">
        <f aca="false">8314.4621*U101/(Sheet1!H$20*Sheet1!H$12*9.80665)</f>
        <v>39207.2549840576</v>
      </c>
      <c r="W101" s="39" t="n">
        <f aca="false">W100-LN(R101/R100)*(V100+V101)/2</f>
        <v>1034899.36650824</v>
      </c>
      <c r="X101" s="39" t="n">
        <f aca="false">Sheet1!H$10*10/Sheet1!H$11*1000*W101/(Sheet1!H$10*10/Sheet1!H$11*1000-W101)</f>
        <v>1053296.84702275</v>
      </c>
      <c r="Y101" s="37"/>
      <c r="Z101" s="39"/>
      <c r="AJ101" s="39"/>
      <c r="AO101" s="37" t="n">
        <f aca="false">AO100+(AO$106-AO$96)/10</f>
        <v>-4.5</v>
      </c>
      <c r="AP101" s="40" t="n">
        <f aca="false">10^AO101</f>
        <v>3.16227766016839E-005</v>
      </c>
      <c r="AQ101" s="39" t="n">
        <f aca="false">AS101-AR101*((Sheet1!R$19-Sheet1!R$20)*COS(RADIANS(38))+Sheet1!R$20)/2</f>
        <v>254.342087495872</v>
      </c>
      <c r="AR101" s="37" t="n">
        <f aca="false">(AV101-AV$51)/(AV$116-AV$51)*(AR$116-AR$51)+AR$51</f>
        <v>0.254214861493056</v>
      </c>
      <c r="AS101" s="39" t="n">
        <f aca="false">(AV101-AV$96)/(AV$106-AV$96)*(AS$106-AS$96)+AS$96</f>
        <v>256.834431867763</v>
      </c>
      <c r="AT101" s="39" t="n">
        <f aca="false">8314.4621*AS101/(Sheet1!R$22*Sheet1!R$12*9.80665)</f>
        <v>29870.2735601294</v>
      </c>
      <c r="AU101" s="39" t="n">
        <f aca="false">AU100-LN(AP101/AP100)*(AT100+AT101)/2</f>
        <v>393587.900564083</v>
      </c>
      <c r="AV101" s="39" t="n">
        <f aca="false">Sheet1!R$10*10/Sheet1!R$11*1000*AU101/(Sheet1!R$10*10/Sheet1!R$11*1000-AU101)</f>
        <v>430975.307790975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318.700089642346</v>
      </c>
      <c r="T102" s="37" t="n">
        <f aca="false">(X102-X$100)/(X$170-X$100)*(T$170-T$100)+T$100</f>
        <v>2.02429638347493</v>
      </c>
      <c r="U102" s="39" t="n">
        <f aca="false">(X102-X$100)/(X$125-X$100)*(U$125-U$100)+U$100</f>
        <v>324.712304322484</v>
      </c>
      <c r="V102" s="39" t="n">
        <f aca="false">8314.4621*U102/(Sheet1!H$20*Sheet1!H$12*9.80665)</f>
        <v>40602.7670871778</v>
      </c>
      <c r="W102" s="39" t="n">
        <f aca="false">W101-LN(R102/R101)*(V101+V102)/2</f>
        <v>1044087.83486287</v>
      </c>
      <c r="X102" s="39" t="n">
        <f aca="false">Sheet1!H$10*10/Sheet1!H$11*1000*W102/(Sheet1!H$10*10/Sheet1!H$11*1000-W102)</f>
        <v>1062816.40980975</v>
      </c>
      <c r="Y102" s="37"/>
      <c r="Z102" s="39"/>
      <c r="AO102" s="37" t="n">
        <f aca="false">AO101+(AO$106-AO$96)/10</f>
        <v>-4.6</v>
      </c>
      <c r="AP102" s="40" t="n">
        <f aca="false">10^AO102</f>
        <v>2.51188643150959E-005</v>
      </c>
      <c r="AQ102" s="39" t="n">
        <f aca="false">AS102-AR102*((Sheet1!R$19-Sheet1!R$20)*COS(RADIANS(38))+Sheet1!R$20)/2</f>
        <v>258.156897318438</v>
      </c>
      <c r="AR102" s="37" t="n">
        <f aca="false">(AV102-AV$51)/(AV$116-AV$51)*(AR$116-AR$51)+AR$51</f>
        <v>0.263084213191662</v>
      </c>
      <c r="AS102" s="39" t="n">
        <f aca="false">(AV102-AV$96)/(AV$106-AV$96)*(AS$106-AS$96)+AS$96</f>
        <v>260.736197577402</v>
      </c>
      <c r="AT102" s="39" t="n">
        <f aca="false">8314.4621*AS102/(Sheet1!R$22*Sheet1!R$12*9.80665)</f>
        <v>30324.0554314575</v>
      </c>
      <c r="AU102" s="39" t="n">
        <f aca="false">AU101-LN(AP102/AP101)*(AT101+AT102)/2</f>
        <v>400518.028795024</v>
      </c>
      <c r="AV102" s="39" t="n">
        <f aca="false">Sheet1!R$10*10/Sheet1!R$11*1000*AU102/(Sheet1!R$10*10/Sheet1!R$11*1000-AU102)</f>
        <v>439298.493089691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330.223309252761</v>
      </c>
      <c r="T103" s="37" t="n">
        <f aca="false">(X103-X$100)/(X$170-X$100)*(T$170-T$100)+T$100</f>
        <v>2.0371030483487</v>
      </c>
      <c r="U103" s="39" t="n">
        <f aca="false">(X103-X$100)/(X$125-X$100)*(U$125-U$100)+U$100</f>
        <v>336.27356007187</v>
      </c>
      <c r="V103" s="39" t="n">
        <f aca="false">8314.4621*U103/(Sheet1!H$20*Sheet1!H$12*9.80665)</f>
        <v>42048.4128732439</v>
      </c>
      <c r="W103" s="39" t="n">
        <f aca="false">W102-LN(R103/R102)*(V102+V103)/2</f>
        <v>1053603.40360764</v>
      </c>
      <c r="X103" s="39" t="n">
        <f aca="false">Sheet1!H$10*10/Sheet1!H$11*1000*W103/(Sheet1!H$10*10/Sheet1!H$11*1000-W103)</f>
        <v>1072678.02806256</v>
      </c>
      <c r="Y103" s="37"/>
      <c r="Z103" s="39"/>
      <c r="AJ103" s="39"/>
      <c r="AO103" s="37" t="n">
        <f aca="false">AO102+(AO$106-AO$96)/10</f>
        <v>-4.7</v>
      </c>
      <c r="AP103" s="40" t="n">
        <f aca="false">10^AO103</f>
        <v>1.99526231496889E-005</v>
      </c>
      <c r="AQ103" s="39" t="n">
        <f aca="false">AS103-AR103*((Sheet1!R$19-Sheet1!R$20)*COS(RADIANS(38))+Sheet1!R$20)/2</f>
        <v>262.042858269341</v>
      </c>
      <c r="AR103" s="37" t="n">
        <f aca="false">(AV103-AV$51)/(AV$116-AV$51)*(AR$116-AR$51)+AR$51</f>
        <v>0.272118989692047</v>
      </c>
      <c r="AS103" s="39" t="n">
        <f aca="false">(AV103-AV$96)/(AV$106-AV$96)*(AS$106-AS$96)+AS$96</f>
        <v>264.710736254367</v>
      </c>
      <c r="AT103" s="39" t="n">
        <f aca="false">8314.4621*AS103/(Sheet1!R$22*Sheet1!R$12*9.80665)</f>
        <v>30786.3009204789</v>
      </c>
      <c r="AU103" s="39" t="n">
        <f aca="false">AU102-LN(AP103/AP102)*(AT102+AT103)/2</f>
        <v>407553.6185732</v>
      </c>
      <c r="AV103" s="39" t="n">
        <f aca="false">Sheet1!R$10*10/Sheet1!R$11*1000*AU103/(Sheet1!R$10*10/Sheet1!R$11*1000-AU103)</f>
        <v>447776.916485284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342.160881494652</v>
      </c>
      <c r="T104" s="37" t="n">
        <f aca="false">(X104-X$100)/(X$170-X$100)*(T$170-T$100)+T$100</f>
        <v>2.0503701837999</v>
      </c>
      <c r="U104" s="39" t="n">
        <f aca="false">(X104-X$100)/(X$125-X$100)*(U$125-U$100)+U$100</f>
        <v>348.250536062724</v>
      </c>
      <c r="V104" s="39" t="n">
        <f aca="false">8314.4621*U104/(Sheet1!H$20*Sheet1!H$12*9.80665)</f>
        <v>43546.041266415</v>
      </c>
      <c r="W104" s="39" t="n">
        <f aca="false">W103-LN(R104/R103)*(V103+V104)/2</f>
        <v>1063457.82931488</v>
      </c>
      <c r="X104" s="39" t="n">
        <f aca="false">Sheet1!H$10*10/Sheet1!H$11*1000*W104/(Sheet1!H$10*10/Sheet1!H$11*1000-W104)</f>
        <v>1082894.22614518</v>
      </c>
      <c r="Y104" s="37"/>
      <c r="Z104" s="39"/>
      <c r="AJ104" s="39"/>
      <c r="AO104" s="37" t="n">
        <f aca="false">AO103+(AO$106-AO$96)/10</f>
        <v>-4.8</v>
      </c>
      <c r="AP104" s="40" t="n">
        <f aca="false">10^AO104</f>
        <v>1.58489319246112E-005</v>
      </c>
      <c r="AQ104" s="39" t="n">
        <f aca="false">AS104-AR104*((Sheet1!R$19-Sheet1!R$20)*COS(RADIANS(38))+Sheet1!R$20)/2</f>
        <v>266.001728231458</v>
      </c>
      <c r="AR104" s="37" t="n">
        <f aca="false">(AV104-AV$51)/(AV$116-AV$51)*(AR$116-AR$51)+AR$51</f>
        <v>0.281323278022422</v>
      </c>
      <c r="AS104" s="39" t="n">
        <f aca="false">(AV104-AV$96)/(AV$106-AV$96)*(AS$106-AS$96)+AS$96</f>
        <v>268.759845851109</v>
      </c>
      <c r="AT104" s="39" t="n">
        <f aca="false">8314.4621*AS104/(Sheet1!R$22*Sheet1!R$12*9.80665)</f>
        <v>31257.2191320679</v>
      </c>
      <c r="AU104" s="39" t="n">
        <f aca="false">AU103-LN(AP104/AP103)*(AT103+AT104)/2</f>
        <v>414696.642792693</v>
      </c>
      <c r="AV104" s="39" t="n">
        <f aca="false">Sheet1!R$10*10/Sheet1!R$11*1000*AU104/(Sheet1!R$10*10/Sheet1!R$11*1000-AU104)</f>
        <v>456414.413330579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354.527970383252</v>
      </c>
      <c r="T105" s="37" t="n">
        <f aca="false">(X105-X$100)/(X$170-X$100)*(T$170-T$100)+T$100</f>
        <v>2.06411467366168</v>
      </c>
      <c r="U105" s="39" t="n">
        <f aca="false">(X105-X$100)/(X$125-X$100)*(U$125-U$100)+U$100</f>
        <v>360.658446455721</v>
      </c>
      <c r="V105" s="39" t="n">
        <f aca="false">8314.4621*U105/(Sheet1!H$20*Sheet1!H$12*9.80665)</f>
        <v>45097.55468004</v>
      </c>
      <c r="W105" s="39" t="n">
        <f aca="false">W104-LN(R105/R104)*(V104+V105)/2</f>
        <v>1073663.30044567</v>
      </c>
      <c r="X105" s="39" t="n">
        <f aca="false">Sheet1!H$10*10/Sheet1!H$11*1000*W105/(Sheet1!H$10*10/Sheet1!H$11*1000-W105)</f>
        <v>1093478.00525023</v>
      </c>
      <c r="Y105" s="37"/>
      <c r="Z105" s="39"/>
      <c r="AJ105" s="39"/>
      <c r="AO105" s="37" t="n">
        <f aca="false">AO104+(AO$106-AO$96)/10</f>
        <v>-4.9</v>
      </c>
      <c r="AP105" s="40" t="n">
        <f aca="false">10^AO105</f>
        <v>1.25892541179418E-005</v>
      </c>
      <c r="AQ105" s="39" t="n">
        <f aca="false">AS105-AR105*((Sheet1!R$19-Sheet1!R$20)*COS(RADIANS(38))+Sheet1!R$20)/2</f>
        <v>270.035323417067</v>
      </c>
      <c r="AR105" s="37" t="n">
        <f aca="false">(AV105-AV$51)/(AV$116-AV$51)*(AR$116-AR$51)+AR$51</f>
        <v>0.290701300825069</v>
      </c>
      <c r="AS105" s="39" t="n">
        <f aca="false">(AV105-AV$96)/(AV$106-AV$96)*(AS$106-AS$96)+AS$96</f>
        <v>272.885383979055</v>
      </c>
      <c r="AT105" s="39" t="n">
        <f aca="false">8314.4621*AS105/(Sheet1!R$22*Sheet1!R$12*9.80665)</f>
        <v>31737.0261095371</v>
      </c>
      <c r="AU105" s="39" t="n">
        <f aca="false">AU104-LN(AP105/AP104)*(AT104+AT105)/2</f>
        <v>421949.12329458</v>
      </c>
      <c r="AV105" s="39" t="n">
        <f aca="false">Sheet1!R$10*10/Sheet1!R$11*1000*AU105/(Sheet1!R$10*10/Sheet1!R$11*1000-AU105)</f>
        <v>465214.94624149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367.340345686393</v>
      </c>
      <c r="T106" s="37" t="n">
        <f aca="false">(X106-X$100)/(X$170-X$100)*(T$170-T$100)+T$100</f>
        <v>2.0783540440828</v>
      </c>
      <c r="U106" s="39" t="n">
        <f aca="false">(X106-X$100)/(X$125-X$100)*(U$125-U$100)+U$100</f>
        <v>373.513113071824</v>
      </c>
      <c r="V106" s="39" t="n">
        <f aca="false">8314.4621*U106/(Sheet1!H$20*Sheet1!H$12*9.80665)</f>
        <v>46704.9315106963</v>
      </c>
      <c r="W106" s="39" t="n">
        <f aca="false">W105-LN(R106/R105)*(V105+V106)/2</f>
        <v>1084232.4522558</v>
      </c>
      <c r="X106" s="39" t="n">
        <f aca="false">Sheet1!H$10*10/Sheet1!H$11*1000*W106/(Sheet1!H$10*10/Sheet1!H$11*1000-W106)</f>
        <v>1104442.8611778</v>
      </c>
      <c r="Y106" s="37"/>
      <c r="Z106" s="39"/>
      <c r="AJ106" s="39"/>
      <c r="AO106" s="37" t="n">
        <f aca="false">AO69+0.8*(AO116-AO69)</f>
        <v>-5</v>
      </c>
      <c r="AP106" s="40" t="n">
        <f aca="false">10^AO106</f>
        <v>1E-005</v>
      </c>
      <c r="AQ106" s="39" t="n">
        <f aca="false">AS106-AR106*((Sheet1!R$19-Sheet1!R$20)*COS(RADIANS(38))+Sheet1!R$20)/2</f>
        <v>274.145543345903</v>
      </c>
      <c r="AR106" s="37" t="n">
        <f aca="false">(AV106-AV$51)/(AV$116-AV$51)*(AR$116-AR$51)+AR$51</f>
        <v>0.300257422556776</v>
      </c>
      <c r="AS106" s="39" t="n">
        <f aca="false">AS69+0.95*(AS116-AS69)</f>
        <v>277.089292947451</v>
      </c>
      <c r="AT106" s="39" t="n">
        <f aca="false">8314.4621*AS106/(Sheet1!R$22*Sheet1!R$12*9.80665)</f>
        <v>32225.9477466972</v>
      </c>
      <c r="AU106" s="39" t="n">
        <f aca="false">AU105-LN(AP106/AP105)*(AT105+AT106)/2</f>
        <v>429313.132799827</v>
      </c>
      <c r="AV106" s="39" t="n">
        <f aca="false">Sheet1!R$10*10/Sheet1!R$11*1000*AU106/(Sheet1!R$10*10/Sheet1!R$11*1000-AU106)</f>
        <v>474182.610915628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380.614379177075</v>
      </c>
      <c r="T107" s="37" t="n">
        <f aca="false">(X107-X$100)/(X$170-X$100)*(T$170-T$100)+T$100</f>
        <v>2.09310649026713</v>
      </c>
      <c r="U107" s="39" t="n">
        <f aca="false">(X107-X$100)/(X$125-X$100)*(U$125-U$100)+U$100</f>
        <v>386.830961724279</v>
      </c>
      <c r="V107" s="39" t="n">
        <f aca="false">8314.4621*U107/(Sheet1!H$20*Sheet1!H$12*9.80665)</f>
        <v>48370.2256795334</v>
      </c>
      <c r="W107" s="39" t="n">
        <f aca="false">W106-LN(R107/R106)*(V106+V107)/2</f>
        <v>1095178.38423881</v>
      </c>
      <c r="X107" s="39" t="n">
        <f aca="false">Sheet1!H$10*10/Sheet1!H$11*1000*W107/(Sheet1!H$10*10/Sheet1!H$11*1000-W107)</f>
        <v>1115802.80492576</v>
      </c>
      <c r="Y107" s="37"/>
      <c r="Z107" s="39"/>
      <c r="AJ107" s="39"/>
      <c r="AO107" s="37" t="n">
        <f aca="false">AO106+(AO$116-AO$106)/10</f>
        <v>-5.1</v>
      </c>
      <c r="AP107" s="40" t="n">
        <f aca="false">10^AO107</f>
        <v>7.94328234724282E-006</v>
      </c>
      <c r="AQ107" s="39" t="n">
        <f aca="false">AS107-AR107*((Sheet1!R$19-Sheet1!R$20)*COS(RADIANS(38))+Sheet1!R$20)/2</f>
        <v>274.867560335048</v>
      </c>
      <c r="AR107" s="37" t="n">
        <f aca="false">(AV107-AV$51)/(AV$116-AV$51)*(AR$116-AR$51)+AR$51</f>
        <v>0.309935580564553</v>
      </c>
      <c r="AS107" s="39" t="n">
        <f aca="false">(AV107-AV$106)/(AV$116-AV$106)*(AS$116-AS$106)+AS$106</f>
        <v>277.906195430305</v>
      </c>
      <c r="AT107" s="39" t="n">
        <f aca="false">8314.4621*AS107/(Sheet1!R$22*Sheet1!R$12*9.80665)</f>
        <v>32320.9548703813</v>
      </c>
      <c r="AU107" s="39" t="n">
        <f aca="false">AU106-LN(AP107/AP106)*(AT106+AT107)/2</f>
        <v>436744.369588078</v>
      </c>
      <c r="AV107" s="39" t="n">
        <f aca="false">Sheet1!R$10*10/Sheet1!R$11*1000*AU107/(Sheet1!R$10*10/Sheet1!R$11*1000-AU107)</f>
        <v>483264.796985851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394.367003669192</v>
      </c>
      <c r="T108" s="37" t="n">
        <f aca="false">(X108-X$100)/(X$170-X$100)*(T$170-T$100)+T$100</f>
        <v>2.10839090260312</v>
      </c>
      <c r="U108" s="39" t="n">
        <f aca="false">(X108-X$100)/(X$125-X$100)*(U$125-U$100)+U$100</f>
        <v>400.62898133194</v>
      </c>
      <c r="V108" s="39" t="n">
        <f aca="false">8314.4621*U108/(Sheet1!H$20*Sheet1!H$12*9.80665)</f>
        <v>50095.5615197108</v>
      </c>
      <c r="W108" s="39" t="n">
        <f aca="false">W107-LN(R108/R107)*(V107+V108)/2</f>
        <v>1106514.67692756</v>
      </c>
      <c r="X108" s="39" t="n">
        <f aca="false">Sheet1!H$10*10/Sheet1!H$11*1000*W108/(Sheet1!H$10*10/Sheet1!H$11*1000-W108)</f>
        <v>1127572.38281053</v>
      </c>
      <c r="Y108" s="37"/>
      <c r="Z108" s="39"/>
      <c r="AJ108" s="39"/>
      <c r="AO108" s="37" t="n">
        <f aca="false">AO107+(AO$116-AO$106)/10</f>
        <v>-5.2</v>
      </c>
      <c r="AP108" s="40" t="n">
        <f aca="false">10^AO108</f>
        <v>6.30957344480194E-006</v>
      </c>
      <c r="AQ108" s="39" t="n">
        <f aca="false">AS108-AR108*((Sheet1!R$19-Sheet1!R$20)*COS(RADIANS(38))+Sheet1!R$20)/2</f>
        <v>275.594343416421</v>
      </c>
      <c r="AR108" s="37" t="n">
        <f aca="false">(AV108-AV$51)/(AV$116-AV$51)*(AR$116-AR$51)+AR$51</f>
        <v>0.319677624143166</v>
      </c>
      <c r="AS108" s="39" t="n">
        <f aca="false">(AV108-AV$106)/(AV$116-AV$106)*(AS$116-AS$106)+AS$106</f>
        <v>278.728490345021</v>
      </c>
      <c r="AT108" s="39" t="n">
        <f aca="false">8314.4621*AS108/(Sheet1!R$22*Sheet1!R$12*9.80665)</f>
        <v>32416.5891429009</v>
      </c>
      <c r="AU108" s="39" t="n">
        <f aca="false">AU107-LN(AP108/AP107)*(AT107+AT108)/2</f>
        <v>444197.554778179</v>
      </c>
      <c r="AV108" s="39" t="n">
        <f aca="false">Sheet1!R$10*10/Sheet1!R$11*1000*AU108/(Sheet1!R$10*10/Sheet1!R$11*1000-AU108)</f>
        <v>492406.934613081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408.615989554813</v>
      </c>
      <c r="T109" s="37" t="n">
        <f aca="false">(X109-X$100)/(X$170-X$100)*(T$170-T$100)+T$100</f>
        <v>2.12422689764254</v>
      </c>
      <c r="U109" s="39" t="n">
        <f aca="false">(X109-X$100)/(X$125-X$100)*(U$125-U$100)+U$100</f>
        <v>414.925000548563</v>
      </c>
      <c r="V109" s="39" t="n">
        <f aca="false">8314.4621*U109/(Sheet1!H$20*Sheet1!H$12*9.80665)</f>
        <v>51883.168366755</v>
      </c>
      <c r="W109" s="39" t="n">
        <f aca="false">W108-LN(R109/R108)*(V108+V109)/2</f>
        <v>1118255.41208951</v>
      </c>
      <c r="X109" s="39" t="n">
        <f aca="false">Sheet1!H$10*10/Sheet1!H$11*1000*W109/(Sheet1!H$10*10/Sheet1!H$11*1000-W109)</f>
        <v>1139766.70032188</v>
      </c>
      <c r="Y109" s="37"/>
      <c r="Z109" s="39"/>
      <c r="AJ109" s="39"/>
      <c r="AO109" s="37" t="n">
        <f aca="false">AO108+(AO$116-AO$106)/10</f>
        <v>-5.3</v>
      </c>
      <c r="AP109" s="40" t="n">
        <f aca="false">10^AO109</f>
        <v>5.01187233627274E-006</v>
      </c>
      <c r="AQ109" s="39" t="n">
        <f aca="false">AS109-AR109*((Sheet1!R$19-Sheet1!R$20)*COS(RADIANS(38))+Sheet1!R$20)/2</f>
        <v>276.326198990794</v>
      </c>
      <c r="AR109" s="37" t="n">
        <f aca="false">(AV109-AV$51)/(AV$116-AV$51)*(AR$116-AR$51)+AR$51</f>
        <v>0.329484255267053</v>
      </c>
      <c r="AS109" s="39" t="n">
        <f aca="false">(AV109-AV$106)/(AV$116-AV$106)*(AS$116-AS$106)+AS$106</f>
        <v>279.556490974585</v>
      </c>
      <c r="AT109" s="39" t="n">
        <f aca="false">8314.4621*AS109/(Sheet1!R$22*Sheet1!R$12*9.80665)</f>
        <v>32512.8869995908</v>
      </c>
      <c r="AU109" s="39" t="n">
        <f aca="false">AU108-LN(AP109/AP108)*(AT108+AT109)/2</f>
        <v>451672.83697126</v>
      </c>
      <c r="AV109" s="39" t="n">
        <f aca="false">Sheet1!R$10*10/Sheet1!R$11*1000*AU109/(Sheet1!R$10*10/Sheet1!R$11*1000-AU109)</f>
        <v>501609.682544827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423.379612520419</v>
      </c>
      <c r="T110" s="37" t="n">
        <f aca="false">(X110-X$100)/(X$170-X$100)*(T$170-T$100)+T$100</f>
        <v>2.14063484830037</v>
      </c>
      <c r="U110" s="39" t="n">
        <f aca="false">(X110-X$100)/(X$125-X$100)*(U$125-U$100)+U$100</f>
        <v>429.737355568735</v>
      </c>
      <c r="V110" s="39" t="n">
        <f aca="false">8314.4621*U110/(Sheet1!H$20*Sheet1!H$12*9.80665)</f>
        <v>53735.3390202555</v>
      </c>
      <c r="W110" s="39" t="n">
        <f aca="false">W109-LN(R110/R109)*(V109+V110)/2</f>
        <v>1130415.19212219</v>
      </c>
      <c r="X110" s="39" t="n">
        <f aca="false">Sheet1!H$10*10/Sheet1!H$11*1000*W110/(Sheet1!H$10*10/Sheet1!H$11*1000-W110)</f>
        <v>1152401.44537793</v>
      </c>
      <c r="Y110" s="37"/>
      <c r="Z110" s="39"/>
      <c r="AJ110" s="39"/>
      <c r="AO110" s="37" t="n">
        <f aca="false">AO109+(AO$116-AO$106)/10</f>
        <v>-5.4</v>
      </c>
      <c r="AP110" s="40" t="n">
        <f aca="false">10^AO110</f>
        <v>3.98107170553499E-006</v>
      </c>
      <c r="AQ110" s="39" t="n">
        <f aca="false">AS110-AR110*((Sheet1!R$19-Sheet1!R$20)*COS(RADIANS(38))+Sheet1!R$20)/2</f>
        <v>277.062757641099</v>
      </c>
      <c r="AR110" s="37" t="n">
        <f aca="false">(AV110-AV$51)/(AV$116-AV$51)*(AR$116-AR$51)+AR$51</f>
        <v>0.339356183706522</v>
      </c>
      <c r="AS110" s="39" t="n">
        <f aca="false">(AV110-AV$106)/(AV$116-AV$106)*(AS$116-AS$106)+AS$106</f>
        <v>280.389834860581</v>
      </c>
      <c r="AT110" s="39" t="n">
        <f aca="false">8314.4621*AS110/(Sheet1!R$22*Sheet1!R$12*9.80665)</f>
        <v>32609.8062859317</v>
      </c>
      <c r="AU110" s="39" t="n">
        <f aca="false">AU109-LN(AP110/AP109)*(AT109+AT110)/2</f>
        <v>459170.364110003</v>
      </c>
      <c r="AV110" s="39" t="n">
        <f aca="false">Sheet1!R$10*10/Sheet1!R$11*1000*AU110/(Sheet1!R$10*10/Sheet1!R$11*1000-AU110)</f>
        <v>510873.706844403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438.676946431152</v>
      </c>
      <c r="T111" s="37" t="n">
        <f aca="false">(X111-X$100)/(X$170-X$100)*(T$170-T$100)+T$100</f>
        <v>2.15763591361141</v>
      </c>
      <c r="U111" s="39" t="n">
        <f aca="false">(X111-X$100)/(X$125-X$100)*(U$125-U$100)+U$100</f>
        <v>445.085183100498</v>
      </c>
      <c r="V111" s="39" t="n">
        <f aca="false">8314.4621*U111/(Sheet1!H$20*Sheet1!H$12*9.80665)</f>
        <v>55654.46637783</v>
      </c>
      <c r="W111" s="39" t="n">
        <f aca="false">W110-LN(R111/R110)*(V110+V111)/2</f>
        <v>1143009.15888395</v>
      </c>
      <c r="X111" s="39" t="n">
        <f aca="false">Sheet1!H$10*10/Sheet1!H$11*1000*W111/(Sheet1!H$10*10/Sheet1!H$11*1000-W111)</f>
        <v>1165492.91123896</v>
      </c>
      <c r="Y111" s="37"/>
      <c r="Z111" s="39"/>
      <c r="AJ111" s="39"/>
      <c r="AO111" s="37" t="n">
        <f aca="false">AO110+(AO$116-AO$106)/10</f>
        <v>-5.5</v>
      </c>
      <c r="AP111" s="40" t="n">
        <f aca="false">10^AO111</f>
        <v>3.16227766016839E-006</v>
      </c>
      <c r="AQ111" s="39" t="n">
        <f aca="false">AS111-AR111*((Sheet1!R$19-Sheet1!R$20)*COS(RADIANS(38))+Sheet1!R$20)/2</f>
        <v>277.804241653284</v>
      </c>
      <c r="AR111" s="37" t="n">
        <f aca="false">(AV111-AV$51)/(AV$116-AV$51)*(AR$116-AR$51)+AR$51</f>
        <v>0.349294125664963</v>
      </c>
      <c r="AS111" s="39" t="n">
        <f aca="false">(AV111-AV$106)/(AV$116-AV$106)*(AS$116-AS$106)+AS$106</f>
        <v>281.228751310677</v>
      </c>
      <c r="AT111" s="39" t="n">
        <f aca="false">8314.4621*AS111/(Sheet1!R$22*Sheet1!R$12*9.80665)</f>
        <v>32707.3736707881</v>
      </c>
      <c r="AU111" s="39" t="n">
        <f aca="false">AU110-LN(AP111/AP110)*(AT110+AT111)/2</f>
        <v>466690.282354241</v>
      </c>
      <c r="AV111" s="39" t="n">
        <f aca="false">Sheet1!R$10*10/Sheet1!R$11*1000*AU111/(Sheet1!R$10*10/Sheet1!R$11*1000-AU111)</f>
        <v>520199.679612063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454.527697896067</v>
      </c>
      <c r="T112" s="37" t="n">
        <f aca="false">(X112-X$100)/(X$170-X$100)*(T$170-T$100)+T$100</f>
        <v>2.1752520713084</v>
      </c>
      <c r="U112" s="39" t="n">
        <f aca="false">(X112-X$100)/(X$125-X$100)*(U$125-U$100)+U$100</f>
        <v>460.988255027366</v>
      </c>
      <c r="V112" s="39" t="n">
        <f aca="false">8314.4621*U112/(Sheet1!H$20*Sheet1!H$12*9.80665)</f>
        <v>57643.022760886</v>
      </c>
      <c r="W112" s="39" t="n">
        <f aca="false">W111-LN(R112/R111)*(V111+V112)/2</f>
        <v>1156053.01436217</v>
      </c>
      <c r="X112" s="39" t="n">
        <f aca="false">Sheet1!H$10*10/Sheet1!H$11*1000*W112/(Sheet1!H$10*10/Sheet1!H$11*1000-W112)</f>
        <v>1179058.02159372</v>
      </c>
      <c r="Y112" s="37"/>
      <c r="Z112" s="39"/>
      <c r="AJ112" s="39"/>
      <c r="AO112" s="37" t="n">
        <f aca="false">AO111+(AO$116-AO$106)/10</f>
        <v>-5.6</v>
      </c>
      <c r="AP112" s="40" t="n">
        <f aca="false">10^AO112</f>
        <v>2.51188643150959E-006</v>
      </c>
      <c r="AQ112" s="39" t="n">
        <f aca="false">AS112-AR112*((Sheet1!R$19-Sheet1!R$20)*COS(RADIANS(38))+Sheet1!R$20)/2</f>
        <v>278.550705514632</v>
      </c>
      <c r="AR112" s="37" t="n">
        <f aca="false">(AV112-AV$51)/(AV$116-AV$51)*(AR$116-AR$51)+AR$51</f>
        <v>0.359298811425944</v>
      </c>
      <c r="AS112" s="39" t="n">
        <f aca="false">(AV112-AV$106)/(AV$116-AV$106)*(AS$116-AS$106)+AS$106</f>
        <v>282.073301971917</v>
      </c>
      <c r="AT112" s="39" t="n">
        <f aca="false">8314.4621*AS112/(Sheet1!R$22*Sheet1!R$12*9.80665)</f>
        <v>32805.5963238148</v>
      </c>
      <c r="AU112" s="39" t="n">
        <f aca="false">AU111-LN(AP112/AP111)*(AT111+AT112)/2</f>
        <v>474232.741759608</v>
      </c>
      <c r="AV112" s="39" t="n">
        <f aca="false">Sheet1!R$10*10/Sheet1!R$11*1000*AU112/(Sheet1!R$10*10/Sheet1!R$11*1000-AU112)</f>
        <v>529588.286161194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470.952442905397</v>
      </c>
      <c r="T113" s="37" t="n">
        <f aca="false">(X113-X$100)/(X$170-X$100)*(T$170-T$100)+T$100</f>
        <v>2.19350615215892</v>
      </c>
      <c r="U113" s="39" t="n">
        <f aca="false">(X113-X$100)/(X$125-X$100)*(U$125-U$100)+U$100</f>
        <v>477.467215147565</v>
      </c>
      <c r="V113" s="39" t="n">
        <f aca="false">8314.4621*U113/(Sheet1!H$20*Sheet1!H$12*9.80665)</f>
        <v>59703.5895170345</v>
      </c>
      <c r="W113" s="39" t="n">
        <f aca="false">W112-LN(R113/R112)*(V112+V113)/2</f>
        <v>1169563.04236939</v>
      </c>
      <c r="X113" s="39" t="n">
        <f aca="false">Sheet1!H$10*10/Sheet1!H$11*1000*W113/(Sheet1!H$10*10/Sheet1!H$11*1000-W113)</f>
        <v>1193114.35700017</v>
      </c>
      <c r="Y113" s="37"/>
      <c r="Z113" s="39"/>
      <c r="AJ113" s="39"/>
      <c r="AO113" s="37" t="n">
        <f aca="false">AO112+(AO$116-AO$106)/10</f>
        <v>-5.7</v>
      </c>
      <c r="AP113" s="40" t="n">
        <f aca="false">10^AO113</f>
        <v>1.99526231496889E-006</v>
      </c>
      <c r="AQ113" s="39" t="n">
        <f aca="false">AS113-AR113*((Sheet1!R$19-Sheet1!R$20)*COS(RADIANS(38))+Sheet1!R$20)/2</f>
        <v>279.302204558973</v>
      </c>
      <c r="AR113" s="37" t="n">
        <f aca="false">(AV113-AV$51)/(AV$116-AV$51)*(AR$116-AR$51)+AR$51</f>
        <v>0.369370982619172</v>
      </c>
      <c r="AS113" s="39" t="n">
        <f aca="false">(AV113-AV$106)/(AV$116-AV$106)*(AS$116-AS$106)+AS$106</f>
        <v>282.923549449133</v>
      </c>
      <c r="AT113" s="39" t="n">
        <f aca="false">8314.4621*AS113/(Sheet1!R$22*Sheet1!R$12*9.80665)</f>
        <v>32904.481526058</v>
      </c>
      <c r="AU113" s="39" t="n">
        <f aca="false">AU112-LN(AP113/AP112)*(AT112+AT113)/2</f>
        <v>481797.894045438</v>
      </c>
      <c r="AV113" s="39" t="n">
        <f aca="false">Sheet1!R$10*10/Sheet1!R$11*1000*AU113/(Sheet1!R$10*10/Sheet1!R$11*1000-AU113)</f>
        <v>539040.222452637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487.972525414321</v>
      </c>
      <c r="T114" s="37" t="n">
        <f aca="false">(X114-X$100)/(X$170-X$100)*(T$170-T$100)+T$100</f>
        <v>2.21242187733813</v>
      </c>
      <c r="U114" s="39" t="n">
        <f aca="false">(X114-X$100)/(X$125-X$100)*(U$125-U$100)+U$100</f>
        <v>494.543477868802</v>
      </c>
      <c r="V114" s="39" t="n">
        <f aca="false">8314.4621*U114/(Sheet1!H$20*Sheet1!H$12*9.80665)</f>
        <v>61838.8443526544</v>
      </c>
      <c r="W114" s="39" t="n">
        <f aca="false">W113-LN(R114/R113)*(V113+V114)/2</f>
        <v>1183556.13218912</v>
      </c>
      <c r="X114" s="39" t="n">
        <f aca="false">Sheet1!H$10*10/Sheet1!H$11*1000*W114/(Sheet1!H$10*10/Sheet1!H$11*1000-W114)</f>
        <v>1207680.18366395</v>
      </c>
      <c r="Y114" s="37"/>
      <c r="Z114" s="39"/>
      <c r="AJ114" s="39"/>
      <c r="AO114" s="37" t="n">
        <f aca="false">AO113+(AO$116-AO$106)/10</f>
        <v>-5.8</v>
      </c>
      <c r="AP114" s="40" t="n">
        <f aca="false">10^AO114</f>
        <v>1.58489319246112E-006</v>
      </c>
      <c r="AQ114" s="39" t="n">
        <f aca="false">AS114-AR114*((Sheet1!R$19-Sheet1!R$20)*COS(RADIANS(38))+Sheet1!R$20)/2</f>
        <v>280.058794983657</v>
      </c>
      <c r="AR114" s="37" t="n">
        <f aca="false">(AV114-AV$51)/(AV$116-AV$51)*(AR$116-AR$51)+AR$51</f>
        <v>0.379511392448057</v>
      </c>
      <c r="AS114" s="39" t="n">
        <f aca="false">(AV114-AV$106)/(AV$116-AV$106)*(AS$116-AS$106)+AS$106</f>
        <v>283.779557324147</v>
      </c>
      <c r="AT114" s="39" t="n">
        <f aca="false">8314.4621*AS114/(Sheet1!R$22*Sheet1!R$12*9.80665)</f>
        <v>33004.0366721899</v>
      </c>
      <c r="AU114" s="39" t="n">
        <f aca="false">AU113-LN(AP114/AP113)*(AT113+AT114)/2</f>
        <v>489385.892620668</v>
      </c>
      <c r="AV114" s="39" t="n">
        <f aca="false">Sheet1!R$10*10/Sheet1!R$11*1000*AU114/(Sheet1!R$10*10/Sheet1!R$11*1000-AU114)</f>
        <v>548556.195308242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505.610123966924</v>
      </c>
      <c r="T115" s="37" t="n">
        <f aca="false">(X115-X$100)/(X$170-X$100)*(T$170-T$100)+T$100</f>
        <v>2.23202389556373</v>
      </c>
      <c r="U115" s="39" t="n">
        <f aca="false">(X115-X$100)/(X$125-X$100)*(U$125-U$100)+U$100</f>
        <v>512.239294942516</v>
      </c>
      <c r="V115" s="39" t="n">
        <f aca="false">8314.4621*U115/(Sheet1!H$20*Sheet1!H$12*9.80665)</f>
        <v>64051.5696774938</v>
      </c>
      <c r="W115" s="39" t="n">
        <f aca="false">W114-LN(R115/R114)*(V114+V115)/2</f>
        <v>1198049.80172396</v>
      </c>
      <c r="X115" s="39" t="n">
        <f aca="false">Sheet1!H$10*10/Sheet1!H$11*1000*W115/(Sheet1!H$10*10/Sheet1!H$11*1000-W115)</f>
        <v>1222774.48203365</v>
      </c>
      <c r="Y115" s="37"/>
      <c r="Z115" s="39"/>
      <c r="AJ115" s="39"/>
      <c r="AO115" s="37" t="n">
        <f aca="false">AO114+(AO$116-AO$106)/10</f>
        <v>-5.9</v>
      </c>
      <c r="AP115" s="40" t="n">
        <f aca="false">10^AO115</f>
        <v>1.25892541179418E-006</v>
      </c>
      <c r="AQ115" s="39" t="n">
        <f aca="false">AS115-AR115*((Sheet1!R$19-Sheet1!R$20)*COS(RADIANS(38))+Sheet1!R$20)/2</f>
        <v>280.820533866956</v>
      </c>
      <c r="AR115" s="37" t="n">
        <f aca="false">(AV115-AV$51)/(AV$116-AV$51)*(AR$116-AR$51)+AR$51</f>
        <v>0.389720805922878</v>
      </c>
      <c r="AS115" s="39" t="n">
        <f aca="false">(AV115-AV$106)/(AV$116-AV$106)*(AS$116-AS$106)+AS$106</f>
        <v>284.641390175458</v>
      </c>
      <c r="AT115" s="39" t="n">
        <f aca="false">8314.4621*AS115/(Sheet1!R$22*Sheet1!R$12*9.80665)</f>
        <v>33104.2692727978</v>
      </c>
      <c r="AU115" s="39" t="n">
        <f aca="false">AU114-LN(AP115/AP114)*(AT114+AT115)/2</f>
        <v>496996.892610269</v>
      </c>
      <c r="AV115" s="39" t="n">
        <f aca="false">Sheet1!R$10*10/Sheet1!R$11*1000*AU115/(Sheet1!R$10*10/Sheet1!R$11*1000-AU115)</f>
        <v>558136.922629666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523.888287324093</v>
      </c>
      <c r="T116" s="37" t="n">
        <f aca="false">(X116-X$100)/(X$170-X$100)*(T$170-T$100)+T$100</f>
        <v>2.25233782269197</v>
      </c>
      <c r="U116" s="39" t="n">
        <f aca="false">(X116-X$100)/(X$125-X$100)*(U$125-U$100)+U$100</f>
        <v>530.577791209376</v>
      </c>
      <c r="V116" s="39" t="n">
        <f aca="false">8314.4621*U116/(Sheet1!H$20*Sheet1!H$12*9.80665)</f>
        <v>66344.6570743696</v>
      </c>
      <c r="W116" s="39" t="n">
        <f aca="false">W115-LN(R116/R115)*(V115+V116)/2</f>
        <v>1213062.22211903</v>
      </c>
      <c r="X116" s="39" t="n">
        <f aca="false">Sheet1!H$10*10/Sheet1!H$11*1000*W116/(Sheet1!H$10*10/Sheet1!H$11*1000-W116)</f>
        <v>1238416.97729129</v>
      </c>
      <c r="Y116" s="37"/>
      <c r="Z116" s="39"/>
      <c r="AJ116" s="39"/>
      <c r="AO116" s="37" t="n">
        <f aca="false">IF(Sheet1!R24="Y",-6,-6.5)</f>
        <v>-6</v>
      </c>
      <c r="AP116" s="40" t="n">
        <f aca="false">10^AO116</f>
        <v>1E-006</v>
      </c>
      <c r="AQ116" s="39" t="n">
        <f aca="false">AS116-AR116*((Sheet1!R$19-Sheet1!R$20)*COS(RADIANS(38))+Sheet1!R$20)/2</f>
        <v>281.587473666867</v>
      </c>
      <c r="AR116" s="37" t="n">
        <f aca="false">ROUND((5.7*LOG(Sheet1!R15)+4.8)/(Sheet1!R21+Sheet1!R19)/0.05,0)*0.05</f>
        <v>0.4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285.509108078408</v>
      </c>
      <c r="AT116" s="39" t="n">
        <f aca="false">8314.4621*AS116/(Sheet1!R$22*Sheet1!R$12*9.80665)</f>
        <v>33205.1863147444</v>
      </c>
      <c r="AU116" s="39" t="n">
        <f aca="false">AU115-LN(AP116/AP115)*(AT115+AT116)/2</f>
        <v>504631.050808291</v>
      </c>
      <c r="AV116" s="39" t="n">
        <f aca="false">Sheet1!R$10*10/Sheet1!R$11*1000*AU116/(Sheet1!R$10*10/Sheet1!R$11*1000-AU116)</f>
        <v>567783.133529026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542.830971828982</v>
      </c>
      <c r="T117" s="37" t="n">
        <f aca="false">(X117-X$100)/(X$170-X$100)*(T$170-T$100)+T$100</f>
        <v>2.27339028324475</v>
      </c>
      <c r="U117" s="39" t="n">
        <f aca="false">(X117-X$100)/(X$125-X$100)*(U$125-U$100)+U$100</f>
        <v>549.583002088082</v>
      </c>
      <c r="V117" s="39" t="n">
        <f aca="false">8314.4621*U117/(Sheet1!H$20*Sheet1!H$12*9.80665)</f>
        <v>68721.1119868524</v>
      </c>
      <c r="W117" s="39" t="n">
        <f aca="false">W116-LN(R117/R116)*(V116+V117)/2</f>
        <v>1228612.24343974</v>
      </c>
      <c r="X117" s="39" t="n">
        <f aca="false">Sheet1!H$10*10/Sheet1!H$11*1000*W117/(Sheet1!H$10*10/Sheet1!H$11*1000-W117)</f>
        <v>1254628.17132973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562.46308061006</v>
      </c>
      <c r="T118" s="37" t="n">
        <f aca="false">(X118-X$100)/(X$170-X$100)*(T$170-T$100)+T$100</f>
        <v>2.29520895397898</v>
      </c>
      <c r="U118" s="39" t="n">
        <f aca="false">(X118-X$100)/(X$125-X$100)*(U$125-U$100)+U$100</f>
        <v>569.279912907814</v>
      </c>
      <c r="V118" s="39" t="n">
        <f aca="false">8314.4621*U118/(Sheet1!H$20*Sheet1!H$12*9.80665)</f>
        <v>71184.0586374858</v>
      </c>
      <c r="W118" s="39" t="n">
        <f aca="false">W117-LN(R118/R117)*(V117+V118)/2</f>
        <v>1244719.42145536</v>
      </c>
      <c r="X118" s="39" t="n">
        <f aca="false">Sheet1!H$10*10/Sheet1!H$11*1000*W118/(Sheet1!H$10*10/Sheet1!H$11*1000-W118)</f>
        <v>1271429.37630272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582.810504728578</v>
      </c>
      <c r="T119" s="37" t="n">
        <f aca="false">(X119-X$100)/(X$170-X$100)*(T$170-T$100)+T$100</f>
        <v>2.31782260961688</v>
      </c>
      <c r="U119" s="39" t="n">
        <f aca="false">(X119-X$100)/(X$125-X$100)*(U$125-U$100)+U$100</f>
        <v>589.694500191522</v>
      </c>
      <c r="V119" s="39" t="n">
        <f aca="false">8314.4621*U119/(Sheet1!H$20*Sheet1!H$12*9.80665)</f>
        <v>73736.7451899426</v>
      </c>
      <c r="W119" s="39" t="n">
        <f aca="false">W118-LN(R119/R118)*(V118+V119)/2</f>
        <v>1261404.04558325</v>
      </c>
      <c r="X119" s="39" t="n">
        <f aca="false">Sheet1!H$10*10/Sheet1!H$11*1000*W119/(Sheet1!H$10*10/Sheet1!H$11*1000-W119)</f>
        <v>1288842.74983905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603.900166384629</v>
      </c>
      <c r="T120" s="37" t="n">
        <f aca="false">(X120-X$100)/(X$170-X$100)*(T$170-T$100)+T$100</f>
        <v>2.34126117086423</v>
      </c>
      <c r="U120" s="39" t="n">
        <f aca="false">(X120-X$100)/(X$125-X$100)*(U$125-U$100)+U$100</f>
        <v>610.8537750046</v>
      </c>
      <c r="V120" s="39" t="n">
        <f aca="false">8314.4621*U120/(Sheet1!H$20*Sheet1!H$12*9.80665)</f>
        <v>76382.5491694424</v>
      </c>
      <c r="W120" s="39" t="n">
        <f aca="false">W119-LN(R120/R119)*(V119+V120)/2</f>
        <v>1278687.16805138</v>
      </c>
      <c r="X120" s="39" t="n">
        <f aca="false">Sheet1!H$10*10/Sheet1!H$11*1000*W120/(Sheet1!H$10*10/Sheet1!H$11*1000-W120)</f>
        <v>1306891.3320183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625.760064303903</v>
      </c>
      <c r="T121" s="37" t="n">
        <f aca="false">(X121-X$100)/(X$170-X$100)*(T$170-T$100)+T$100</f>
        <v>2.3655557548521</v>
      </c>
      <c r="U121" s="39" t="n">
        <f aca="false">(X121-X$100)/(X$125-X$100)*(U$125-U$100)+U$100</f>
        <v>632.785828491455</v>
      </c>
      <c r="V121" s="39" t="n">
        <f aca="false">8314.4621*U121/(Sheet1!H$20*Sheet1!H$12*9.80665)</f>
        <v>79124.983156748</v>
      </c>
      <c r="W121" s="39" t="n">
        <f aca="false">W120-LN(R121/R120)*(V120+V121)/2</f>
        <v>1296590.63434051</v>
      </c>
      <c r="X121" s="39" t="n">
        <f aca="false">Sheet1!H$10*10/Sheet1!H$11*1000*W121/(Sheet1!H$10*10/Sheet1!H$11*1000-W121)</f>
        <v>1325599.08421302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648.419321435799</v>
      </c>
      <c r="T122" s="37" t="n">
        <f aca="false">(X122-X$100)/(X$170-X$100)*(T$170-T$100)+T$100</f>
        <v>2.39073872814745</v>
      </c>
      <c r="U122" s="39" t="n">
        <f aca="false">(X122-X$100)/(X$125-X$100)*(U$125-U$100)+U$100</f>
        <v>655.519879731057</v>
      </c>
      <c r="V122" s="39" t="n">
        <f aca="false">8314.4621*U122/(Sheet1!H$20*Sheet1!H$12*9.80665)</f>
        <v>81967.7007721322</v>
      </c>
      <c r="W122" s="39" t="n">
        <f aca="false">W121-LN(R122/R121)*(V121+V122)/2</f>
        <v>1315137.11497076</v>
      </c>
      <c r="X122" s="39" t="n">
        <f aca="false">Sheet1!H$10*10/Sheet1!H$11*1000*W122/(Sheet1!H$10*10/Sheet1!H$11*1000-W122)</f>
        <v>1344990.92990878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671.908235102796</v>
      </c>
      <c r="T123" s="37" t="n">
        <f aca="false">(X123-X$100)/(X$170-X$100)*(T$170-T$100)+T$100</f>
        <v>2.41684376248797</v>
      </c>
      <c r="U123" s="39" t="n">
        <f aca="false">(X123-X$100)/(X$125-X$100)*(U$125-U$100)+U$100</f>
        <v>679.086326051853</v>
      </c>
      <c r="V123" s="39" t="n">
        <f aca="false">8314.4621*U123/(Sheet1!H$20*Sheet1!H$12*9.80665)</f>
        <v>84914.5029668697</v>
      </c>
      <c r="W123" s="39" t="n">
        <f aca="false">W122-LN(R123/R122)*(V122+V123)/2</f>
        <v>1334350.13870153</v>
      </c>
      <c r="X123" s="39" t="n">
        <f aca="false">Sheet1!H$10*10/Sheet1!H$11*1000*W123/(Sheet1!H$10*10/Sheet1!H$11*1000-W123)</f>
        <v>1365092.79762221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696.258329751018</v>
      </c>
      <c r="T124" s="37" t="n">
        <f aca="false">(X124-X$100)/(X$170-X$100)*(T$170-T$100)+T$100</f>
        <v>2.4439058934078</v>
      </c>
      <c r="U124" s="39" t="n">
        <f aca="false">(X124-X$100)/(X$125-X$100)*(U$125-U$100)+U$100</f>
        <v>703.516795956446</v>
      </c>
      <c r="V124" s="39" t="n">
        <f aca="false">8314.4621*U124/(Sheet1!H$20*Sheet1!H$12*9.80665)</f>
        <v>87969.3446410595</v>
      </c>
      <c r="W124" s="39" t="n">
        <f aca="false">W123-LN(R124/R123)*(V123+V124)/2</f>
        <v>1354254.12721761</v>
      </c>
      <c r="X124" s="39" t="n">
        <f aca="false">Sheet1!H$10*10/Sheet1!H$11*1000*W124/(Sheet1!H$10*10/Sheet1!H$11*1000-W124)</f>
        <v>1385931.66604497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721.502458746239</v>
      </c>
      <c r="T125" s="37" t="n">
        <f aca="false">(X125-X$100)/(X$170-X$100)*(T$170-T$100)+T$100</f>
        <v>2.47196158283977</v>
      </c>
      <c r="U125" s="39" t="n">
        <f aca="false">470/610*(U$170-U$54)+U$54</f>
        <v>728.84425110353</v>
      </c>
      <c r="V125" s="39" t="n">
        <f aca="false">8314.4621*U125/(Sheet1!H$20*Sheet1!H$12*9.80665)</f>
        <v>91136.3473956784</v>
      </c>
      <c r="W125" s="39" t="n">
        <f aca="false">W124-LN(R125/R124)*(V124+V125)/2</f>
        <v>1374874.43204532</v>
      </c>
      <c r="X125" s="39" t="n">
        <f aca="false">Sheet1!H$10*10/Sheet1!H$11*1000*W125/(Sheet1!H$10*10/Sheet1!H$11*1000-W125)</f>
        <v>1407535.6122499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721.502458746239</v>
      </c>
      <c r="AA125" s="39" t="n">
        <f aca="false">IF(Y125=LOG(Sheet1!H$17*101325),(LOG(Sheet1!H$17*101325)-Q135)/(Q125-Q135)*(X125-X135)+X135,IF(Y125=0,0,X125))</f>
        <v>1407535.6122499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728.725995030615</v>
      </c>
      <c r="T126" s="37" t="n">
        <f aca="false">(X126-X$100)/(X$170-X$100)*(T$170-T$100)+T$100</f>
        <v>2.50067720759987</v>
      </c>
      <c r="U126" s="39" t="n">
        <f aca="false">(X126-X$125)/(X$140-X$125)*(U$140-U$125)+U$125</f>
        <v>736.153073565435</v>
      </c>
      <c r="V126" s="39" t="n">
        <f aca="false">8314.4621*U126/(Sheet1!H$20*Sheet1!H$12*9.80665)</f>
        <v>92050.2592251714</v>
      </c>
      <c r="W126" s="39" t="n">
        <f aca="false">W125-LN(R126/R125)*(V125+V126)/2</f>
        <v>1395964.56952738</v>
      </c>
      <c r="X126" s="39" t="n">
        <f aca="false">Sheet1!H$10*10/Sheet1!H$11*1000*W126/(Sheet1!H$10*10/Sheet1!H$11*1000-W126)</f>
        <v>1429647.73371683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736.027035094388</v>
      </c>
      <c r="T127" s="37" t="n">
        <f aca="false">(X127-X$100)/(X$170-X$100)*(T$170-T$100)+T$100</f>
        <v>2.52970215191973</v>
      </c>
      <c r="U127" s="39" t="n">
        <f aca="false">(X127-X$125)/(X$140-X$125)*(U$140-U$125)+U$125</f>
        <v>743.540318494145</v>
      </c>
      <c r="V127" s="39" t="n">
        <f aca="false">8314.4621*U127/(Sheet1!H$20*Sheet1!H$12*9.80665)</f>
        <v>92973.9771787679</v>
      </c>
      <c r="W127" s="39" t="n">
        <f aca="false">W126-LN(R127/R126)*(V126+V127)/2</f>
        <v>1417266.2719567</v>
      </c>
      <c r="X127" s="39" t="n">
        <f aca="false">Sheet1!H$10*10/Sheet1!H$11*1000*W127/(Sheet1!H$10*10/Sheet1!H$11*1000-W127)</f>
        <v>1451998.04299039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743.406984434501</v>
      </c>
      <c r="T128" s="37" t="n">
        <f aca="false">(X128-X$100)/(X$170-X$100)*(T$170-T$100)+T$100</f>
        <v>2.55904018421662</v>
      </c>
      <c r="U128" s="39" t="n">
        <f aca="false">(X128-X$125)/(X$140-X$125)*(U$140-U$125)+U$125</f>
        <v>751.007402578903</v>
      </c>
      <c r="V128" s="39" t="n">
        <f aca="false">8314.4621*U128/(Sheet1!H$20*Sheet1!H$12*9.80665)</f>
        <v>93907.6784025217</v>
      </c>
      <c r="W128" s="39" t="n">
        <f aca="false">W127-LN(R128/R127)*(V127+V128)/2</f>
        <v>1438781.81767147</v>
      </c>
      <c r="X128" s="39" t="n">
        <f aca="false">Sheet1!H$10*10/Sheet1!H$11*1000*W128/(Sheet1!H$10*10/Sheet1!H$11*1000-W128)</f>
        <v>1474589.44189496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750.866784028382</v>
      </c>
      <c r="T129" s="37" t="n">
        <f aca="false">(X129-X$100)/(X$170-X$100)*(T$170-T$100)+T$100</f>
        <v>2.58869513660214</v>
      </c>
      <c r="U129" s="39" t="n">
        <f aca="false">(X129-X$125)/(X$140-X$125)*(U$140-U$125)+U$125</f>
        <v>758.555278178614</v>
      </c>
      <c r="V129" s="39" t="n">
        <f aca="false">8314.4621*U129/(Sheet1!H$20*Sheet1!H$12*9.80665)</f>
        <v>94851.4819815622</v>
      </c>
      <c r="W129" s="39" t="n">
        <f aca="false">W128-LN(R129/R128)*(V128+V129)/2</f>
        <v>1460513.5191148</v>
      </c>
      <c r="X129" s="39" t="n">
        <f aca="false">Sheet1!H$10*10/Sheet1!H$11*1000*W129/(Sheet1!H$10*10/Sheet1!H$11*1000-W129)</f>
        <v>1497424.881302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758.407185530849</v>
      </c>
      <c r="T130" s="37" t="n">
        <f aca="false">(X130-X$100)/(X$170-X$100)*(T$170-T$100)+T$100</f>
        <v>2.6186708925038</v>
      </c>
      <c r="U130" s="39" t="n">
        <f aca="false">(X130-X$125)/(X$140-X$125)*(U$140-U$125)+U$125</f>
        <v>766.184708481977</v>
      </c>
      <c r="V130" s="39" t="n">
        <f aca="false">8314.4621*U130/(Sheet1!H$20*Sheet1!H$12*9.80665)</f>
        <v>95805.483346745</v>
      </c>
      <c r="W130" s="39" t="n">
        <f aca="false">W129-LN(R130/R129)*(V129+V130)/2</f>
        <v>1482463.71342682</v>
      </c>
      <c r="X130" s="39" t="n">
        <f aca="false">Sheet1!H$10*10/Sheet1!H$11*1000*W130/(Sheet1!H$10*10/Sheet1!H$11*1000-W130)</f>
        <v>1520507.35159815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766.029275810386</v>
      </c>
      <c r="T131" s="37" t="n">
        <f aca="false">(X131-X$100)/(X$170-X$100)*(T$170-T$100)+T$100</f>
        <v>2.64897138997784</v>
      </c>
      <c r="U131" s="39" t="n">
        <f aca="false">(X131-X$125)/(X$140-X$125)*(U$140-U$125)+U$125</f>
        <v>773.896792053612</v>
      </c>
      <c r="V131" s="39" t="n">
        <f aca="false">8314.4621*U131/(Sheet1!H$20*Sheet1!H$12*9.80665)</f>
        <v>96769.8198650956</v>
      </c>
      <c r="W131" s="39" t="n">
        <f aca="false">W130-LN(R131/R130)*(V130+V131)/2</f>
        <v>1504634.76454954</v>
      </c>
      <c r="X131" s="39" t="n">
        <f aca="false">Sheet1!H$10*10/Sheet1!H$11*1000*W131/(Sheet1!H$10*10/Sheet1!H$11*1000-W131)</f>
        <v>1543839.88523626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773.734060601696</v>
      </c>
      <c r="T132" s="37" t="n">
        <f aca="false">(X132-X$100)/(X$170-X$100)*(T$170-T$100)+T$100</f>
        <v>2.67960062717621</v>
      </c>
      <c r="U132" s="39" t="n">
        <f aca="false">(X132-X$125)/(X$140-X$125)*(U$140-U$125)+U$125</f>
        <v>781.692546502838</v>
      </c>
      <c r="V132" s="39" t="n">
        <f aca="false">8314.4621*U132/(Sheet1!H$20*Sheet1!H$12*9.80665)</f>
        <v>97744.618780804</v>
      </c>
      <c r="W132" s="39" t="n">
        <f aca="false">W131-LN(R132/R131)*(V131+V132)/2</f>
        <v>1527029.06688945</v>
      </c>
      <c r="X132" s="39" t="n">
        <f aca="false">Sheet1!H$10*10/Sheet1!H$11*1000*W132/(Sheet1!H$10*10/Sheet1!H$11*1000-W132)</f>
        <v>1567425.56094515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781.522560551898</v>
      </c>
      <c r="T133" s="37" t="n">
        <f aca="false">(X133-X$100)/(X$170-X$100)*(T$170-T$100)+T$100</f>
        <v>2.71056266153307</v>
      </c>
      <c r="U133" s="39" t="n">
        <f aca="false">(X133-X$125)/(X$140-X$125)*(U$140-U$125)+U$125</f>
        <v>789.573004527463</v>
      </c>
      <c r="V133" s="39" t="n">
        <f aca="false">8314.4621*U133/(Sheet1!H$20*Sheet1!H$12*9.80665)</f>
        <v>98730.0092247595</v>
      </c>
      <c r="W133" s="39" t="n">
        <f aca="false">W132-LN(R133/R132)*(V132+V133)/2</f>
        <v>1549649.0443693</v>
      </c>
      <c r="X133" s="39" t="n">
        <f aca="false">Sheet1!H$10*10/Sheet1!H$11*1000*W133/(Sheet1!H$10*10/Sheet1!H$11*1000-W133)</f>
        <v>1591267.50310318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789.395811495023</v>
      </c>
      <c r="T134" s="37" t="n">
        <f aca="false">(X134-X$100)/(X$170-X$100)*(T$170-T$100)+T$100</f>
        <v>2.74186161085596</v>
      </c>
      <c r="U134" s="39" t="n">
        <f aca="false">(X134-X$125)/(X$140-X$125)*(U$140-U$125)+U$125</f>
        <v>797.539214191519</v>
      </c>
      <c r="V134" s="39" t="n">
        <f aca="false">8314.4621*U134/(Sheet1!H$20*Sheet1!H$12*9.80665)</f>
        <v>99726.1222492787</v>
      </c>
      <c r="W134" s="39" t="n">
        <f aca="false">W133-LN(R134/R133)*(V133+V134)/2</f>
        <v>1572497.15086657</v>
      </c>
      <c r="X134" s="39" t="n">
        <f aca="false">Sheet1!H$10*10/Sheet1!H$11*1000*W134/(Sheet1!H$10*10/Sheet1!H$11*1000-W134)</f>
        <v>1615368.88257854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797.354864732712</v>
      </c>
      <c r="T135" s="37" t="n">
        <f aca="false">(X135-X$100)/(X$170-X$100)*(T$170-T$100)+T$100</f>
        <v>2.77350165444174</v>
      </c>
      <c r="U135" s="39" t="n">
        <f aca="false">(X135-X$125)/(X$140-X$125)*(U$140-U$125)+U$125</f>
        <v>805.592239209269</v>
      </c>
      <c r="V135" s="39" t="n">
        <f aca="false">8314.4621*U135/(Sheet1!H$20*Sheet1!H$12*9.80665)</f>
        <v>100733.090863619</v>
      </c>
      <c r="W135" s="39" t="n">
        <f aca="false">W134-LN(R135/R134)*(V134+V135)/2</f>
        <v>1595575.87065993</v>
      </c>
      <c r="X135" s="39" t="n">
        <f aca="false">Sheet1!H$10*10/Sheet1!H$11*1000*W135/(Sheet1!H$10*10/Sheet1!H$11*1000-W135)</f>
        <v>1639732.91758848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805.400787321277</v>
      </c>
      <c r="T136" s="37" t="n">
        <f aca="false">(X136-X$100)/(X$170-X$100)*(T$170-T$100)+T$100</f>
        <v>2.80548703421769</v>
      </c>
      <c r="U136" s="39" t="n">
        <f aca="false">(X136-X$125)/(X$140-X$125)*(U$140-U$125)+U$125</f>
        <v>813.733159235663</v>
      </c>
      <c r="V136" s="39" t="n">
        <f aca="false">8314.4621*U136/(Sheet1!H$20*Sheet1!H$12*9.80665)</f>
        <v>101751.050070298</v>
      </c>
      <c r="W136" s="39" t="n">
        <f aca="false">W135-LN(R136/R135)*(V135+V136)/2</f>
        <v>1618887.71888404</v>
      </c>
      <c r="X136" s="39" t="n">
        <f aca="false">Sheet1!H$10*10/Sheet1!H$11*1000*W136/(Sheet1!H$10*10/Sheet1!H$11*1000-W136)</f>
        <v>1664362.87457812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813.534662365299</v>
      </c>
      <c r="T137" s="37" t="n">
        <f aca="false">(X137-X$100)/(X$170-X$100)*(T$170-T$100)+T$100</f>
        <v>2.83782205590874</v>
      </c>
      <c r="U137" s="39" t="n">
        <f aca="false">(X137-X$125)/(X$140-X$125)*(U$140-U$125)+U$125</f>
        <v>821.963070163404</v>
      </c>
      <c r="V137" s="39" t="n">
        <f aca="false">8314.4621*U137/(Sheet1!H$20*Sheet1!H$12*9.80665)</f>
        <v>102780.136902239</v>
      </c>
      <c r="W137" s="39" t="n">
        <f aca="false">W136-LN(R137/R136)*(V136+V137)/2</f>
        <v>1642435.2419928</v>
      </c>
      <c r="X137" s="39" t="n">
        <f aca="false">Sheet1!H$10*10/Sheet1!H$11*1000*W137/(Sheet1!H$10*10/Sheet1!H$11*1000-W137)</f>
        <v>1689262.06911913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821.757589317956</v>
      </c>
      <c r="T138" s="37" t="n">
        <f aca="false">(X138-X$100)/(X$170-X$100)*(T$170-T$100)+T$100</f>
        <v>2.87051109023133</v>
      </c>
      <c r="U138" s="39" t="n">
        <f aca="false">(X138-X$125)/(X$140-X$125)*(U$140-U$125)+U$125</f>
        <v>830.283084426811</v>
      </c>
      <c r="V138" s="39" t="n">
        <f aca="false">8314.4621*U138/(Sheet1!H$20*Sheet1!H$12*9.80665)</f>
        <v>103820.490460765</v>
      </c>
      <c r="W138" s="39" t="n">
        <f aca="false">W137-LN(R138/R137)*(V137+V138)/2</f>
        <v>1666221.01823127</v>
      </c>
      <c r="X138" s="39" t="n">
        <f aca="false">Sheet1!H$10*10/Sheet1!H$11*1000*W138/(Sheet1!H$10*10/Sheet1!H$11*1000-W138)</f>
        <v>1714433.86682913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830.07068679747</v>
      </c>
      <c r="T139" s="37" t="n">
        <f aca="false">(X139-X$100)/(X$170-X$100)*(T$170-T$100)+T$100</f>
        <v>2.90355857416439</v>
      </c>
      <c r="U139" s="39" t="n">
        <f aca="false">(X139-X$125)/(X$140-X$125)*(U$140-U$125)+U$125</f>
        <v>838.694333822056</v>
      </c>
      <c r="V139" s="39" t="n">
        <f aca="false">8314.4621*U139/(Sheet1!H$20*Sheet1!H$12*9.80665)</f>
        <v>104872.252268251</v>
      </c>
      <c r="W139" s="39" t="n">
        <f aca="false">W138-LN(R139/R138)*(V138+V139)/2</f>
        <v>1690247.65815246</v>
      </c>
      <c r="X139" s="39" t="n">
        <f aca="false">Sheet1!H$10*10/Sheet1!H$11*1000*W139/(Sheet1!H$10*10/Sheet1!H$11*1000-W139)</f>
        <v>1739881.6843504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838.47498993054</v>
      </c>
      <c r="T140" s="37" t="n">
        <f aca="false">(X140-X$100)/(X$170-X$100)*(T$170-T$100)+T$100</f>
        <v>2.93696901025693</v>
      </c>
      <c r="U140" s="39" t="n">
        <f aca="false">570/610*(U$170-U$54)+U$54</f>
        <v>847.197866848527</v>
      </c>
      <c r="V140" s="39" t="n">
        <f aca="false">8314.4621*U140/(Sheet1!H$20*Sheet1!H$12*9.80665)</f>
        <v>105935.553431453</v>
      </c>
      <c r="W140" s="39" t="n">
        <f aca="false">W139-LN(R140/R139)*(V139+V140)/2</f>
        <v>1714517.803697</v>
      </c>
      <c r="X140" s="39" t="n">
        <f aca="false">Sheet1!H$10*10/Sheet1!H$11*1000*W140/(Sheet1!H$10*10/Sheet1!H$11*1000-W140)</f>
        <v>1765608.98881663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838.47498993054</v>
      </c>
      <c r="AA140" s="39" t="n">
        <f aca="false">IF(Y140=LOG(Sheet1!H$17*101325),(LOG(Sheet1!H$17*101325)-Q150)/(Q140-Q150)*(X140-X150)+X150,IF(Y140=0,0,X140))</f>
        <v>1765608.98881663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841.335232956364</v>
      </c>
      <c r="T141" s="37" t="n">
        <f aca="false">(X141-X$100)/(X$170-X$100)*(T$170-T$100)+T$100</f>
        <v>2.97063511843191</v>
      </c>
      <c r="U141" s="39" t="n">
        <f aca="false">(X141-X$140)/(X$155-X$140)*(U$155-U$140)+U$140</f>
        <v>850.158099120712</v>
      </c>
      <c r="V141" s="39" t="n">
        <f aca="false">8314.4621*U141/(Sheet1!H$20*Sheet1!H$12*9.80665)</f>
        <v>106305.707626016</v>
      </c>
      <c r="W141" s="39" t="n">
        <f aca="false">W140-LN(R141/R140)*(V140+V141)/2</f>
        <v>1738952.98188846</v>
      </c>
      <c r="X141" s="39" t="n">
        <f aca="false">Sheet1!H$10*10/Sheet1!H$11*1000*W141/(Sheet1!H$10*10/Sheet1!H$11*1000-W141)</f>
        <v>1791533.17049484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844.207918566847</v>
      </c>
      <c r="T142" s="37" t="n">
        <f aca="false">(X142-X$100)/(X$170-X$100)*(T$170-T$100)+T$100</f>
        <v>3.0044476814086</v>
      </c>
      <c r="U142" s="39" t="n">
        <f aca="false">(X142-X$140)/(X$155-X$140)*(U$155-U$140)+U$140</f>
        <v>853.131208952253</v>
      </c>
      <c r="V142" s="39" t="n">
        <f aca="false">8314.4621*U142/(Sheet1!H$20*Sheet1!H$12*9.80665)</f>
        <v>106677.472059971</v>
      </c>
      <c r="W142" s="39" t="n">
        <f aca="false">W141-LN(R142/R141)*(V141+V142)/2</f>
        <v>1763473.57661864</v>
      </c>
      <c r="X142" s="39" t="n">
        <f aca="false">Sheet1!H$10*10/Sheet1!H$11*1000*W142/(Sheet1!H$10*10/Sheet1!H$11*1000-W142)</f>
        <v>1817570.1279316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847.08979202288</v>
      </c>
      <c r="T143" s="37" t="n">
        <f aca="false">(X143-X$100)/(X$170-X$100)*(T$170-T$100)+T$100</f>
        <v>3.03840748474248</v>
      </c>
      <c r="U143" s="39" t="n">
        <f aca="false">(X143-X$140)/(X$155-X$140)*(U$155-U$140)+U$140</f>
        <v>856.113943937163</v>
      </c>
      <c r="V143" s="39" t="n">
        <f aca="false">8314.4621*U143/(Sheet1!H$20*Sheet1!H$12*9.80665)</f>
        <v>107050.440045055</v>
      </c>
      <c r="W143" s="39" t="n">
        <f aca="false">W142-LN(R143/R142)*(V142+V143)/2</f>
        <v>1788079.91183712</v>
      </c>
      <c r="X143" s="39" t="n">
        <f aca="false">Sheet1!H$10*10/Sheet1!H$11*1000*W143/(Sheet1!H$10*10/Sheet1!H$11*1000-W143)</f>
        <v>1843720.46603447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849.986194758784</v>
      </c>
      <c r="T144" s="37" t="n">
        <f aca="false">(X144-X$100)/(X$170-X$100)*(T$170-T$100)+T$100</f>
        <v>3.07251535902406</v>
      </c>
      <c r="U144" s="39" t="n">
        <f aca="false">(X144-X$140)/(X$155-X$140)*(U$155-U$140)+U$140</f>
        <v>859.11164797664</v>
      </c>
      <c r="V144" s="39" t="n">
        <f aca="false">8314.4621*U144/(Sheet1!H$20*Sheet1!H$12*9.80665)</f>
        <v>107425.279794861</v>
      </c>
      <c r="W144" s="39" t="n">
        <f aca="false">W143-LN(R144/R143)*(V143+V144)/2</f>
        <v>1812772.34160275</v>
      </c>
      <c r="X144" s="39" t="n">
        <f aca="false">Sheet1!H$10*10/Sheet1!H$11*1000*W144/(Sheet1!H$10*10/Sheet1!H$11*1000-W144)</f>
        <v>1869984.82438968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852.895440477399</v>
      </c>
      <c r="T145" s="37" t="n">
        <f aca="false">(X145-X$100)/(X$170-X$100)*(T$170-T$100)+T$100</f>
        <v>3.10677221132256</v>
      </c>
      <c r="U145" s="39" t="n">
        <f aca="false">(X145-X$140)/(X$155-X$140)*(U$155-U$140)+U$140</f>
        <v>862.122637467543</v>
      </c>
      <c r="V145" s="39" t="n">
        <f aca="false">8314.4621*U145/(Sheet1!H$20*Sheet1!H$12*9.80665)</f>
        <v>107801.780787813</v>
      </c>
      <c r="W145" s="39" t="n">
        <f aca="false">W144-LN(R145/R144)*(V144+V145)/2</f>
        <v>1837551.27266808</v>
      </c>
      <c r="X145" s="39" t="n">
        <f aca="false">Sheet1!H$10*10/Sheet1!H$11*1000*W145/(Sheet1!H$10*10/Sheet1!H$11*1000-W145)</f>
        <v>1896363.90147498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855.817412382084</v>
      </c>
      <c r="T146" s="37" t="n">
        <f aca="false">(X146-X$100)/(X$170-X$100)*(T$170-T$100)+T$100</f>
        <v>3.14117891676036</v>
      </c>
      <c r="U146" s="39" t="n">
        <f aca="false">(X146-X$140)/(X$155-X$140)*(U$155-U$140)+U$140</f>
        <v>865.146798212369</v>
      </c>
      <c r="V146" s="39" t="n">
        <f aca="false">8314.4621*U146/(Sheet1!H$20*Sheet1!H$12*9.80665)</f>
        <v>108179.928744394</v>
      </c>
      <c r="W146" s="39" t="n">
        <f aca="false">W145-LN(R146/R145)*(V145+V146)/2</f>
        <v>1862417.08590449</v>
      </c>
      <c r="X146" s="39" t="n">
        <f aca="false">Sheet1!H$10*10/Sheet1!H$11*1000*W146/(Sheet1!H$10*10/Sheet1!H$11*1000-W146)</f>
        <v>1922858.37116782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858.752185051289</v>
      </c>
      <c r="T147" s="37" t="n">
        <f aca="false">(X147-X$100)/(X$170-X$100)*(T$170-T$100)+T$100</f>
        <v>3.17573635351</v>
      </c>
      <c r="U147" s="39" t="n">
        <f aca="false">(X147-X$140)/(X$155-X$140)*(U$155-U$140)+U$140</f>
        <v>868.184207397764</v>
      </c>
      <c r="V147" s="39" t="n">
        <f aca="false">8314.4621*U147/(Sheet1!H$20*Sheet1!H$12*9.80665)</f>
        <v>108559.733316199</v>
      </c>
      <c r="W147" s="39" t="n">
        <f aca="false">W146-LN(R147/R146)*(V146+V147)/2</f>
        <v>1887370.16165056</v>
      </c>
      <c r="X147" s="39" t="n">
        <f aca="false">Sheet1!H$10*10/Sheet1!H$11*1000*W147/(Sheet1!H$10*10/Sheet1!H$11*1000-W147)</f>
        <v>1949468.90969441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861.699833650401</v>
      </c>
      <c r="T148" s="37" t="n">
        <f aca="false">(X148-X$100)/(X$170-X$100)*(T$170-T$100)+T$100</f>
        <v>3.21044540665529</v>
      </c>
      <c r="U148" s="39" t="n">
        <f aca="false">(X148-X$140)/(X$155-X$140)*(U$155-U$140)+U$140</f>
        <v>871.234942817836</v>
      </c>
      <c r="V148" s="39" t="n">
        <f aca="false">8314.4621*U148/(Sheet1!H$20*Sheet1!H$12*9.80665)</f>
        <v>108941.204230781</v>
      </c>
      <c r="W148" s="39" t="n">
        <f aca="false">W147-LN(R148/R147)*(V147+V148)/2</f>
        <v>1912410.88247595</v>
      </c>
      <c r="X148" s="39" t="n">
        <f aca="false">Sheet1!H$10*10/Sheet1!H$11*1000*W148/(Sheet1!H$10*10/Sheet1!H$11*1000-W148)</f>
        <v>1976196.19860289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864.660433937666</v>
      </c>
      <c r="T149" s="37" t="n">
        <f aca="false">(X149-X$100)/(X$170-X$100)*(T$170-T$100)+T$100</f>
        <v>3.24530696826101</v>
      </c>
      <c r="U149" s="39" t="n">
        <f aca="false">(X149-X$140)/(X$155-X$140)*(U$155-U$140)+U$140</f>
        <v>874.299082880288</v>
      </c>
      <c r="V149" s="39" t="n">
        <f aca="false">8314.4621*U149/(Sheet1!H$20*Sheet1!H$12*9.80665)</f>
        <v>109324.351292417</v>
      </c>
      <c r="W149" s="39" t="n">
        <f aca="false">W148-LN(R149/R148)*(V148+V149)/2</f>
        <v>1937539.63319904</v>
      </c>
      <c r="X149" s="39" t="n">
        <f aca="false">Sheet1!H$10*10/Sheet1!H$11*1000*W149/(Sheet1!H$10*10/Sheet1!H$11*1000-W149)</f>
        <v>2003040.92481702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867.634062270188</v>
      </c>
      <c r="T150" s="37" t="n">
        <f aca="false">(X150-X$100)/(X$170-X$100)*(T$170-T$100)+T$100</f>
        <v>3.28032193744361</v>
      </c>
      <c r="U150" s="39" t="n">
        <f aca="false">(X150-X$140)/(X$155-X$140)*(U$155-U$140)+U$140</f>
        <v>877.376706612625</v>
      </c>
      <c r="V150" s="39" t="n">
        <f aca="false">8314.4621*U150/(Sheet1!H$20*Sheet1!H$12*9.80665)</f>
        <v>109709.184382887</v>
      </c>
      <c r="W150" s="39" t="n">
        <f aca="false">W149-LN(R150/R149)*(V149+V150)/2</f>
        <v>1962756.80090463</v>
      </c>
      <c r="X150" s="39" t="n">
        <f aca="false">Sheet1!H$10*10/Sheet1!H$11*1000*W150/(Sheet1!H$10*10/Sheet1!H$11*1000-W150)</f>
        <v>2030003.7806906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870.620795610003</v>
      </c>
      <c r="T151" s="37" t="n">
        <f aca="false">(X151-X$100)/(X$170-X$100)*(T$170-T$100)+T$100</f>
        <v>3.31549122044265</v>
      </c>
      <c r="U151" s="39" t="n">
        <f aca="false">(X151-X$140)/(X$155-X$140)*(U$155-U$140)+U$140</f>
        <v>880.46789366844</v>
      </c>
      <c r="V151" s="39" t="n">
        <f aca="false">8314.4621*U151/(Sheet1!H$20*Sheet1!H$12*9.80665)</f>
        <v>110095.713462258</v>
      </c>
      <c r="W151" s="39" t="n">
        <f aca="false">W150-LN(R151/R150)*(V150+V151)/2</f>
        <v>1988062.77496189</v>
      </c>
      <c r="X151" s="39" t="n">
        <f aca="false">Sheet1!H$10*10/Sheet1!H$11*1000*W151/(Sheet1!H$10*10/Sheet1!H$11*1000-W151)</f>
        <v>2057085.4640625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873.620876468374</v>
      </c>
      <c r="T152" s="37" t="n">
        <f aca="false">(X152-X$100)/(X$170-X$100)*(T$170-T$100)+T$100</f>
        <v>3.35081573399773</v>
      </c>
      <c r="U152" s="39" t="n">
        <f aca="false">(X152-X$140)/(X$155-X$140)*(U$155-U$140)+U$140</f>
        <v>883.572889281734</v>
      </c>
      <c r="V152" s="39" t="n">
        <f aca="false">8314.4621*U152/(Sheet1!H$20*Sheet1!H$12*9.80665)</f>
        <v>110483.969195148</v>
      </c>
      <c r="W152" s="39" t="n">
        <f aca="false">W151-LN(R152/R151)*(V151+V152)/2</f>
        <v>2013457.94941711</v>
      </c>
      <c r="X152" s="39" t="n">
        <f aca="false">Sheet1!H$10*10/Sheet1!H$11*1000*W152/(Sheet1!H$10*10/Sheet1!H$11*1000-W152)</f>
        <v>2084286.68085705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876.634068023919</v>
      </c>
      <c r="T153" s="37" t="n">
        <f aca="false">(X153-X$100)/(X$170-X$100)*(T$170-T$100)+T$100</f>
        <v>3.38629639912008</v>
      </c>
      <c r="U153" s="39" t="n">
        <f aca="false">(X153-X$140)/(X$155-X$140)*(U$155-U$140)+U$140</f>
        <v>886.691459366555</v>
      </c>
      <c r="V153" s="39" t="n">
        <f aca="false">8314.4621*U153/(Sheet1!H$20*Sheet1!H$12*9.80665)</f>
        <v>110873.922310917</v>
      </c>
      <c r="W153" s="39" t="n">
        <f aca="false">W152-LN(R153/R152)*(V152+V153)/2</f>
        <v>2038942.71847703</v>
      </c>
      <c r="X153" s="39" t="n">
        <f aca="false">Sheet1!H$10*10/Sheet1!H$11*1000*W153/(Sheet1!H$10*10/Sheet1!H$11*1000-W153)</f>
        <v>2111608.14028784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879.660600225037</v>
      </c>
      <c r="T154" s="37" t="n">
        <f aca="false">(X154-X$100)/(X$170-X$100)*(T$170-T$100)+T$100</f>
        <v>3.42193414087599</v>
      </c>
      <c r="U154" s="39" t="n">
        <f aca="false">(X154-X$140)/(X$155-X$140)*(U$155-U$140)+U$140</f>
        <v>889.823836618774</v>
      </c>
      <c r="V154" s="39" t="n">
        <f aca="false">8314.4621*U154/(Sheet1!H$20*Sheet1!H$12*9.80665)</f>
        <v>111265.601906387</v>
      </c>
      <c r="W154" s="39" t="n">
        <f aca="false">W153-LN(R154/R153)*(V153+V154)/2</f>
        <v>2064517.47632841</v>
      </c>
      <c r="X154" s="39" t="n">
        <f aca="false">Sheet1!H$10*10/Sheet1!H$11*1000*W154/(Sheet1!H$10*10/Sheet1!H$11*1000-W154)</f>
        <v>2139050.55469104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882.700000569836</v>
      </c>
      <c r="T155" s="37" t="n">
        <f aca="false">(X155-X$100)/(X$170-X$100)*(T$170-T$100)+T$100</f>
        <v>3.45790389305046</v>
      </c>
      <c r="U155" s="39" t="n">
        <f aca="false">150*LOG(Sheet1!H15)+530</f>
        <v>892.970068094543</v>
      </c>
      <c r="V155" s="39" t="n">
        <f aca="false">8314.4621*U155/(Sheet1!H$20*Sheet1!H$12*9.80665)</f>
        <v>111659.013865566</v>
      </c>
      <c r="W155" s="39" t="n">
        <f aca="false">W154-LN(R155/R154)*(V154+V155)/2</f>
        <v>2090182.62118531</v>
      </c>
      <c r="X155" s="39" t="n">
        <f aca="false">Sheet1!H$10*10/Sheet1!H$11*1000*W155/(Sheet1!H$10*10/Sheet1!H$11*1000-W155)</f>
        <v>2166614.64390058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882.700000569836</v>
      </c>
      <c r="AA155" s="39" t="n">
        <f aca="false">IF(Y155=LOG(Sheet1!H$17*101325),(LOG(Sheet1!H$17*101325)-Q165)/(Q155-Q165)*(X155-X165)+X165,IF(Y155=0,0,X155))</f>
        <v>2166614.64390058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882.699597919173</v>
      </c>
      <c r="T156" s="37" t="n">
        <f aca="false">(X156-X$100)/(X$170-X$100)*(T$170-T$100)+T$100</f>
        <v>3.49362318813549</v>
      </c>
      <c r="U156" s="39" t="n">
        <f aca="false">(X156-X$155)/(X$170-X$155)*(U$170-U$155)+U$155</f>
        <v>893.07575271056</v>
      </c>
      <c r="V156" s="39" t="n">
        <f aca="false">8314.4621*U156/(Sheet1!H$20*Sheet1!H$12*9.80665)</f>
        <v>111672.228910982</v>
      </c>
      <c r="W156" s="39" t="n">
        <f aca="false">W155-LN(R156/R155)*(V155+V156)/2</f>
        <v>2115894.58070616</v>
      </c>
      <c r="X156" s="39" t="n">
        <f aca="false">Sheet1!H$10*10/Sheet1!H$11*1000*W156/(Sheet1!H$10*10/Sheet1!H$11*1000-W156)</f>
        <v>2194253.84328719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882.69867754564</v>
      </c>
      <c r="T157" s="37" t="n">
        <f aca="false">(X157-X$100)/(X$170-X$100)*(T$170-T$100)+T$100</f>
        <v>3.52955305825909</v>
      </c>
      <c r="U157" s="39" t="n">
        <f aca="false">(X157-X$155)/(X$170-X$155)*(U$170-U$155)+U$155</f>
        <v>893.181545017233</v>
      </c>
      <c r="V157" s="39" t="n">
        <f aca="false">8314.4621*U157/(Sheet1!H$20*Sheet1!H$12*9.80665)</f>
        <v>111685.457422283</v>
      </c>
      <c r="W157" s="39" t="n">
        <f aca="false">W156-LN(R157/R156)*(V156+V157)/2</f>
        <v>2141609.58465399</v>
      </c>
      <c r="X157" s="39" t="n">
        <f aca="false">Sheet1!H$10*10/Sheet1!H$11*1000*W157/(Sheet1!H$10*10/Sheet1!H$11*1000-W157)</f>
        <v>2221921.20762634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882.697756229371</v>
      </c>
      <c r="T158" s="37" t="n">
        <f aca="false">(X158-X$100)/(X$170-X$100)*(T$170-T$100)+T$100</f>
        <v>3.5655195639607</v>
      </c>
      <c r="U158" s="39" t="n">
        <f aca="false">(X158-X$155)/(X$170-X$155)*(U$170-U$155)+U$155</f>
        <v>893.287445189823</v>
      </c>
      <c r="V158" s="39" t="n">
        <f aca="false">8314.4621*U158/(Sheet1!H$20*Sheet1!H$12*9.80665)</f>
        <v>111698.699421385</v>
      </c>
      <c r="W158" s="39" t="n">
        <f aca="false">W157-LN(R158/R157)*(V157+V158)/2</f>
        <v>2167327.63613196</v>
      </c>
      <c r="X158" s="39" t="n">
        <f aca="false">Sheet1!H$10*10/Sheet1!H$11*1000*W158/(Sheet1!H$10*10/Sheet1!H$11*1000-W158)</f>
        <v>2249616.7827517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882.696833968847</v>
      </c>
      <c r="T159" s="37" t="n">
        <f aca="false">(X159-X$100)/(X$170-X$100)*(T$170-T$100)+T$100</f>
        <v>3.60152276489562</v>
      </c>
      <c r="U159" s="39" t="n">
        <f aca="false">(X159-X$155)/(X$170-X$155)*(U$170-U$155)+U$155</f>
        <v>893.393453403985</v>
      </c>
      <c r="V159" s="39" t="n">
        <f aca="false">8314.4621*U159/(Sheet1!H$20*Sheet1!H$12*9.80665)</f>
        <v>111711.954930251</v>
      </c>
      <c r="W159" s="39" t="n">
        <f aca="false">W158-LN(R159/R158)*(V158+V159)/2</f>
        <v>2193048.73824826</v>
      </c>
      <c r="X159" s="39" t="n">
        <f aca="false">Sheet1!H$10*10/Sheet1!H$11*1000*W159/(Sheet1!H$10*10/Sheet1!H$11*1000-W159)</f>
        <v>2277340.61460012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882.700553461575</v>
      </c>
      <c r="T160" s="37" t="n">
        <f aca="false">(X160-X$100)/(X$170-X$100)*(T$170-T$100)+T$100</f>
        <v>3.63756281454019</v>
      </c>
      <c r="U160" s="39" t="n">
        <f aca="false">(X160-X$155)/(X$170-X$155)*(U$170-U$155)+U$155</f>
        <v>893.504212813059</v>
      </c>
      <c r="V160" s="39" t="n">
        <f aca="false">8314.4621*U160/(Sheet1!H$20*Sheet1!H$12*9.80665)</f>
        <v>111725.804539365</v>
      </c>
      <c r="W160" s="39" t="n">
        <f aca="false">W159-LN(R160/R159)*(V159+V160)/2</f>
        <v>2218772.9609566</v>
      </c>
      <c r="X160" s="39" t="n">
        <f aca="false">Sheet1!H$10*10/Sheet1!H$11*1000*W160/(Sheet1!H$10*10/Sheet1!H$11*1000-W160)</f>
        <v>2305092.8213542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882.700560708934</v>
      </c>
      <c r="T161" s="37" t="n">
        <f aca="false">(X161-X$100)/(X$170-X$100)*(T$170-T$100)+T$100</f>
        <v>3.6736397918958</v>
      </c>
      <c r="U161" s="39" t="n">
        <f aca="false">(X161-X$155)/(X$170-X$155)*(U$170-U$155)+U$155</f>
        <v>893.611369653059</v>
      </c>
      <c r="V161" s="39" t="n">
        <f aca="false">8314.4621*U161/(Sheet1!H$20*Sheet1!H$12*9.80665)</f>
        <v>111739.203675026</v>
      </c>
      <c r="W161" s="39" t="n">
        <f aca="false">W160-LN(R161/R160)*(V160+V161)/2</f>
        <v>2244500.32079261</v>
      </c>
      <c r="X161" s="39" t="n">
        <f aca="false">Sheet1!H$10*10/Sheet1!H$11*1000*W161/(Sheet1!H$10*10/Sheet1!H$11*1000-W161)</f>
        <v>2332873.46384801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882.700567964387</v>
      </c>
      <c r="T162" s="37" t="n">
        <f aca="false">(X162-X$100)/(X$170-X$100)*(T$170-T$100)+T$100</f>
        <v>3.70975368233331</v>
      </c>
      <c r="U162" s="39" t="n">
        <f aca="false">(X162-X$155)/(X$170-X$155)*(U$170-U$155)+U$155</f>
        <v>893.718636133997</v>
      </c>
      <c r="V162" s="39" t="n">
        <f aca="false">8314.4621*U162/(Sheet1!H$20*Sheet1!H$12*9.80665)</f>
        <v>111752.61652044</v>
      </c>
      <c r="W162" s="39" t="n">
        <f aca="false">W161-LN(R162/R161)*(V161+V162)/2</f>
        <v>2270230.76747202</v>
      </c>
      <c r="X162" s="39" t="n">
        <f aca="false">Sheet1!H$10*10/Sheet1!H$11*1000*W162/(Sheet1!H$10*10/Sheet1!H$11*1000-W162)</f>
        <v>2360682.53081657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882.700575227946</v>
      </c>
      <c r="T163" s="37" t="n">
        <f aca="false">(X163-X$100)/(X$170-X$100)*(T$170-T$100)+T$100</f>
        <v>3.74590454619404</v>
      </c>
      <c r="U163" s="39" t="n">
        <f aca="false">(X163-X$155)/(X$170-X$155)*(U$170-U$155)+U$155</f>
        <v>893.826012435103</v>
      </c>
      <c r="V163" s="39" t="n">
        <f aca="false">8314.4621*U163/(Sheet1!H$20*Sheet1!H$12*9.80665)</f>
        <v>111766.043098018</v>
      </c>
      <c r="W163" s="39" t="n">
        <f aca="false">W162-LN(R163/R162)*(V162+V163)/2</f>
        <v>2295964.30415419</v>
      </c>
      <c r="X163" s="39" t="n">
        <f aca="false">Sheet1!H$10*10/Sheet1!H$11*1000*W163/(Sheet1!H$10*10/Sheet1!H$11*1000-W163)</f>
        <v>2388520.06872498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882.700582499628</v>
      </c>
      <c r="T164" s="37" t="n">
        <f aca="false">(X164-X$100)/(X$170-X$100)*(T$170-T$100)+T$100</f>
        <v>3.78209244395576</v>
      </c>
      <c r="U164" s="39" t="n">
        <f aca="false">(X164-X$155)/(X$170-X$155)*(U$170-U$155)+U$155</f>
        <v>893.933498736013</v>
      </c>
      <c r="V164" s="39" t="n">
        <f aca="false">8314.4621*U164/(Sheet1!H$20*Sheet1!H$12*9.80665)</f>
        <v>111779.483430222</v>
      </c>
      <c r="W164" s="39" t="n">
        <f aca="false">W163-LN(R164/R163)*(V163+V164)/2</f>
        <v>2321700.93400366</v>
      </c>
      <c r="X164" s="39" t="n">
        <f aca="false">Sheet1!H$10*10/Sheet1!H$11*1000*W164/(Sheet1!H$10*10/Sheet1!H$11*1000-W164)</f>
        <v>2416386.12414342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882.700589779445</v>
      </c>
      <c r="T165" s="37" t="n">
        <f aca="false">(X165-X$100)/(X$170-X$100)*(T$170-T$100)+T$100</f>
        <v>3.81831743623304</v>
      </c>
      <c r="U165" s="39" t="n">
        <f aca="false">(X165-X$155)/(X$170-X$155)*(U$170-U$155)+U$155</f>
        <v>894.041095216767</v>
      </c>
      <c r="V165" s="39" t="n">
        <f aca="false">8314.4621*U165/(Sheet1!H$20*Sheet1!H$12*9.80665)</f>
        <v>111792.937539565</v>
      </c>
      <c r="W165" s="39" t="n">
        <f aca="false">W164-LN(R165/R164)*(V164+V165)/2</f>
        <v>2347440.66019015</v>
      </c>
      <c r="X165" s="39" t="n">
        <f aca="false">Sheet1!H$10*10/Sheet1!H$11*1000*W165/(Sheet1!H$10*10/Sheet1!H$11*1000-W165)</f>
        <v>2444280.7437474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882.700040981048</v>
      </c>
      <c r="T166" s="37" t="n">
        <f aca="false">(X166-X$100)/(X$170-X$100)*(T$170-T$100)+T$100</f>
        <v>3.8545795724952</v>
      </c>
      <c r="U166" s="39" t="n">
        <f aca="false">(X166-X$155)/(X$170-X$155)*(U$170-U$155)+U$155</f>
        <v>894.14824593794</v>
      </c>
      <c r="V166" s="39" t="n">
        <f aca="false">8314.4621*U166/(Sheet1!H$20*Sheet1!H$12*9.80665)</f>
        <v>111806.335910114</v>
      </c>
      <c r="W166" s="39" t="n">
        <f aca="false">W165-LN(R166/R165)*(V165+V166)/2</f>
        <v>2373183.47788262</v>
      </c>
      <c r="X166" s="39" t="n">
        <f aca="false">Sheet1!H$10*10/Sheet1!H$11*1000*W166/(Sheet1!H$10*10/Sheet1!H$11*1000-W166)</f>
        <v>2472203.96563019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882.699997406908</v>
      </c>
      <c r="T167" s="37" t="n">
        <f aca="false">(X167-X$100)/(X$170-X$100)*(T$170-T$100)+T$100</f>
        <v>3.89087891256656</v>
      </c>
      <c r="U167" s="39" t="n">
        <f aca="false">(X167-X$155)/(X$170-X$155)*(U$170-U$155)+U$155</f>
        <v>894.256012379684</v>
      </c>
      <c r="V167" s="39" t="n">
        <f aca="false">8314.4621*U167/(Sheet1!H$20*Sheet1!H$12*9.80665)</f>
        <v>111819.811271767</v>
      </c>
      <c r="W167" s="39" t="n">
        <f aca="false">W166-LN(R167/R166)*(V166+V167)/2</f>
        <v>2398929.38952786</v>
      </c>
      <c r="X167" s="39" t="n">
        <f aca="false">Sheet1!H$10*10/Sheet1!H$11*1000*W167/(Sheet1!H$10*10/Sheet1!H$11*1000-W167)</f>
        <v>2500155.83585878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882.699953787909</v>
      </c>
      <c r="T168" s="37" t="n">
        <f aca="false">(X168-X$100)/(X$170-X$100)*(T$170-T$100)+T$100</f>
        <v>3.92721552770739</v>
      </c>
      <c r="U168" s="39" t="n">
        <f aca="false">(X168-X$155)/(X$170-X$155)*(U$170-U$155)+U$155</f>
        <v>894.363889484528</v>
      </c>
      <c r="V168" s="39" t="n">
        <f aca="false">8314.4621*U168/(Sheet1!H$20*Sheet1!H$12*9.80665)</f>
        <v>111833.300470986</v>
      </c>
      <c r="W168" s="39" t="n">
        <f aca="false">W167-LN(R168/R167)*(V167+V168)/2</f>
        <v>2424678.40558289</v>
      </c>
      <c r="X168" s="39" t="n">
        <f aca="false">Sheet1!H$10*10/Sheet1!H$11*1000*W168/(Sheet1!H$10*10/Sheet1!H$11*1000-W168)</f>
        <v>2528136.40930629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882.699910123978</v>
      </c>
      <c r="T169" s="37" t="n">
        <f aca="false">(X169-X$100)/(X$170-X$100)*(T$170-T$100)+T$100</f>
        <v>3.96358947907538</v>
      </c>
      <c r="U169" s="39" t="n">
        <f aca="false">(X169-X$155)/(X$170-X$155)*(U$170-U$155)+U$155</f>
        <v>894.471877434038</v>
      </c>
      <c r="V169" s="39" t="n">
        <f aca="false">8314.4621*U169/(Sheet1!H$20*Sheet1!H$12*9.80665)</f>
        <v>111846.803530476</v>
      </c>
      <c r="W169" s="39" t="n">
        <f aca="false">W168-LN(R169/R168)*(V168+V169)/2</f>
        <v>2450430.52923654</v>
      </c>
      <c r="X169" s="39" t="n">
        <f aca="false">Sheet1!H$10*10/Sheet1!H$11*1000*W169/(Sheet1!H$10*10/Sheet1!H$11*1000-W169)</f>
        <v>2556145.73306646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882.700000569836</v>
      </c>
      <c r="T170" s="37" t="n">
        <v>4</v>
      </c>
      <c r="U170" s="39" t="n">
        <f aca="false">U155+(T170-T155)*((Sheet1!H$18-Sheet1!H$19)*COS(RADIANS(38))+Sheet1!H$19)/2</f>
        <v>894.580108105903</v>
      </c>
      <c r="V170" s="39" t="n">
        <f aca="false">8314.4621*U170/(Sheet1!H$20*Sheet1!H$12*9.80665)</f>
        <v>111855.235845762</v>
      </c>
      <c r="W170" s="39" t="n">
        <f aca="false">W169-LN(R170/R169)*(V169+V170)/2</f>
        <v>2476185.17829355</v>
      </c>
      <c r="X170" s="39" t="n">
        <f aca="false">Sheet1!H$10*10/Sheet1!H$11*1000*W170/(Sheet1!H$10*10/Sheet1!H$11*1000-W170)</f>
        <v>2584183.21677387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882.700000569836</v>
      </c>
      <c r="AA170" s="39" t="n">
        <f aca="false">IF(Y170=LOG(Sheet1!H$17*101325),(LOG(Sheet1!H$17*101325)-Q180)/(Q170-Q180)*(X170-X180)+X180,IF(Y170=0,0,X170))</f>
        <v>2584183.21677387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2021-10-05T09:26:01Z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